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ФХД'!$AG$78</definedName>
    <definedName name="B_FHD_CHECK_INDEX_2">'Показатели ФХД'!$AG$80</definedName>
    <definedName name="B_FHD_COSTS_INDEX_1">'Показатели ФХД'!$H$77:$AE$77</definedName>
    <definedName name="B_FHD_COSTS_INDEX_2">'Показатели ФХД'!$H$79:$AE$79</definedName>
    <definedName name="B_FHD_DATA_TOP80_ACTIVITY">'Показатели ФХД'!$H$110:$AE$110</definedName>
    <definedName name="B_FHD_diff_1">'Показатели ФХД'!$I$25:$I$27</definedName>
    <definedName name="B_FHD_FLAG_DIFFERENTIATION">'Показатели ФХД'!$H$24:$AE$24</definedName>
    <definedName name="B_FHD_FLAG_INDEX_1">'Показатели ФХД'!$H$78:$AE$78</definedName>
    <definedName name="B_FHD_FLAG_INDEX_2">'Показатели ФХД'!$H$80:$AE$80</definedName>
    <definedName name="B_FHD_TKO_DATA_TOP80_ACTIVITY">'ТКО. Показатели ФХД'!$H$45:$AE$45</definedName>
    <definedName name="B_FHD_TKO_diff_1">'ТКО. Показатели ФХД'!$I$10:$I$12</definedName>
    <definedName name="B_FHD_TKO_FLAG_DIFFERENTIATION">'ТКО. Показатели ФХД'!$H$9:$AE$9</definedName>
    <definedName name="B_FHD_TKO_TRANS_DATA_TOP80_ACTIVITY">'ТКО. Транс. Показатели ФХД'!$H$36:$AE$36</definedName>
    <definedName name="B_FHD_TKO_TRANS_diff_1">'ТКО. Транс. Показатели ФХД'!$I$10:$I$12</definedName>
    <definedName name="B_FHD_TKO_TRANS_FLAG_DIFFERENTIATION">'ТКО. Транс. Показатели ФХД'!$H$9:$AE$9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&gt;20%'!$D$13:$S$212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&gt;20%'!$V$11:$V$212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ОТЭП'!$L$9:$AJ$9</definedName>
    <definedName name="B_OTEP_HEAT_DATA_TOP80_ACTIVITY">'Показатели ОТЭП'!$L$15:$AJ$15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ФХД'!$111:$119</definedName>
    <definedName name="BLOCK_POK_FHD_COLDVSNA_P2">'Показатели ФХД'!$144:$148</definedName>
    <definedName name="BLOCK_POK_FHD_HEAT_ONLY_REG_ORG_P1">'Показатели ФХД'!$68:$69</definedName>
    <definedName name="BLOCK_POK_FHD_HEAT_ONLY_REG_ORG_P2">'Показатели ФХД'!$109:$160</definedName>
    <definedName name="BLOCK_POK_FHD_HEAT_P1">'Показатели ФХД'!$33:$52</definedName>
    <definedName name="BLOCK_POK_FHD_HEAT_P2">'Показатели ФХД'!$101:$101</definedName>
    <definedName name="BLOCK_POK_FHD_HEAT_P3">'Показатели ФХД'!$128:$140</definedName>
    <definedName name="BLOCK_POK_FHD_HEAT_P4">'Показатели ФХД'!$142:$142</definedName>
    <definedName name="BLOCK_POK_FHD_HEAT_P5">'Показатели ФХД'!$149:$159</definedName>
    <definedName name="BLOCK_POK_FHD_HEAT_P6">'Показатели ФХД'!$59:$59</definedName>
    <definedName name="BLOCK_POK_FHD_HOTVSNA_P1">'Показатели ФХД'!$53:$55</definedName>
    <definedName name="BLOCK_POK_FHD_HOTVSNA_P2">'Показатели ФХД'!$120:$124</definedName>
    <definedName name="BLOCK_POK_FHD_NOT_HEAT_P1">'Показатели ФХД'!$79:$80</definedName>
    <definedName name="BLOCK_POK_FHD_NOT_HEAT_P2">'Показатели ФХД'!$109:$109</definedName>
    <definedName name="BLOCK_POK_FHD_NOT_HOTVSNA">'Показатели ФХД'!$60:$60</definedName>
    <definedName name="BLOCK_POK_FHD_VOTV_P1">'Показатели ФХД'!$125:$127</definedName>
    <definedName name="BLOCK_POK_FHD_VSNA">'Показатели ФХД'!$143:$143</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территорий'!$E$78:$I$78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Дифференциация!$I$12:$I$58</definedName>
    <definedName name="DIFFERENTIATION_AREA_ID">Дифференциация!$U$11:$U$59</definedName>
    <definedName name="DIFFERENTIATION_CheckC">Дифференциация!$D$12:$M$58</definedName>
    <definedName name="DIFFERENTIATION_fieldMarker">Дифференциация!$W$12:$W$58</definedName>
    <definedName name="DIFFERENTIATION_ID">TEHSHEET!$E$57</definedName>
    <definedName name="DIFFERENTIATION_ID_DIFF">Дифференциация!$O$12:$O$58</definedName>
    <definedName name="DIFFERENTIATION_SYSTEM">Дифференциация!$M$12:$M$58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Дифференциация!$Q$12:$Q$58</definedName>
    <definedName name="DIFFERENTIATION_UNMERGE_SYSTEM">Дифференциация!$R$12:$R$58</definedName>
    <definedName name="DIFFERENTIATION_UNMERGE_VD">Дифференциация!$P$12:$P$58</definedName>
    <definedName name="DIFFERENTIATION_VD">Дифференциация!$E$12:$E$58</definedName>
    <definedName name="DIFFERENTIATION_VD_ID">Дифференциация!$V$11:$V$59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Ограничения!$F$36:$BA$36</definedName>
    <definedName name="flag_Q_LIMIT_p4">Ограничения!$F$38:$BA$38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Детализация'!$A$717:$A$717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ИП!$I$11:$I$45</definedName>
    <definedName name="IP_MAIN_CHANGE_DATE">ИП!$J$11:$J$45</definedName>
    <definedName name="IP_MAIN_CLAIM">ИП!$K$11:$K$45</definedName>
    <definedName name="IP_MAIN_DATE_PARKING">ИП!$L$5</definedName>
    <definedName name="IP_MAIN_DELETE_HL_COLUMN_MARKER">ИП!$E$7</definedName>
    <definedName name="IP_MAIN_DIFFERENTIATION_EVENTS_FLAG">ИП!$H$11:$H$45</definedName>
    <definedName name="IP_MAIN_END_DATE">ИП!$O$11:$O$45</definedName>
    <definedName name="IP_MAIN_FLAG_KS">ИП!$Y$11:$Y$45</definedName>
    <definedName name="IP_MAIN_FLAG_KS_COLUMN_MARKER">ИП!$Y$7</definedName>
    <definedName name="IP_MAIN_IP_FIN_PLAN_VISIBLE_FLAG">ИП!$H$47</definedName>
    <definedName name="IP_MAIN_LIST_IP_ID">ИП!$AD$11:$AD$45</definedName>
    <definedName name="IP_MAIN_LIST_NAME_IP">ИП!$G$11:$G$45</definedName>
    <definedName name="IP_MAIN_PERIOD_REALIZ_DATE">ИП!$P$11:$P$45</definedName>
    <definedName name="IP_MAIN_PR_IP_CHANGE_DATE">ИП!$X$11:$X$45</definedName>
    <definedName name="IP_MAIN_PR_IP_DATE">ИП!$T$11:$T$45</definedName>
    <definedName name="IP_MAIN_PR_IP_NAME">ИП!$Q$11:$Q$45</definedName>
    <definedName name="IP_MAIN_PR_IP_NUMBER">ИП!$S$11:$S$45</definedName>
    <definedName name="IP_MAIN_PR_IP_TYPE">ИП!$R$11:$R$45</definedName>
    <definedName name="IP_MAIN_START_DATE">ИП!$N$11:$N$45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Дифференциация!$G$12:$G$58</definedName>
    <definedName name="pDel_DIFFERENTIATION_SYSTEM">Дифференциация!$K$12:$K$58</definedName>
    <definedName name="pDel_DIFFERENTIATION_VD">Дифференциация!$C$12:$C$58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ИП!$E$11:$E$45</definedName>
    <definedName name="pDel_IP_MAIN_PROPERTY">ИП!$Z$11:$Z$45</definedName>
    <definedName name="pDel_IP_QRE_CLAIM">'ИП. КНЭ'!$E$18:$E$20</definedName>
    <definedName name="pDel_List07">'Сведения об изменении'!$C$11:$C$13</definedName>
    <definedName name="pDel_LT_AREA">'Список территорий'!$C$12:$C$78</definedName>
    <definedName name="pDel_LT_MO">'Список территорий'!$D$11:$D$78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ФХД'!$F$100</definedName>
    <definedName name="pIns_B_FHD_3">'Показатели ФХД'!$F$130</definedName>
    <definedName name="pIns_B_FHD_4">'Показатели ФХД'!$F$148</definedName>
    <definedName name="pIns_B_FHD_5">'Показатели ФХД'!$F$151</definedName>
    <definedName name="pIns_B_FHD_6">'Показатели ФХД'!$F$154</definedName>
    <definedName name="pIns_B_FHD_DIFFERENTIATION">'Показатели ФХД'!$AE$24</definedName>
    <definedName name="pIns_B_FHD_TKO_2">'ТКО. Показатели ФХД'!$F$34</definedName>
    <definedName name="pIns_B_FHD_TKO_DIFFERENTIATION">'ТКО. Показатели ФХД'!$AE$9</definedName>
    <definedName name="pIns_B_FHD_TKO_TRANS_2">'ТКО. Транс. Показатели ФХД'!$F$29</definedName>
    <definedName name="pIns_B_FHD_TKO_TRANS_DIFFERENTIATION">'ТКО. Транс. Показатели ФХД'!$AE$9</definedName>
    <definedName name="pIns_B_FHD20_DIFFERENTIATION">'Показатели ФХД &gt;20%'!$D$212</definedName>
    <definedName name="pIns_B_KNE_DIFFERENTIATION">'Показатели КНЭ'!$BA$6</definedName>
    <definedName name="pIns_B_OTEP_2">'Показатели ОТЭП'!$J$18</definedName>
    <definedName name="pIns_B_OTEP_DIFFERENTIATION">'Показатели ОТЭП'!$AI$9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Детализация'!$F$717</definedName>
    <definedName name="pIns_IP_FIN_PLAN">'ИП. Финансовый план'!$EC$8</definedName>
    <definedName name="pIns_IP_MAIN">ИП!$G$45</definedName>
    <definedName name="pIns_IP_QRE">'ИП. КНЭ'!$F$69</definedName>
    <definedName name="pIns_List07">'Сведения об изменении'!$E$13</definedName>
    <definedName name="pIns_LT_AREA">'Список территорий'!$G$78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Ограничения!$BA$25</definedName>
    <definedName name="pIns_Q_PH_DIFFERENTIATION">'Потребительские характеристики'!$BA$8</definedName>
    <definedName name="pIns_Q_TP_1">ТП!$E$22</definedName>
    <definedName name="pIns_Q_TP_DIFFERENTIATION">ТП!$AD$8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Ограничения!$BA$26</definedName>
    <definedName name="pNote_Q_PH">'Потребительские характеристики'!$BA$9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Ограничения!$E$32:$BA$39</definedName>
    <definedName name="Q_LIMIT_diff_1">Ограничения!$I$26:$J$28</definedName>
    <definedName name="Q_LIMIT_p3">Ограничения!$F$36:$BA$37</definedName>
    <definedName name="Q_LIMIT_p4">Ограничения!$F$38:$BA$39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ФХД'!$AE$160</definedName>
    <definedName name="tblEnd_1_B_FHD_TKO">'ТКО. Показатели ФХД'!$AE$49</definedName>
    <definedName name="tblEnd_1_B_FHD_TKO_TRANS">'ТКО. Транс. Показатели ФХД'!$AE$43</definedName>
    <definedName name="tblEnd_1_B_KNE">'Показатели КНЭ'!$J$101</definedName>
    <definedName name="tblEnd_1_B_OTEP">'Показатели ОТЭП'!$AI$34</definedName>
    <definedName name="tblEnd_1_B_STANDARTS">'Стандарты качества'!$L$13</definedName>
    <definedName name="tblEnd_1_CHANGE_INFO">'Сведения об изменении'!$E$14</definedName>
    <definedName name="tblEnd_1_DIFFERENTIATION">Дифференциация!$M$59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Детализация'!$AH$717</definedName>
    <definedName name="tblEnd_1_IP_FIN_PLAN">'ИП. Финансовый план'!$EC$58</definedName>
    <definedName name="tblEnd_1_IP_MAIN">ИП!$AB$46</definedName>
    <definedName name="tblEnd_1_IP_QRE">'ИП. КНЭ'!$FX$69</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Ограничения!$BA$40</definedName>
    <definedName name="tblEnd_1_Q_PH">'Потребительские характеристики'!$BA$21</definedName>
    <definedName name="tblEnd_1_Q_TP">ТП!$AD$23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территорий'!$E$11:$I$78</definedName>
    <definedName name="TERRITORY_ID">TEHSHEET!$E$56</definedName>
    <definedName name="TERRITORY_LIST_ID">'Список территорий'!$F$11:$F$78</definedName>
    <definedName name="TERRITORY_MO_LIST">'Список территорий'!$H$11:$H$78</definedName>
    <definedName name="TERRITORY_MR_LIST">'Список территорий'!$G$11:$G$78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Дифференциация!$F$12:$F$58</definedName>
    <definedName name="Y_N_DIFFERENTIATION_SYSTEM">Дифференциация!$J$12:$J$58</definedName>
    <definedName name="YEAR_IP_LIST">TEHSHEET!$BE$2:$BE$74</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DESCRIPTION_TERRITORY">REESTR_DS!$B$2:$B$23</definedName>
    <definedName name="REESTR_IP_RANGE">REESTR_IP!$A$2:$I$32</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ИП!$13:$14</definedName>
    <definedName name="IP_QRE_ip_51">'ИП. КНЭ'!$21:$23</definedName>
    <definedName name="IP_DETAILED_ip_51">'ИП. Детализация'!$14:$116</definedName>
    <definedName name="IP_FIN_PLAN_ip_51">'ИП. Финансовый план'!$K$11:$V$11</definedName>
    <definedName name="IP_MAIN_ip_511">ИП!$15:$16</definedName>
    <definedName name="IP_QRE_ip_511">'ИП. КНЭ'!$24:$26</definedName>
    <definedName name="IP_DETAILED_ip_511">'ИП. Детализация'!$117:$152</definedName>
    <definedName name="IP_FIN_PLAN_ip_511">'ИП. Финансовый план'!$W$11:$AC$11</definedName>
    <definedName name="IP_MAIN_ip_5111">ИП!#REF!</definedName>
    <definedName name="IP_QRE_ip_5111">'ИП. КНЭ'!#REF!</definedName>
    <definedName name="IP_DETAILED_ip_5111">'ИП. Детализация'!#REF!</definedName>
    <definedName name="IP_FIN_PLAN_ip_5111">'ИП. Финансовый план'!#REF!</definedName>
    <definedName name="IP_MAIN_ip_51111">ИП!$17:$18</definedName>
    <definedName name="IP_QRE_ip_51111">'ИП. КНЭ'!$27:$29</definedName>
    <definedName name="IP_DETAILED_ip_51111">'ИП. Детализация'!$153:$188</definedName>
    <definedName name="IP_FIN_PLAN_ip_51111">'ИП. Финансовый план'!$AD$11:$AJ$11</definedName>
    <definedName name="IP_MAIN_ip_511111">ИП!$19:$20</definedName>
    <definedName name="IP_QRE_ip_511111">'ИП. КНЭ'!$30:$32</definedName>
    <definedName name="IP_DETAILED_ip_511111">'ИП. Детализация'!$189:$224</definedName>
    <definedName name="IP_FIN_PLAN_ip_511111">'ИП. Финансовый план'!$AK$11:$AQ$11</definedName>
    <definedName name="IP_MAIN_ip_5111111">ИП!#REF!</definedName>
    <definedName name="IP_QRE_ip_5111111">'ИП. КНЭ'!#REF!</definedName>
    <definedName name="IP_DETAILED_ip_5111111">'ИП. Детализация'!#REF!</definedName>
    <definedName name="IP_FIN_PLAN_ip_5111111">'ИП. Финансовый план'!#REF!</definedName>
    <definedName name="IP_MAIN_ip_51111111">ИП!$21:$22</definedName>
    <definedName name="IP_QRE_ip_51111111">'ИП. КНЭ'!$33:$35</definedName>
    <definedName name="IP_DETAILED_ip_51111111">'ИП. Детализация'!$225:$260</definedName>
    <definedName name="IP_FIN_PLAN_ip_51111111">'ИП. Финансовый план'!$AR$11:$AX$11</definedName>
    <definedName name="IP_MAIN_ip_511111111">ИП!$23:$24</definedName>
    <definedName name="IP_QRE_ip_511111111">'ИП. КНЭ'!$36:$38</definedName>
    <definedName name="IP_DETAILED_ip_511111111">'ИП. Детализация'!$261:$301</definedName>
    <definedName name="IP_FIN_PLAN_ip_511111111">'ИП. Финансовый план'!$AY$11:$BE$11</definedName>
    <definedName name="IP_MAIN_ip_5111111111">ИП!$25:$26</definedName>
    <definedName name="IP_QRE_ip_5111111111">'ИП. КНЭ'!$39:$41</definedName>
    <definedName name="IP_DETAILED_ip_5111111111">'ИП. Детализация'!$302:$337</definedName>
    <definedName name="IP_FIN_PLAN_ip_5111111111">'ИП. Финансовый план'!$BF$11:$BL$11</definedName>
    <definedName name="IP_MAIN_ip_51111111111">ИП!$27:$28</definedName>
    <definedName name="IP_QRE_ip_51111111111">'ИП. КНЭ'!$42:$44</definedName>
    <definedName name="IP_DETAILED_ip_51111111111">'ИП. Детализация'!$338:$398</definedName>
    <definedName name="IP_FIN_PLAN_ip_51111111111">'ИП. Финансовый план'!$BM$11:$BS$11</definedName>
    <definedName name="IP_MAIN_ip_511111111111">ИП!$29:$30</definedName>
    <definedName name="IP_QRE_ip_511111111111">'ИП. КНЭ'!$45:$47</definedName>
    <definedName name="IP_DETAILED_ip_511111111111">'ИП. Детализация'!$399:$434</definedName>
    <definedName name="IP_FIN_PLAN_ip_511111111111">'ИП. Финансовый план'!$BT$11:$BZ$11</definedName>
    <definedName name="IP_MAIN_ip_5111111111111">ИП!$31:$32</definedName>
    <definedName name="IP_QRE_ip_5111111111111">'ИП. КНЭ'!$48:$50</definedName>
    <definedName name="IP_DETAILED_ip_5111111111111">'ИП. Детализация'!$435:$470</definedName>
    <definedName name="IP_FIN_PLAN_ip_5111111111111">'ИП. Финансовый план'!$CA$11:$CG$11</definedName>
    <definedName name="IP_MAIN_ip_51111111111111">ИП!$33:$34</definedName>
    <definedName name="IP_QRE_ip_51111111111111">'ИП. КНЭ'!$51:$53</definedName>
    <definedName name="IP_DETAILED_ip_51111111111111">'ИП. Детализация'!$471:$506</definedName>
    <definedName name="IP_FIN_PLAN_ip_51111111111111">'ИП. Финансовый план'!$CH$11:$CN$11</definedName>
    <definedName name="IP_MAIN_ip_511111111111111">ИП!$35:$36</definedName>
    <definedName name="IP_QRE_ip_511111111111111">'ИП. КНЭ'!$54:$56</definedName>
    <definedName name="IP_DETAILED_ip_511111111111111">'ИП. Детализация'!$507:$542</definedName>
    <definedName name="IP_FIN_PLAN_ip_511111111111111">'ИП. Финансовый план'!$CO$11:$CU$11</definedName>
    <definedName name="IP_MAIN_ip_5111111111111111">ИП!$37:$38</definedName>
    <definedName name="IP_QRE_ip_5111111111111111">'ИП. КНЭ'!$57:$59</definedName>
    <definedName name="IP_DETAILED_ip_5111111111111111">'ИП. Детализация'!$543:$578</definedName>
    <definedName name="IP_FIN_PLAN_ip_5111111111111111">'ИП. Финансовый план'!$CV$11:$DB$11</definedName>
    <definedName name="IP_MAIN_ip_51111111111111111">ИП!$39:$40</definedName>
    <definedName name="IP_QRE_ip_51111111111111111">'ИП. КНЭ'!$60:$62</definedName>
    <definedName name="IP_DETAILED_ip_51111111111111111">'ИП. Детализация'!$579:$614</definedName>
    <definedName name="IP_FIN_PLAN_ip_51111111111111111">'ИП. Финансовый план'!$DC$11:$DI$11</definedName>
    <definedName name="IP_MAIN_ip_511111111111111111">ИП!#REF!</definedName>
    <definedName name="IP_QRE_ip_511111111111111111">'ИП. КНЭ'!#REF!</definedName>
    <definedName name="IP_DETAILED_ip_511111111111111111">'ИП. Детализация'!#REF!</definedName>
    <definedName name="IP_FIN_PLAN_ip_511111111111111111">'ИП. Финансовый план'!#REF!</definedName>
    <definedName name="IP_MAIN_ip_5111111111111111111">ИП!$41:$42</definedName>
    <definedName name="IP_QRE_ip_5111111111111111111">'ИП. КНЭ'!$63:$65</definedName>
    <definedName name="IP_DETAILED_ip_5111111111111111111">'ИП. Детализация'!$615:$650</definedName>
    <definedName name="IP_FIN_PLAN_ip_5111111111111111111">'ИП. Финансовый план'!$DJ$11:$DP$11</definedName>
    <definedName name="IP_MAIN_ip_51111111111111111111">ИП!#REF!</definedName>
    <definedName name="IP_QRE_ip_51111111111111111111">'ИП. КНЭ'!#REF!</definedName>
    <definedName name="IP_DETAILED_ip_51111111111111111111">'ИП. Детализация'!#REF!</definedName>
    <definedName name="IP_FIN_PLAN_ip_51111111111111111111">'ИП. Финансовый план'!#REF!</definedName>
    <definedName name="IP_MAIN_ip_511111111111111111111">ИП!#REF!</definedName>
    <definedName name="IP_QRE_ip_511111111111111111111">'ИП. КНЭ'!#REF!</definedName>
    <definedName name="IP_DETAILED_ip_511111111111111111111">'ИП. Детализация'!#REF!</definedName>
    <definedName name="IP_FIN_PLAN_ip_511111111111111111111">'ИП. Финансовый план'!#REF!</definedName>
    <definedName name="IP_MAIN_ip_5111111111111111111111">ИП!$43:$44</definedName>
    <definedName name="IP_QRE_ip_5111111111111111111111">'ИП. КНЭ'!$66:$68</definedName>
    <definedName name="IP_DETAILED_ip_5111111111111111111111">'ИП. Детализация'!$651:$716</definedName>
    <definedName name="IP_FIN_PLAN_ip_5111111111111111111111">'ИП. Финансовый план'!$DQ$11:$EB$11</definedName>
    <definedName name="TEMP_LIST_KS">ИП!$AB$13</definedName>
    <definedName name="REESTR_INFR_RANGE">REESTR_OBJ_INFR!$A$2:$AL$360</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<sst xmlns="http://schemas.openxmlformats.org/spreadsheetml/2006/main" count="37497" uniqueCount="5796">
  <si>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</si>
  <si>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</si>
  <si>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</si>
  <si>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</si>
  <si>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</si>
  <si>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</si>
  <si>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</si>
  <si>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</si>
  <si>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</si>
  <si>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</si>
  <si>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</si>
  <si>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</si>
  <si>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</si>
  <si>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</si>
  <si>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</si>
  <si>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</si>
  <si>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</si>
  <si>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</si>
  <si>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</si>
  <si>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</si>
  <si>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</si>
  <si>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</si>
  <si>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</si>
  <si>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</si>
  <si>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</si>
  <si>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</si>
  <si>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</si>
  <si>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</si>
  <si>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</si>
  <si>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</si>
  <si>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</si>
  <si>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</si>
  <si>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</si>
  <si>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</si>
  <si>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</si>
  <si>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</si>
  <si>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</si>
  <si>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</si>
  <si>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</si>
  <si>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</si>
  <si>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</si>
  <si>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</si>
  <si>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</si>
  <si>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</si>
  <si>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</si>
  <si>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</si>
  <si>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</si>
  <si>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</si>
  <si>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</si>
  <si>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</si>
  <si>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</si>
  <si>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</si>
  <si>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</si>
  <si>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</si>
  <si>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</si>
  <si>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</si>
  <si>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</si>
  <si>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</si>
  <si>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</si>
  <si>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</si>
  <si>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</si>
  <si>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</si>
  <si>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</si>
  <si>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</si>
  <si>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</si>
  <si>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</si>
  <si>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</si>
  <si>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</si>
  <si>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</si>
  <si>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</si>
  <si>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443080, г. Самара, Московское шоссе, д. 55, оф. 216</t>
  </si>
  <si>
    <t>Фамилия, имя, отчество руководителя</t>
  </si>
  <si>
    <t>Федоров Константин Юрьевич</t>
  </si>
  <si>
    <t>Ответственный за заполнение формы</t>
  </si>
  <si>
    <t>Фамилия, имя, отчество</t>
  </si>
  <si>
    <t>Телегина Наталия Игоревна</t>
  </si>
  <si>
    <t>Должность</t>
  </si>
  <si>
    <t>главный экономист ПЭО</t>
  </si>
  <si>
    <t>Контактный телефон</t>
  </si>
  <si>
    <t>8 (846) 212-02-77 (322)</t>
  </si>
  <si>
    <t>E-mail</t>
  </si>
  <si>
    <t xml:space="preserve">teleginani@samrec.ru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</si>
  <si>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</si>
  <si>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</si>
  <si>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</si>
  <si>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</si>
  <si>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</si>
  <si>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</si>
  <si>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</si>
  <si>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</si>
  <si>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</si>
  <si>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</si>
  <si>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</si>
  <si>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</si>
  <si>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</si>
  <si>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</si>
  <si>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</si>
  <si>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</si>
  <si>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</si>
  <si>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Безенчукский муниципальный район</t>
  </si>
  <si>
    <t>36604000</t>
  </si>
  <si>
    <t>Добавить МО</t>
  </si>
  <si>
    <t>2</t>
  </si>
  <si>
    <t>×</t>
  </si>
  <si>
    <t>ter_5</t>
  </si>
  <si>
    <t>35</t>
  </si>
  <si>
    <t>Большечерниговский муниципальный район</t>
  </si>
  <si>
    <t>36610000</t>
  </si>
  <si>
    <t>ter_51</t>
  </si>
  <si>
    <t>59</t>
  </si>
  <si>
    <t>Волжский муниципальный район</t>
  </si>
  <si>
    <t>36614000</t>
  </si>
  <si>
    <t>ter_511</t>
  </si>
  <si>
    <t>75</t>
  </si>
  <si>
    <t>Елховский муниципальный район</t>
  </si>
  <si>
    <t>36615000</t>
  </si>
  <si>
    <t>5</t>
  </si>
  <si>
    <t>ter_5111</t>
  </si>
  <si>
    <t>83</t>
  </si>
  <si>
    <t>Исаклинский муниципальный район</t>
  </si>
  <si>
    <t>36616000</t>
  </si>
  <si>
    <t>ter_51111</t>
  </si>
  <si>
    <t>134</t>
  </si>
  <si>
    <t>Кошкинский муниципальный район</t>
  </si>
  <si>
    <t>36624000</t>
  </si>
  <si>
    <t>ter_511111</t>
  </si>
  <si>
    <t>99</t>
  </si>
  <si>
    <t>Кинель-Черкасский муниципальный район</t>
  </si>
  <si>
    <t>36620000</t>
  </si>
  <si>
    <t>8</t>
  </si>
  <si>
    <t>ter_5111111</t>
  </si>
  <si>
    <t>114</t>
  </si>
  <si>
    <t>Кинельский муниципальный район</t>
  </si>
  <si>
    <t>36618000</t>
  </si>
  <si>
    <t>9</t>
  </si>
  <si>
    <t>ter_51111111</t>
  </si>
  <si>
    <t>175</t>
  </si>
  <si>
    <t>Нефтегорский муниципальный район</t>
  </si>
  <si>
    <t>36630000</t>
  </si>
  <si>
    <t>10</t>
  </si>
  <si>
    <t>ter_511111111</t>
  </si>
  <si>
    <t>185</t>
  </si>
  <si>
    <t>Пестравский муниципальный район</t>
  </si>
  <si>
    <t>36632000</t>
  </si>
  <si>
    <t>11</t>
  </si>
  <si>
    <t>ter_5111111111</t>
  </si>
  <si>
    <t>194</t>
  </si>
  <si>
    <t>Похвистневский муниципальный район</t>
  </si>
  <si>
    <t>36634000</t>
  </si>
  <si>
    <t>12</t>
  </si>
  <si>
    <t>ter_51111111111</t>
  </si>
  <si>
    <t>210</t>
  </si>
  <si>
    <t>Приволжский муниципальный район</t>
  </si>
  <si>
    <t>36636000</t>
  </si>
  <si>
    <t>13</t>
  </si>
  <si>
    <t>ter_511111111111</t>
  </si>
  <si>
    <t>236</t>
  </si>
  <si>
    <t>Ставропольский муниципальный район</t>
  </si>
  <si>
    <t>36640000</t>
  </si>
  <si>
    <t>14</t>
  </si>
  <si>
    <t>ter_5111111111111</t>
  </si>
  <si>
    <t>277</t>
  </si>
  <si>
    <t>Хворостянский муниципальный район</t>
  </si>
  <si>
    <t>36644000</t>
  </si>
  <si>
    <t>15</t>
  </si>
  <si>
    <t>ter_51111111111111</t>
  </si>
  <si>
    <t>312</t>
  </si>
  <si>
    <t>Шигонский муниципальный район</t>
  </si>
  <si>
    <t>36650000</t>
  </si>
  <si>
    <t>16</t>
  </si>
  <si>
    <t>ter_511111111111111</t>
  </si>
  <si>
    <t>327</t>
  </si>
  <si>
    <t>городской округ Новокуйбышевск</t>
  </si>
  <si>
    <t>36713000</t>
  </si>
  <si>
    <t>17</t>
  </si>
  <si>
    <t>ter_5111111111111111</t>
  </si>
  <si>
    <t>328</t>
  </si>
  <si>
    <t>городской округ Октябрьск</t>
  </si>
  <si>
    <t>36718000</t>
  </si>
  <si>
    <t>18</t>
  </si>
  <si>
    <t>ter_51111111111111111</t>
  </si>
  <si>
    <t>329</t>
  </si>
  <si>
    <t>городской округ Отрадный</t>
  </si>
  <si>
    <t>36724000</t>
  </si>
  <si>
    <t>19</t>
  </si>
  <si>
    <t>ter_511111111111111111</t>
  </si>
  <si>
    <t>330</t>
  </si>
  <si>
    <t>городской округ Похвистнево</t>
  </si>
  <si>
    <t>36727000</t>
  </si>
  <si>
    <t>20</t>
  </si>
  <si>
    <t>ter_5111111111111111111</t>
  </si>
  <si>
    <t>332</t>
  </si>
  <si>
    <t>городской округ Самара</t>
  </si>
  <si>
    <t>Кировский</t>
  </si>
  <si>
    <t>36701310</t>
  </si>
  <si>
    <t>21</t>
  </si>
  <si>
    <t>ter_51111111111111111111</t>
  </si>
  <si>
    <t>340</t>
  </si>
  <si>
    <t>36701000</t>
  </si>
  <si>
    <t>22</t>
  </si>
  <si>
    <t>ter_511111111111111111111</t>
  </si>
  <si>
    <t>343</t>
  </si>
  <si>
    <t>городской округ Чапаевск</t>
  </si>
  <si>
    <t>36750000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</si>
  <si>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</si>
  <si>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</si>
  <si>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</si>
  <si>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</si>
  <si>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</si>
  <si>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</si>
  <si>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</si>
  <si>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</si>
  <si>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</si>
  <si>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</si>
  <si>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</si>
  <si>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</si>
  <si>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</si>
  <si>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</si>
  <si>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</si>
  <si>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</si>
  <si>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</si>
  <si>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</si>
  <si>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</si>
  <si>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</si>
  <si>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</si>
  <si>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</si>
  <si>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</si>
  <si>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</si>
  <si>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</si>
  <si>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</si>
  <si>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</si>
  <si>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</si>
  <si>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</si>
  <si>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</si>
  <si>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</si>
  <si>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</si>
  <si>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</si>
  <si>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</si>
  <si>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</si>
  <si>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</si>
  <si>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</si>
  <si>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</si>
  <si>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</si>
  <si>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</si>
  <si>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</si>
  <si>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</si>
  <si>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</si>
  <si>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</si>
  <si>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</si>
  <si>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</si>
  <si>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</si>
  <si>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</si>
  <si>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</si>
  <si>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</si>
  <si>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</si>
  <si>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</si>
  <si>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</si>
  <si>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</si>
  <si>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</si>
  <si>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</si>
  <si>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</si>
  <si>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</si>
  <si>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</si>
  <si>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</si>
  <si>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</si>
  <si>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</si>
  <si>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</si>
  <si>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</si>
  <si>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</si>
  <si>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</si>
  <si>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</si>
  <si>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</si>
  <si>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</si>
  <si>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</si>
  <si>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</si>
  <si>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</si>
  <si>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</si>
  <si>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</si>
  <si>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</si>
  <si>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</si>
  <si>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</si>
  <si>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</si>
  <si>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</si>
  <si>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</si>
  <si>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</si>
  <si>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</si>
  <si>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</si>
  <si>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</si>
  <si>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</si>
  <si>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</si>
  <si>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</si>
  <si>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</si>
  <si>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</si>
  <si>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</si>
  <si>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</si>
  <si>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</si>
  <si>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</si>
  <si>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</si>
  <si>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</si>
  <si>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</si>
  <si>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</si>
  <si>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</si>
  <si>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</si>
  <si>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</si>
  <si>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</si>
  <si>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</si>
  <si>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</si>
  <si>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</si>
  <si>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</si>
  <si>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</si>
  <si>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</si>
  <si>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</si>
  <si>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</si>
  <si>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</si>
  <si>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</si>
  <si>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</si>
  <si>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</si>
  <si>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</si>
  <si>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</si>
  <si>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</si>
  <si>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</si>
  <si>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</si>
  <si>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</si>
  <si>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</si>
  <si>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</si>
  <si>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</si>
  <si>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</si>
  <si>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</si>
  <si>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</si>
  <si>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</si>
  <si>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</si>
  <si>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</si>
  <si>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</si>
  <si>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</si>
  <si>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</si>
  <si>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</si>
  <si>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</si>
  <si>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</si>
  <si>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</si>
  <si>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</si>
  <si>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</si>
  <si>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</si>
  <si>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</si>
  <si>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</si>
  <si>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</si>
  <si>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</si>
  <si>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</si>
  <si>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</si>
  <si>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</si>
  <si>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</si>
  <si>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</si>
  <si>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</si>
  <si>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</si>
  <si>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</si>
  <si>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</si>
  <si>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</si>
  <si>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</si>
  <si>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</si>
  <si>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</si>
  <si>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</si>
  <si>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</si>
  <si>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</si>
  <si>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</si>
  <si>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</si>
  <si>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</si>
  <si>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</si>
  <si>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</si>
  <si>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</si>
  <si>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</si>
  <si>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</si>
  <si>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</si>
  <si>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</si>
  <si>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</si>
  <si>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</si>
  <si>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</si>
  <si>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</si>
  <si>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</si>
  <si>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</si>
  <si>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</si>
  <si>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</si>
  <si>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</si>
  <si>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</si>
  <si>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</si>
  <si>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</si>
  <si>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</si>
  <si>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</si>
  <si>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</si>
  <si>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</si>
  <si>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</si>
  <si>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</si>
  <si>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</si>
  <si>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</si>
  <si>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</si>
  <si>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</si>
  <si>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</si>
  <si>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</si>
  <si>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</si>
  <si>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</si>
  <si>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</si>
  <si>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</si>
  <si>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</si>
  <si>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</si>
  <si>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</si>
  <si>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</si>
  <si>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</si>
  <si>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</si>
  <si>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</si>
  <si>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</si>
  <si>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</si>
  <si>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</si>
  <si>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</si>
  <si>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</si>
  <si>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</si>
  <si>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</si>
  <si>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</si>
  <si>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</si>
  <si>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</si>
  <si>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</si>
  <si>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</si>
  <si>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</si>
  <si>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</si>
  <si>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</si>
  <si>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</si>
  <si>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</si>
  <si>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</si>
  <si>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</si>
  <si>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</si>
  <si>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</si>
  <si>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</si>
  <si>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</si>
  <si>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</si>
  <si>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</si>
  <si>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</si>
  <si>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</si>
  <si>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</si>
  <si>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</si>
  <si>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</si>
  <si>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</si>
  <si>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</si>
  <si>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</si>
  <si>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</si>
  <si>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</si>
  <si>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</si>
  <si>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</si>
  <si>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</si>
  <si>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</si>
  <si>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</si>
  <si>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</si>
  <si>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</si>
  <si>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</si>
  <si>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</si>
  <si>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</si>
  <si>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</si>
  <si>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</si>
  <si>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</si>
  <si>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</si>
  <si>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</si>
  <si>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</si>
  <si>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</si>
  <si>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</si>
  <si>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</si>
  <si>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</si>
  <si>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</si>
  <si>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</si>
  <si>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</si>
  <si>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</si>
  <si>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</si>
  <si>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</si>
  <si>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</si>
  <si>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</si>
  <si>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</si>
  <si>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</si>
  <si>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</si>
  <si>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</si>
  <si>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</si>
  <si>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</si>
  <si>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</si>
  <si>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</si>
  <si>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</si>
  <si>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</si>
  <si>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</si>
  <si>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</si>
  <si>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</si>
  <si>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</si>
  <si>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</si>
  <si>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</si>
  <si>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</si>
  <si>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</si>
  <si>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</si>
  <si>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</si>
  <si>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</si>
  <si>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</si>
  <si>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</si>
  <si>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</si>
  <si>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</si>
  <si>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</si>
  <si>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</si>
  <si>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</si>
  <si>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</si>
  <si>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</si>
  <si>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</si>
  <si>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</si>
  <si>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</si>
  <si>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</si>
  <si>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</si>
  <si>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</si>
  <si>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</si>
  <si>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</si>
  <si>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</si>
  <si>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</si>
  <si>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</si>
  <si>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</si>
  <si>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</si>
  <si>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</si>
  <si>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</si>
  <si>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</si>
  <si>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</si>
  <si>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</si>
  <si>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</si>
  <si>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</si>
  <si>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</si>
  <si>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</si>
  <si>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</si>
  <si>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</si>
  <si>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</si>
  <si>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</si>
  <si>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</si>
  <si>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</si>
  <si>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</si>
  <si>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</si>
  <si>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</si>
  <si>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</si>
  <si>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</si>
  <si>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</si>
  <si>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</si>
  <si>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</si>
  <si>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</si>
  <si>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</si>
  <si>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</si>
  <si>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</si>
  <si>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</si>
  <si>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</si>
  <si>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</si>
  <si>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</si>
  <si>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</si>
  <si>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</si>
  <si>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</si>
  <si>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</si>
  <si>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</si>
  <si>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</si>
  <si>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</si>
  <si>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</si>
  <si>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</si>
  <si>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</si>
  <si>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</si>
  <si>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</si>
  <si>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</si>
  <si>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</si>
  <si>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</si>
  <si>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</si>
  <si>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</si>
  <si>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</si>
  <si>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</si>
  <si>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</si>
  <si>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</si>
  <si>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</si>
  <si>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</si>
  <si>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</si>
  <si>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</si>
  <si>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</si>
  <si>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</si>
  <si>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</si>
  <si>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</si>
  <si>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</si>
  <si>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</si>
  <si>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</si>
  <si>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</si>
  <si>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</si>
  <si>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</si>
  <si>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</si>
  <si>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</si>
  <si>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</si>
  <si>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</si>
  <si>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</si>
  <si>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</si>
  <si>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</si>
  <si>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</si>
  <si>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</si>
  <si>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</si>
  <si>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</si>
  <si>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</si>
  <si>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</si>
  <si>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</si>
  <si>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</si>
  <si>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</si>
  <si>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</si>
  <si>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</si>
  <si>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</si>
  <si>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</si>
  <si>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</si>
  <si>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</si>
  <si>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</si>
  <si>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</si>
  <si>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</si>
  <si>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</si>
  <si>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</si>
  <si>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</si>
  <si>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</si>
  <si>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</si>
  <si>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</si>
  <si>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</si>
  <si>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</si>
  <si>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</si>
  <si>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</si>
  <si>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</si>
  <si>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</si>
  <si>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</si>
  <si>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</si>
  <si>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</si>
  <si>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</si>
  <si>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</si>
  <si>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</si>
  <si>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</si>
  <si>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</si>
  <si>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</si>
  <si>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</si>
  <si>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</si>
  <si>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</si>
  <si>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</si>
  <si>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</si>
  <si>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</si>
  <si>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</si>
  <si>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</si>
  <si>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</si>
  <si>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</si>
  <si>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</si>
  <si>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</si>
  <si>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</si>
  <si>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</si>
  <si>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</si>
  <si>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</si>
  <si>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</si>
  <si>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</si>
  <si>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</si>
  <si>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</si>
  <si>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</si>
  <si>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</si>
  <si>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</si>
  <si>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</si>
  <si>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</si>
  <si>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</si>
  <si>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</si>
  <si>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</si>
  <si>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</si>
  <si>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</si>
  <si>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</si>
  <si>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</si>
  <si>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</si>
  <si>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</si>
  <si>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</si>
  <si>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</si>
  <si>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</si>
  <si>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</si>
  <si>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</si>
  <si>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</si>
  <si>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</si>
  <si>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</si>
  <si>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</si>
  <si>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</si>
  <si>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</si>
  <si>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</si>
  <si>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</si>
  <si>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</si>
  <si>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</si>
  <si>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</si>
  <si>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</si>
  <si>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</si>
  <si>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</si>
  <si>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</si>
  <si>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</si>
  <si>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</si>
  <si>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</si>
  <si>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</si>
  <si>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Прочее</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</si>
  <si>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</si>
  <si>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</si>
  <si>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</si>
  <si>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</si>
  <si>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</si>
  <si>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</si>
  <si>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</si>
  <si>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</si>
  <si>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</si>
  <si>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</si>
  <si>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</si>
  <si>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Работы и (или) услуги, выполняемые сторонними организациями и связанные с эксплуатацией централизованных систем теплоснабжения, либо объектов, входящих в состав таких систем</t>
  </si>
  <si>
    <t>Расходы на оплату иных работ и услуг, выполняемых по договорам с организациями</t>
  </si>
  <si>
    <t>Служебные командировки</t>
  </si>
  <si>
    <t>Обучение персонала</t>
  </si>
  <si>
    <t>Обязательное страхование производственных объектов</t>
  </si>
  <si>
    <t>Выплаты по договорам займа и кредитным договорам, включая проценты по ним</t>
  </si>
  <si>
    <t>Расходы, связанные с уплатой налогов и сборов</t>
  </si>
  <si>
    <t>Внереализационные расходы, всего</t>
  </si>
  <si>
    <t>Другие операционные расходы</t>
  </si>
  <si>
    <t>Прочие товары (услуги, работы), приобретаемые у других организаций, осуществляющих регулируемые виды деятельности, на производственные цели</t>
  </si>
  <si>
    <t>Теплоноситель</t>
  </si>
  <si>
    <t>горюче-смазочные материалы</t>
  </si>
  <si>
    <t>прочие материалы и малоценные основные средства</t>
  </si>
  <si>
    <t>Оплата услуг по передаче тепловой энергии</t>
  </si>
  <si>
    <t>Арендная плата, лизинговые платежи, не связанные с арендой (лизингом) централизованных систем водоснабжения либо объектов, входящих в состав таких систем</t>
  </si>
  <si>
    <t>Оплата труда цехового персонала</t>
  </si>
  <si>
    <t>Отчисления цехового персонала</t>
  </si>
  <si>
    <t>Добавить прочие расходы</t>
  </si>
  <si>
    <t>HEAT_P2</t>
  </si>
  <si>
    <t>NOT_HEAT_P2</t>
  </si>
  <si>
    <t>hyp</t>
  </si>
  <si>
    <t>https://portal.eias.ru/Portal/DownloadPage.aspx?type=12&amp;guid=fcbecb38-6609-4b11-a57e-fc4eb28978fa</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</si>
  <si>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</si>
  <si>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</si>
  <si>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</si>
  <si>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</si>
  <si>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</si>
  <si>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</si>
  <si>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</si>
  <si>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</si>
  <si>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</si>
  <si>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</si>
  <si>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</si>
  <si>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</si>
  <si>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</si>
  <si>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</si>
  <si>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</si>
  <si>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</si>
  <si>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</si>
  <si>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</si>
  <si>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</si>
  <si>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</si>
  <si>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</si>
  <si>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</si>
  <si>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</si>
  <si>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</si>
  <si>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</si>
  <si>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</si>
  <si>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</si>
  <si>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</si>
  <si>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</si>
  <si>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</si>
  <si>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</si>
  <si>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</si>
  <si>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</si>
  <si>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</si>
  <si>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</si>
  <si>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</si>
  <si>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</si>
  <si>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</si>
  <si>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</si>
  <si>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</si>
  <si>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</si>
  <si>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</si>
  <si>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</si>
  <si>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</si>
  <si>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</si>
  <si>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</si>
  <si>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</si>
  <si>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</si>
  <si>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</si>
  <si>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</si>
  <si>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</si>
  <si>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</si>
  <si>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</si>
  <si>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</si>
  <si>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</si>
  <si>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</si>
  <si>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</si>
  <si>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</si>
  <si>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</si>
  <si>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</si>
  <si>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</si>
  <si>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</si>
  <si>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</si>
  <si>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</si>
  <si>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</si>
  <si>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</si>
  <si>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</si>
  <si>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</si>
  <si>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</si>
  <si>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</si>
  <si>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</si>
  <si>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</si>
  <si>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</si>
  <si>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</si>
  <si>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</si>
  <si>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</si>
  <si>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</si>
  <si>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</si>
  <si>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</si>
  <si>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</si>
  <si>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</si>
  <si>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</si>
  <si>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</si>
  <si>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</si>
  <si>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</si>
  <si>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</si>
  <si>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</si>
  <si>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</si>
  <si>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</si>
  <si>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</si>
  <si>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</si>
  <si>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</si>
  <si>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</si>
  <si>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</si>
  <si>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</si>
  <si>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</si>
  <si>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</si>
  <si>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</si>
  <si>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</si>
  <si>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</si>
  <si>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</si>
  <si>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</si>
  <si>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</si>
  <si>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</si>
  <si>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</si>
  <si>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</si>
  <si>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</si>
  <si>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</si>
  <si>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</si>
  <si>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</si>
  <si>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</si>
  <si>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</si>
  <si>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</si>
  <si>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</si>
  <si>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</si>
  <si>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</si>
  <si>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</si>
  <si>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</si>
  <si>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</si>
  <si>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</si>
  <si>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</si>
  <si>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</si>
  <si>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</si>
  <si>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</si>
  <si>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</si>
  <si>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</si>
  <si>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</si>
  <si>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</si>
  <si>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</si>
  <si>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</si>
  <si>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</si>
  <si>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</si>
  <si>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</si>
  <si>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</si>
  <si>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</si>
  <si>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</si>
  <si>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</si>
  <si>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</si>
  <si>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</si>
  <si>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</si>
  <si>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</si>
  <si>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</si>
  <si>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</si>
  <si>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</si>
  <si>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</si>
  <si>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</si>
  <si>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</si>
  <si>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</si>
  <si>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</si>
  <si>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</si>
  <si>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</si>
  <si>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</si>
  <si>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</si>
  <si>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</si>
  <si>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</si>
  <si>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</si>
  <si>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</si>
  <si>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</si>
  <si>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</si>
  <si>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</si>
  <si>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</si>
  <si>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</si>
  <si>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</si>
  <si>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</si>
  <si>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</si>
  <si>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</si>
  <si>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</si>
  <si>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</si>
  <si>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</si>
  <si>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</si>
  <si>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</si>
  <si>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</si>
  <si>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</si>
  <si>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</si>
  <si>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</si>
  <si>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</si>
  <si>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</si>
  <si>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</si>
  <si>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</si>
  <si>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</si>
  <si>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</si>
  <si>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</si>
  <si>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</si>
  <si>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</si>
  <si>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</si>
  <si>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</si>
  <si>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</si>
  <si>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</si>
  <si>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</si>
  <si>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</si>
  <si>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</si>
  <si>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</si>
  <si>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</si>
  <si>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</si>
  <si>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</si>
  <si>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</si>
  <si>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</si>
  <si>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</si>
  <si>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</si>
  <si>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</si>
  <si>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</si>
  <si>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</si>
  <si>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</si>
  <si>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</si>
  <si>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</si>
  <si>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</si>
  <si>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</si>
  <si>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</si>
  <si>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</si>
  <si>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</si>
  <si>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</si>
  <si>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</si>
  <si>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</si>
  <si>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</si>
  <si>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</si>
  <si>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</si>
  <si>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</si>
  <si>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</si>
  <si>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</si>
  <si>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</si>
  <si>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</si>
  <si>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</si>
  <si>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</si>
  <si>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</si>
  <si>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</si>
  <si>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</si>
  <si>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</si>
  <si>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</si>
  <si>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</si>
  <si>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</si>
  <si>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</si>
  <si>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</si>
  <si>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</si>
  <si>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</si>
  <si>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</si>
  <si>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</si>
  <si>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</si>
  <si>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</si>
  <si>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</si>
  <si>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</si>
  <si>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</si>
  <si>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</si>
  <si>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</si>
  <si>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</si>
  <si>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</si>
  <si>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</si>
  <si>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</si>
  <si>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</si>
  <si>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</si>
  <si>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</si>
  <si>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</si>
  <si>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</si>
  <si>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</si>
  <si>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</si>
  <si>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</si>
  <si>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</si>
  <si>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</si>
  <si>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</si>
  <si>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</si>
  <si>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</si>
  <si>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</si>
  <si>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</si>
  <si>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</si>
  <si>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</si>
  <si>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</si>
  <si>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</si>
  <si>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</si>
  <si>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</si>
  <si>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</si>
  <si>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</si>
  <si>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</si>
  <si>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</si>
  <si>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</si>
  <si>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</si>
  <si>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</si>
  <si>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</si>
  <si>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</si>
  <si>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</si>
  <si>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</si>
  <si>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</si>
  <si>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</si>
  <si>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</si>
  <si>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</si>
  <si>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</si>
  <si>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</si>
  <si>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</si>
  <si>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</si>
  <si>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</si>
  <si>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</si>
  <si>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</si>
  <si>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</si>
  <si>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</si>
  <si>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</si>
  <si>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</si>
  <si>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</si>
  <si>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</si>
  <si>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</si>
  <si>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</si>
  <si>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</si>
  <si>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</si>
  <si>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</si>
  <si>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</si>
  <si>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</si>
  <si>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</si>
  <si>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</si>
  <si>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</si>
  <si>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</si>
  <si>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</si>
  <si>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</si>
  <si>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</si>
  <si>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</si>
  <si>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</si>
  <si>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</si>
  <si>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</si>
  <si>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</si>
  <si>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</si>
  <si>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</si>
  <si>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</si>
  <si>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</si>
  <si>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</si>
  <si>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</si>
  <si>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</si>
  <si>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</si>
  <si>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</si>
  <si>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</si>
  <si>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</si>
  <si>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</si>
  <si>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</si>
  <si>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</si>
  <si>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</si>
  <si>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</si>
  <si>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</si>
  <si>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</si>
  <si>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</si>
  <si>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</si>
  <si>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</si>
  <si>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</si>
  <si>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</si>
  <si>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</si>
  <si>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</si>
  <si>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</si>
  <si>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</si>
  <si>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</si>
  <si>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</si>
  <si>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</si>
  <si>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</si>
  <si>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</si>
  <si>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</si>
  <si>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</si>
  <si>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</si>
  <si>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</si>
  <si>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</si>
  <si>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</si>
  <si>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</si>
  <si>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</si>
  <si>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</si>
  <si>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</si>
  <si>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</si>
  <si>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</si>
  <si>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</si>
  <si>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</si>
  <si>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</si>
  <si>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</si>
  <si>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</si>
  <si>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</si>
  <si>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</si>
  <si>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</si>
  <si>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</si>
  <si>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</si>
  <si>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</si>
  <si>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</si>
  <si>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</si>
  <si>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</si>
  <si>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</si>
  <si>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</si>
  <si>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</si>
  <si>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</si>
  <si>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</si>
  <si>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</si>
  <si>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</si>
  <si>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</si>
  <si>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</si>
  <si>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</si>
  <si>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</si>
  <si>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</si>
  <si>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</si>
  <si>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</si>
  <si>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</si>
  <si>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</si>
  <si>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</si>
  <si>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</si>
  <si>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</si>
  <si>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</si>
  <si>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</si>
  <si>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</si>
  <si>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</si>
  <si>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</si>
  <si>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</si>
  <si>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</si>
  <si>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</si>
  <si>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</si>
  <si>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</si>
  <si>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</si>
  <si>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</si>
  <si>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</si>
  <si>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</si>
  <si>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</si>
  <si>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</si>
  <si>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</si>
  <si>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</si>
  <si>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</si>
  <si>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</si>
  <si>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</si>
  <si>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</si>
  <si>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</si>
  <si>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</si>
  <si>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</si>
  <si>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</si>
  <si>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</si>
  <si>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</si>
  <si>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</si>
  <si>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</si>
  <si>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</si>
  <si>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</si>
  <si>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</si>
  <si>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</si>
  <si>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</si>
  <si>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</si>
  <si>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</si>
  <si>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</si>
  <si>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</si>
  <si>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</si>
  <si>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</si>
  <si>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</si>
  <si>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</si>
  <si>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</si>
  <si>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</si>
  <si>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</si>
  <si>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</si>
  <si>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</si>
  <si>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</si>
  <si>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</si>
  <si>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</si>
  <si>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повышение надёжности и энергетической эффективности</t>
  </si>
  <si>
    <t>Министерство Энергетики и ЖКХ Самарской области</t>
  </si>
  <si>
    <t xml:space="preserve">Администрация м.р. Безенчукский
</t>
  </si>
  <si>
    <t>23.11.2023</t>
  </si>
  <si>
    <t>31.12.2032</t>
  </si>
  <si>
    <t>Об утверждении инвестиционной программы ООО "СамРЭК-Эксплуатация" по модернизации системы теплоснабжения на 2023-2032 годы муниципального района Безенчукский</t>
  </si>
  <si>
    <t>приказ</t>
  </si>
  <si>
    <t>253</t>
  </si>
  <si>
    <t>Концессионное соглашение в отношении объектов теплоснабжения м.р. Безенчукский Самарской области от 06.10.2023</t>
  </si>
  <si>
    <t>ip_51</t>
  </si>
  <si>
    <t>Добавить реквизиты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</si>
  <si>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</si>
  <si>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 xml:space="preserve">Администрация м.р. Похвистневский
</t>
  </si>
  <si>
    <t>01.01.2024</t>
  </si>
  <si>
    <t>31.12.2028</t>
  </si>
  <si>
    <t>Об утверждении инвестиционной программы ООО "СамРЭК-Эксплуатация" по модернизации системы теплоснабжения на 2024-2028 годы муниципального района Похвистневский</t>
  </si>
  <si>
    <t>24.10.2023</t>
  </si>
  <si>
    <t xml:space="preserve">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Похвистневский (корректировка 2024 год)
</t>
  </si>
  <si>
    <t xml:space="preserve">приказ
</t>
  </si>
  <si>
    <t>ip_511</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</si>
  <si>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</si>
  <si>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 xml:space="preserve">Администрация м.р. Пестравский
</t>
  </si>
  <si>
    <t>Об утверждении инвестиционной программы ООО "СамРЭК-Эксплуатация" по модернизации системы теплоснабжения на 2024-2028 годы муниципального района Пестравский</t>
  </si>
  <si>
    <t>212</t>
  </si>
  <si>
    <t>25.10.2023</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</si>
  <si>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Пестравский (корректировка 2024 год)</t>
  </si>
  <si>
    <t>ip_51111</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</si>
  <si>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</si>
  <si>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 xml:space="preserve">Администрация м.р. Нефтегорский
</t>
  </si>
  <si>
    <t>Об утверждении инвестиционной программы ООО "СамРЭК-Эксплуатация" по модернизации системы теплоснабжения на 2024-2028 годы муниципального района Нефтегорский</t>
  </si>
  <si>
    <t>208</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</si>
  <si>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Нефтегорский (корректировка 2024 год)</t>
  </si>
  <si>
    <t>ip_511111</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</si>
  <si>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</si>
  <si>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 xml:space="preserve">Министерство Энергетики и ЖКХ Самарской области
</t>
  </si>
  <si>
    <t xml:space="preserve">Администрация м.р. Кошкинский
</t>
  </si>
  <si>
    <t>Об утверждении инвестиционной программы ООО "СамРЭК-Эксплуатация" по модернизации системы теплоснабжения на 2024-2028 годы муниципального района Кошкинский</t>
  </si>
  <si>
    <t>229</t>
  </si>
  <si>
    <t>27.10.2023</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</si>
  <si>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Кошкинский (корректировка 2024 год)</t>
  </si>
  <si>
    <t>ip_51111111</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</si>
  <si>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</si>
  <si>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Администрация м.р. Кинельский</t>
  </si>
  <si>
    <t>Об утверждении инвестиционной программы ООО "СамРЭК-Эксплуатация" по модернизации системы теплоснабжения на 2024-2028 годы муниципального района Кинельский</t>
  </si>
  <si>
    <t>207</t>
  </si>
  <si>
    <t>Об утверждении корректировки инвестиционной программы ООО "СамРЭК-Эксплуатация" по модернизации системы теплоснабжения на 2024-2027 годы муниципального района Кинельский (корректировка 2024 год)</t>
  </si>
  <si>
    <t>ip_511111111</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</si>
  <si>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</si>
  <si>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Администрация м.р. Волжский</t>
  </si>
  <si>
    <t>Об утверждении инвестиционной программы ООО "СамРЭК-Эксплуатация" по модернизации системы теплоснабжения на 2024-2028 годы муниципального района Волжский</t>
  </si>
  <si>
    <t>215</t>
  </si>
  <si>
    <t>26.10.2023</t>
  </si>
  <si>
    <t>ip_5111111111</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</si>
  <si>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</si>
  <si>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Администрация м.р. Большечерниговский</t>
  </si>
  <si>
    <t>Об утверждении инвестиционной программы ООО "СамРЭК-Эксплуатация" по модернизации системы теплоснабжения на 2024-2028 годы муниципального района Большечерниговский</t>
  </si>
  <si>
    <t>227</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</si>
  <si>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Большечерниговский (корректировка 2024 год)</t>
  </si>
  <si>
    <t>ip_51111111111</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</si>
  <si>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</si>
  <si>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Администрация м.р. Исаклинский</t>
  </si>
  <si>
    <t>Об утверждении инвестиционной программы ООО "СамРЭК-Эксплуатация" по модернизации системы теплоснабжения на 2024-2028 годы муниципального района Исаклинский</t>
  </si>
  <si>
    <t>228</t>
  </si>
  <si>
    <t>ip_511111111111</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</si>
  <si>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</si>
  <si>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Администрация м.р. Хворостянский</t>
  </si>
  <si>
    <t>Об утверждении инвестиционной программы ООО "СамРЭК-Эксплуатация" по модернизации системы теплоснабжения на 2024 - 2028 годы муниципального района Хворостянский</t>
  </si>
  <si>
    <t>209</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</si>
  <si>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Хворостянский (корректировка 2024 год)</t>
  </si>
  <si>
    <t>ip_5111111111111</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</si>
  <si>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</si>
  <si>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 xml:space="preserve">Администрация г.о. Чапаевск
</t>
  </si>
  <si>
    <t>Об утверждении инвестиционной программы ООО "СамРЭК-Эксплуатация" по модернизации системы теплоснабжения на 2024-2028 годы городского округа Чапаевск</t>
  </si>
  <si>
    <t>211</t>
  </si>
  <si>
    <t>Об утверждении корректировки инвестиционной программы ООО "СамРЭК-Эксплуатация" по модернизации системы теплоснабжения на 2024-2028 годы г.о. октябрьск (корректировка 2024 год)</t>
  </si>
  <si>
    <t>ip_51111111111111</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</si>
  <si>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</si>
  <si>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Администрация м.р. Шигонский</t>
  </si>
  <si>
    <t>Об утверждении инвестиционной программы ООО "СамРЭК-Эксплуатация" по модернизации системы теплоснабжения на 2024-2028 годы муниципального района Шигонский</t>
  </si>
  <si>
    <t>214</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</si>
  <si>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Шигонский (корректировка 2024 год)</t>
  </si>
  <si>
    <t>ip_511111111111111</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</si>
  <si>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</si>
  <si>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Администрация м.р. Елховский</t>
  </si>
  <si>
    <t>Об утверждении инвестиционной программы ООО "СамРЭК-Эксплуатация" по модернизации системы теплоснабжения на 2024-2028 годы муниципального района Елховский</t>
  </si>
  <si>
    <t>216</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</si>
  <si>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Елховский (корректировка 2024 год)</t>
  </si>
  <si>
    <t>ip_5111111111111111</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</si>
  <si>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</si>
  <si>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Администрация м.р. Ставропольский</t>
  </si>
  <si>
    <t>Об утверждении инвестиционной программы ООО "СамРЭК-Эксплуатация" по модернизации системы теплоснабжения на 2024-2028 годы муниципального района Ставропольский</t>
  </si>
  <si>
    <t>217</t>
  </si>
  <si>
    <t>Об утверждении корректировки инвестиционной программы ООО "СамРЭК-Эксплуатация" по модернизации системы теплоснабжения на 2024-2028 годы муниципального района Ставропольский (корректировка 2024 год)</t>
  </si>
  <si>
    <t>ip_51111111111111111</t>
  </si>
  <si>
    <t>Инвестиционная программа № 209 от 15.11.2024 ООО "СамРЭК-Эксплуатация" в сфере теплоснабжения по модернизации системы теплоснабжения, на территории городского округа Октябрьск на 2024-2028 годы</t>
  </si>
  <si>
    <t>Администрация г.о. Октябрьск</t>
  </si>
  <si>
    <t>15.11.2024</t>
  </si>
  <si>
    <t>Об утверждении инвестиционной программы ООО "СамРЭК-Эксплуатация" по модернизации системы теплоснабжения на 2024 - 2028 годы городского округа Октябрьск</t>
  </si>
  <si>
    <t>ip_5111111111111111111</t>
  </si>
  <si>
    <t>Инвестиционная программа № 211 от 15.11.2024 ООО "СамРЭК-Эксплуатация" в сфере теплоснабжения по модернизации системы теплоснабжения, на территории муниципального района Приволжский на 2024-2033 годы</t>
  </si>
  <si>
    <t>Администрация м.р. Приволжский</t>
  </si>
  <si>
    <t>31.12.2033</t>
  </si>
  <si>
    <t>Об утверждении инвестиционной программы ООО "СамРЭК-Эксплуатация" по модернизации системы теплоснабжения на 2024 - 2033 годы муниципального района Приволжский</t>
  </si>
  <si>
    <t>ip_5111111111111111111111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</si>
  <si>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</si>
  <si>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</si>
  <si>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</si>
  <si>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</si>
  <si>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</si>
  <si>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</si>
  <si>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</si>
  <si>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</si>
  <si>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</si>
  <si>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</si>
  <si>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</si>
  <si>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</si>
  <si>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</si>
  <si>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</si>
  <si>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</si>
  <si>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</si>
  <si>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</si>
  <si>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</si>
  <si>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</si>
  <si>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</si>
  <si>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</si>
  <si>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</si>
  <si>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</si>
  <si>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</si>
  <si>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</si>
  <si>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</si>
  <si>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</si>
  <si>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</si>
  <si>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</si>
  <si>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</si>
  <si>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</si>
  <si>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Модернизация тепловой сети от МКЖД по ул.Советской 17 до МКЖД по ул.Советской, 15, Д45мм</t>
  </si>
  <si>
    <t>Декабрь</t>
  </si>
  <si>
    <t>2024</t>
  </si>
  <si>
    <t>Котельная № 4-6 п.г.т. Безенчук</t>
  </si>
  <si>
    <t>ТИ с сетями</t>
  </si>
  <si>
    <t>городское поселение Безенчук</t>
  </si>
  <si>
    <t>36604151</t>
  </si>
  <si>
    <t>пгт Безенчук</t>
  </si>
  <si>
    <t>36604151051</t>
  </si>
  <si>
    <t>ул. Садовая</t>
  </si>
  <si>
    <t>1 а</t>
  </si>
  <si>
    <t xml:space="preserve">  Прибыль направляемая на инвестиции</t>
  </si>
  <si>
    <t xml:space="preserve">      Амортизационные отчисления с выделением результатов переоценки основных средств и нематериальных активов</t>
  </si>
  <si>
    <t xml:space="preserve">  Прочие</t>
  </si>
  <si>
    <t>Добавить источник финансирования</t>
  </si>
  <si>
    <t>Добавить объект инфраструктуры</t>
  </si>
  <si>
    <t>Модернизация котельных агрегатов с ГГУ (2 шт.) на котельной пгт.Осинки, ул. Комсомольская, д.1-А, Нежилое здание  (отопительная модульная котельная для теплоснабжения жилых домов)</t>
  </si>
  <si>
    <t>Котельная № 4-11 Осинки</t>
  </si>
  <si>
    <t>городское поселение Осинки</t>
  </si>
  <si>
    <t>36604157</t>
  </si>
  <si>
    <t>пгт Осинки</t>
  </si>
  <si>
    <t>36604157051</t>
  </si>
  <si>
    <t>ул. Комсомольская</t>
  </si>
  <si>
    <t>Модернизация котельных агрегатов с ГГУ (2 шт.) на котельной пгт.Осинки, ул. Комсомольская, д.2-А, Нежилое здание  (отопительная модульная котельная для теплоснабжения жилых домов) Лит. Г</t>
  </si>
  <si>
    <t>Котельная № 4-12 Осинки</t>
  </si>
  <si>
    <t xml:space="preserve">Модернизация котельных агрегатов с ГГУ (2 шт.) на котельной пгт.Осинки, ул. Комсомольская, д.3-А, Нежилое здание  (отопительная модульная котельная для теплоснабжения жилых домов) </t>
  </si>
  <si>
    <t>Котельная № 4-13 Осинки</t>
  </si>
  <si>
    <t xml:space="preserve">Модернизация котельных агрегатов с ГГУ (2 шт.) на котельной пгт.Осинки, ул. Комсомольская, д.4-А, Нежилое здание  (отопительная модульная котельная для теплоснабжения жилых домов) </t>
  </si>
  <si>
    <t>Котельная № 4-14 Осинки</t>
  </si>
  <si>
    <t>Модернизация котельных агрегатов с ГГУ (2 шт.) на котельной в с.Екатериновка, ул.Фабричная, д.25-А, Здание модуля № 2. Литера А</t>
  </si>
  <si>
    <t>Котельная № 4-19 с. Екатериновка</t>
  </si>
  <si>
    <t>сельское поселение Екатериновка</t>
  </si>
  <si>
    <t>36604412</t>
  </si>
  <si>
    <t>с Екатериновка</t>
  </si>
  <si>
    <t>36604412101</t>
  </si>
  <si>
    <t>ул. Фабричная</t>
  </si>
  <si>
    <t>25 а</t>
  </si>
  <si>
    <t>Модернизация котельных агрегатов  (4 шт.) на котельной с.Среднее Аверкино, ул.Школьная, 13а, Похвистневский район</t>
  </si>
  <si>
    <t>Котельная № 6-38 с. Среднее Аверкино</t>
  </si>
  <si>
    <t>сельское поселение Среднее Аверкино</t>
  </si>
  <si>
    <t>36634404</t>
  </si>
  <si>
    <t>с Среднее Аверкино</t>
  </si>
  <si>
    <t>36634404101</t>
  </si>
  <si>
    <t>ул. Школьная</t>
  </si>
  <si>
    <t>13 а</t>
  </si>
  <si>
    <t>Модернизация насоса котлового контура  (2 шт.) на котельной в с. Майское, ул. Специалистов, 12а, Пестравский район</t>
  </si>
  <si>
    <t>Котельная №3-4 с. Майское</t>
  </si>
  <si>
    <t>сельское поселение Майское</t>
  </si>
  <si>
    <t>36632412</t>
  </si>
  <si>
    <t>с Майское</t>
  </si>
  <si>
    <t>36632412101</t>
  </si>
  <si>
    <t>ул. Специалистов</t>
  </si>
  <si>
    <t>12а</t>
  </si>
  <si>
    <t>Модернизация котельных агрегатов с ГГУ (2 шт.) на котельной с.Дмитриевка, ул. Юбилейная, Нефтегорский район</t>
  </si>
  <si>
    <t>Котельная № 5-10 с. Дмитриевка</t>
  </si>
  <si>
    <t>сельское поселение Дмитриевка</t>
  </si>
  <si>
    <t>36630408</t>
  </si>
  <si>
    <t>с Дмитриевка</t>
  </si>
  <si>
    <t>36630408101</t>
  </si>
  <si>
    <t>ул. Шоссейная</t>
  </si>
  <si>
    <t>б/н</t>
  </si>
  <si>
    <t>Модернизация сети от УТ1 до здания ДС Ду 108 (Ø57) (подземная) (38 м)</t>
  </si>
  <si>
    <t>Модернизация котлоагрегатов (2 шт.) на котельной с. Малая Малышевка, ул. Молодежная, 26, Кинельский район</t>
  </si>
  <si>
    <t>Котельная № 5-9 с. Малая Малышевка</t>
  </si>
  <si>
    <t>сельское поселение Малая Малышевка</t>
  </si>
  <si>
    <t>36618436</t>
  </si>
  <si>
    <t>с Малая Малышевка</t>
  </si>
  <si>
    <t>36618436101</t>
  </si>
  <si>
    <t>ул. Молодежная</t>
  </si>
  <si>
    <t>26</t>
  </si>
  <si>
    <t>Модернизация автоматики котельной с выводом рабочих и аварийных параметров и передачи данных (Диспетчеризация с аналитическими функциями) на котельной с. Малая Малышевка, ул. Молодежная, 26, Кинельский район</t>
  </si>
  <si>
    <t>Модернизация котельных агрегатов (2 шт.) с. Лопатино, ул. Школьная, Волжский район</t>
  </si>
  <si>
    <t>Котельная № 5-3 с. Лопатино</t>
  </si>
  <si>
    <t>сельское поселение Лопатино</t>
  </si>
  <si>
    <t>36614421</t>
  </si>
  <si>
    <t>с Лопатино</t>
  </si>
  <si>
    <t>36614421101</t>
  </si>
  <si>
    <t>Модернизация тепловой сети от ТК-1 до Школы (56 м. трассы) в п. Полянский, ул. Центральная, 34б, Большечерниговский район</t>
  </si>
  <si>
    <t>Котельная № 3-3 п. Полянский</t>
  </si>
  <si>
    <t>сельское поселение Большая Черниговка</t>
  </si>
  <si>
    <t>36610412</t>
  </si>
  <si>
    <t>с Большая Черниговка</t>
  </si>
  <si>
    <t>36610412101</t>
  </si>
  <si>
    <t>ул. Центральная</t>
  </si>
  <si>
    <t>34б</t>
  </si>
  <si>
    <t>Модернизация котлового контура и бака запаса воды умягченной водой (1 комплекс) на котельной с. Б. Черниговка, Микрорайон, 24б, Большечерниговский район</t>
  </si>
  <si>
    <t>Котельная № 3-1 п. Б. Черниговка</t>
  </si>
  <si>
    <t>мкр. Микрорайон</t>
  </si>
  <si>
    <t>24б</t>
  </si>
  <si>
    <t>Модернизация автоматики котельной на котельной с. Б. Черниговка, Микрорайон, 24б, Большечерниговский район</t>
  </si>
  <si>
    <t>Модернизация котельных агрегатов (2 шт.) на котельной п. Полянский, ул. Центральная, 34б, Большечерниговский район</t>
  </si>
  <si>
    <t>Модернизация автоматики котельной  на котельной п. Полянский, ул. Центральная, 34б, Большечерниговский район</t>
  </si>
  <si>
    <t>Модернизация автоматики котельной на котельной п. Глушицкий, Шоссейная, 11, Большечерниговский район</t>
  </si>
  <si>
    <t>Котельная № 3-2 п. Глушицкий</t>
  </si>
  <si>
    <t>Большеглушицкий муниципальный район</t>
  </si>
  <si>
    <t>сельское поселение Большая Глушица</t>
  </si>
  <si>
    <t>36608408</t>
  </si>
  <si>
    <t>с Большая Глушица</t>
  </si>
  <si>
    <t>36608408101</t>
  </si>
  <si>
    <t>Модернизация автоматики котельной с выводом рабочих и аварийных параметров и передачи данных (Диспетчеризация с аналитическими функциями) на котельной в с.п. Исаклы, Котельная № 1, Исаклинский район</t>
  </si>
  <si>
    <t>Котельная №1-1 с. Исаклы</t>
  </si>
  <si>
    <t>сельское поселение Исаклы</t>
  </si>
  <si>
    <t>36616408</t>
  </si>
  <si>
    <t>с Исаклы</t>
  </si>
  <si>
    <t>36616408101</t>
  </si>
  <si>
    <t>с. Исаклы</t>
  </si>
  <si>
    <t>Модернизация насосного оборудования (Сетевые, 2 шт.)  на котельной с. Владимировка, ул.Солнечная, Хворостянский район</t>
  </si>
  <si>
    <t>Котельная № 4-34 с. Владимировка</t>
  </si>
  <si>
    <t>сельское поселение Владимировка</t>
  </si>
  <si>
    <t>36644403</t>
  </si>
  <si>
    <t>с Владимировка</t>
  </si>
  <si>
    <t>36644403101</t>
  </si>
  <si>
    <t>ул. Солнечная</t>
  </si>
  <si>
    <t>Модернизация группы сетевых насосов с подбором и заменой 3 насосов (Wilo IL50/270-4/4) на группу из 2 насосов с модернизацией пуско-регулирующей аппаратуры (2 шт.) на котельной г.о. Чапаевск, ул. С. Лазо, Сам.обл.</t>
  </si>
  <si>
    <t>Котельная № 8-1 г. Чапаевск</t>
  </si>
  <si>
    <t>г Чапаевск</t>
  </si>
  <si>
    <t>36750000001</t>
  </si>
  <si>
    <t>ул. С. Лазо</t>
  </si>
  <si>
    <t xml:space="preserve">Модернизация автоматики котельной на котельной с.Маза, ул.Калинина, 46а, Шигонский м.р. </t>
  </si>
  <si>
    <t>Котельная № 11-11 с. Маза</t>
  </si>
  <si>
    <t>сельское поселение Новодевичье</t>
  </si>
  <si>
    <t>36650412</t>
  </si>
  <si>
    <t>с Маза</t>
  </si>
  <si>
    <t>36650412106</t>
  </si>
  <si>
    <t>с. Маза</t>
  </si>
  <si>
    <t xml:space="preserve">Модернизация насосов котлового контура (2 шт.) на котельной Елховский район, с. Никитинка </t>
  </si>
  <si>
    <t>Котельная № 1-21 с. Никитинка (СДК)</t>
  </si>
  <si>
    <t>сельское поселение Никитинка</t>
  </si>
  <si>
    <t>36615450</t>
  </si>
  <si>
    <t>с Никитинка</t>
  </si>
  <si>
    <t>36615450101</t>
  </si>
  <si>
    <t>ул. Никитинская</t>
  </si>
  <si>
    <t>Модернизация насосного оборудования (Сетевые, 1 шт.) на котельной с.В.Белозерки, ул.Мира, Ставропольский район</t>
  </si>
  <si>
    <t>Котельная № 2-1 с. В.Белозерки</t>
  </si>
  <si>
    <t>сельское поселение Верхние Белозерки</t>
  </si>
  <si>
    <t>36640414</t>
  </si>
  <si>
    <t>с Верхние Белозерки</t>
  </si>
  <si>
    <t>36640414101</t>
  </si>
  <si>
    <t>ул. Мира</t>
  </si>
  <si>
    <t>Модернизация тепловой сети от ТК3 по ул. Волго-Донская до ул. Мичурина, 9</t>
  </si>
  <si>
    <t>Котельная № 11-4 г.о. Октябрьск</t>
  </si>
  <si>
    <t>г Октябрьск</t>
  </si>
  <si>
    <t>36718000001</t>
  </si>
  <si>
    <t>ул. Волго-Донская</t>
  </si>
  <si>
    <t>Самарская область, Приволжский р-н, 
с. Приволжье, ул. Шоссейная, 
пер. Северный, ул. Парковая, 
ул. Больничная, 
ул. Космонавтов, ул. 50 лет Октября, пер. Солнечный, 
ул. Аэродромная, ул. Авроры (ориентир по направлению №1 от котельной 7-1 до 
ул. Авроры)</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</si>
  <si>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</si>
  <si>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</si>
  <si>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</si>
  <si>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</si>
  <si>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</si>
  <si>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</si>
  <si>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</si>
  <si>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</si>
  <si>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</si>
  <si>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</si>
  <si>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</si>
  <si>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</si>
  <si>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</si>
  <si>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</si>
  <si>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</si>
  <si>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</si>
  <si>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</si>
  <si>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</si>
  <si>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</si>
  <si>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</si>
  <si>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</si>
  <si>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</si>
  <si>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</si>
  <si>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</si>
  <si>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</si>
  <si>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</si>
  <si>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</si>
  <si>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</si>
  <si>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</si>
  <si>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</si>
  <si>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</si>
  <si>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</si>
  <si>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</si>
  <si>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</si>
  <si>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</si>
  <si>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</si>
  <si>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</si>
  <si>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</si>
  <si>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</si>
  <si>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</si>
  <si>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</si>
  <si>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</si>
  <si>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</si>
  <si>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</si>
  <si>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</si>
  <si>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</si>
  <si>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</si>
  <si>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</si>
  <si>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</si>
  <si>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</si>
  <si>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</si>
  <si>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</si>
  <si>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</si>
  <si>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</si>
  <si>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</si>
  <si>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</si>
  <si>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</si>
  <si>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</si>
  <si>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</si>
  <si>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</si>
  <si>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</si>
  <si>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</si>
  <si>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</si>
  <si>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</si>
  <si>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</si>
  <si>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</si>
  <si>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</si>
  <si>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</si>
  <si>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</si>
  <si>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</si>
  <si>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</si>
  <si>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</si>
  <si>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</si>
  <si>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</si>
  <si>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</si>
  <si>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</si>
  <si>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</si>
  <si>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</si>
  <si>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</si>
  <si>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</si>
  <si>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</si>
  <si>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</si>
  <si>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</si>
  <si>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</si>
  <si>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</si>
  <si>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</si>
  <si>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</si>
  <si>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</si>
  <si>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</si>
  <si>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</si>
  <si>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</si>
  <si>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</si>
  <si>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</si>
  <si>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</si>
  <si>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</si>
  <si>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</si>
  <si>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</si>
  <si>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</si>
  <si>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</si>
  <si>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</si>
  <si>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Приказ</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</si>
  <si>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</si>
  <si>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</si>
  <si>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</si>
  <si>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</si>
  <si>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</si>
  <si>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</si>
  <si>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</si>
  <si>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</si>
  <si>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</si>
  <si>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</si>
  <si>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</si>
  <si>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</si>
  <si>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</si>
  <si>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</si>
  <si>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</si>
  <si>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</si>
  <si>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</si>
  <si>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</si>
  <si>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</si>
  <si>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</si>
  <si>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</si>
  <si>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</si>
  <si>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</si>
  <si>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</si>
  <si>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</si>
  <si>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</si>
  <si>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</si>
  <si>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</si>
  <si>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</si>
  <si>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</si>
  <si>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</si>
  <si>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</si>
  <si>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</si>
  <si>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</si>
  <si>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</si>
  <si>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</si>
  <si>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</si>
  <si>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</si>
  <si>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</si>
  <si>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</si>
  <si>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</si>
  <si>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</si>
  <si>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</si>
  <si>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</si>
  <si>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</si>
  <si>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</si>
  <si>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</si>
  <si>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</si>
  <si>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</si>
  <si>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</si>
  <si>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</si>
  <si>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</si>
  <si>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</si>
  <si>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</si>
  <si>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</si>
  <si>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</si>
  <si>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</si>
  <si>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</si>
  <si>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</si>
  <si>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</si>
  <si>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</si>
  <si>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</si>
  <si>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</si>
  <si>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</si>
  <si>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</si>
  <si>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</si>
  <si>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</si>
  <si>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</si>
  <si>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</si>
  <si>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</si>
  <si>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</si>
  <si>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</si>
  <si>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</si>
  <si>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</si>
  <si>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</si>
  <si>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</si>
  <si>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</si>
  <si>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</si>
  <si>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</si>
  <si>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</si>
  <si>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</si>
  <si>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</si>
  <si>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</si>
  <si>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</si>
  <si>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</si>
  <si>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</si>
  <si>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</si>
  <si>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</si>
  <si>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</si>
  <si>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</si>
  <si>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</si>
  <si>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</si>
  <si>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</si>
  <si>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</si>
  <si>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</si>
  <si>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</si>
  <si>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</si>
  <si>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</si>
  <si>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</si>
  <si>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</si>
  <si>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</si>
  <si>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</si>
  <si>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</si>
  <si>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</si>
  <si>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</si>
  <si>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</si>
  <si>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</si>
  <si>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</si>
  <si>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</si>
  <si>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</si>
  <si>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</si>
  <si>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</si>
  <si>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</si>
  <si>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</si>
  <si>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</si>
  <si>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</si>
  <si>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</si>
  <si>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</si>
  <si>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</si>
  <si>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</si>
  <si>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</si>
  <si>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</si>
  <si>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</si>
  <si>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</si>
  <si>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</si>
  <si>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</si>
  <si>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</si>
  <si>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</si>
  <si>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</si>
  <si>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</si>
  <si>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</si>
  <si>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</si>
  <si>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</si>
  <si>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</si>
  <si>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</si>
  <si>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</si>
  <si>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</si>
  <si>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</si>
  <si>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</si>
  <si>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</si>
  <si>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</si>
  <si>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</si>
  <si>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</si>
  <si>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</si>
  <si>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</si>
  <si>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</si>
  <si>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</si>
  <si>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</si>
  <si>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</si>
  <si>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</si>
  <si>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</si>
  <si>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</si>
  <si>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</si>
  <si>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</si>
  <si>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</si>
  <si>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</si>
  <si>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</si>
  <si>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</si>
  <si>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</si>
  <si>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</si>
  <si>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</si>
  <si>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</si>
  <si>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</si>
  <si>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</si>
  <si>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</si>
  <si>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</si>
  <si>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</si>
  <si>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</si>
  <si>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</si>
  <si>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</si>
  <si>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</si>
  <si>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</si>
  <si>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</si>
  <si>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</si>
  <si>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</si>
  <si>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</si>
  <si>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</si>
  <si>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</si>
  <si>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</si>
  <si>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</si>
  <si>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</si>
  <si>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</si>
  <si>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</si>
  <si>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</si>
  <si>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</si>
  <si>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</si>
  <si>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</si>
  <si>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</si>
  <si>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</si>
  <si>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</si>
  <si>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</si>
  <si>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</si>
  <si>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</si>
  <si>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</si>
  <si>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</si>
  <si>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</si>
  <si>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</si>
  <si>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</si>
  <si>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</si>
  <si>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</si>
  <si>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</si>
  <si>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</si>
  <si>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</si>
  <si>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</si>
  <si>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</si>
  <si>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</si>
  <si>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</si>
  <si>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</si>
  <si>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</si>
  <si>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</si>
  <si>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</si>
  <si>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</si>
  <si>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</si>
  <si>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</si>
  <si>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</si>
  <si>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</si>
  <si>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</si>
  <si>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</si>
  <si>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</si>
  <si>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</si>
  <si>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</si>
  <si>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</si>
  <si>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</si>
  <si>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</si>
  <si>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</si>
  <si>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</si>
  <si>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</si>
  <si>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</si>
  <si>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</si>
  <si>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</si>
  <si>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</si>
  <si>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</si>
  <si>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</si>
  <si>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</si>
  <si>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</si>
  <si>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</si>
  <si>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</si>
  <si>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</si>
  <si>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</si>
  <si>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</si>
  <si>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</si>
  <si>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</si>
  <si>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</si>
  <si>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</si>
  <si>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</si>
  <si>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</si>
  <si>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</si>
  <si>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</si>
  <si>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</si>
  <si>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</si>
  <si>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</si>
  <si>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</si>
  <si>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</si>
  <si>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</si>
  <si>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</si>
  <si>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</si>
  <si>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</si>
  <si>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</si>
  <si>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</si>
  <si>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</si>
  <si>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</si>
  <si>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</si>
  <si>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</si>
  <si>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</si>
  <si>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</si>
  <si>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</si>
  <si>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</si>
  <si>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</si>
  <si>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</si>
  <si>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</si>
  <si>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</si>
  <si>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</si>
  <si>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</si>
  <si>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</si>
  <si>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</si>
  <si>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</si>
  <si>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</si>
  <si>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</si>
  <si>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</si>
  <si>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</si>
  <si>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</si>
  <si>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</si>
  <si>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</si>
  <si>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</si>
  <si>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</si>
  <si>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</si>
  <si>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</si>
  <si>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</si>
  <si>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</si>
  <si>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</si>
  <si>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</si>
  <si>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</si>
  <si>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</si>
  <si>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</si>
  <si>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</si>
  <si>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</si>
  <si>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</si>
  <si>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</si>
  <si>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</si>
  <si>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</si>
  <si>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</si>
  <si>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</si>
  <si>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</si>
  <si>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</si>
  <si>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</si>
  <si>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</si>
  <si>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</si>
  <si>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</si>
  <si>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</si>
  <si>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</si>
  <si>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</si>
  <si>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</si>
  <si>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</si>
  <si>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</si>
  <si>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</si>
  <si>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</si>
  <si>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</si>
  <si>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</si>
  <si>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</si>
  <si>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</si>
  <si>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</si>
  <si>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</si>
  <si>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</si>
  <si>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</si>
  <si>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</si>
  <si>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</si>
  <si>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</si>
  <si>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</si>
  <si>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</si>
  <si>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</si>
  <si>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</si>
  <si>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</si>
  <si>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</si>
  <si>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</si>
  <si>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</si>
  <si>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</si>
  <si>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</si>
  <si>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</si>
  <si>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</si>
  <si>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</si>
  <si>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</si>
  <si>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</si>
  <si>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</si>
  <si>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</si>
  <si>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</si>
  <si>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</si>
  <si>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</si>
  <si>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</si>
  <si>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</si>
  <si>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</si>
  <si>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</si>
  <si>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</si>
  <si>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</si>
  <si>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</si>
  <si>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</si>
  <si>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</si>
  <si>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</si>
  <si>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</si>
  <si>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</si>
  <si>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</si>
  <si>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</si>
  <si>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</si>
  <si>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</si>
  <si>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</si>
  <si>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</si>
  <si>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</si>
  <si>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</si>
  <si>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</si>
  <si>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</si>
  <si>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</si>
  <si>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</si>
  <si>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</si>
  <si>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</si>
  <si>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</si>
  <si>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</si>
  <si>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</si>
  <si>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</si>
  <si>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</si>
  <si>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</si>
  <si>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</si>
  <si>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</si>
  <si>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</si>
  <si>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</si>
  <si>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</si>
  <si>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</si>
  <si>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</si>
  <si>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</si>
  <si>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</si>
  <si>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</si>
  <si>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</si>
  <si>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</si>
  <si>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</si>
  <si>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</si>
  <si>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</si>
  <si>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</si>
  <si>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</si>
  <si>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</si>
  <si>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</si>
  <si>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</si>
  <si>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</si>
  <si>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</si>
  <si>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</si>
  <si>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</si>
  <si>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</si>
  <si>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</si>
  <si>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</si>
  <si>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</si>
  <si>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</si>
  <si>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</si>
  <si>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</si>
  <si>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</si>
  <si>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</si>
  <si>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</si>
  <si>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</si>
  <si>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</si>
  <si>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</si>
  <si>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</si>
  <si>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</si>
  <si>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</si>
  <si>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</si>
  <si>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</si>
  <si>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</si>
  <si>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</si>
  <si>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</si>
  <si>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</si>
  <si>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</si>
  <si>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</si>
  <si>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</si>
  <si>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</si>
  <si>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</si>
  <si>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</si>
  <si>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</si>
  <si>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</si>
  <si>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</si>
  <si>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</si>
  <si>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</si>
  <si>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</si>
  <si>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</si>
  <si>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</si>
  <si>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</si>
  <si>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</si>
  <si>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</si>
  <si>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</si>
  <si>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</si>
  <si>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</si>
  <si>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</si>
  <si>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</si>
  <si>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</si>
  <si>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</si>
  <si>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</si>
  <si>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</si>
  <si>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</si>
  <si>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</si>
  <si>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</si>
  <si>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</si>
  <si>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</si>
  <si>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</si>
  <si>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</si>
  <si>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</si>
  <si>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</si>
  <si>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</si>
  <si>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</si>
  <si>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</si>
  <si>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</si>
  <si>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</si>
  <si>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</si>
  <si>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</si>
  <si>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</si>
  <si>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</si>
  <si>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</si>
  <si>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</si>
  <si>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</si>
  <si>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</si>
  <si>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</si>
  <si>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</si>
  <si>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</si>
  <si>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</si>
  <si>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</si>
  <si>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</si>
  <si>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</si>
  <si>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</si>
  <si>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</si>
  <si>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</si>
  <si>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</si>
  <si>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</si>
  <si>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</si>
  <si>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</si>
  <si>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</si>
  <si>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</si>
  <si>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</si>
  <si>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</si>
  <si>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</si>
  <si>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</si>
  <si>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</si>
  <si>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</si>
  <si>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</si>
  <si>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</si>
  <si>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</si>
  <si>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</si>
  <si>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</si>
  <si>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</si>
  <si>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</si>
  <si>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</si>
  <si>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</si>
  <si>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</si>
  <si>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</si>
  <si>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</si>
  <si>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</si>
  <si>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</si>
  <si>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</si>
  <si>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</si>
  <si>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</si>
  <si>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</si>
  <si>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</si>
  <si>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</si>
  <si>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</si>
  <si>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</si>
  <si>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</si>
  <si>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</si>
  <si>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</si>
  <si>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</si>
  <si>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</si>
  <si>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</si>
  <si>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</si>
  <si>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</si>
  <si>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</si>
  <si>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</si>
  <si>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</si>
  <si>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</si>
  <si>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</si>
  <si>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</si>
  <si>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</si>
  <si>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</si>
  <si>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</si>
  <si>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</si>
  <si>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</si>
  <si>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</si>
  <si>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</si>
  <si>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</si>
  <si>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</si>
  <si>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</si>
  <si>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</si>
  <si>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</si>
  <si>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</si>
  <si>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</si>
  <si>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</si>
  <si>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</si>
  <si>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</si>
  <si>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</si>
  <si>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</si>
  <si>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</si>
  <si>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</si>
  <si>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</si>
  <si>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</si>
  <si>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</si>
  <si>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5111111111111111111111</t>
  </si>
  <si>
    <t>начинать только с 2, остальное по умолчанию</t>
  </si>
  <si>
    <t>54</t>
  </si>
  <si>
    <t>Республика Калмыкия</t>
  </si>
  <si>
    <t>DIFFERENTIATION_ID</t>
  </si>
  <si>
    <t>511111111111111111111111</t>
  </si>
  <si>
    <t>55</t>
  </si>
  <si>
    <t>Республика Карелия</t>
  </si>
  <si>
    <t>IP_ID</t>
  </si>
  <si>
    <t>51111111111111111111111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</si>
  <si>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</si>
  <si>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</si>
  <si>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</si>
  <si>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</si>
  <si>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</si>
  <si>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</si>
  <si>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</si>
  <si>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</si>
  <si>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</si>
  <si>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</si>
  <si>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</si>
  <si>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</si>
  <si>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</si>
  <si>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</si>
  <si>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</si>
  <si>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</si>
  <si>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</si>
  <si>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</si>
  <si>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</si>
  <si>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</si>
  <si>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</si>
  <si>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</si>
  <si>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</si>
  <si>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</si>
  <si>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</si>
  <si>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</si>
  <si>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</si>
  <si>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</si>
  <si>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</si>
  <si>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</si>
  <si>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</si>
  <si>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</si>
  <si>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</si>
  <si>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</si>
  <si>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</si>
  <si>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</si>
  <si>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</si>
  <si>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</si>
  <si>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</si>
  <si>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</si>
  <si>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</si>
  <si>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</si>
  <si>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</si>
  <si>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</si>
  <si>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</si>
  <si>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</si>
  <si>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</si>
  <si>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</si>
  <si>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</si>
  <si>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</si>
  <si>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</si>
  <si>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</si>
  <si>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</si>
  <si>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</si>
  <si>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</si>
  <si>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</si>
  <si>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</si>
  <si>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</si>
  <si>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</si>
  <si>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</si>
  <si>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</si>
  <si>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</si>
  <si>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</si>
  <si>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</si>
  <si>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</si>
  <si>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</si>
  <si>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</si>
  <si>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</si>
  <si>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</si>
  <si>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</si>
  <si>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</si>
  <si>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</si>
  <si>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</si>
  <si>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</si>
  <si>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</si>
  <si>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</si>
  <si>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</si>
  <si>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</si>
  <si>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</si>
  <si>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</si>
  <si>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</si>
  <si>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</si>
  <si>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</si>
  <si>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</si>
  <si>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</si>
  <si>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</si>
  <si>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</si>
  <si>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</si>
  <si>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</si>
  <si>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</si>
  <si>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</si>
  <si>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</si>
  <si>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</si>
  <si>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</si>
  <si>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</si>
  <si>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</si>
  <si>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</si>
  <si>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</si>
  <si>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</si>
  <si>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</si>
  <si>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</si>
  <si>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</si>
  <si>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</si>
  <si>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</si>
  <si>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</si>
  <si>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</si>
  <si>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</si>
  <si>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</si>
  <si>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</si>
  <si>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</si>
  <si>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</si>
  <si>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</si>
  <si>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</si>
  <si>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</si>
  <si>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</si>
  <si>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</si>
  <si>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</si>
  <si>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</si>
  <si>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</si>
  <si>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</si>
  <si>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</si>
  <si>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</si>
  <si>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</si>
  <si>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</si>
  <si>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</si>
  <si>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</si>
  <si>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</si>
  <si>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</si>
  <si>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</si>
  <si>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</si>
  <si>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</si>
  <si>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</si>
  <si>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</si>
  <si>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</si>
  <si>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</si>
  <si>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</si>
  <si>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</si>
  <si>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</si>
  <si>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</si>
  <si>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</si>
  <si>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</si>
  <si>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</si>
  <si>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</si>
  <si>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</si>
  <si>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</si>
  <si>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</si>
  <si>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</si>
  <si>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</si>
  <si>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</si>
  <si>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</si>
  <si>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</si>
  <si>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</si>
  <si>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</si>
  <si>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</si>
  <si>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</si>
  <si>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</si>
  <si>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</si>
  <si>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</si>
  <si>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</si>
  <si>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</si>
  <si>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</si>
  <si>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</si>
  <si>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</si>
  <si>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</si>
  <si>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</si>
  <si>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</si>
  <si>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</si>
  <si>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</si>
  <si>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</si>
  <si>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</si>
  <si>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</si>
  <si>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</si>
  <si>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</si>
  <si>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</si>
  <si>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</si>
  <si>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</si>
  <si>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</si>
  <si>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</si>
  <si>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</si>
  <si>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</si>
  <si>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</si>
  <si>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</si>
  <si>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</si>
  <si>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</si>
  <si>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</si>
  <si>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</si>
  <si>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</si>
  <si>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</si>
  <si>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</si>
  <si>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</si>
  <si>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</si>
  <si>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</si>
  <si>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</si>
  <si>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</si>
  <si>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</si>
  <si>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</si>
  <si>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</si>
  <si>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</si>
  <si>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</si>
  <si>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</si>
  <si>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</si>
  <si>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</si>
  <si>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</si>
  <si>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</si>
  <si>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</si>
  <si>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</si>
  <si>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</si>
  <si>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</si>
  <si>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</si>
  <si>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</si>
  <si>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</si>
  <si>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</si>
  <si>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</si>
  <si>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</si>
  <si>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</si>
  <si>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</si>
  <si>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</si>
  <si>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</si>
  <si>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</si>
  <si>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</si>
  <si>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</si>
  <si>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</si>
  <si>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</si>
  <si>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</si>
  <si>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</si>
  <si>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</si>
  <si>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</si>
  <si>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</si>
  <si>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</si>
  <si>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</si>
  <si>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</si>
  <si>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</si>
  <si>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</si>
  <si>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</si>
  <si>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</si>
  <si>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</si>
  <si>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</si>
  <si>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</si>
  <si>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</si>
  <si>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</si>
  <si>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</si>
  <si>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</si>
  <si>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</si>
  <si>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</si>
  <si>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</si>
  <si>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</si>
  <si>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</si>
  <si>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</si>
  <si>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</si>
  <si>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</si>
  <si>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</si>
  <si>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</si>
  <si>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</si>
  <si>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</si>
  <si>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</si>
  <si>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</si>
  <si>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</si>
  <si>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</si>
  <si>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</si>
  <si>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</si>
  <si>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</si>
  <si>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</si>
  <si>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</si>
  <si>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</si>
  <si>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</si>
  <si>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</si>
  <si>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</si>
  <si>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</si>
  <si>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</si>
  <si>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</si>
  <si>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</si>
  <si>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</si>
  <si>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</si>
  <si>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</si>
  <si>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</si>
  <si>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</si>
  <si>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</si>
  <si>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</si>
  <si>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</si>
  <si>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</si>
  <si>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</si>
  <si>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</si>
  <si>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</si>
  <si>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</si>
  <si>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</si>
  <si>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</si>
  <si>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</si>
  <si>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</si>
  <si>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</si>
  <si>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</si>
  <si>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</si>
  <si>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</si>
  <si>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</si>
  <si>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</si>
  <si>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</si>
  <si>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</si>
  <si>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</si>
  <si>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</si>
  <si>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</si>
  <si>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</si>
  <si>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</si>
  <si>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</si>
  <si>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</si>
  <si>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</si>
  <si>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</si>
  <si>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</si>
  <si>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</si>
  <si>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</si>
  <si>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</si>
  <si>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</si>
  <si>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</si>
  <si>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</si>
  <si>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</si>
  <si>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</si>
  <si>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</si>
  <si>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</si>
  <si>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</si>
  <si>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</si>
  <si>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</si>
  <si>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</si>
  <si>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</si>
  <si>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</si>
  <si>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</si>
  <si>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</si>
  <si>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</si>
  <si>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</si>
  <si>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</si>
  <si>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</si>
  <si>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</si>
  <si>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</si>
  <si>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</si>
  <si>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</si>
  <si>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</si>
  <si>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</si>
  <si>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</si>
  <si>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</si>
  <si>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</si>
  <si>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</si>
  <si>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</si>
  <si>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</si>
  <si>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</si>
  <si>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</si>
  <si>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</si>
  <si>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</si>
  <si>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</si>
  <si>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</si>
  <si>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</si>
  <si>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</si>
  <si>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</si>
  <si>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</si>
  <si>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</si>
  <si>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</si>
  <si>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</si>
  <si>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</si>
  <si>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</si>
  <si>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</si>
  <si>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</si>
  <si>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</si>
  <si>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</si>
  <si>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</si>
  <si>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</si>
  <si>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</si>
  <si>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</si>
  <si>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</si>
  <si>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</si>
  <si>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</si>
  <si>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</si>
  <si>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</si>
  <si>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</si>
  <si>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</si>
  <si>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</si>
  <si>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</si>
  <si>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</si>
  <si>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</si>
  <si>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</si>
  <si>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</si>
  <si>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</si>
  <si>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</si>
  <si>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</si>
  <si>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</si>
  <si>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</si>
  <si>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</si>
  <si>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</si>
  <si>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</si>
  <si>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</si>
  <si>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</si>
  <si>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</si>
  <si>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</si>
  <si>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</si>
  <si>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</si>
  <si>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</si>
  <si>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</si>
  <si>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</si>
  <si>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</si>
  <si>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</si>
  <si>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</si>
  <si>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</si>
  <si>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</si>
  <si>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</si>
  <si>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</si>
  <si>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</si>
  <si>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</si>
  <si>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</si>
  <si>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</si>
  <si>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</si>
  <si>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</si>
  <si>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</si>
  <si>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</si>
  <si>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</si>
  <si>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</si>
  <si>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</si>
  <si>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</si>
  <si>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</si>
  <si>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</si>
  <si>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</si>
  <si>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</si>
  <si>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</si>
  <si>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</si>
  <si>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</si>
  <si>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</si>
  <si>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</si>
  <si>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</si>
  <si>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</si>
  <si>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</si>
  <si>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</si>
  <si>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</si>
  <si>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</si>
  <si>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</si>
  <si>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</si>
  <si>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</si>
  <si>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</si>
  <si>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</si>
  <si>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</si>
  <si>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</si>
  <si>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</si>
  <si>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</si>
  <si>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</si>
  <si>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</si>
  <si>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</si>
  <si>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</si>
  <si>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</si>
  <si>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</si>
  <si>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</si>
  <si>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</si>
  <si>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</si>
  <si>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</si>
  <si>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</si>
  <si>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</si>
  <si>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</si>
  <si>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</si>
  <si>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</si>
  <si>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</si>
  <si>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</si>
  <si>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</si>
  <si>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</si>
  <si>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</si>
  <si>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</si>
  <si>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</si>
  <si>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</si>
  <si>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</si>
  <si>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</si>
  <si>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</si>
  <si>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</si>
  <si>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</si>
  <si>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</si>
  <si>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</si>
  <si>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</si>
  <si>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</si>
  <si>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</si>
  <si>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</si>
  <si>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</si>
  <si>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</si>
  <si>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</si>
  <si>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</si>
  <si>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</si>
  <si>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</si>
  <si>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</si>
  <si>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</si>
  <si>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</si>
  <si>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</si>
  <si>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</si>
  <si>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</si>
  <si>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</si>
  <si>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</si>
  <si>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</si>
  <si>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</si>
  <si>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</si>
  <si>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</si>
  <si>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</si>
  <si>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</si>
  <si>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</si>
  <si>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</si>
  <si>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</si>
  <si>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</si>
  <si>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</si>
  <si>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</si>
  <si>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</si>
  <si>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</si>
  <si>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</si>
  <si>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</si>
  <si>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</si>
  <si>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</si>
  <si>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</si>
  <si>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</si>
  <si>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</si>
  <si>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</si>
  <si>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</si>
  <si>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</si>
  <si>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</si>
  <si>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</si>
  <si>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</si>
  <si>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</si>
  <si>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</si>
  <si>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</si>
  <si>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</si>
  <si>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</si>
  <si>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</si>
  <si>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</si>
  <si>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</si>
  <si>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</si>
  <si>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</si>
  <si>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</si>
  <si>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</si>
  <si>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</si>
  <si>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</si>
  <si>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</si>
  <si>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</si>
  <si>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</si>
  <si>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</si>
  <si>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</si>
  <si>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</si>
  <si>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</si>
  <si>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</si>
  <si>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</si>
  <si>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</si>
  <si>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</si>
  <si>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</si>
  <si>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</si>
  <si>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</si>
  <si>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</si>
  <si>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</si>
  <si>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</si>
  <si>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</si>
  <si>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</si>
  <si>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</si>
  <si>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</si>
  <si>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</si>
  <si>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</si>
  <si>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</si>
  <si>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</si>
  <si>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</si>
  <si>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</si>
  <si>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</si>
  <si>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</si>
  <si>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</si>
  <si>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</si>
  <si>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</si>
  <si>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</si>
  <si>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</si>
  <si>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</si>
  <si>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</si>
  <si>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</si>
  <si>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</si>
  <si>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</si>
  <si>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</si>
  <si>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</si>
  <si>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</si>
  <si>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</si>
  <si>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</si>
  <si>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</si>
  <si>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</si>
  <si>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</si>
  <si>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</si>
  <si>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</si>
  <si>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</si>
  <si>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</si>
  <si>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</si>
  <si>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</si>
  <si>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</si>
  <si>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</si>
  <si>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</si>
  <si>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</si>
  <si>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</si>
  <si>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</si>
  <si>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</si>
  <si>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</si>
  <si>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</si>
  <si>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</si>
  <si>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</si>
  <si>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</si>
  <si>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</si>
  <si>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</si>
  <si>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</si>
  <si>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</si>
  <si>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</si>
  <si>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</si>
  <si>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</si>
  <si>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</si>
  <si>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</si>
  <si>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</si>
  <si>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</si>
  <si>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</si>
  <si>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</si>
  <si>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</si>
  <si>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</si>
  <si>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</si>
  <si>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</si>
  <si>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</si>
  <si>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</si>
  <si>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</si>
  <si>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</si>
  <si>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</si>
  <si>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</si>
  <si>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</si>
  <si>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</si>
  <si>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</si>
  <si>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</si>
  <si>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</si>
  <si>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</si>
  <si>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</si>
  <si>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</si>
  <si>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</si>
  <si>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</si>
  <si>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</si>
  <si>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</si>
  <si>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</si>
  <si>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</si>
  <si>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</si>
  <si>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</si>
  <si>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</si>
  <si>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</si>
  <si>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</si>
  <si>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</si>
  <si>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</si>
  <si>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</si>
  <si>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</si>
  <si>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</si>
  <si>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07-05-2025 00:00:00</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</si>
  <si>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</si>
  <si>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</si>
  <si>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</si>
  <si>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</si>
  <si>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</si>
  <si>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</si>
  <si>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</si>
  <si>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</si>
  <si>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</si>
  <si>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</si>
  <si>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</si>
  <si>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</si>
  <si>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</si>
  <si>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</si>
  <si>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</si>
  <si>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</si>
  <si>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</si>
  <si>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</si>
  <si>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</si>
  <si>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</si>
  <si>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</si>
  <si>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</si>
  <si>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</si>
  <si>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</si>
  <si>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</si>
  <si>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</si>
  <si>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</si>
  <si>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</si>
  <si>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</si>
  <si>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</si>
  <si>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</si>
  <si>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</si>
  <si>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</si>
  <si>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</si>
  <si>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</si>
  <si>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</si>
  <si>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</si>
  <si>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</si>
  <si>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</si>
  <si>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</si>
  <si>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</si>
  <si>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</si>
  <si>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</si>
  <si>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</si>
  <si>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</si>
  <si>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</si>
  <si>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</si>
  <si>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</si>
  <si>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</si>
  <si>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</si>
  <si>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</si>
  <si>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</si>
  <si>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</si>
  <si>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</si>
  <si>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</si>
  <si>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</si>
  <si>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</si>
  <si>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</si>
  <si>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</si>
  <si>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</si>
  <si>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</si>
  <si>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</si>
  <si>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</si>
  <si>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</si>
  <si>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</si>
  <si>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</si>
  <si>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</si>
  <si>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</si>
  <si>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</si>
  <si>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</si>
  <si>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</si>
  <si>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КОМИТЕТ ЦЕНОВОГО И ТАРИФНОГО РЕГУЛИРОВАНИЯ САМАРСКОЙ ОБЛАСТИ</t>
  </si>
  <si>
    <t>6317132631</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</si>
  <si>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</si>
  <si>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</si>
  <si>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</si>
  <si>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</si>
  <si>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</si>
  <si>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</si>
  <si>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</si>
  <si>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</si>
  <si>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</si>
  <si>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</si>
  <si>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</si>
  <si>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</si>
  <si>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</si>
  <si>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</si>
  <si>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</si>
  <si>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</si>
  <si>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</si>
  <si>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</si>
  <si>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</si>
  <si>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</si>
  <si>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</si>
  <si>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</si>
  <si>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</si>
  <si>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</si>
  <si>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</si>
  <si>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</si>
  <si>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</si>
  <si>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</si>
  <si>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</si>
  <si>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</si>
  <si>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</si>
  <si>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</si>
  <si>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</si>
  <si>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</si>
  <si>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</si>
  <si>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</si>
  <si>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</si>
  <si>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</si>
  <si>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</si>
  <si>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</si>
  <si>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</si>
  <si>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</si>
  <si>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</si>
  <si>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</si>
  <si>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</si>
  <si>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</si>
  <si>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</si>
  <si>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</si>
  <si>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</si>
  <si>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</si>
  <si>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</si>
  <si>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</si>
  <si>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</si>
  <si>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</si>
  <si>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</si>
  <si>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</si>
  <si>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</si>
  <si>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</si>
  <si>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</si>
  <si>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</si>
  <si>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</si>
  <si>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</si>
  <si>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</si>
  <si>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</si>
  <si>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</si>
  <si>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</si>
  <si>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</si>
  <si>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</si>
  <si>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</si>
  <si>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</si>
  <si>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</si>
  <si>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</si>
  <si>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</si>
  <si>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</si>
  <si>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</si>
  <si>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</si>
  <si>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</si>
  <si>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</si>
  <si>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</si>
  <si>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</si>
  <si>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</si>
  <si>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</si>
  <si>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</si>
  <si>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</si>
  <si>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</si>
  <si>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</si>
  <si>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</si>
  <si>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</si>
  <si>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</si>
  <si>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</si>
  <si>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</si>
  <si>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</si>
  <si>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</si>
  <si>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</si>
  <si>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</si>
  <si>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</si>
  <si>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</si>
  <si>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</si>
  <si>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</si>
  <si>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</si>
  <si>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</si>
  <si>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</si>
  <si>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</si>
  <si>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</si>
  <si>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</si>
  <si>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</si>
  <si>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</si>
  <si>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</si>
  <si>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</si>
  <si>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</si>
  <si>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</si>
  <si>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</si>
  <si>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</si>
  <si>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</si>
  <si>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</si>
  <si>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</si>
  <si>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</si>
  <si>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</si>
  <si>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</si>
  <si>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26485226</t>
  </si>
  <si>
    <t>МУП КРАСНОЯРСКОЕ ЖКХ</t>
  </si>
  <si>
    <t>6376002095</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</si>
  <si>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</si>
  <si>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</si>
  <si>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</si>
  <si>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</si>
  <si>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</si>
  <si>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</si>
  <si>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</si>
  <si>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</si>
  <si>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</si>
  <si>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</si>
  <si>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</si>
  <si>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</si>
  <si>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</si>
  <si>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</si>
  <si>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</si>
  <si>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</si>
  <si>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</si>
  <si>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</si>
  <si>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</si>
  <si>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</si>
  <si>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</si>
  <si>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</si>
  <si>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</si>
  <si>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</si>
  <si>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</si>
  <si>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</si>
  <si>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</si>
  <si>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</si>
  <si>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</si>
  <si>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</si>
  <si>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</si>
  <si>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</si>
  <si>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</si>
  <si>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</si>
  <si>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</si>
  <si>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</si>
  <si>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</si>
  <si>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</si>
  <si>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</si>
  <si>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</si>
  <si>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</si>
  <si>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</si>
  <si>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</si>
  <si>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</si>
  <si>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</si>
  <si>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</si>
  <si>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</si>
  <si>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</si>
  <si>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</si>
  <si>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</si>
  <si>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</si>
  <si>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</si>
  <si>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</si>
  <si>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</si>
  <si>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</si>
  <si>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</si>
  <si>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</si>
  <si>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</si>
  <si>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</si>
  <si>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</si>
  <si>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</si>
  <si>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</si>
  <si>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</si>
  <si>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</si>
  <si>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</si>
  <si>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</si>
  <si>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</si>
  <si>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</si>
  <si>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</si>
  <si>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</si>
  <si>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</si>
  <si>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</si>
  <si>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</si>
  <si>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</si>
  <si>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</si>
  <si>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</si>
  <si>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</si>
  <si>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</si>
  <si>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</si>
  <si>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</si>
  <si>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</si>
  <si>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</si>
  <si>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</si>
  <si>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</si>
  <si>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</si>
  <si>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</si>
  <si>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</si>
  <si>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</si>
  <si>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</si>
  <si>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</si>
  <si>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</si>
  <si>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</si>
  <si>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</si>
  <si>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</si>
  <si>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</si>
  <si>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</si>
  <si>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</si>
  <si>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</si>
  <si>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</si>
  <si>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</si>
  <si>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</si>
  <si>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</si>
  <si>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</si>
  <si>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</si>
  <si>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</si>
  <si>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</si>
  <si>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</si>
  <si>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</si>
  <si>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</si>
  <si>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</si>
  <si>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</si>
  <si>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</si>
  <si>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</si>
  <si>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</si>
  <si>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</si>
  <si>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</si>
  <si>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</si>
  <si>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</si>
  <si>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</si>
  <si>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</si>
  <si>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</si>
  <si>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</si>
  <si>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</si>
  <si>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</si>
  <si>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</si>
  <si>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</si>
  <si>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</si>
  <si>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</si>
  <si>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</si>
  <si>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</si>
  <si>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</si>
  <si>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</si>
  <si>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</si>
  <si>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</si>
  <si>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</si>
  <si>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</si>
  <si>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</si>
  <si>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</si>
  <si>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</si>
  <si>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</si>
  <si>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</si>
  <si>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</si>
  <si>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</si>
  <si>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</si>
  <si>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</si>
  <si>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</si>
  <si>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</si>
  <si>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</si>
  <si>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</si>
  <si>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</si>
  <si>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</si>
  <si>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</si>
  <si>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</si>
  <si>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</si>
  <si>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</si>
  <si>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</si>
  <si>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</si>
  <si>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</si>
  <si>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</si>
  <si>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</si>
  <si>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</si>
  <si>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</si>
  <si>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</si>
  <si>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</si>
  <si>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</si>
  <si>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</si>
  <si>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</si>
  <si>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</si>
  <si>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</si>
  <si>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</si>
  <si>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</si>
  <si>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</si>
  <si>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</si>
  <si>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</si>
  <si>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</si>
  <si>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</si>
  <si>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</si>
  <si>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</si>
  <si>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</si>
  <si>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</si>
  <si>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</si>
  <si>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</si>
  <si>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</si>
  <si>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</si>
  <si>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</si>
  <si>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</si>
  <si>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</si>
  <si>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</si>
  <si>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</si>
  <si>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</si>
  <si>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</si>
  <si>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</si>
  <si>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</si>
  <si>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</si>
  <si>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</si>
  <si>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</si>
  <si>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</si>
  <si>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</si>
  <si>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</si>
  <si>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</si>
  <si>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</si>
  <si>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</si>
  <si>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</si>
  <si>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</si>
  <si>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</si>
  <si>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</si>
  <si>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</si>
  <si>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</si>
  <si>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</si>
  <si>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</si>
  <si>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</si>
  <si>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</si>
  <si>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</si>
  <si>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</si>
  <si>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</si>
  <si>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</si>
  <si>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</si>
  <si>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</si>
  <si>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</si>
  <si>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</si>
  <si>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</si>
  <si>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</si>
  <si>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</si>
  <si>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</si>
  <si>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</si>
  <si>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</si>
  <si>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</si>
  <si>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</si>
  <si>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</si>
  <si>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</si>
  <si>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</si>
  <si>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</si>
  <si>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</si>
  <si>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</si>
  <si>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</si>
  <si>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</si>
  <si>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</si>
  <si>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</si>
  <si>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</si>
  <si>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</si>
  <si>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</si>
  <si>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</si>
  <si>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</si>
  <si>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</si>
  <si>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</si>
  <si>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</si>
  <si>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</si>
  <si>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</si>
  <si>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</si>
  <si>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</si>
  <si>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</si>
  <si>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</si>
  <si>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</si>
  <si>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</si>
  <si>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</si>
  <si>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</si>
  <si>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</si>
  <si>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</si>
  <si>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</si>
  <si>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</si>
  <si>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</si>
  <si>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</si>
  <si>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</si>
  <si>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</si>
  <si>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</si>
  <si>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</si>
  <si>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</si>
  <si>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</si>
  <si>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</si>
  <si>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</si>
  <si>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</si>
  <si>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</si>
  <si>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</si>
  <si>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</si>
  <si>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</si>
  <si>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</si>
  <si>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</si>
  <si>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</si>
  <si>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</si>
  <si>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</si>
  <si>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</si>
  <si>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</si>
  <si>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</si>
  <si>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</si>
  <si>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</si>
  <si>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</si>
  <si>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</si>
  <si>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</si>
  <si>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</si>
  <si>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</si>
  <si>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</si>
  <si>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</si>
  <si>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</si>
  <si>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</si>
  <si>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</si>
  <si>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</si>
  <si>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</si>
  <si>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</si>
  <si>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</si>
  <si>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</si>
  <si>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</si>
  <si>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</si>
  <si>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</si>
  <si>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</si>
  <si>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</si>
  <si>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</si>
  <si>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</si>
  <si>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</si>
  <si>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</si>
  <si>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</si>
  <si>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</si>
  <si>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</si>
  <si>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</si>
  <si>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</si>
  <si>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</si>
  <si>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</si>
  <si>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</si>
  <si>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</si>
  <si>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</si>
  <si>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</si>
  <si>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</si>
  <si>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</si>
  <si>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</si>
  <si>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</si>
  <si>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</si>
  <si>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</si>
  <si>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</si>
  <si>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</si>
  <si>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</si>
  <si>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</si>
  <si>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</si>
  <si>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</si>
  <si>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</si>
  <si>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</si>
  <si>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</si>
  <si>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</si>
  <si>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</si>
  <si>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</si>
  <si>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</si>
  <si>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</si>
  <si>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</si>
  <si>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</si>
  <si>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</si>
  <si>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</si>
  <si>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</si>
  <si>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</si>
  <si>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</si>
  <si>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</si>
  <si>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</si>
  <si>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</si>
  <si>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</si>
  <si>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</si>
  <si>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</si>
  <si>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</si>
  <si>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</si>
  <si>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</si>
  <si>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</si>
  <si>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</si>
  <si>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</si>
  <si>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</si>
  <si>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</si>
  <si>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</si>
  <si>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</si>
  <si>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</si>
  <si>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</si>
  <si>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</si>
  <si>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</si>
  <si>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</si>
  <si>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</si>
  <si>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</si>
  <si>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</si>
  <si>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</si>
  <si>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</si>
  <si>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</si>
  <si>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</si>
  <si>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</si>
  <si>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</si>
  <si>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</si>
  <si>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</si>
  <si>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</si>
  <si>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</si>
  <si>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</si>
  <si>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</si>
  <si>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</si>
  <si>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</si>
  <si>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</si>
  <si>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</si>
  <si>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</si>
  <si>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</si>
  <si>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</si>
  <si>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</si>
  <si>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</si>
  <si>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</si>
  <si>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</si>
  <si>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</si>
  <si>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</si>
  <si>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</si>
  <si>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</si>
  <si>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</si>
  <si>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</si>
  <si>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</si>
  <si>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</si>
  <si>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</si>
  <si>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</si>
  <si>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</si>
  <si>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</si>
  <si>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</si>
  <si>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</si>
  <si>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</si>
  <si>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</si>
  <si>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</si>
  <si>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</si>
  <si>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</si>
  <si>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</si>
  <si>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</si>
  <si>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</si>
  <si>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</si>
  <si>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</si>
  <si>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</si>
  <si>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</si>
  <si>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</si>
  <si>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</si>
  <si>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</si>
  <si>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</si>
  <si>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</si>
  <si>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</si>
  <si>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</si>
  <si>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</si>
  <si>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</si>
  <si>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</si>
  <si>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</si>
  <si>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</si>
  <si>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</si>
  <si>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</si>
  <si>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</si>
  <si>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</si>
  <si>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</si>
  <si>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</si>
  <si>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</si>
  <si>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</si>
  <si>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</si>
  <si>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</si>
  <si>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</si>
  <si>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</si>
  <si>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</si>
  <si>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</si>
  <si>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</si>
  <si>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</si>
  <si>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</si>
  <si>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</si>
  <si>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</si>
  <si>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</si>
  <si>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</si>
  <si>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</si>
  <si>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</si>
  <si>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</si>
  <si>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</si>
  <si>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</si>
  <si>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</si>
  <si>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</si>
  <si>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</si>
  <si>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</si>
  <si>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</si>
  <si>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</si>
  <si>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</si>
  <si>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</si>
  <si>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</si>
  <si>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</si>
  <si>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</si>
  <si>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</si>
  <si>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</si>
  <si>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</si>
  <si>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</si>
  <si>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</si>
  <si>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</si>
  <si>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</si>
  <si>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</si>
  <si>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</si>
  <si>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</si>
  <si>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</si>
  <si>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</si>
  <si>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</si>
  <si>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</si>
  <si>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</si>
  <si>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</si>
  <si>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</si>
  <si>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</si>
  <si>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</si>
  <si>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</si>
  <si>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</si>
  <si>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</si>
  <si>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</si>
  <si>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</si>
  <si>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</si>
  <si>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</si>
  <si>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</si>
  <si>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</si>
  <si>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</si>
  <si>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</si>
  <si>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</si>
  <si>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</si>
  <si>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</si>
  <si>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</si>
  <si>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</si>
  <si>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</si>
  <si>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</si>
  <si>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</si>
  <si>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</si>
  <si>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</si>
  <si>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</si>
  <si>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</si>
  <si>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</si>
  <si>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</si>
  <si>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</si>
  <si>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</si>
  <si>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</si>
  <si>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</si>
  <si>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</si>
  <si>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</si>
  <si>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</si>
  <si>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</si>
  <si>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</si>
  <si>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</si>
  <si>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</si>
  <si>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</si>
  <si>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</si>
  <si>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</si>
  <si>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</si>
  <si>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</si>
  <si>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</si>
  <si>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</si>
  <si>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</si>
  <si>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</si>
  <si>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</si>
  <si>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</si>
  <si>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</si>
  <si>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</si>
  <si>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</si>
  <si>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</si>
  <si>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</si>
  <si>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</si>
  <si>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</si>
  <si>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</si>
  <si>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</si>
  <si>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</si>
  <si>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</si>
  <si>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</si>
  <si>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</si>
  <si>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</si>
  <si>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</si>
  <si>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</si>
  <si>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</si>
  <si>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</si>
  <si>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</si>
  <si>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</si>
  <si>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</si>
  <si>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</si>
  <si>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</si>
  <si>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</si>
  <si>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</si>
  <si>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</si>
  <si>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</si>
  <si>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</si>
  <si>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</si>
  <si>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</si>
  <si>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</si>
  <si>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</si>
  <si>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</si>
  <si>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</si>
  <si>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</si>
  <si>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</si>
  <si>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</si>
  <si>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</si>
  <si>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</si>
  <si>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</si>
  <si>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</si>
  <si>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</si>
  <si>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</si>
  <si>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</si>
  <si>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</si>
  <si>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</si>
  <si>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</si>
  <si>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</si>
  <si>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</si>
  <si>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</si>
  <si>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</si>
  <si>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</si>
  <si>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</si>
  <si>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</si>
  <si>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</si>
  <si>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</si>
  <si>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</si>
  <si>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</si>
  <si>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</si>
  <si>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</si>
  <si>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</si>
  <si>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</si>
  <si>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</si>
  <si>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</si>
  <si>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</si>
  <si>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</si>
  <si>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</si>
  <si>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</si>
  <si>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</si>
  <si>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</si>
  <si>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</si>
  <si>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</si>
  <si>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</si>
  <si>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</si>
  <si>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</si>
  <si>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</si>
  <si>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</si>
  <si>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</si>
  <si>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</si>
  <si>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</si>
  <si>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</si>
  <si>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</si>
  <si>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</si>
  <si>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</si>
  <si>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</si>
  <si>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</si>
  <si>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</si>
  <si>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</si>
  <si>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</si>
  <si>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</si>
  <si>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</si>
  <si>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</si>
  <si>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07-03-2025 00:00:00</t>
  </si>
  <si>
    <t>31764387</t>
  </si>
  <si>
    <t>ООО "Обслуживающая организация "КОМФОРТ"</t>
  </si>
  <si>
    <t>6316266752</t>
  </si>
  <si>
    <t>17-07-2020 00:00:00</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</si>
  <si>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</si>
  <si>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</si>
  <si>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</si>
  <si>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</si>
  <si>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</si>
  <si>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</si>
  <si>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</si>
  <si>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</si>
  <si>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</si>
  <si>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</si>
  <si>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</si>
  <si>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</si>
  <si>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</si>
  <si>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</si>
  <si>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</si>
  <si>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</si>
  <si>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</si>
  <si>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</si>
  <si>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</si>
  <si>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</si>
  <si>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</si>
  <si>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</si>
  <si>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</si>
  <si>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</si>
  <si>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</si>
  <si>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</si>
  <si>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31826710</t>
  </si>
  <si>
    <t>ООО "УК "ГРАНД ВИЛЛАДЖ"</t>
  </si>
  <si>
    <t>6317146987</t>
  </si>
  <si>
    <t>18-05-2020 00:00:00</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</si>
  <si>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</si>
  <si>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</si>
  <si>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</si>
  <si>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</si>
  <si>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</si>
  <si>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</si>
  <si>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</si>
  <si>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</si>
  <si>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</si>
  <si>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</si>
  <si>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</si>
  <si>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</si>
  <si>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</si>
  <si>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</si>
  <si>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</si>
  <si>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</si>
  <si>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</si>
  <si>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</si>
  <si>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</si>
  <si>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</si>
  <si>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</si>
  <si>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</si>
  <si>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</si>
  <si>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</si>
  <si>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</si>
  <si>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</si>
  <si>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</si>
  <si>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</si>
  <si>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</si>
  <si>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</si>
  <si>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</si>
  <si>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</si>
  <si>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</si>
  <si>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</si>
  <si>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</si>
  <si>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</si>
  <si>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</si>
  <si>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</si>
  <si>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</si>
  <si>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</si>
  <si>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</si>
  <si>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</si>
  <si>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</si>
  <si>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</si>
  <si>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</si>
  <si>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</si>
  <si>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</si>
  <si>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</si>
  <si>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</si>
  <si>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</si>
  <si>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</si>
  <si>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</si>
  <si>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</si>
  <si>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</si>
  <si>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</si>
  <si>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</si>
  <si>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</si>
  <si>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</si>
  <si>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</si>
  <si>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</si>
  <si>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</si>
  <si>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</si>
  <si>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</si>
  <si>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</si>
  <si>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</si>
  <si>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</si>
  <si>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</si>
  <si>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</si>
  <si>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</si>
  <si>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</si>
  <si>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</si>
  <si>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</si>
  <si>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</si>
  <si>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</si>
  <si>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</si>
  <si>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</si>
  <si>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</si>
  <si>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</si>
  <si>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</si>
  <si>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</si>
  <si>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</si>
  <si>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</si>
  <si>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</si>
  <si>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</si>
  <si>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</si>
  <si>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</si>
  <si>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</si>
  <si>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31769413</t>
  </si>
  <si>
    <t>АО "Экология"</t>
  </si>
  <si>
    <t>6316289125</t>
  </si>
  <si>
    <t>18-09-2024 00:00:00</t>
  </si>
  <si>
    <t>31060806</t>
  </si>
  <si>
    <t>АО "Экопром"</t>
  </si>
  <si>
    <t>6325072104</t>
  </si>
  <si>
    <t>31365445</t>
  </si>
  <si>
    <t>АО Экотехнопарк «Зелененький»</t>
  </si>
  <si>
    <t>6316187660</t>
  </si>
  <si>
    <t>31771828</t>
  </si>
  <si>
    <t>Акционерное общество "Агентство по содержанию автомобильных дорог"</t>
  </si>
  <si>
    <t>6311198770</t>
  </si>
  <si>
    <t>26-09-2024 00:00:00</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</si>
  <si>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</si>
  <si>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</si>
  <si>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</si>
  <si>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</si>
  <si>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</si>
  <si>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</si>
  <si>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</si>
  <si>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</si>
  <si>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</si>
  <si>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</si>
  <si>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</si>
  <si>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</si>
  <si>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</si>
  <si>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</si>
  <si>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</si>
  <si>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</si>
  <si>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</si>
  <si>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</si>
  <si>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</si>
  <si>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</si>
  <si>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</si>
  <si>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</si>
  <si>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</si>
  <si>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</si>
  <si>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</si>
  <si>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</si>
  <si>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</si>
  <si>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</si>
  <si>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</si>
  <si>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</si>
  <si>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</si>
  <si>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</si>
  <si>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</si>
  <si>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</si>
  <si>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</si>
  <si>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</si>
  <si>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</si>
  <si>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</si>
  <si>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</si>
  <si>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</si>
  <si>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</si>
  <si>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</si>
  <si>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</si>
  <si>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</si>
  <si>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</si>
  <si>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</si>
  <si>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</si>
  <si>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</si>
  <si>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</si>
  <si>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</si>
  <si>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</si>
  <si>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</si>
  <si>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</si>
  <si>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</si>
  <si>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</si>
  <si>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</si>
  <si>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</si>
  <si>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</si>
  <si>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</si>
  <si>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</si>
  <si>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</si>
  <si>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</si>
  <si>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</si>
  <si>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</si>
  <si>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</si>
  <si>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</si>
  <si>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</si>
  <si>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</si>
  <si>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</si>
  <si>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</si>
  <si>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</si>
  <si>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</si>
  <si>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</si>
  <si>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</si>
  <si>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</si>
  <si>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</si>
  <si>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</si>
  <si>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</si>
  <si>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</si>
  <si>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</si>
  <si>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</si>
  <si>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</si>
  <si>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</si>
  <si>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</si>
  <si>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</si>
  <si>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</si>
  <si>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</si>
  <si>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</si>
  <si>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</si>
  <si>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</si>
  <si>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</si>
  <si>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</si>
  <si>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</si>
  <si>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</si>
  <si>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</si>
  <si>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</si>
  <si>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</si>
  <si>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</si>
  <si>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</si>
  <si>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</si>
  <si>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</si>
  <si>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</si>
  <si>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</si>
  <si>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</si>
  <si>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</si>
  <si>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</si>
  <si>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</si>
  <si>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</si>
  <si>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</si>
  <si>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</si>
  <si>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</si>
  <si>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</si>
  <si>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</si>
  <si>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</si>
  <si>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</si>
  <si>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</si>
  <si>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</si>
  <si>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</si>
  <si>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</si>
  <si>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</si>
  <si>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</si>
  <si>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</si>
  <si>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</si>
  <si>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</si>
  <si>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</si>
  <si>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</si>
  <si>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</si>
  <si>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</si>
  <si>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</si>
  <si>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</si>
  <si>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</si>
  <si>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</si>
  <si>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</si>
  <si>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</si>
  <si>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</si>
  <si>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</si>
  <si>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</si>
  <si>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</si>
  <si>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</si>
  <si>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</si>
  <si>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</si>
  <si>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</si>
  <si>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</si>
  <si>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</si>
  <si>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</si>
  <si>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</si>
  <si>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</si>
  <si>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</si>
  <si>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</si>
  <si>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</si>
  <si>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</si>
  <si>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</si>
  <si>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</si>
  <si>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</si>
  <si>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</si>
  <si>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</si>
  <si>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</si>
  <si>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</si>
  <si>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</si>
  <si>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</si>
  <si>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</si>
  <si>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</si>
  <si>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</si>
  <si>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</si>
  <si>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</si>
  <si>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</si>
  <si>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</si>
  <si>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</si>
  <si>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</si>
  <si>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в состав которого входит поселок</t>
  </si>
  <si>
    <t>сельское поселение Васильевка</t>
  </si>
  <si>
    <t>36604408</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</si>
  <si>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</si>
  <si>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</si>
  <si>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</si>
  <si>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</si>
  <si>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</si>
  <si>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</si>
  <si>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</si>
  <si>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</si>
  <si>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</si>
  <si>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</si>
  <si>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</si>
  <si>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</si>
  <si>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</si>
  <si>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</si>
  <si>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</si>
  <si>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</si>
  <si>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</si>
  <si>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</si>
  <si>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</si>
  <si>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</si>
  <si>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</si>
  <si>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</si>
  <si>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</si>
  <si>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</si>
  <si>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</si>
  <si>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</si>
  <si>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</si>
  <si>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</si>
  <si>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36608000</t>
  </si>
  <si>
    <t>сельское поселение Александровка</t>
  </si>
  <si>
    <t>36608404</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</si>
  <si>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</si>
  <si>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</si>
  <si>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</si>
  <si>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</si>
  <si>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</si>
  <si>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</si>
  <si>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</si>
  <si>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</si>
  <si>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</si>
  <si>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</si>
  <si>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</si>
  <si>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</si>
  <si>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</si>
  <si>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</si>
  <si>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</si>
  <si>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</si>
  <si>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</si>
  <si>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</si>
  <si>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</si>
  <si>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</si>
  <si>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</si>
  <si>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</si>
  <si>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</si>
  <si>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</si>
  <si>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</si>
  <si>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</si>
  <si>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</si>
  <si>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</si>
  <si>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</si>
  <si>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</si>
  <si>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</si>
  <si>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</si>
  <si>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</si>
  <si>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</si>
  <si>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</si>
  <si>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</si>
  <si>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</si>
  <si>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</si>
  <si>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</si>
  <si>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</si>
  <si>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</si>
  <si>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</si>
  <si>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</si>
  <si>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</si>
  <si>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</si>
  <si>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</si>
  <si>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</si>
  <si>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</si>
  <si>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</si>
  <si>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</si>
  <si>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</si>
  <si>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</si>
  <si>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</si>
  <si>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</si>
  <si>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</si>
  <si>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</si>
  <si>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</si>
  <si>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</si>
  <si>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</si>
  <si>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</si>
  <si>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</si>
  <si>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</si>
  <si>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</si>
  <si>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</si>
  <si>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</si>
  <si>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</si>
  <si>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</si>
  <si>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</si>
  <si>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</si>
  <si>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</si>
  <si>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</si>
  <si>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</si>
  <si>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</si>
  <si>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</si>
  <si>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</si>
  <si>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</si>
  <si>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</si>
  <si>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</si>
  <si>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</si>
  <si>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</si>
  <si>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</si>
  <si>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</si>
  <si>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</si>
  <si>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</si>
  <si>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</si>
  <si>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</si>
  <si>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</si>
  <si>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</si>
  <si>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</si>
  <si>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</si>
  <si>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</si>
  <si>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</si>
  <si>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</si>
  <si>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</si>
  <si>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</si>
  <si>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</si>
  <si>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</si>
  <si>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</si>
  <si>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</si>
  <si>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</si>
  <si>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</si>
  <si>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</si>
  <si>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</si>
  <si>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</si>
  <si>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</si>
  <si>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</si>
  <si>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</si>
  <si>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</si>
  <si>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</si>
  <si>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</si>
  <si>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</si>
  <si>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</si>
  <si>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</si>
  <si>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</si>
  <si>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</si>
  <si>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</si>
  <si>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</si>
  <si>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</si>
  <si>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</si>
  <si>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</si>
  <si>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</si>
  <si>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</si>
  <si>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</si>
  <si>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</si>
  <si>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</si>
  <si>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</si>
  <si>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</si>
  <si>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</si>
  <si>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</si>
  <si>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</si>
  <si>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</si>
  <si>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</si>
  <si>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</si>
  <si>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</si>
  <si>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</si>
  <si>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</si>
  <si>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</si>
  <si>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</si>
  <si>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</si>
  <si>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</si>
  <si>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</si>
  <si>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</si>
  <si>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</si>
  <si>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</si>
  <si>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</si>
  <si>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</si>
  <si>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</si>
  <si>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</si>
  <si>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</si>
  <si>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</si>
  <si>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</si>
  <si>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</si>
  <si>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</si>
  <si>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</si>
  <si>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</si>
  <si>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</si>
  <si>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</si>
  <si>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</si>
  <si>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</si>
  <si>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</si>
  <si>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</si>
  <si>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</si>
  <si>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</si>
  <si>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</si>
  <si>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</si>
  <si>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</si>
  <si>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</si>
  <si>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</si>
  <si>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</si>
  <si>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</si>
  <si>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</si>
  <si>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</si>
  <si>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</si>
  <si>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</si>
  <si>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</si>
  <si>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</si>
  <si>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</si>
  <si>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</si>
  <si>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</si>
  <si>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</si>
  <si>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</si>
  <si>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</si>
  <si>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</si>
  <si>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</si>
  <si>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</si>
  <si>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</si>
  <si>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</si>
  <si>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</si>
  <si>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</si>
  <si>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</si>
  <si>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</si>
  <si>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</si>
  <si>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</si>
  <si>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</si>
  <si>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</si>
  <si>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</si>
  <si>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</si>
  <si>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</si>
  <si>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</si>
  <si>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</si>
  <si>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</si>
  <si>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</si>
  <si>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</si>
  <si>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</si>
  <si>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</si>
  <si>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</si>
  <si>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</si>
  <si>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</si>
  <si>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</si>
  <si>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</si>
  <si>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</si>
  <si>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</si>
  <si>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</si>
  <si>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</si>
  <si>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</si>
  <si>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</si>
  <si>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</si>
  <si>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</si>
  <si>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</si>
  <si>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</si>
  <si>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</si>
  <si>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</si>
  <si>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</si>
  <si>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</si>
  <si>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</si>
  <si>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</si>
  <si>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</si>
  <si>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</si>
  <si>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</si>
  <si>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</si>
  <si>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</si>
  <si>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</si>
  <si>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</si>
  <si>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</si>
  <si>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</si>
  <si>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</si>
  <si>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</si>
  <si>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</si>
  <si>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</si>
  <si>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</si>
  <si>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</si>
  <si>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</si>
  <si>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</si>
  <si>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</si>
  <si>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</si>
  <si>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</si>
  <si>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</si>
  <si>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</si>
  <si>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</si>
  <si>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</si>
  <si>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</si>
  <si>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</si>
  <si>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</si>
  <si>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</si>
  <si>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</si>
  <si>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</si>
  <si>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</si>
  <si>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</si>
  <si>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</si>
  <si>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</si>
  <si>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</si>
  <si>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</si>
  <si>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</si>
  <si>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</si>
  <si>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</si>
  <si>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</si>
  <si>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</si>
  <si>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</si>
  <si>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</si>
  <si>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</si>
  <si>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</si>
  <si>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</si>
  <si>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</si>
  <si>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</si>
  <si>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</si>
  <si>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</si>
  <si>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</si>
  <si>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</si>
  <si>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</si>
  <si>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</si>
  <si>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</si>
  <si>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</si>
  <si>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</si>
  <si>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</si>
  <si>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</si>
  <si>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</si>
  <si>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</si>
  <si>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</si>
  <si>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</si>
  <si>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</si>
  <si>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</si>
  <si>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</si>
  <si>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</si>
  <si>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</si>
  <si>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</si>
  <si>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</si>
  <si>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</si>
  <si>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</si>
  <si>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</si>
  <si>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</si>
  <si>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</si>
  <si>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</si>
  <si>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</si>
  <si>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</si>
  <si>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</si>
  <si>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</si>
  <si>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</si>
  <si>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</si>
  <si>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</si>
  <si>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</si>
  <si>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</si>
  <si>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</si>
  <si>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</si>
  <si>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</si>
  <si>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</si>
  <si>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</si>
  <si>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</si>
  <si>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</si>
  <si>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</si>
  <si>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</si>
  <si>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</si>
  <si>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</si>
  <si>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</si>
  <si>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</si>
  <si>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</si>
  <si>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</si>
  <si>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</si>
  <si>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</si>
  <si>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</si>
  <si>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</si>
  <si>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</si>
  <si>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</si>
  <si>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</si>
  <si>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</si>
  <si>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</si>
  <si>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</si>
  <si>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</si>
  <si>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</si>
  <si>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</si>
  <si>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</si>
  <si>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</si>
  <si>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</si>
  <si>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</si>
  <si>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</si>
  <si>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</si>
  <si>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</si>
  <si>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</si>
  <si>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</si>
  <si>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</si>
  <si>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</si>
  <si>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</si>
  <si>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</si>
  <si>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</si>
  <si>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</si>
  <si>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</si>
  <si>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</si>
  <si>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</si>
  <si>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</si>
  <si>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</si>
  <si>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</si>
  <si>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</si>
  <si>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</si>
  <si>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</si>
  <si>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</si>
  <si>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</si>
  <si>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</si>
  <si>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</si>
  <si>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</si>
  <si>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</si>
  <si>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</si>
  <si>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</si>
  <si>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</si>
  <si>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</si>
  <si>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</si>
  <si>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</si>
  <si>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</si>
  <si>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</si>
  <si>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</si>
  <si>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</si>
  <si>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</si>
  <si>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</si>
  <si>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</si>
  <si>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</si>
  <si>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</si>
  <si>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</si>
  <si>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</si>
  <si>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</si>
  <si>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</si>
  <si>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</si>
  <si>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</si>
  <si>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</si>
  <si>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</si>
  <si>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</si>
  <si>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</si>
  <si>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</si>
  <si>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</si>
  <si>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</si>
  <si>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</si>
  <si>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</si>
  <si>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</si>
  <si>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</si>
  <si>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</si>
  <si>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</si>
  <si>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</si>
  <si>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</si>
  <si>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</si>
  <si>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</si>
  <si>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</si>
  <si>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</si>
  <si>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</si>
  <si>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</si>
  <si>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</si>
  <si>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</si>
  <si>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</si>
  <si>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</si>
  <si>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</si>
  <si>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</si>
  <si>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</si>
  <si>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</si>
  <si>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</si>
  <si>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</si>
  <si>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</si>
  <si>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</si>
  <si>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</si>
  <si>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</si>
  <si>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</si>
  <si>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</si>
  <si>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</si>
  <si>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</si>
  <si>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</si>
  <si>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</si>
  <si>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</si>
  <si>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</si>
  <si>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</si>
  <si>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</si>
  <si>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</si>
  <si>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</si>
  <si>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</si>
  <si>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</si>
  <si>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</si>
  <si>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</si>
  <si>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</si>
  <si>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</si>
  <si>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</si>
  <si>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</si>
  <si>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</si>
  <si>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</si>
  <si>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</si>
  <si>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</si>
  <si>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</si>
  <si>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</si>
  <si>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</si>
  <si>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</si>
  <si>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</si>
  <si>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206</t>
  </si>
  <si>
    <t>сельское поселение Староганькино</t>
  </si>
  <si>
    <t>36634460</t>
  </si>
  <si>
    <t>сельское поселение Старопохвистнево</t>
  </si>
  <si>
    <t>36634468</t>
  </si>
  <si>
    <t>сельское поселение Старый Аманак</t>
  </si>
  <si>
    <t>36634456</t>
  </si>
  <si>
    <t>сельское поселение Давыдовка</t>
  </si>
  <si>
    <t>36636404</t>
  </si>
  <si>
    <t>сельское поселение Заволжье</t>
  </si>
  <si>
    <t>36636405</t>
  </si>
  <si>
    <t>сельское поселение Ильмень</t>
  </si>
  <si>
    <t>36636406</t>
  </si>
  <si>
    <t>213</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</si>
  <si>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</si>
  <si>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</si>
  <si>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</si>
  <si>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</si>
  <si>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</si>
  <si>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</si>
  <si>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</si>
  <si>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</si>
  <si>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</si>
  <si>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</si>
  <si>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</si>
  <si>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</si>
  <si>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</si>
  <si>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</si>
  <si>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</si>
  <si>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</si>
  <si>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</si>
  <si>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</si>
  <si>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</si>
  <si>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</si>
  <si>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</si>
  <si>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</si>
  <si>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</si>
  <si>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</si>
  <si>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</si>
  <si>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</si>
  <si>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</si>
  <si>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</si>
  <si>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</si>
  <si>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</si>
  <si>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</si>
  <si>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</si>
  <si>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</si>
  <si>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</si>
  <si>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</si>
  <si>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</si>
  <si>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</si>
  <si>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</si>
  <si>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</si>
  <si>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</si>
  <si>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</si>
  <si>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</si>
  <si>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</si>
  <si>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</si>
  <si>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</si>
  <si>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</si>
  <si>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</si>
  <si>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</si>
  <si>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</si>
  <si>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</si>
  <si>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</si>
  <si>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</si>
  <si>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</si>
  <si>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</si>
  <si>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</si>
  <si>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</si>
  <si>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</si>
  <si>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</si>
  <si>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</si>
  <si>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</si>
  <si>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</si>
  <si>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</si>
  <si>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</si>
  <si>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</si>
  <si>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</si>
  <si>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</si>
  <si>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</si>
  <si>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</si>
  <si>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</si>
  <si>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</si>
  <si>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</si>
  <si>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</si>
  <si>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</si>
  <si>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</si>
  <si>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</si>
  <si>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</si>
  <si>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</si>
  <si>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</si>
  <si>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</si>
  <si>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</si>
  <si>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</si>
  <si>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</si>
  <si>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</si>
  <si>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</si>
  <si>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</si>
  <si>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</si>
  <si>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</si>
  <si>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</si>
  <si>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</si>
  <si>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</si>
  <si>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</si>
  <si>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</si>
  <si>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</si>
  <si>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</si>
  <si>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</si>
  <si>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</si>
  <si>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</si>
  <si>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</si>
  <si>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</si>
  <si>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</si>
  <si>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</si>
  <si>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</si>
  <si>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</si>
  <si>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</si>
  <si>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</si>
  <si>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</si>
  <si>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</si>
  <si>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</si>
  <si>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</si>
  <si>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</si>
  <si>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</si>
  <si>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</si>
  <si>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</si>
  <si>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</si>
  <si>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</si>
  <si>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</si>
  <si>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</si>
  <si>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</si>
  <si>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</si>
  <si>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</si>
  <si>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</si>
  <si>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</si>
  <si>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</si>
  <si>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</si>
  <si>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</si>
  <si>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</si>
  <si>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</si>
  <si>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</si>
  <si>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</si>
  <si>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</si>
  <si>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</si>
  <si>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</si>
  <si>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</si>
  <si>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</si>
  <si>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</si>
  <si>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</si>
  <si>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</si>
  <si>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</si>
  <si>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</si>
  <si>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</si>
  <si>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</si>
  <si>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</si>
  <si>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</si>
  <si>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</si>
  <si>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</si>
  <si>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</si>
  <si>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</si>
  <si>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</si>
  <si>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</si>
  <si>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</si>
  <si>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</si>
  <si>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</si>
  <si>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</si>
  <si>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</si>
  <si>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</si>
  <si>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</si>
  <si>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</si>
  <si>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</si>
  <si>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</si>
  <si>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</si>
  <si>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</si>
  <si>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</si>
  <si>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</si>
  <si>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</si>
  <si>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</si>
  <si>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</si>
  <si>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</si>
  <si>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</si>
  <si>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</si>
  <si>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</si>
  <si>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</si>
  <si>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</si>
  <si>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</si>
  <si>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</si>
  <si>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</si>
  <si>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</si>
  <si>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</si>
  <si>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</si>
  <si>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</si>
  <si>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</si>
  <si>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</si>
  <si>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</si>
  <si>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</si>
  <si>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</si>
  <si>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</si>
  <si>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</si>
  <si>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</si>
  <si>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</si>
  <si>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</si>
  <si>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</si>
  <si>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</si>
  <si>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</si>
  <si>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</si>
  <si>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</si>
  <si>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</si>
  <si>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</si>
  <si>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</si>
  <si>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</si>
  <si>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</si>
  <si>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</si>
  <si>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</si>
  <si>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</si>
  <si>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</si>
  <si>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</si>
  <si>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</si>
  <si>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</si>
  <si>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</si>
  <si>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</si>
  <si>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</si>
  <si>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</si>
  <si>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</si>
  <si>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</si>
  <si>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</si>
  <si>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</si>
  <si>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</si>
  <si>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</si>
  <si>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</si>
  <si>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</si>
  <si>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</si>
  <si>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</si>
  <si>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</si>
  <si>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</si>
  <si>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</si>
  <si>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</si>
  <si>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</si>
  <si>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</si>
  <si>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</si>
  <si>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</si>
  <si>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</si>
  <si>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</si>
  <si>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</si>
  <si>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</si>
  <si>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</si>
  <si>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</si>
  <si>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</si>
  <si>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</si>
  <si>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</si>
  <si>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</si>
  <si>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</si>
  <si>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</si>
  <si>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</si>
  <si>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</si>
  <si>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</si>
  <si>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</si>
  <si>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</si>
  <si>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</si>
  <si>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</si>
  <si>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</si>
  <si>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</si>
  <si>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</si>
  <si>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</si>
  <si>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</si>
  <si>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</si>
  <si>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</si>
  <si>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</si>
  <si>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</si>
  <si>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</si>
  <si>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</si>
  <si>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</si>
  <si>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</si>
  <si>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</si>
  <si>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</si>
  <si>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</si>
  <si>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</si>
  <si>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</si>
  <si>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</si>
  <si>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</si>
  <si>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</si>
  <si>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</si>
  <si>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</si>
  <si>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</si>
  <si>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</si>
  <si>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</si>
  <si>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</si>
  <si>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</si>
  <si>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</si>
  <si>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</si>
  <si>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</si>
  <si>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</si>
  <si>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</si>
  <si>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</si>
  <si>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</si>
  <si>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</si>
  <si>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</si>
  <si>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</si>
  <si>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</si>
  <si>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</si>
  <si>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</si>
  <si>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</si>
  <si>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</si>
  <si>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</si>
  <si>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</si>
  <si>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</si>
  <si>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</si>
  <si>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</si>
  <si>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</si>
  <si>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</si>
  <si>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</si>
  <si>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</si>
  <si>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</si>
  <si>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</si>
  <si>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</si>
  <si>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</si>
  <si>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</si>
  <si>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</si>
  <si>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</si>
  <si>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</si>
  <si>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</si>
  <si>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</si>
  <si>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</si>
  <si>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</si>
  <si>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</si>
  <si>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Железнодорожный</t>
  </si>
  <si>
    <t>36701305</t>
  </si>
  <si>
    <t>внутригородской район</t>
  </si>
  <si>
    <t>331</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</si>
  <si>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</si>
  <si>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</si>
  <si>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</si>
  <si>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</si>
  <si>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</si>
  <si>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</si>
  <si>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</si>
  <si>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</si>
  <si>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</si>
  <si>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</si>
  <si>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</si>
  <si>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</si>
  <si>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</si>
  <si>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</si>
  <si>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</si>
  <si>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</si>
  <si>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</si>
  <si>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</si>
  <si>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</si>
  <si>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</si>
  <si>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</si>
  <si>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</si>
  <si>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</si>
  <si>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</si>
  <si>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</si>
  <si>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</si>
  <si>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</si>
  <si>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</si>
  <si>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</si>
  <si>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</si>
  <si>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</si>
  <si>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</si>
  <si>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</si>
  <si>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</si>
  <si>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</si>
  <si>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</si>
  <si>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</si>
  <si>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183 от 30.10.2024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2025 год</t>
  </si>
  <si>
    <t>01.01.2025</t>
  </si>
  <si>
    <t>31.12.2025</t>
  </si>
  <si>
    <t>7617393269</t>
  </si>
  <si>
    <t>Об утверждении инвестиционной программы ООО "СамРЭК-Эксплуатация" по модернизации системы теплоснабжения на 2024 - 2028 годы муниципального района Кинельский</t>
  </si>
  <si>
    <t>7617393270</t>
  </si>
  <si>
    <t>Об утверждении инвестиционной программы ООО "СамРЭК-Эксплуатация" по модернизации системы теплоснабжения на 2024 - 2028 годы муниципального района Нефтегорский</t>
  </si>
  <si>
    <t>8199183883</t>
  </si>
  <si>
    <t>7617393271</t>
  </si>
  <si>
    <t>Об утверждении инвестиционной программы ООО "СамРЭК-Эксплуатация" по модернизации системы теплоснабжения на 2024-2028 годы муниципального района Хворостянский</t>
  </si>
  <si>
    <t>7617393268</t>
  </si>
  <si>
    <t>Об утверждении инвестиционной программы ООО "СамРЭК-Эксплуатация" по модернизации системы теплоснабжения на 2024 - 2028 годы муниципального района Похвистневский</t>
  </si>
  <si>
    <t>8199183884</t>
  </si>
  <si>
    <t>7617393266</t>
  </si>
  <si>
    <t>Об утверждении инвестиционной программы ООО "СамРЭК-Эксплуатация" по модернизации системы теплоснабжения на 2024 - 2028 годы городского округа Чапаевск</t>
  </si>
  <si>
    <t>7617393262</t>
  </si>
  <si>
    <t>Об утверждении инвестиционной программы ООО "СамРЭК-Эксплуатация" по модернизации системы теплоснабжения на 2024 - 2028 годы муниципального района Пестравский</t>
  </si>
  <si>
    <t>7617393260</t>
  </si>
  <si>
    <t>Об утверждении инвестиционной программы ООО "СамРЭК-Эксплуатация" по модернизации системы теплоснабжения на 2024 - 2028 годы муниципального района Шигонский</t>
  </si>
  <si>
    <t>7617393256</t>
  </si>
  <si>
    <t>Об утверждении инвестиционной программы ООО "СамРЭК-Эксплуатация" по модернизации системы теплоснабжения на 2024 - 2028 годы муниципального района Волжский"</t>
  </si>
  <si>
    <t>7617393263</t>
  </si>
  <si>
    <t>Об утверждении инвестиционной программы ООО "СамРЭК-Эксплуатация" по модернизации системы теплоснабжения на 2024 - 2028 годы муниципального района Елховский</t>
  </si>
  <si>
    <t>7617393257</t>
  </si>
  <si>
    <t>Об утверждении инвестиционной программы ООО "СамРЭК-Эксплуатация" по модернизации системы теплоснабжения на 2024 - 2028 годы муниципального района Ставропольский</t>
  </si>
  <si>
    <t>7617393264</t>
  </si>
  <si>
    <t>Об утверждении инвестиционной программы ООО "СамРЭК-Эксплуатация" по модернизации системы теплоснабжения на 2024 - 2028 годы муниципального района Большечерниговский</t>
  </si>
  <si>
    <t>7617393259</t>
  </si>
  <si>
    <t>Об утверждении инвестиционной программы ООО "СамРЭК-Эксплуатация" по модернизации системы теплоснабжения на 2024 - 2028 годы муниципального района Исаклинский</t>
  </si>
  <si>
    <t>7617393258</t>
  </si>
  <si>
    <t>Об утверждении инвестиционной программы ООО "СамРЭК-Эксплуатация" по модернизации системы теплоснабжения на 2024 - 2028 годы муниципального района Кошкинский</t>
  </si>
  <si>
    <t>7673481679</t>
  </si>
  <si>
    <t>Об утверждении инвестиционной программы ООО "СамРЭК-Эксплуатация" по модернизации системы теплоснабжения на 2023 - 2032 годы муниципального района Безенчукский</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</si>
  <si>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</si>
  <si>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</si>
  <si>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</si>
  <si>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</si>
  <si>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</si>
  <si>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</si>
  <si>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</si>
  <si>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</si>
  <si>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</si>
  <si>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</si>
  <si>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</si>
  <si>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</si>
  <si>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</si>
  <si>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</si>
  <si>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</si>
  <si>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</si>
  <si>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</si>
  <si>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</si>
  <si>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</si>
  <si>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</si>
  <si>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</si>
  <si>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</si>
  <si>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</si>
  <si>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</si>
  <si>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</si>
  <si>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</si>
  <si>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</si>
  <si>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</si>
  <si>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</si>
  <si>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</si>
  <si>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</si>
  <si>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</si>
  <si>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 4-23 п. Сосновка</t>
  </si>
  <si>
    <t>п Сосновка</t>
  </si>
  <si>
    <t>36604151121</t>
  </si>
  <si>
    <t>п. Сосновка</t>
  </si>
  <si>
    <t>частная собственность</t>
  </si>
  <si>
    <t>аренда</t>
  </si>
  <si>
    <t>https://portal.eias.ru/Portal/DownloadPage.aspx?type=12&amp;guid=3ef6047e-8899-4e3b-a0f7-5746cf8267dd</t>
  </si>
  <si>
    <t>эксплуатируется</t>
  </si>
  <si>
    <t>договор</t>
  </si>
  <si>
    <t>2022-000065_2022-000477</t>
  </si>
  <si>
    <t>07.10.2022</t>
  </si>
  <si>
    <t>1.29</t>
  </si>
  <si>
    <t>.4627</t>
  </si>
  <si>
    <t>[Газ природный]</t>
  </si>
  <si>
    <t>https://portal.eias.ru/Portal/DownloadPage.aspx?type=12&amp;guid=6410dba4-9aa1-44f0-ae83-cc7505af3dda</t>
  </si>
  <si>
    <t>000185-21</t>
  </si>
  <si>
    <t>01.01.2021</t>
  </si>
  <si>
    <t>Котельная № 4-1 п.г.т. Безенчук</t>
  </si>
  <si>
    <t>9а</t>
  </si>
  <si>
    <t>3.0616</t>
  </si>
  <si>
    <t>2.0533</t>
  </si>
  <si>
    <t>https://portal.eias.ru/Portal/DownloadPage.aspx?type=12&amp;guid=f00e88ae-5746-4087-a7ce-d3bf928a12a7</t>
  </si>
  <si>
    <t>Котельная № 4-3 п.г.т. Безенчук</t>
  </si>
  <si>
    <t>ул. Луговцева</t>
  </si>
  <si>
    <t>10.492</t>
  </si>
  <si>
    <t>3.01</t>
  </si>
  <si>
    <t>Котельная № 4-4 п.г.т. Безенчук</t>
  </si>
  <si>
    <t>ул. Степная</t>
  </si>
  <si>
    <t>1.806</t>
  </si>
  <si>
    <t>1.6328</t>
  </si>
  <si>
    <t>Котельная № 4-5 п.г.т. Безенчук</t>
  </si>
  <si>
    <t>ул. Советская</t>
  </si>
  <si>
    <t>44.376</t>
  </si>
  <si>
    <t>17.1</t>
  </si>
  <si>
    <t>12.04</t>
  </si>
  <si>
    <t>4.474</t>
  </si>
  <si>
    <t>Котельная № 4-7 п.г.т. Безенчук</t>
  </si>
  <si>
    <t>ул. Солодухина</t>
  </si>
  <si>
    <t>16 а</t>
  </si>
  <si>
    <t>9.03</t>
  </si>
  <si>
    <t>7.1303</t>
  </si>
  <si>
    <t>Котельная № 4-8 п.г.т. Безенчук</t>
  </si>
  <si>
    <t>ул. Быковского</t>
  </si>
  <si>
    <t>77 в</t>
  </si>
  <si>
    <t>4.515</t>
  </si>
  <si>
    <t>1.4361</t>
  </si>
  <si>
    <t>Котельная № 4-9 п.г.т. Безенчук</t>
  </si>
  <si>
    <t>.688</t>
  </si>
  <si>
    <t>.0646</t>
  </si>
  <si>
    <t>Котельная № 4-45 р. Разинский</t>
  </si>
  <si>
    <t>сеть</t>
  </si>
  <si>
    <t>ж/д рзд Разинский</t>
  </si>
  <si>
    <t>36604157116</t>
  </si>
  <si>
    <t>https://portal.eias.ru/Portal/DownloadPage.aspx?type=12&amp;guid=3efaea17-25a4-4782-856e-c940a0933421</t>
  </si>
  <si>
    <t>000665-20</t>
  </si>
  <si>
    <t>08.10.2020</t>
  </si>
  <si>
    <t>.01</t>
  </si>
  <si>
    <t>Котельная № 4-46 п. Привольный</t>
  </si>
  <si>
    <t>п Привольный</t>
  </si>
  <si>
    <t>36604157111</t>
  </si>
  <si>
    <t>https://portal.eias.ru/Portal/DownloadPage.aspx?type=12&amp;guid=2f2f2364-c4fc-477a-9082-b004ae26c681</t>
  </si>
  <si>
    <t>000663-20</t>
  </si>
  <si>
    <t>.47</t>
  </si>
  <si>
    <t>Котельная № 4-10 Осинки</t>
  </si>
  <si>
    <t>ул. Л. Толстого</t>
  </si>
  <si>
    <t>https://portal.eias.ru/Portal/DownloadPage.aspx?type=12&amp;guid=87bf52b9-1d6e-4b5e-8cec-2b46f2095759</t>
  </si>
  <si>
    <t>2022-000068_2022-000482</t>
  </si>
  <si>
    <t>7.912</t>
  </si>
  <si>
    <t>.1687</t>
  </si>
  <si>
    <t>https://portal.eias.ru/Portal/DownloadPage.aspx?type=12&amp;guid=9454ec8b-d7f7-43c5-955e-ff04d93f5c2a</t>
  </si>
  <si>
    <t>000166-21</t>
  </si>
  <si>
    <t>.172</t>
  </si>
  <si>
    <t>.1939</t>
  </si>
  <si>
    <t>.1293</t>
  </si>
  <si>
    <t>.1551</t>
  </si>
  <si>
    <t>.1767</t>
  </si>
  <si>
    <t>Котельная № 4-42 с. Преображенка</t>
  </si>
  <si>
    <t>с Преображенка</t>
  </si>
  <si>
    <t>36604157106</t>
  </si>
  <si>
    <t>ул. Тополиная</t>
  </si>
  <si>
    <t>.08428</t>
  </si>
  <si>
    <t>Котельная № 4-43 с. Преображенка</t>
  </si>
  <si>
    <t>.0481</t>
  </si>
  <si>
    <t>Котельная № 4-40 с. Александровка</t>
  </si>
  <si>
    <t>с Александровка</t>
  </si>
  <si>
    <t>36604412106</t>
  </si>
  <si>
    <t>.0767</t>
  </si>
  <si>
    <t>.0416</t>
  </si>
  <si>
    <t>Котельная № 4-20 с. Екатериновка</t>
  </si>
  <si>
    <t>40 а</t>
  </si>
  <si>
    <t>.2537</t>
  </si>
  <si>
    <t>.0849</t>
  </si>
  <si>
    <t>Котельная № 4-21 ст. Звезда</t>
  </si>
  <si>
    <t>ж/д ст Звезда</t>
  </si>
  <si>
    <t>36604416101</t>
  </si>
  <si>
    <t>ул. Железнодорожная</t>
  </si>
  <si>
    <t>9 а</t>
  </si>
  <si>
    <t>.344</t>
  </si>
  <si>
    <t>.1379</t>
  </si>
  <si>
    <t>Котельная № 4-44 ст. Звезда</t>
  </si>
  <si>
    <t>.05</t>
  </si>
  <si>
    <t>Котельная № 4-33 с. Покровка</t>
  </si>
  <si>
    <t>с Покровка</t>
  </si>
  <si>
    <t>36604416106</t>
  </si>
  <si>
    <t>.1376</t>
  </si>
  <si>
    <t>.029</t>
  </si>
  <si>
    <t>Котельная № 4-17 с. Купино</t>
  </si>
  <si>
    <t>с Купино</t>
  </si>
  <si>
    <t>36604420101</t>
  </si>
  <si>
    <t>ул. Овражная</t>
  </si>
  <si>
    <t>2.6316</t>
  </si>
  <si>
    <t>.3922</t>
  </si>
  <si>
    <t>Котельная № 4-22 с. Натальино</t>
  </si>
  <si>
    <t>с Натальино</t>
  </si>
  <si>
    <t>36604424101</t>
  </si>
  <si>
    <t>.1801</t>
  </si>
  <si>
    <t>Котельная № 4-15 с. Ольгино</t>
  </si>
  <si>
    <t>с Ольгино</t>
  </si>
  <si>
    <t>36604440101</t>
  </si>
  <si>
    <t>ул. Северная</t>
  </si>
  <si>
    <t>7 а</t>
  </si>
  <si>
    <t>3.612</t>
  </si>
  <si>
    <t>.2844</t>
  </si>
  <si>
    <t>Котельная № 4-24 с. Красноселки</t>
  </si>
  <si>
    <t>д Красноселки</t>
  </si>
  <si>
    <t>36604428116</t>
  </si>
  <si>
    <t>.516</t>
  </si>
  <si>
    <t>.133</t>
  </si>
  <si>
    <t>Котельная № 4-47 п. Дружба</t>
  </si>
  <si>
    <t>п Дружба</t>
  </si>
  <si>
    <t>36604428106</t>
  </si>
  <si>
    <t>https://portal.eias.ru/Portal/DownloadPage.aspx?type=12&amp;guid=96c82f85-df30-4cbf-ab28-13d135ca7d4f</t>
  </si>
  <si>
    <t>000661-20</t>
  </si>
  <si>
    <t>.11</t>
  </si>
  <si>
    <t>Котельная № 4-28 с. Перевелоки</t>
  </si>
  <si>
    <t>с Переволоки</t>
  </si>
  <si>
    <t>36604428101</t>
  </si>
  <si>
    <t>33,35</t>
  </si>
  <si>
    <t>.0615</t>
  </si>
  <si>
    <t>Котельная № 4-29 с. Перевелоки</t>
  </si>
  <si>
    <t>37,39</t>
  </si>
  <si>
    <t>.215</t>
  </si>
  <si>
    <t>.073</t>
  </si>
  <si>
    <t>Котельная № 4-30 с. Перевелоки (СДК)</t>
  </si>
  <si>
    <t>.0236</t>
  </si>
  <si>
    <t>Котельная № 4-31 с. Перевелоки (Школа, д/сад)</t>
  </si>
  <si>
    <t>.0773</t>
  </si>
  <si>
    <t>Котельная № 4-36 с. Ново-Михайловка</t>
  </si>
  <si>
    <t>с Новомихайловка</t>
  </si>
  <si>
    <t>36604430106</t>
  </si>
  <si>
    <t>.0043</t>
  </si>
  <si>
    <t>Котельная № 4-37 с. Ново-Михайловка</t>
  </si>
  <si>
    <t>.0129</t>
  </si>
  <si>
    <t>Котельная № 4-38 с. Ново-Михайловка</t>
  </si>
  <si>
    <t>.0193</t>
  </si>
  <si>
    <t>Котельная № 4-39 с. Ново-Михайловка</t>
  </si>
  <si>
    <t>ул. Фасадная</t>
  </si>
  <si>
    <t>.043</t>
  </si>
  <si>
    <t>.007</t>
  </si>
  <si>
    <t>Котельная № 4-2 с. Песочное</t>
  </si>
  <si>
    <t>с Песочное</t>
  </si>
  <si>
    <t>36604430101</t>
  </si>
  <si>
    <t>1.032</t>
  </si>
  <si>
    <t>.0248</t>
  </si>
  <si>
    <t>Котельная № 4-32 п. Залесье</t>
  </si>
  <si>
    <t>п Залесье</t>
  </si>
  <si>
    <t>36604436106</t>
  </si>
  <si>
    <t>п. Залесье</t>
  </si>
  <si>
    <t>[Уголь антрацит]</t>
  </si>
  <si>
    <t>Котельная № 4-16 п. Прибой</t>
  </si>
  <si>
    <t>п Прибой</t>
  </si>
  <si>
    <t>36604436101</t>
  </si>
  <si>
    <t>ул. Гаражная</t>
  </si>
  <si>
    <t>2.064</t>
  </si>
  <si>
    <t>.25</t>
  </si>
  <si>
    <t>https://portal.eias.ru/Portal/DownloadPage.aspx?type=12&amp;guid=30a7ada1-6e65-4ad8-9935-33b206fe326d</t>
  </si>
  <si>
    <t>000181-21</t>
  </si>
  <si>
    <t>.56</t>
  </si>
  <si>
    <t>https://portal.eias.ru/Portal/DownloadPage.aspx?type=12&amp;guid=84b59ff3-de05-4729-bdc5-777e2a38c9b8</t>
  </si>
  <si>
    <t>2021-000133_000677-21</t>
  </si>
  <si>
    <t>28.12.2021</t>
  </si>
  <si>
    <t>1.85</t>
  </si>
  <si>
    <t>.12</t>
  </si>
  <si>
    <t>Котельная № 5-1 п.Журавли</t>
  </si>
  <si>
    <t>п Журавли</t>
  </si>
  <si>
    <t>36614404111</t>
  </si>
  <si>
    <t>ул. Школьная/Молодежная</t>
  </si>
  <si>
    <t>https://portal.eias.ru/Portal/DownloadPage.aspx?type=12&amp;guid=ed3571b6-1c4b-4a43-8985-073883d5cd60</t>
  </si>
  <si>
    <t>2022-000064_2022-000475</t>
  </si>
  <si>
    <t>.0655</t>
  </si>
  <si>
    <t>000191-21</t>
  </si>
  <si>
    <t>Котельная № 5-2 с. Калинка</t>
  </si>
  <si>
    <t>п Калинка</t>
  </si>
  <si>
    <t>36614416106</t>
  </si>
  <si>
    <t>https://portal.eias.ru/Portal/DownloadPage.aspx?type=12&amp;guid=9fa18518-e820-4c23-9606-82a1c8c0b2e6</t>
  </si>
  <si>
    <t>.6192</t>
  </si>
  <si>
    <t>.2019</t>
  </si>
  <si>
    <t>4.386</t>
  </si>
  <si>
    <t>1.468</t>
  </si>
  <si>
    <t>Котельная № 5-8 с. Яицкое</t>
  </si>
  <si>
    <t>с Яицкое, ул. Яицкая</t>
  </si>
  <si>
    <t>1.7888</t>
  </si>
  <si>
    <t>.2968</t>
  </si>
  <si>
    <t>Котельная № 5-4 с. Сухая Вязовка</t>
  </si>
  <si>
    <t>с Сухая Вязовка</t>
  </si>
  <si>
    <t>36614448101</t>
  </si>
  <si>
    <t>.0597</t>
  </si>
  <si>
    <t>Котельная № 5-5 с. Сухая Вязовка</t>
  </si>
  <si>
    <t>.2064</t>
  </si>
  <si>
    <t>.15</t>
  </si>
  <si>
    <t>Котельная № 5-6 с. Черноречье</t>
  </si>
  <si>
    <t>с Черноречье</t>
  </si>
  <si>
    <t>36614456101</t>
  </si>
  <si>
    <t>.86</t>
  </si>
  <si>
    <t>.275</t>
  </si>
  <si>
    <t>Котельная № 5-7 с. Черноречье</t>
  </si>
  <si>
    <t>ул. Кустарная</t>
  </si>
  <si>
    <t>.1892</t>
  </si>
  <si>
    <t>.0549</t>
  </si>
  <si>
    <t>Котельная № 1-20 с. Никитинка</t>
  </si>
  <si>
    <t>ул. Рабочая</t>
  </si>
  <si>
    <t>https://portal.eias.ru/Portal/DownloadPage.aspx?type=12&amp;guid=9312979f-cc97-4609-b23f-578e723e892e</t>
  </si>
  <si>
    <t>000175-21</t>
  </si>
  <si>
    <t>.9632</t>
  </si>
  <si>
    <t>.67</t>
  </si>
  <si>
    <t>https://portal.eias.ru/Portal/DownloadPage.aspx?type=12&amp;guid=9f9e32ec-88fd-4ed6-93b0-9032e47ee802</t>
  </si>
  <si>
    <t>2022-000108_2022-000636</t>
  </si>
  <si>
    <t>05.12.2022</t>
  </si>
  <si>
    <t>Котельная № 1-2 с. Исаклы</t>
  </si>
  <si>
    <t>https://portal.eias.ru/Portal/DownloadPage.aspx?type=12&amp;guid=74fd7845-c9db-4791-8515-45f8d2a9a8ec</t>
  </si>
  <si>
    <t>2022-000067_2022-000481</t>
  </si>
  <si>
    <t>1.548</t>
  </si>
  <si>
    <t>.957</t>
  </si>
  <si>
    <t>https://portal.eias.ru/Portal/DownloadPage.aspx?type=12&amp;guid=e6e2ed96-c71c-4cb7-9c04-1a787cceeba0</t>
  </si>
  <si>
    <t>000186-21</t>
  </si>
  <si>
    <t>3.105</t>
  </si>
  <si>
    <t>Котельная № 6-22 с. Александровка</t>
  </si>
  <si>
    <t>36620404101</t>
  </si>
  <si>
    <t>ул. Спортивная</t>
  </si>
  <si>
    <t>https://portal.eias.ru/Portal/DownloadPage.aspx?type=12&amp;guid=f8a2360f-ab9d-4576-9fcd-d39af4ef2a81</t>
  </si>
  <si>
    <t>000173-21</t>
  </si>
  <si>
    <t>1.314</t>
  </si>
  <si>
    <t>https://portal.eias.ru/Portal/DownloadPage.aspx?type=12&amp;guid=20c844cf-2477-4409-95a2-96aa541ae753</t>
  </si>
  <si>
    <t>2022-000066_2022-000478</t>
  </si>
  <si>
    <t>Котельная № 6-8 с. Дубовый Колок</t>
  </si>
  <si>
    <t>п Дубовый Колок</t>
  </si>
  <si>
    <t>36620408111</t>
  </si>
  <si>
    <t>8 а</t>
  </si>
  <si>
    <t>.086</t>
  </si>
  <si>
    <t>.08</t>
  </si>
  <si>
    <t>Котельная № 6-7 с. Березняки</t>
  </si>
  <si>
    <t>с Березняки</t>
  </si>
  <si>
    <t>36620408101</t>
  </si>
  <si>
    <t>ул. Первомайская</t>
  </si>
  <si>
    <t>.7568</t>
  </si>
  <si>
    <t>.76</t>
  </si>
  <si>
    <t>Котельная № 6-37 с. Вязники</t>
  </si>
  <si>
    <t>п Вязники</t>
  </si>
  <si>
    <t>36620420106</t>
  </si>
  <si>
    <t>.17</t>
  </si>
  <si>
    <t>Котельная № 6-34 с. Ерзовка</t>
  </si>
  <si>
    <t>с Ерзовка</t>
  </si>
  <si>
    <t>36620420101</t>
  </si>
  <si>
    <t>66 б</t>
  </si>
  <si>
    <t>.6794</t>
  </si>
  <si>
    <t>.237</t>
  </si>
  <si>
    <t>Котельная № 6-35 с. Коханы (КЦД)</t>
  </si>
  <si>
    <t>ТИ</t>
  </si>
  <si>
    <t>с Коханы</t>
  </si>
  <si>
    <t>36620420111</t>
  </si>
  <si>
    <t>32 а</t>
  </si>
  <si>
    <t>.033</t>
  </si>
  <si>
    <t>Котельная № 6-36 с. Полудни (школа)</t>
  </si>
  <si>
    <t>с Полудни</t>
  </si>
  <si>
    <t>36620420116</t>
  </si>
  <si>
    <t>1 б</t>
  </si>
  <si>
    <t>.129</t>
  </si>
  <si>
    <t>.103</t>
  </si>
  <si>
    <t>Котельная № 6-25 с. Богородское</t>
  </si>
  <si>
    <t>с Богородское</t>
  </si>
  <si>
    <t>36620428106</t>
  </si>
  <si>
    <t>.1634</t>
  </si>
  <si>
    <t>.1586</t>
  </si>
  <si>
    <t>Котельная № 6-26 с. Богородское</t>
  </si>
  <si>
    <t>159 а</t>
  </si>
  <si>
    <t>.085</t>
  </si>
  <si>
    <t>Котельная № 6-24 с. Кабановка</t>
  </si>
  <si>
    <t>с Кабановка</t>
  </si>
  <si>
    <t>36620428101</t>
  </si>
  <si>
    <t>ул. Крыгина</t>
  </si>
  <si>
    <t>1 ж</t>
  </si>
  <si>
    <t>.2408</t>
  </si>
  <si>
    <t>.2389</t>
  </si>
  <si>
    <t>Котельная № 6-23 с. Б. Сарбай</t>
  </si>
  <si>
    <t>с Сарбай</t>
  </si>
  <si>
    <t>36620428116</t>
  </si>
  <si>
    <t>ул. Черемушки</t>
  </si>
  <si>
    <t>2 а</t>
  </si>
  <si>
    <t>.161</t>
  </si>
  <si>
    <t>Котельная № 6-1 с. Кинель-Черкассы</t>
  </si>
  <si>
    <t>с Кинель-Черкассы</t>
  </si>
  <si>
    <t>36620432101</t>
  </si>
  <si>
    <t>ул. Революционная</t>
  </si>
  <si>
    <t>.368</t>
  </si>
  <si>
    <t>Котельная № 6-11 с. Кинель-Черкассы (УФМС)</t>
  </si>
  <si>
    <t>ул. Красноармейская</t>
  </si>
  <si>
    <t>.017</t>
  </si>
  <si>
    <t>.0175</t>
  </si>
  <si>
    <t>Котельная № 6-12 с. Кинель-Черкассы (Д/с Голубь)</t>
  </si>
  <si>
    <t>ул. Нефтянников</t>
  </si>
  <si>
    <t>.0202</t>
  </si>
  <si>
    <t>Котельная № 6-13 с. Кинель-Черкассы (Д/с Огонек)</t>
  </si>
  <si>
    <t>ул. Авиационная</t>
  </si>
  <si>
    <t>7 в</t>
  </si>
  <si>
    <t>.0775</t>
  </si>
  <si>
    <t>Котельная № 6-33 с. Кинель-Черкассы</t>
  </si>
  <si>
    <t>ул. Механизаторов</t>
  </si>
  <si>
    <t>.1617</t>
  </si>
  <si>
    <t>Котельная № 6-5 с. Кинель-Черкассы (ГИБДД)</t>
  </si>
  <si>
    <t>.04</t>
  </si>
  <si>
    <t>.042</t>
  </si>
  <si>
    <t>Котельная № 6-6 с. Кинель-Черкассы (библиотека)</t>
  </si>
  <si>
    <t>115 а</t>
  </si>
  <si>
    <t>Котельная № 6-10 с. Красная Горка</t>
  </si>
  <si>
    <t>с Красная Горка</t>
  </si>
  <si>
    <t>36620440101</t>
  </si>
  <si>
    <t>ул. Чапаевская</t>
  </si>
  <si>
    <t>.258</t>
  </si>
  <si>
    <t>Котельная № 6-9 с. Семеновка</t>
  </si>
  <si>
    <t>с Семеновка</t>
  </si>
  <si>
    <t>36620440116</t>
  </si>
  <si>
    <t>2 б</t>
  </si>
  <si>
    <t>.32</t>
  </si>
  <si>
    <t>Котельная № 6-19 с. Кротовка (АПС)</t>
  </si>
  <si>
    <t>с Кротовка</t>
  </si>
  <si>
    <t>36620444101</t>
  </si>
  <si>
    <t>ул. Дачная</t>
  </si>
  <si>
    <t>.2517</t>
  </si>
  <si>
    <t>Котельная № 6-20 с. Кротовка (ЛПДС)</t>
  </si>
  <si>
    <t>3.87</t>
  </si>
  <si>
    <t>2.08</t>
  </si>
  <si>
    <t>Котельная № 6-21 с. Кротовка (Больница)</t>
  </si>
  <si>
    <t>ул. Мичуринская</t>
  </si>
  <si>
    <t>.7998</t>
  </si>
  <si>
    <t>.796</t>
  </si>
  <si>
    <t>Котельная № 6-15 с. Муханово</t>
  </si>
  <si>
    <t>с Муханово</t>
  </si>
  <si>
    <t>36620448101</t>
  </si>
  <si>
    <t>ул. Больничная</t>
  </si>
  <si>
    <t>.0688</t>
  </si>
  <si>
    <t>.064</t>
  </si>
  <si>
    <t>Котельная № 6-16 с. Муханово (школа)</t>
  </si>
  <si>
    <t>1/1</t>
  </si>
  <si>
    <t>.0642</t>
  </si>
  <si>
    <t>Котельная № 6-17 с. Муханово (клуб)</t>
  </si>
  <si>
    <t>1/1 а</t>
  </si>
  <si>
    <t>.0831</t>
  </si>
  <si>
    <t>Котельная № 6-18 с. Муханово (ж/дом)</t>
  </si>
  <si>
    <t>1/1 б</t>
  </si>
  <si>
    <t>.1133</t>
  </si>
  <si>
    <t>Котельная № 6-27 с. Лозовка</t>
  </si>
  <si>
    <t>с Лозовка</t>
  </si>
  <si>
    <t>36620452111</t>
  </si>
  <si>
    <t>4 а</t>
  </si>
  <si>
    <t>.13</t>
  </si>
  <si>
    <t>Котельная № 6-28 с. Лозовка (клуб)</t>
  </si>
  <si>
    <t>.104</t>
  </si>
  <si>
    <t>Котельная № 6-29 с. Новые Ключи (школа)</t>
  </si>
  <si>
    <t>с Новые Ключи</t>
  </si>
  <si>
    <t>36620452101</t>
  </si>
  <si>
    <t>38 а</t>
  </si>
  <si>
    <t>.1283</t>
  </si>
  <si>
    <t>Котельная № 6-30 с. Новые Ключи (клуб)</t>
  </si>
  <si>
    <t>.168</t>
  </si>
  <si>
    <t>Котельная № 6-3 п. Садгород</t>
  </si>
  <si>
    <t>п Садгород</t>
  </si>
  <si>
    <t>36620458101</t>
  </si>
  <si>
    <t>ул. Ленина</t>
  </si>
  <si>
    <t>4.128</t>
  </si>
  <si>
    <t>4.117</t>
  </si>
  <si>
    <t>Котельная № 6-2 п. Репьевка</t>
  </si>
  <si>
    <t>с Репьевка</t>
  </si>
  <si>
    <t>36620458116</t>
  </si>
  <si>
    <t>ул. Победы</t>
  </si>
  <si>
    <t>.328</t>
  </si>
  <si>
    <t>Котельная № 6-14 с. Тимашево (школа)</t>
  </si>
  <si>
    <t>с Тимашево</t>
  </si>
  <si>
    <t>36620466101</t>
  </si>
  <si>
    <t>31 а</t>
  </si>
  <si>
    <t>.6117</t>
  </si>
  <si>
    <t>Котельная № 6-4 п. Тимашево</t>
  </si>
  <si>
    <t>15 д</t>
  </si>
  <si>
    <t>.513</t>
  </si>
  <si>
    <t>Котельная № 6-31 п. Первомайский</t>
  </si>
  <si>
    <t>п Первомайский</t>
  </si>
  <si>
    <t>36620468106</t>
  </si>
  <si>
    <t>Котельная № 6-32 с. Черновка</t>
  </si>
  <si>
    <t>с Черновка</t>
  </si>
  <si>
    <t>36620468101</t>
  </si>
  <si>
    <t>.2494</t>
  </si>
  <si>
    <t>.24</t>
  </si>
  <si>
    <t>https://portal.eias.ru/Portal/DownloadPage.aspx?type=12&amp;guid=ff53d162-5a4f-4984-81d0-8712ea3098e6</t>
  </si>
  <si>
    <t>000165-21</t>
  </si>
  <si>
    <t>2.795</t>
  </si>
  <si>
    <t>1.037</t>
  </si>
  <si>
    <t>https://portal.eias.ru/Portal/DownloadPage.aspx?type=12&amp;guid=1f84a5fc-9132-4d13-890a-2c618762cf78</t>
  </si>
  <si>
    <t>2021-000135_000679-21</t>
  </si>
  <si>
    <t>Котельная № 1-3 с. Б. Константиновка</t>
  </si>
  <si>
    <t>с Большая Константиновка</t>
  </si>
  <si>
    <t>36624408101</t>
  </si>
  <si>
    <t>54а</t>
  </si>
  <si>
    <t>https://portal.eias.ru/Portal/DownloadPage.aspx?type=12&amp;guid=d00c9caf-4202-44f1-bab8-6a9cbdbe41b4</t>
  </si>
  <si>
    <t>2022-000070_2022-000484</t>
  </si>
  <si>
    <t>.159</t>
  </si>
  <si>
    <t>https://portal.eias.ru/Portal/DownloadPage.aspx?type=12&amp;guid=338d1e06-05d6-4af6-9411-0651a30026e5</t>
  </si>
  <si>
    <t>000172-21</t>
  </si>
  <si>
    <t>Котельная № 1-4 с. Б. Константиновка</t>
  </si>
  <si>
    <t>52а</t>
  </si>
  <si>
    <t>.1</t>
  </si>
  <si>
    <t>Котельная № 1-18 ст. Погрузная № 1</t>
  </si>
  <si>
    <t>ж/д ст Погрузная</t>
  </si>
  <si>
    <t>36624432106</t>
  </si>
  <si>
    <t>ж/д_ст. Погрузная</t>
  </si>
  <si>
    <t>.135</t>
  </si>
  <si>
    <t>Котельная № 1-19ст. Погрузная №2</t>
  </si>
  <si>
    <t>.144</t>
  </si>
  <si>
    <t>Котельная № 1-16 с. Кошки (д/с Теремок)</t>
  </si>
  <si>
    <t>с Кошки</t>
  </si>
  <si>
    <t>36624432101</t>
  </si>
  <si>
    <t>с. Кошки</t>
  </si>
  <si>
    <t>.127</t>
  </si>
  <si>
    <t>Котельная № 1-17 с. Кошки (д/с Радуга)</t>
  </si>
  <si>
    <t>Котельная № 1-5 с. Кошки</t>
  </si>
  <si>
    <t>.0617</t>
  </si>
  <si>
    <t>Котельная № 1-8 с. Рахмановка</t>
  </si>
  <si>
    <t>д Рахмановка</t>
  </si>
  <si>
    <t>36624452151</t>
  </si>
  <si>
    <t>6г</t>
  </si>
  <si>
    <t>.048</t>
  </si>
  <si>
    <t>Котельная № 1-7 с. Новое Фезуйлово</t>
  </si>
  <si>
    <t>д Новое Фейзуллово</t>
  </si>
  <si>
    <t>36624416126</t>
  </si>
  <si>
    <t>ул.Центральная</t>
  </si>
  <si>
    <t>Котельная № 1-6 с. Мамыково</t>
  </si>
  <si>
    <t>с Мамыково</t>
  </si>
  <si>
    <t>36624416116</t>
  </si>
  <si>
    <t>Котельная № 1-10 с. Русская Васильева</t>
  </si>
  <si>
    <t>с Русская Васильевка</t>
  </si>
  <si>
    <t>36624416101</t>
  </si>
  <si>
    <t>.16</t>
  </si>
  <si>
    <t>Котельная № 1-9 с. Русская Васильева</t>
  </si>
  <si>
    <t>ул. Луговая</t>
  </si>
  <si>
    <t>.2365</t>
  </si>
  <si>
    <t>.188</t>
  </si>
  <si>
    <t>Котельная № 1-14 с. Тенеево</t>
  </si>
  <si>
    <t>с Тенеево</t>
  </si>
  <si>
    <t>36624416131</t>
  </si>
  <si>
    <t>Котельная № 1-15 с. Тенеево</t>
  </si>
  <si>
    <t>.03</t>
  </si>
  <si>
    <t>Котельная № 1-11 с. Ст. Ивановка</t>
  </si>
  <si>
    <t>с Старая Ивановка</t>
  </si>
  <si>
    <t>36624484151</t>
  </si>
  <si>
    <t>4а</t>
  </si>
  <si>
    <t>.045</t>
  </si>
  <si>
    <t>Котельная № 1-12 с. Ст. Ивановка</t>
  </si>
  <si>
    <t>2а</t>
  </si>
  <si>
    <t>Котельная № 1-13 с. Ст. Ивановка</t>
  </si>
  <si>
    <t>3а</t>
  </si>
  <si>
    <t>https://portal.eias.ru/Portal/DownloadPage.aspx?type=12&amp;guid=c458c684-a65a-445d-b89d-e354c2321099</t>
  </si>
  <si>
    <t>000182-21</t>
  </si>
  <si>
    <t>.2748</t>
  </si>
  <si>
    <t>https://portal.eias.ru/Portal/DownloadPage.aspx?type=12&amp;guid=ac3f4ddd-4a6e-4201-ba6e-44c69076c03a</t>
  </si>
  <si>
    <t>2022-000092_2022-000580</t>
  </si>
  <si>
    <t>24.12.2022</t>
  </si>
  <si>
    <t>Котельная № 5-11 с. Дмитриевка</t>
  </si>
  <si>
    <t>.0456</t>
  </si>
  <si>
    <t>https://portal.eias.ru/Portal/DownloadPage.aspx?type=12&amp;guid=fbe8b126-0260-44a2-8b00-a45fc8e42625</t>
  </si>
  <si>
    <t>000174-21</t>
  </si>
  <si>
    <t>1.78</t>
  </si>
  <si>
    <t>https://portal.eias.ru/Portal/DownloadPage.aspx?type=12&amp;guid=9e91ac33-57a0-45c0-9b5b-a1c286ede664</t>
  </si>
  <si>
    <t>2021-000137_000681-21</t>
  </si>
  <si>
    <t>Котельная № 6-40 с. Красные Ключи</t>
  </si>
  <si>
    <t>с Красные Ключи</t>
  </si>
  <si>
    <t>36634426101</t>
  </si>
  <si>
    <t>14 б</t>
  </si>
  <si>
    <t>https://portal.eias.ru/Portal/DownloadPage.aspx?type=12&amp;guid=6b4cf4d3-3413-4705-9ba2-2109f76b79c0</t>
  </si>
  <si>
    <t>000197-21</t>
  </si>
  <si>
    <t>.26</t>
  </si>
  <si>
    <t>https://portal.eias.ru/Portal/DownloadPage.aspx?type=12&amp;guid=3fa82a31-d157-45b2-bb27-a273c1d45de0</t>
  </si>
  <si>
    <t>2021-000138_000682-21</t>
  </si>
  <si>
    <t>Котельная № 6-41 с. Кротково</t>
  </si>
  <si>
    <t>с Кротково</t>
  </si>
  <si>
    <t>36634428101</t>
  </si>
  <si>
    <t>с. Кротково</t>
  </si>
  <si>
    <t>.7224</t>
  </si>
  <si>
    <t>.39</t>
  </si>
  <si>
    <t>Котельная № 6-42 с. Первомайский</t>
  </si>
  <si>
    <t>с Первомайск</t>
  </si>
  <si>
    <t>36634436106</t>
  </si>
  <si>
    <t>.19</t>
  </si>
  <si>
    <t>Котельная № 6-39 с. Среднее Аверкино</t>
  </si>
  <si>
    <t>64 б</t>
  </si>
  <si>
    <t>.116</t>
  </si>
  <si>
    <t>Котельная № 7-5 п. Ильмень</t>
  </si>
  <si>
    <t>п Ильмень</t>
  </si>
  <si>
    <t>36636406101</t>
  </si>
  <si>
    <t>https://portal.eias.ru/Portal/DownloadPage.aspx?type=12&amp;guid=6e1bb732-906f-4b58-9219-841ab252723b</t>
  </si>
  <si>
    <t>2022-000069_2022-000483</t>
  </si>
  <si>
    <t>1.28312</t>
  </si>
  <si>
    <t>https://portal.eias.ru/Portal/DownloadPage.aspx?type=12&amp;guid=1b462e15-3589-4e6b-9217-5d50ba8e5234</t>
  </si>
  <si>
    <t>000177-21</t>
  </si>
  <si>
    <t>Котельная № 7-6 п. Ильмень</t>
  </si>
  <si>
    <t>ул. Почтовая</t>
  </si>
  <si>
    <t>.14663</t>
  </si>
  <si>
    <t>Котельная № 7-7 п. Ильмень</t>
  </si>
  <si>
    <t>.31198</t>
  </si>
  <si>
    <t>Котельная № 7-10 п. Новоспасский</t>
  </si>
  <si>
    <t>п Новоспасский</t>
  </si>
  <si>
    <t>36636415101</t>
  </si>
  <si>
    <t>пер. Пугачева</t>
  </si>
  <si>
    <t>3.6292</t>
  </si>
  <si>
    <t>.87746</t>
  </si>
  <si>
    <t>Котельная № 7-11 п. Новоспасский</t>
  </si>
  <si>
    <t>.5343</t>
  </si>
  <si>
    <t>Котельная № 7-12 п. Новоспасский</t>
  </si>
  <si>
    <t>2.15</t>
  </si>
  <si>
    <t>.75526</t>
  </si>
  <si>
    <t>Котельная № 7-8 п. Новоспасский</t>
  </si>
  <si>
    <t>1.7329</t>
  </si>
  <si>
    <t>1.12772</t>
  </si>
  <si>
    <t>Котельная № 7-9 п. Новоспасский</t>
  </si>
  <si>
    <t>ул. Магистральная</t>
  </si>
  <si>
    <t>1.0257</t>
  </si>
  <si>
    <t>Котельная № 7-13 с. Обшаровка</t>
  </si>
  <si>
    <t>с Обшаровка</t>
  </si>
  <si>
    <t>36636408101</t>
  </si>
  <si>
    <t>ул. Лычева</t>
  </si>
  <si>
    <t>4.4376</t>
  </si>
  <si>
    <t>1.76086</t>
  </si>
  <si>
    <t>Котельная № 7-14 с. Обшаровка</t>
  </si>
  <si>
    <t>ул. Терешковой</t>
  </si>
  <si>
    <t>.731</t>
  </si>
  <si>
    <t>.95602</t>
  </si>
  <si>
    <t>Котельная № 7-15 с. Обшаровка</t>
  </si>
  <si>
    <t>.5418</t>
  </si>
  <si>
    <t>.464</t>
  </si>
  <si>
    <t>Котельная № 7-16 с. Обшаровка</t>
  </si>
  <si>
    <t>ул. Строителей</t>
  </si>
  <si>
    <t>.13387</t>
  </si>
  <si>
    <t>Котельная № 7-17 с. Обшаровка</t>
  </si>
  <si>
    <t>Котельная № 7-18 с. Обшаровка</t>
  </si>
  <si>
    <t>ул. Щорса</t>
  </si>
  <si>
    <t>5.633</t>
  </si>
  <si>
    <t>1.96093</t>
  </si>
  <si>
    <t>Котельная № 7-1 с. Приволжье</t>
  </si>
  <si>
    <t>с Приволжье</t>
  </si>
  <si>
    <t>36636412101</t>
  </si>
  <si>
    <t>ул Парковая</t>
  </si>
  <si>
    <t>21.156</t>
  </si>
  <si>
    <t>15.453</t>
  </si>
  <si>
    <t>Котельная № 7-2 с. Приволжье</t>
  </si>
  <si>
    <t>ул. Комарова</t>
  </si>
  <si>
    <t>.02924</t>
  </si>
  <si>
    <t>.02828</t>
  </si>
  <si>
    <t>Котельная № 7-3 с. Приволжье</t>
  </si>
  <si>
    <t>Котельная № 7-4 с. Приволжье</t>
  </si>
  <si>
    <t>.0602</t>
  </si>
  <si>
    <t>https://portal.eias.ru/Portal/DownloadPage.aspx?type=12&amp;guid=af639778-2203-4770-87fa-59bd70b4f73e</t>
  </si>
  <si>
    <t>000190-21</t>
  </si>
  <si>
    <t>.0846</t>
  </si>
  <si>
    <t>https://portal.eias.ru/Portal/DownloadPage.aspx?type=12&amp;guid=001ea4a7-cae6-4b59-8e4a-81397225bcd6</t>
  </si>
  <si>
    <t>2022-000098_2022-000590</t>
  </si>
  <si>
    <t>Котельная № 2-2 с. В.Белозерки</t>
  </si>
  <si>
    <t>ул. Щербакова</t>
  </si>
  <si>
    <t>.1171</t>
  </si>
  <si>
    <t>Котельная № 2-3 с. В.Белозерки</t>
  </si>
  <si>
    <t>пер. Восточный</t>
  </si>
  <si>
    <t>.43</t>
  </si>
  <si>
    <t>.1708</t>
  </si>
  <si>
    <t>Котельная № 2-4 с. В.Белозерки</t>
  </si>
  <si>
    <t>пер. Западный</t>
  </si>
  <si>
    <t>.1423</t>
  </si>
  <si>
    <t>https://portal.eias.ru/Portal/DownloadPage.aspx?type=12&amp;guid=be443ede-57dc-4cee-ac38-a61a83b26292</t>
  </si>
  <si>
    <t>2022-000109_2022-000637</t>
  </si>
  <si>
    <t>.1167</t>
  </si>
  <si>
    <t>https://portal.eias.ru/Portal/DownloadPage.aspx?type=12&amp;guid=bafe9957-853c-4f70-a119-4df2bebbdf2c</t>
  </si>
  <si>
    <t>000167-21</t>
  </si>
  <si>
    <t>Котельная № 4-35 с. Новотулка</t>
  </si>
  <si>
    <t>с Новотулка</t>
  </si>
  <si>
    <t>36644420101</t>
  </si>
  <si>
    <t>ул. Максима Горького</t>
  </si>
  <si>
    <t>.1219</t>
  </si>
  <si>
    <t>Котельная № 11-21 пос. Береговой</t>
  </si>
  <si>
    <t>п Береговой</t>
  </si>
  <si>
    <t>36650416101</t>
  </si>
  <si>
    <t>3 а</t>
  </si>
  <si>
    <t>https://portal.eias.ru/Portal/DownloadPage.aspx?type=12&amp;guid=f3ee2e61-3e49-4777-937c-75c8c1fdccd3</t>
  </si>
  <si>
    <t>акт приёма-передачи</t>
  </si>
  <si>
    <t>собственность</t>
  </si>
  <si>
    <t>0000-000044</t>
  </si>
  <si>
    <t>30.05.2018</t>
  </si>
  <si>
    <t>.0817</t>
  </si>
  <si>
    <t>.0807</t>
  </si>
  <si>
    <t>Котельная № 11-22 пос. Береговой</t>
  </si>
  <si>
    <t>0000-000043</t>
  </si>
  <si>
    <t>Котельная № 11-23 пос. Береговой</t>
  </si>
  <si>
    <t>ул. Торговая</t>
  </si>
  <si>
    <t>6 а</t>
  </si>
  <si>
    <t>0000-000041</t>
  </si>
  <si>
    <t>.163</t>
  </si>
  <si>
    <t>.1323</t>
  </si>
  <si>
    <t>Котельная № 11-24 пос. Береговой</t>
  </si>
  <si>
    <t>0000-000042</t>
  </si>
  <si>
    <t>.0587</t>
  </si>
  <si>
    <t>https://portal.eias.ru/Portal/DownloadPage.aspx?type=12&amp;guid=89784bba-eef2-4175-973c-464cbd17d28c</t>
  </si>
  <si>
    <t>2022-000107_2022-000635</t>
  </si>
  <si>
    <t>.0737</t>
  </si>
  <si>
    <t>https://portal.eias.ru/Portal/DownloadPage.aspx?type=12&amp;guid=f1f1f956-ae99-4a20-bd2a-24154b726a92</t>
  </si>
  <si>
    <t>000183-21</t>
  </si>
  <si>
    <t>Котельная № 11-12 п. Пионерский</t>
  </si>
  <si>
    <t>п Пионерский</t>
  </si>
  <si>
    <t>36650420101</t>
  </si>
  <si>
    <t>20 б</t>
  </si>
  <si>
    <t>0000-000050</t>
  </si>
  <si>
    <t>Котельная № 11-13 п. Пионерский</t>
  </si>
  <si>
    <t>ул. Гагарина</t>
  </si>
  <si>
    <t>10 б</t>
  </si>
  <si>
    <t>0000-000045</t>
  </si>
  <si>
    <t>.1332</t>
  </si>
  <si>
    <t>Котельная № 11-14 п. Пионерский</t>
  </si>
  <si>
    <t>23 а</t>
  </si>
  <si>
    <t>0000-000051</t>
  </si>
  <si>
    <t>.1331</t>
  </si>
  <si>
    <t>Котельная № 11-15 п. Пионерский</t>
  </si>
  <si>
    <t>15 а</t>
  </si>
  <si>
    <t>0000-000047</t>
  </si>
  <si>
    <t>.0778</t>
  </si>
  <si>
    <t>Котельная № 11-16 п. Пионерский</t>
  </si>
  <si>
    <t>0000-000052</t>
  </si>
  <si>
    <t>Котельная № 11-17 п. Пионерский</t>
  </si>
  <si>
    <t>14 а</t>
  </si>
  <si>
    <t>0000-000046</t>
  </si>
  <si>
    <t>.1235</t>
  </si>
  <si>
    <t>.0558</t>
  </si>
  <si>
    <t>Котельная № 11-18 п. Пионерский</t>
  </si>
  <si>
    <t>ул. Кооперативная</t>
  </si>
  <si>
    <t>0000-000049</t>
  </si>
  <si>
    <t>Котельная № 11-19 п. Пионерский</t>
  </si>
  <si>
    <t>18 а</t>
  </si>
  <si>
    <t>0000-000048</t>
  </si>
  <si>
    <t>.1462</t>
  </si>
  <si>
    <t>.128</t>
  </si>
  <si>
    <t>Котельная № 11-31 с. С.Байдеряково</t>
  </si>
  <si>
    <t>с Байдеряково</t>
  </si>
  <si>
    <t>36650432106</t>
  </si>
  <si>
    <t>112 а</t>
  </si>
  <si>
    <t>0000-000040</t>
  </si>
  <si>
    <t>.0645</t>
  </si>
  <si>
    <t>.0636</t>
  </si>
  <si>
    <t>Котельная № 11-25 с. Суринск</t>
  </si>
  <si>
    <t>с Суринск</t>
  </si>
  <si>
    <t>36650432101</t>
  </si>
  <si>
    <t>ул. Нагорная</t>
  </si>
  <si>
    <t>34 а</t>
  </si>
  <si>
    <t>0000-000055</t>
  </si>
  <si>
    <t>Котельная № 11-26 с. Суринск</t>
  </si>
  <si>
    <t>37 а</t>
  </si>
  <si>
    <t>0000-000056</t>
  </si>
  <si>
    <t>.156</t>
  </si>
  <si>
    <t>Котельная № 11-27 с. Суринск</t>
  </si>
  <si>
    <t>ул. Мельничная</t>
  </si>
  <si>
    <t>47 а</t>
  </si>
  <si>
    <t>0000-000057</t>
  </si>
  <si>
    <t>Котельная № 11-28 с. Суринск</t>
  </si>
  <si>
    <t>48 а</t>
  </si>
  <si>
    <t>0000-000054</t>
  </si>
  <si>
    <t>.02763</t>
  </si>
  <si>
    <t>Котельная № 8-4 пос.Гранный</t>
  </si>
  <si>
    <t>г Новокуйбышевск</t>
  </si>
  <si>
    <t>36713000001</t>
  </si>
  <si>
    <t>пос. Гранный</t>
  </si>
  <si>
    <t>https://portal.eias.ru/Portal/DownloadPage.aspx?type=12&amp;guid=87f3f3c4-c478-4d13-a947-10b7380abeb8</t>
  </si>
  <si>
    <t>000159-21</t>
  </si>
  <si>
    <t>.429</t>
  </si>
  <si>
    <t>https://portal.eias.ru/Portal/DownloadPage.aspx?type=12&amp;guid=b9bd89e9-a458-488d-9471-2245e825f58b</t>
  </si>
  <si>
    <t>2022-000093_2022-000581</t>
  </si>
  <si>
    <t>Котельная № 8-2 пос.Маяк</t>
  </si>
  <si>
    <t>п Маяк</t>
  </si>
  <si>
    <t>36713000106</t>
  </si>
  <si>
    <t>ул.Дорожная</t>
  </si>
  <si>
    <t>1В</t>
  </si>
  <si>
    <t>3.2852</t>
  </si>
  <si>
    <t>3.29</t>
  </si>
  <si>
    <t>Котельная № 8-3 пос. Шмидта</t>
  </si>
  <si>
    <t>п Шмидта</t>
  </si>
  <si>
    <t>36713000131</t>
  </si>
  <si>
    <t>4б</t>
  </si>
  <si>
    <t>.2579</t>
  </si>
  <si>
    <t>Котельная № 11-1 г.о. Октябрьск</t>
  </si>
  <si>
    <t>пос. Спортивный</t>
  </si>
  <si>
    <t>1а</t>
  </si>
  <si>
    <t>https://portal.eias.ru/Portal/DownloadPage.aspx?type=12&amp;guid=5120b118-f24d-43af-988d-63b82d87e7c9</t>
  </si>
  <si>
    <t>2022-000071_2022-000485</t>
  </si>
  <si>
    <t>3.0588</t>
  </si>
  <si>
    <t>https://portal.eias.ru/Portal/DownloadPage.aspx?type=12&amp;guid=3726ce9f-f2ad-4b37-9f23-f22b5f6a53aa</t>
  </si>
  <si>
    <t>000189-21</t>
  </si>
  <si>
    <t>Котельная № 11-2 г.о. Октябрьск</t>
  </si>
  <si>
    <t>ул. Пионерская</t>
  </si>
  <si>
    <t>3.956</t>
  </si>
  <si>
    <t>.1464</t>
  </si>
  <si>
    <t>Котельная № 11-3 г.о. Октябрьск</t>
  </si>
  <si>
    <t>ул. Куйбышева</t>
  </si>
  <si>
    <t>21а</t>
  </si>
  <si>
    <t>13.76</t>
  </si>
  <si>
    <t>5.006</t>
  </si>
  <si>
    <t>12.685</t>
  </si>
  <si>
    <t>1.9905</t>
  </si>
  <si>
    <t>Котельная № 11-5 г.о. Октябрьск</t>
  </si>
  <si>
    <t>ул. Вологина</t>
  </si>
  <si>
    <t>5.59</t>
  </si>
  <si>
    <t>1.372</t>
  </si>
  <si>
    <t>Котельная № 11-6 г.о. Октябрьск</t>
  </si>
  <si>
    <t>ул. Кирова</t>
  </si>
  <si>
    <t>.0485</t>
  </si>
  <si>
    <t>Котельная № 11-7 г.о. Октябрьск</t>
  </si>
  <si>
    <t>ул. Пролетарская</t>
  </si>
  <si>
    <t>.5074</t>
  </si>
  <si>
    <t>.14065</t>
  </si>
  <si>
    <t>Котельная № 11-8 г.о. Октябрьск</t>
  </si>
  <si>
    <t>ул. Красногорская</t>
  </si>
  <si>
    <t>.1408</t>
  </si>
  <si>
    <t>Котельная № 11-9 г.о. Октябрьск</t>
  </si>
  <si>
    <t>ул. Третьего Октября, правая Волга</t>
  </si>
  <si>
    <t>6.622</t>
  </si>
  <si>
    <t>.81732</t>
  </si>
  <si>
    <t>Котельная 60 МВТ г.о.Отрадный</t>
  </si>
  <si>
    <t>г Отрадный</t>
  </si>
  <si>
    <t>36724000001</t>
  </si>
  <si>
    <t>район ПМК-6 (I очередь)</t>
  </si>
  <si>
    <t>https://portal.eias.ru/Portal/DownloadPage.aspx?type=12&amp;guid=9faadbf4-ed0a-4ab1-bb2e-f444256d3015</t>
  </si>
  <si>
    <t>2023-000013_2023-000061</t>
  </si>
  <si>
    <t>07.02.2023</t>
  </si>
  <si>
    <t>20.9898477157</t>
  </si>
  <si>
    <t>Котельная № 6-44 г.о. Отрадный</t>
  </si>
  <si>
    <t>ЦЗН ул. Молодогвардейская</t>
  </si>
  <si>
    <t>https://portal.eias.ru/Portal/DownloadPage.aspx?type=12&amp;guid=156eab91-3945-434a-b373-fb94a76ffbcd</t>
  </si>
  <si>
    <t>2022-000100_2022-000593</t>
  </si>
  <si>
    <t>.024</t>
  </si>
  <si>
    <t>https://portal.eias.ru/Portal/DownloadPage.aspx?type=12&amp;guid=1f8d2582-1033-43bc-9ec6-4e029ef37efd</t>
  </si>
  <si>
    <t>000196-21</t>
  </si>
  <si>
    <t>Котельная № 6-43 г.о. Похвистнево, п. Венера</t>
  </si>
  <si>
    <t>г Похвистнево</t>
  </si>
  <si>
    <t>36727000001</t>
  </si>
  <si>
    <t>п. Венера</t>
  </si>
  <si>
    <t>https://portal.eias.ru/Portal/DownloadPage.aspx?type=12&amp;guid=0204d58a-467c-47a7-b84b-c54807760d05</t>
  </si>
  <si>
    <t>000192-21</t>
  </si>
  <si>
    <t>.602</t>
  </si>
  <si>
    <t>https://portal.eias.ru/Portal/DownloadPage.aspx?type=12&amp;guid=1bb5f55a-0ebd-406d-93ff-3bf8bcae7128</t>
  </si>
  <si>
    <t>2022-000101_2022-000594</t>
  </si>
  <si>
    <t>Котельная № 9-1 г. о. Самара</t>
  </si>
  <si>
    <t>36701310000</t>
  </si>
  <si>
    <t>18 км, Московское шоссе</t>
  </si>
  <si>
    <t>без торгов - исключение по статье 17.1 Федерального закона от 26.07.2006 N 135-ФЗ "О защите конкуренции"</t>
  </si>
  <si>
    <t>https://portal.eias.ru/Portal/DownloadPage.aspx?type=12&amp;guid=76352ed4-00db-4762-a7f8-813b14b1319b</t>
  </si>
  <si>
    <t>свидетельство</t>
  </si>
  <si>
    <t>63-АН № 183296</t>
  </si>
  <si>
    <t>24.03.2015</t>
  </si>
  <si>
    <t>51.59</t>
  </si>
  <si>
    <t>23.34</t>
  </si>
  <si>
    <t>Котельная № 9-2 г. о. Самара</t>
  </si>
  <si>
    <t>г Самара</t>
  </si>
  <si>
    <t>36701000001</t>
  </si>
  <si>
    <t>ул. С. Армии</t>
  </si>
  <si>
    <t>https://portal.eias.ru/Portal/DownloadPage.aspx?type=12&amp;guid=72a1de81-d4be-46ed-a249-053ee6cf3a00</t>
  </si>
  <si>
    <t>2022-000094_2022-000582</t>
  </si>
  <si>
    <t>1.2556</t>
  </si>
  <si>
    <t>.92</t>
  </si>
  <si>
    <t>000193-21</t>
  </si>
  <si>
    <t>Котельная № 9-4 г. о. Самара</t>
  </si>
  <si>
    <t>Московское шоссе (Ипподром)</t>
  </si>
  <si>
    <t>1.185</t>
  </si>
  <si>
    <t>https://portal.eias.ru/Portal/DownloadPage.aspx?type=12&amp;guid=7a912126-0b67-492c-a2de-a005143f5f69</t>
  </si>
  <si>
    <t>000160-21</t>
  </si>
  <si>
    <t>.1973</t>
  </si>
  <si>
    <t>https://portal.eias.ru/Portal/DownloadPage.aspx?type=12&amp;guid=3f07eb68-11cc-4038-8c2b-87e0adc731fc</t>
  </si>
  <si>
    <t>2022-000102_2022-000595</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</si>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</sst>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114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224"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8" fillId="0" borderId="0" xfId="0" applyFont="1" applyNumberFormat="1">
      <alignment horizontal="center" vertical="center" wrapText="1"/>
    </xf>
    <xf numFmtId="223" fontId="48"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22"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222"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7" borderId="64" xfId="0" applyFont="1" applyFill="1" applyBorder="1">
      <alignment horizontal="center" vertical="center" wrapText="1"/>
    </xf>
    <xf numFmtId="0" fontId="46" fillId="57" borderId="65" xfId="0" applyFont="1" applyFill="1" applyBorder="1">
      <alignment horizontal="center" vertical="center" wrapText="1"/>
    </xf>
    <xf numFmtId="0" fontId="46" fillId="57" borderId="66"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7"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8"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71"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49" fontId="22" fillId="0" borderId="0" xfId="0" applyFont="1" applyNumberFormat="1">
      <alignment horizontal="center" vertical="center" wrapText="1"/>
    </xf>
    <xf numFmtId="49" fontId="0" fillId="0" borderId="12" xfId="0" applyFont="1" applyBorder="1" applyNumberFormat="1">
      <alignment horizontal="left" vertical="center" wrapText="1"/>
    </xf>
    <xf numFmtId="0" fontId="22" fillId="0" borderId="13" xfId="0" applyFont="1" applyBorder="1">
      <alignment horizontal="center"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49" fontId="0"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222" fontId="22" fillId="0" borderId="12" xfId="0" applyFont="1" applyBorder="1" applyNumberFormat="1">
      <alignment horizontal="right" vertical="center"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8"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4"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0" fontId="0" fillId="36" borderId="12" xfId="0" applyFont="1" applyFill="1" applyBorder="1">
      <alignment horizontal="left" vertical="center" wrapText="1" indent="2"/>
      <protection locked="0"/>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0" fillId="56" borderId="0" xfId="0" applyFont="1" applyFill="1" applyNumberFormat="1">
      <alignment vertical="center" wrapText="1"/>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5"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1" fontId="22" fillId="39" borderId="17" xfId="0" applyFont="1" applyFill="1" applyBorder="1" applyNumberFormat="1">
      <alignment vertical="center" wrapText="1"/>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1" fontId="22" fillId="39" borderId="36" xfId="0" applyFont="1" applyFill="1" applyBorder="1" applyNumberFormat="1">
      <alignmen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1" fontId="22" fillId="39" borderId="23" xfId="0" applyFont="1" applyFill="1" applyBorder="1" applyNumberFormat="1">
      <alignment vertical="center" wrapText="1"/>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1" fontId="22" fillId="39" borderId="63" xfId="0" applyFont="1" applyFill="1" applyBorder="1" applyNumberFormat="1">
      <alignment vertical="center" wrapText="1"/>
      <protection locked="0"/>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223" fontId="0" fillId="39" borderId="11" xfId="0" applyFont="1" applyFill="1" applyBorder="1" applyNumberFormat="1">
      <alignment horizontal="left" vertical="center" wrapText="1" indent="1"/>
      <protection locked="0"/>
    </xf>
    <xf numFmtId="49" fontId="75"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223" fontId="0" fillId="0" borderId="12" xfId="0" applyFont="1" applyBorder="1" applyNumberFormat="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49" fontId="22" fillId="35" borderId="12" xfId="0" applyFont="1" applyFill="1" applyBorder="1" applyNumberFormat="1">
      <alignment horizontal="lef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fcbecb38-6609-4b11-a57e-fc4eb28978fa" TargetMode="External"/><Relationship Id="rId2" Type="http://schemas.openxmlformats.org/officeDocument/2006/relationships/hyperlink" Target="https://portal.eias.ru/Portal/DownloadPage.aspx?type=12&amp;guid=fcbecb38-6609-4b11-a57e-fc4eb28978fa" TargetMode="External"/><Relationship Id="rId3" Type="http://schemas.openxmlformats.org/officeDocument/2006/relationships/hyperlink" Target="https://portal.eias.ru/Portal/DownloadPage.aspx?type=12&amp;guid=fcbecb38-6609-4b11-a57e-fc4eb28978fa" TargetMode="External"/><Relationship Id="rId4" Type="http://schemas.openxmlformats.org/officeDocument/2006/relationships/hyperlink" Target="https://portal.eias.ru/Portal/DownloadPage.aspx?type=12&amp;guid=fcbecb38-6609-4b11-a57e-fc4eb28978fa" TargetMode="External"/><Relationship Id="rId5" Type="http://schemas.openxmlformats.org/officeDocument/2006/relationships/hyperlink" Target="https://portal.eias.ru/Portal/DownloadPage.aspx?type=12&amp;guid=fcbecb38-6609-4b11-a57e-fc4eb28978fa" TargetMode="External"/><Relationship Id="rId6" Type="http://schemas.openxmlformats.org/officeDocument/2006/relationships/hyperlink" Target="https://portal.eias.ru/Portal/DownloadPage.aspx?type=12&amp;guid=fcbecb38-6609-4b11-a57e-fc4eb28978fa" TargetMode="External"/><Relationship Id="rId7" Type="http://schemas.openxmlformats.org/officeDocument/2006/relationships/hyperlink" Target="https://portal.eias.ru/Portal/DownloadPage.aspx?type=12&amp;guid=fcbecb38-6609-4b11-a57e-fc4eb28978fa" TargetMode="External"/><Relationship Id="rId8" Type="http://schemas.openxmlformats.org/officeDocument/2006/relationships/hyperlink" Target="https://portal.eias.ru/Portal/DownloadPage.aspx?type=12&amp;guid=fcbecb38-6609-4b11-a57e-fc4eb28978fa" TargetMode="External"/><Relationship Id="rId9" Type="http://schemas.openxmlformats.org/officeDocument/2006/relationships/hyperlink" Target="https://portal.eias.ru/Portal/DownloadPage.aspx?type=12&amp;guid=fcbecb38-6609-4b11-a57e-fc4eb28978fa" TargetMode="External"/><Relationship Id="rId10" Type="http://schemas.openxmlformats.org/officeDocument/2006/relationships/hyperlink" Target="https://portal.eias.ru/Portal/DownloadPage.aspx?type=12&amp;guid=fcbecb38-6609-4b11-a57e-fc4eb28978fa" TargetMode="External"/><Relationship Id="rId11" Type="http://schemas.openxmlformats.org/officeDocument/2006/relationships/hyperlink" Target="https://portal.eias.ru/Portal/DownloadPage.aspx?type=12&amp;guid=fcbecb38-6609-4b11-a57e-fc4eb28978fa" TargetMode="External"/><Relationship Id="rId12" Type="http://schemas.openxmlformats.org/officeDocument/2006/relationships/hyperlink" Target="https://portal.eias.ru/Portal/DownloadPage.aspx?type=12&amp;guid=fcbecb38-6609-4b11-a57e-fc4eb28978fa" TargetMode="External"/><Relationship Id="rId13" Type="http://schemas.openxmlformats.org/officeDocument/2006/relationships/hyperlink" Target="https://portal.eias.ru/Portal/DownloadPage.aspx?type=12&amp;guid=fcbecb38-6609-4b11-a57e-fc4eb28978fa" TargetMode="External"/><Relationship Id="rId14" Type="http://schemas.openxmlformats.org/officeDocument/2006/relationships/hyperlink" Target="https://portal.eias.ru/Portal/DownloadPage.aspx?type=12&amp;guid=fcbecb38-6609-4b11-a57e-fc4eb28978fa" TargetMode="External"/><Relationship Id="rId15" Type="http://schemas.openxmlformats.org/officeDocument/2006/relationships/hyperlink" Target="https://portal.eias.ru/Portal/DownloadPage.aspx?type=12&amp;guid=fcbecb38-6609-4b11-a57e-fc4eb28978fa" TargetMode="External"/><Relationship Id="rId16" Type="http://schemas.openxmlformats.org/officeDocument/2006/relationships/hyperlink" Target="https://portal.eias.ru/Portal/DownloadPage.aspx?type=12&amp;guid=fcbecb38-6609-4b11-a57e-fc4eb28978fa" TargetMode="External"/><Relationship Id="rId17" Type="http://schemas.openxmlformats.org/officeDocument/2006/relationships/hyperlink" Target="https://portal.eias.ru/Portal/DownloadPage.aspx?type=12&amp;guid=fcbecb38-6609-4b11-a57e-fc4eb28978fa" TargetMode="External"/><Relationship Id="rId18" Type="http://schemas.openxmlformats.org/officeDocument/2006/relationships/hyperlink" Target="https://portal.eias.ru/Portal/DownloadPage.aspx?type=12&amp;guid=fcbecb38-6609-4b11-a57e-fc4eb28978fa" TargetMode="External"/><Relationship Id="rId19" Type="http://schemas.openxmlformats.org/officeDocument/2006/relationships/hyperlink" Target="https://portal.eias.ru/Portal/DownloadPage.aspx?type=12&amp;guid=fcbecb38-6609-4b11-a57e-fc4eb28978fa" TargetMode="External"/><Relationship Id="rId20" Type="http://schemas.openxmlformats.org/officeDocument/2006/relationships/hyperlink" Target="https://portal.eias.ru/Portal/DownloadPage.aspx?type=12&amp;guid=fcbecb38-6609-4b11-a57e-fc4eb28978fa" TargetMode="External"/><Relationship Id="rId21" Type="http://schemas.openxmlformats.org/officeDocument/2006/relationships/hyperlink" Target="https://portal.eias.ru/Portal/DownloadPage.aspx?type=12&amp;guid=fcbecb38-6609-4b11-a57e-fc4eb28978fa" TargetMode="External"/><Relationship Id="rId22" Type="http://schemas.openxmlformats.org/officeDocument/2006/relationships/hyperlink" Target="https://portal.eias.ru/Portal/DownloadPage.aspx?type=12&amp;guid=fcbecb38-6609-4b11-a57e-fc4eb28978f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AA6274-707A-74A8-79F8-65FE094F818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7945" width="5.421875" customWidth="1"/>
    <col min="2" max="2" style="7945" width="9.140625" customWidth="1"/>
    <col min="3" max="3" style="7945" width="16.421875" customWidth="1"/>
    <col min="4" max="25" style="7945" width="6.28125" customWidth="1"/>
    <col min="26" max="28" style="7945" width="11.00390625"/>
  </cols>
  <sheetData>
    <row customHeight="1" ht="15.75">
      <c r="A1" s="1823"/>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5"/>
      <c r="Z1" s="1824"/>
      <c r="AA1" s="1826" t="s">
        <v>0</v>
      </c>
      <c r="AB1" s="1824"/>
    </row>
    <row customHeight="1" ht="17.25">
      <c r="A2" s="1824"/>
      <c r="B2" s="2214" t="s">
        <v>1</v>
      </c>
      <c r="C2" s="2214"/>
      <c r="D2" s="2214"/>
      <c r="E2" s="2214"/>
      <c r="F2" s="2214"/>
      <c r="G2" s="2214"/>
      <c r="H2" s="2214"/>
      <c r="I2" s="2214"/>
      <c r="J2" s="2214"/>
      <c r="K2" s="2214"/>
      <c r="L2" s="2214"/>
      <c r="M2" s="2214"/>
      <c r="N2" s="2214"/>
      <c r="O2" s="2214"/>
      <c r="P2" s="2214"/>
      <c r="Q2" s="1828"/>
      <c r="R2" s="1828"/>
      <c r="S2" s="1828"/>
      <c r="T2" s="1828"/>
      <c r="U2" s="1828"/>
      <c r="V2" s="1829"/>
      <c r="W2" s="1828"/>
      <c r="X2" s="1828"/>
      <c r="Y2" s="1825"/>
      <c r="Z2" s="1824"/>
      <c r="AA2" s="1826"/>
      <c r="AB2" s="1824"/>
    </row>
    <row customHeight="1" ht="15.75">
      <c r="A3" s="1824"/>
      <c r="B3" s="2215" t="s">
        <v>2</v>
      </c>
      <c r="C3" s="2215"/>
      <c r="D3" s="2215"/>
      <c r="E3" s="2215"/>
      <c r="F3" s="2215"/>
      <c r="G3" s="2215"/>
      <c r="H3" s="2215"/>
      <c r="I3" s="2215"/>
      <c r="J3" s="2215"/>
      <c r="K3" s="2215"/>
      <c r="L3" s="2215"/>
      <c r="M3" s="2215"/>
      <c r="N3" s="2215"/>
      <c r="O3" s="2215"/>
      <c r="P3" s="2215"/>
      <c r="Q3" s="1829"/>
      <c r="R3" s="1829"/>
      <c r="S3" s="1828"/>
      <c r="T3" s="1828"/>
      <c r="U3" s="1828"/>
      <c r="V3" s="1829"/>
      <c r="W3" s="1829"/>
      <c r="X3" s="1829"/>
      <c r="Y3" s="1829"/>
      <c r="Z3" s="1824"/>
      <c r="AA3" s="1826"/>
      <c r="AB3" s="1824"/>
    </row>
    <row customHeight="1" ht="17.25">
      <c r="A4" s="1824"/>
      <c r="B4" s="1830"/>
      <c r="C4" s="1824"/>
      <c r="D4" s="1829"/>
      <c r="E4" s="1829"/>
      <c r="F4" s="1829"/>
      <c r="G4" s="1829"/>
      <c r="H4" s="1829"/>
      <c r="I4" s="1829"/>
      <c r="J4" s="1829"/>
      <c r="K4" s="1829"/>
      <c r="L4" s="1829"/>
      <c r="M4" s="1829"/>
      <c r="N4" s="1829"/>
      <c r="O4" s="1829"/>
      <c r="P4" s="1829"/>
      <c r="Q4" s="1829"/>
      <c r="R4" s="1829"/>
      <c r="S4" s="1829"/>
      <c r="T4" s="1829"/>
      <c r="U4" s="1829"/>
      <c r="V4" s="1829"/>
      <c r="W4" s="1829"/>
      <c r="X4" s="1829"/>
      <c r="Y4" s="1829"/>
      <c r="Z4" s="1824"/>
      <c r="AA4" s="1826"/>
      <c r="AB4" s="1824"/>
    </row>
    <row customHeight="1" ht="22.5">
      <c r="A5" s="1831"/>
      <c r="B5" s="221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17"/>
      <c r="D5" s="2217"/>
      <c r="E5" s="2217"/>
      <c r="F5" s="2217"/>
      <c r="G5" s="2217"/>
      <c r="H5" s="2217"/>
      <c r="I5" s="2217"/>
      <c r="J5" s="2217"/>
      <c r="K5" s="2217"/>
      <c r="L5" s="2217"/>
      <c r="M5" s="2217"/>
      <c r="N5" s="2217"/>
      <c r="O5" s="2217"/>
      <c r="P5" s="2217"/>
      <c r="Q5" s="2217"/>
      <c r="R5" s="2217"/>
      <c r="S5" s="2217"/>
      <c r="T5" s="2217"/>
      <c r="U5" s="2217"/>
      <c r="V5" s="2217"/>
      <c r="W5" s="2217"/>
      <c r="X5" s="2217"/>
      <c r="Y5" s="2218"/>
      <c r="Z5" s="1831"/>
      <c r="AA5" s="1826"/>
      <c r="AB5" s="1831"/>
    </row>
    <row customHeight="1" ht="15">
      <c r="A6" s="1832"/>
      <c r="B6" s="2219" t="s">
        <v>3</v>
      </c>
      <c r="C6" s="2220"/>
      <c r="D6" s="1833"/>
      <c r="E6" s="1833"/>
      <c r="F6" s="1833"/>
      <c r="G6" s="1833"/>
      <c r="H6" s="1833"/>
      <c r="I6" s="1833"/>
      <c r="J6" s="1833"/>
      <c r="K6" s="1833"/>
      <c r="L6" s="1833"/>
      <c r="M6" s="1833"/>
      <c r="N6" s="1833"/>
      <c r="O6" s="1833"/>
      <c r="P6" s="1833"/>
      <c r="Q6" s="1833"/>
      <c r="R6" s="1833"/>
      <c r="S6" s="1833"/>
      <c r="T6" s="1833"/>
      <c r="U6" s="1833"/>
      <c r="V6" s="1833"/>
      <c r="W6" s="1833"/>
      <c r="X6" s="1833"/>
      <c r="Y6" s="1834"/>
      <c r="Z6" s="1835"/>
      <c r="AA6" s="1836"/>
      <c r="AB6" s="1836"/>
    </row>
    <row customHeight="1" ht="15">
      <c r="A7" s="1832"/>
      <c r="B7" s="2219"/>
      <c r="C7" s="2220"/>
      <c r="D7" s="1833"/>
      <c r="E7" s="1833"/>
      <c r="F7" s="1837"/>
      <c r="G7" s="1837"/>
      <c r="H7" s="1837"/>
      <c r="I7" s="1837"/>
      <c r="J7" s="1837"/>
      <c r="K7" s="1837"/>
      <c r="L7" s="1837"/>
      <c r="M7" s="1837"/>
      <c r="N7" s="1837"/>
      <c r="O7" s="1833"/>
      <c r="P7" s="1837"/>
      <c r="Q7" s="1837"/>
      <c r="R7" s="1837"/>
      <c r="S7" s="1837"/>
      <c r="T7" s="1837"/>
      <c r="U7" s="1837"/>
      <c r="V7" s="1837"/>
      <c r="W7" s="1837"/>
      <c r="X7" s="1837"/>
      <c r="Y7" s="1834"/>
      <c r="Z7" s="1835"/>
      <c r="AA7" s="1836"/>
      <c r="AB7" s="1836"/>
    </row>
    <row customHeight="1" ht="15">
      <c r="A8" s="1832"/>
      <c r="B8" s="2219"/>
      <c r="C8" s="2220"/>
      <c r="D8" s="1838"/>
      <c r="E8" s="1839" t="s">
        <v>4</v>
      </c>
      <c r="F8" s="2222" t="s">
        <v>5</v>
      </c>
      <c r="G8" s="2223"/>
      <c r="H8" s="2223"/>
      <c r="I8" s="2223"/>
      <c r="J8" s="2223"/>
      <c r="K8" s="2223"/>
      <c r="L8" s="2223"/>
      <c r="M8" s="2223"/>
      <c r="N8" s="1838"/>
      <c r="O8" s="1840" t="s">
        <v>4</v>
      </c>
      <c r="P8" s="2224" t="s">
        <v>6</v>
      </c>
      <c r="Q8" s="2225"/>
      <c r="R8" s="2225"/>
      <c r="S8" s="2225"/>
      <c r="T8" s="2225"/>
      <c r="U8" s="2225"/>
      <c r="V8" s="2225"/>
      <c r="W8" s="2225"/>
      <c r="X8" s="2225"/>
      <c r="Y8" s="1834"/>
      <c r="Z8" s="1835"/>
      <c r="AA8" s="1836"/>
      <c r="AB8" s="1836"/>
    </row>
    <row customHeight="1" ht="15">
      <c r="A9" s="1832"/>
      <c r="B9" s="2219"/>
      <c r="C9" s="2220"/>
      <c r="D9" s="1838"/>
      <c r="E9" s="1841" t="s">
        <v>4</v>
      </c>
      <c r="F9" s="2222" t="s">
        <v>7</v>
      </c>
      <c r="G9" s="2223"/>
      <c r="H9" s="2223"/>
      <c r="I9" s="2223"/>
      <c r="J9" s="2223"/>
      <c r="K9" s="2223"/>
      <c r="L9" s="2223"/>
      <c r="M9" s="2223"/>
      <c r="N9" s="1838"/>
      <c r="O9" s="1842" t="s">
        <v>4</v>
      </c>
      <c r="P9" s="2224" t="s">
        <v>8</v>
      </c>
      <c r="Q9" s="2225"/>
      <c r="R9" s="2225"/>
      <c r="S9" s="2225"/>
      <c r="T9" s="2225"/>
      <c r="U9" s="2225"/>
      <c r="V9" s="2225"/>
      <c r="W9" s="2225"/>
      <c r="X9" s="2225"/>
      <c r="Y9" s="1834"/>
      <c r="Z9" s="1835"/>
      <c r="AA9" s="1836"/>
      <c r="AB9" s="1836"/>
    </row>
    <row customHeight="1" ht="30">
      <c r="A10" s="1832"/>
      <c r="B10" s="2219"/>
      <c r="C10" s="2221"/>
      <c r="D10" s="1843"/>
      <c r="E10" s="1844"/>
      <c r="F10" s="1837"/>
      <c r="G10" s="1837"/>
      <c r="H10" s="1837"/>
      <c r="I10" s="1837"/>
      <c r="J10" s="1837"/>
      <c r="K10" s="1837"/>
      <c r="L10" s="1837"/>
      <c r="M10" s="1837"/>
      <c r="N10" s="1837"/>
      <c r="O10" s="1844"/>
      <c r="P10" s="1837"/>
      <c r="Q10" s="1837"/>
      <c r="R10" s="1837"/>
      <c r="S10" s="1837"/>
      <c r="T10" s="1837"/>
      <c r="U10" s="1837"/>
      <c r="V10" s="1837"/>
      <c r="W10" s="1837"/>
      <c r="X10" s="1837"/>
      <c r="Y10" s="1834"/>
      <c r="Z10" s="1835"/>
      <c r="AA10" s="1836"/>
      <c r="AB10" s="1836"/>
    </row>
    <row customHeight="1" ht="19.5">
      <c r="A11" s="1832"/>
      <c r="B11" s="2226" t="s">
        <v>9</v>
      </c>
      <c r="C11" s="2227"/>
      <c r="D11" s="1838"/>
      <c r="E11" s="1845"/>
      <c r="F11" s="1845"/>
      <c r="G11" s="1845"/>
      <c r="H11" s="1845"/>
      <c r="I11" s="1845"/>
      <c r="J11" s="1845"/>
      <c r="K11" s="1845"/>
      <c r="L11" s="1845"/>
      <c r="M11" s="1845"/>
      <c r="N11" s="1845"/>
      <c r="O11" s="1845"/>
      <c r="P11" s="1845"/>
      <c r="Q11" s="1845"/>
      <c r="R11" s="1845"/>
      <c r="S11" s="1845"/>
      <c r="T11" s="1845"/>
      <c r="U11" s="1845"/>
      <c r="V11" s="1845"/>
      <c r="W11" s="1845"/>
      <c r="X11" s="1845"/>
      <c r="Y11" s="1834"/>
      <c r="Z11" s="1835"/>
      <c r="AA11" s="1836"/>
      <c r="AB11" s="1836"/>
    </row>
    <row customHeight="1" ht="69">
      <c r="A12" s="1832"/>
      <c r="B12" s="2219"/>
      <c r="C12" s="2221"/>
      <c r="D12" s="1846"/>
      <c r="E12" s="2223" t="s">
        <v>10</v>
      </c>
      <c r="F12" s="2223"/>
      <c r="G12" s="2223"/>
      <c r="H12" s="2223"/>
      <c r="I12" s="2223"/>
      <c r="J12" s="2223"/>
      <c r="K12" s="2223"/>
      <c r="L12" s="2223"/>
      <c r="M12" s="2223"/>
      <c r="N12" s="2223"/>
      <c r="O12" s="2223"/>
      <c r="P12" s="2223"/>
      <c r="Q12" s="2223"/>
      <c r="R12" s="2223"/>
      <c r="S12" s="2223"/>
      <c r="T12" s="2223"/>
      <c r="U12" s="2223"/>
      <c r="V12" s="2223"/>
      <c r="W12" s="2223"/>
      <c r="X12" s="2223"/>
      <c r="Y12" s="1834"/>
      <c r="Z12" s="1835"/>
      <c r="AA12" s="1836"/>
      <c r="AB12" s="1836"/>
    </row>
    <row customHeight="1" ht="15">
      <c r="A13" s="1832"/>
      <c r="B13" s="2226" t="s">
        <v>11</v>
      </c>
      <c r="C13" s="2227"/>
      <c r="D13" s="1833"/>
      <c r="E13" s="1845"/>
      <c r="F13" s="1845"/>
      <c r="G13" s="1845"/>
      <c r="H13" s="1845"/>
      <c r="I13" s="1845"/>
      <c r="J13" s="1845"/>
      <c r="K13" s="1845"/>
      <c r="L13" s="1845"/>
      <c r="M13" s="1845"/>
      <c r="N13" s="1845"/>
      <c r="O13" s="1845"/>
      <c r="P13" s="1845"/>
      <c r="Q13" s="1845"/>
      <c r="R13" s="1845"/>
      <c r="S13" s="1845"/>
      <c r="T13" s="1845"/>
      <c r="U13" s="1845"/>
      <c r="V13" s="1845"/>
      <c r="W13" s="1845"/>
      <c r="X13" s="1845"/>
      <c r="Y13" s="1834"/>
      <c r="Z13" s="1835"/>
      <c r="AA13" s="1836"/>
      <c r="AB13" s="1836"/>
    </row>
    <row customHeight="1" ht="57">
      <c r="A14" s="1832"/>
      <c r="B14" s="2219"/>
      <c r="C14" s="2220"/>
      <c r="D14" s="1838"/>
      <c r="E14" s="2230" t="s">
        <v>12</v>
      </c>
      <c r="F14" s="2230"/>
      <c r="G14" s="2230"/>
      <c r="H14" s="2230"/>
      <c r="I14" s="2230"/>
      <c r="J14" s="2230"/>
      <c r="K14" s="2230"/>
      <c r="L14" s="2230"/>
      <c r="M14" s="2230"/>
      <c r="N14" s="2230"/>
      <c r="O14" s="2230"/>
      <c r="P14" s="2230"/>
      <c r="Q14" s="2230"/>
      <c r="R14" s="2230"/>
      <c r="S14" s="2230"/>
      <c r="T14" s="2230"/>
      <c r="U14" s="2230"/>
      <c r="V14" s="2230"/>
      <c r="W14" s="2230"/>
      <c r="X14" s="2230"/>
      <c r="Y14" s="1834"/>
      <c r="Z14" s="1835"/>
      <c r="AA14" s="1836"/>
      <c r="AB14" s="1836"/>
    </row>
    <row customHeight="1" ht="16.5">
      <c r="A15" s="1832"/>
      <c r="B15" s="2228"/>
      <c r="C15" s="2229"/>
      <c r="D15" s="1847"/>
      <c r="E15" s="1848"/>
      <c r="F15" s="1848"/>
      <c r="G15" s="1848"/>
      <c r="H15" s="1848"/>
      <c r="I15" s="1848"/>
      <c r="J15" s="1848"/>
      <c r="K15" s="1848"/>
      <c r="L15" s="1848"/>
      <c r="M15" s="1848"/>
      <c r="N15" s="1848"/>
      <c r="O15" s="1848"/>
      <c r="P15" s="1848"/>
      <c r="Q15" s="1848"/>
      <c r="R15" s="1848"/>
      <c r="S15" s="1848"/>
      <c r="T15" s="1848"/>
      <c r="U15" s="1848"/>
      <c r="V15" s="1848"/>
      <c r="W15" s="1848"/>
      <c r="X15" s="1848"/>
      <c r="Y15" s="1849"/>
      <c r="Z15" s="1835"/>
      <c r="AA15" s="1850"/>
      <c r="AB15" s="1836"/>
    </row>
    <row customHeight="1" ht="95.25">
      <c r="A16" s="1824"/>
      <c r="B16" s="2230"/>
      <c r="C16" s="2231"/>
      <c r="D16" s="2231"/>
      <c r="E16" s="2231"/>
      <c r="F16" s="2231"/>
      <c r="G16" s="2231"/>
      <c r="H16" s="2231"/>
      <c r="I16" s="2231"/>
      <c r="J16" s="2231"/>
      <c r="K16" s="2231"/>
      <c r="L16" s="2231"/>
      <c r="M16" s="2231"/>
      <c r="N16" s="2231"/>
      <c r="O16" s="2231"/>
      <c r="P16" s="2231"/>
      <c r="Q16" s="2231"/>
      <c r="R16" s="2231"/>
      <c r="S16" s="2231"/>
      <c r="T16" s="2231"/>
      <c r="U16" s="2231"/>
      <c r="V16" s="2231"/>
      <c r="W16" s="2231"/>
      <c r="X16" s="2231"/>
      <c r="Y16" s="2231"/>
      <c r="Z16" s="1824"/>
      <c r="AA16" s="1826"/>
      <c r="AB16" s="1824"/>
    </row>
    <row customHeight="1" ht="14.25">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c r="W17" s="1824"/>
      <c r="X17" s="1824"/>
      <c r="Y17" s="1825"/>
      <c r="Z17" s="1824"/>
      <c r="AA17" s="1826"/>
      <c r="AB17" s="1824"/>
    </row>
    <row customHeight="1" ht="14.25">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c r="W18" s="1824"/>
      <c r="X18" s="1824"/>
      <c r="Y18" s="1825"/>
      <c r="Z18" s="1824"/>
      <c r="AA18" s="1826"/>
      <c r="AB18" s="1824"/>
    </row>
    <row customHeight="1" ht="14.25">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c r="W19" s="1824"/>
      <c r="X19" s="1824"/>
      <c r="Y19" s="1825"/>
      <c r="Z19" s="1824"/>
      <c r="AA19" s="1826"/>
      <c r="AB19" s="1824"/>
    </row>
    <row customHeight="1" ht="14.25">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5"/>
      <c r="Z20" s="1824"/>
      <c r="AA20" s="1826"/>
      <c r="AB20" s="1824"/>
    </row>
    <row customHeight="1" ht="14.25">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5"/>
      <c r="Z21" s="1824"/>
      <c r="AA21" s="1826"/>
      <c r="AB21" s="182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4B1C3D-9FD3-3608-10F8-8C9E11220A0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7464" width="9.140625" hidden="1" customWidth="1"/>
    <col min="2" max="3" style="7213" width="9.140625" hidden="1" customWidth="1"/>
    <col min="4" max="4" style="7736" width="3.00390625" customWidth="1"/>
    <col min="5" max="5" style="7213" width="6.00390625" customWidth="1"/>
    <col min="6" max="6" style="7213" width="1.7109375" hidden="1" customWidth="1"/>
    <col min="7" max="8" style="7213" width="30.00390625" customWidth="1"/>
    <col min="9" max="9" style="7213" width="8.00390625" customWidth="1"/>
    <col min="10" max="10" style="7213" width="12.140625" customWidth="1"/>
    <col min="11" max="11" style="7213" width="46.00390625" customWidth="1"/>
    <col min="12" max="12" style="7213" width="100.00390625" customWidth="1"/>
    <col min="13" max="13" style="6033" width="7.00390625" customWidth="1"/>
    <col min="14" max="22" style="7213" width="10.00390625" customWidth="1"/>
    <col min="23" max="23" style="7213" width="10.57421875" hidden="1"/>
  </cols>
  <sheetData>
    <row s="6698" customFormat="1" customHeight="1" ht="5.25" hidden="1">
      <c r="C1" s="635"/>
      <c r="D1" s="618"/>
      <c r="F1" s="635"/>
      <c r="G1" s="613" t="s">
        <v>83</v>
      </c>
      <c r="H1" s="613" t="s">
        <v>84</v>
      </c>
      <c r="I1" s="613" t="s">
        <v>85</v>
      </c>
      <c r="P1" s="613" t="s">
        <v>83</v>
      </c>
      <c r="Q1" s="613" t="s">
        <v>84</v>
      </c>
      <c r="R1" s="613" t="s">
        <v>85</v>
      </c>
      <c r="W1" s="613" t="s">
        <v>14</v>
      </c>
    </row>
    <row s="6698" customFormat="1" customHeight="1" ht="5.25" hidden="1">
      <c r="C2" s="635"/>
      <c r="D2" s="618"/>
      <c r="F2" s="635"/>
      <c r="W2" s="613">
        <v>0</v>
      </c>
    </row>
    <row s="6053" customFormat="1" customHeight="1" ht="5.25">
      <c r="A3" s="603"/>
      <c r="D3" s="610"/>
      <c r="E3" s="605"/>
      <c r="F3" s="605"/>
      <c r="G3" s="605"/>
      <c r="H3" s="605"/>
      <c r="I3" s="606"/>
      <c r="J3" s="607"/>
      <c r="K3" s="607"/>
      <c r="L3" s="607"/>
      <c r="W3" s="604">
        <v>5</v>
      </c>
    </row>
    <row customHeight="1" ht="23.25">
      <c r="D4" s="574"/>
      <c r="E4" s="2375" t="s">
        <v>500</v>
      </c>
      <c r="F4" s="2375"/>
      <c r="G4" s="2376"/>
      <c r="H4" s="2376"/>
      <c r="I4" s="2377"/>
      <c r="J4" s="615"/>
      <c r="K4" s="577"/>
      <c r="L4" s="577"/>
      <c r="W4" s="571">
        <v>22</v>
      </c>
    </row>
    <row s="7213" customFormat="1" customHeight="1" ht="18">
      <c r="A5" s="883"/>
      <c r="D5" s="946"/>
      <c r="E5" s="2351" t="str">
        <f>IF(org=0,"Не определено",org)</f>
        <v>ООО "СамРЭК-Эксплуатация"</v>
      </c>
      <c r="F5" s="2351"/>
      <c r="G5" s="2352"/>
      <c r="H5" s="2352"/>
      <c r="I5" s="2353"/>
      <c r="J5" s="615"/>
      <c r="K5" s="577"/>
      <c r="L5" s="577"/>
      <c r="M5" s="631"/>
      <c r="W5" s="882">
        <v>17</v>
      </c>
    </row>
    <row s="6053" customFormat="1" customHeight="1" ht="11.549999999999999">
      <c r="A6" s="603"/>
      <c r="D6" s="610"/>
      <c r="E6" s="605"/>
      <c r="F6" s="605"/>
      <c r="G6" s="608"/>
      <c r="H6" s="608"/>
      <c r="I6" s="609"/>
      <c r="J6" s="609"/>
      <c r="K6" s="876"/>
      <c r="L6" s="609"/>
      <c r="W6" s="604">
        <v>11</v>
      </c>
    </row>
    <row customHeight="1" ht="14.699999999999998">
      <c r="D7" s="574"/>
      <c r="E7" s="2345" t="s">
        <v>412</v>
      </c>
      <c r="F7" s="2345"/>
      <c r="G7" s="2346"/>
      <c r="H7" s="2346"/>
      <c r="I7" s="2346"/>
      <c r="J7" s="2346"/>
      <c r="K7" s="2346"/>
      <c r="L7" s="2360" t="s">
        <v>413</v>
      </c>
      <c r="W7" s="571">
        <v>14</v>
      </c>
    </row>
    <row customHeight="1" ht="48.29999999999999">
      <c r="D8" s="574"/>
      <c r="E8" s="597" t="s">
        <v>88</v>
      </c>
      <c r="F8" s="947"/>
      <c r="G8" s="589" t="s">
        <v>86</v>
      </c>
      <c r="H8" s="589" t="s">
        <v>87</v>
      </c>
      <c r="I8" s="538" t="s">
        <v>85</v>
      </c>
      <c r="J8" s="538" t="s">
        <v>501</v>
      </c>
      <c r="K8" s="538" t="s">
        <v>502</v>
      </c>
      <c r="L8" s="2360"/>
      <c r="W8" s="571">
        <v>46</v>
      </c>
    </row>
    <row customHeight="1" ht="12" hidden="1">
      <c r="D9" s="611"/>
      <c r="E9" s="617"/>
      <c r="F9" s="954"/>
      <c r="G9" s="617"/>
      <c r="H9" s="617"/>
      <c r="I9" s="617"/>
      <c r="J9" s="617"/>
      <c r="K9" s="617"/>
      <c r="L9" s="617"/>
      <c r="M9" s="571"/>
      <c r="W9" s="571">
        <v>0</v>
      </c>
    </row>
    <row customHeight="1" ht="14.25" hidden="1">
      <c r="A10" s="629"/>
      <c r="B10" s="629"/>
      <c r="D10" s="630"/>
      <c r="E10" s="636">
        <v>0</v>
      </c>
      <c r="F10" s="945"/>
      <c r="G10" s="632"/>
      <c r="H10" s="632"/>
      <c r="I10" s="632"/>
      <c r="J10" s="632"/>
      <c r="K10" s="632"/>
      <c r="L10" s="2358" t="s">
        <v>503</v>
      </c>
      <c r="M10" s="631"/>
      <c r="N10" s="629"/>
      <c r="O10" s="629"/>
      <c r="P10" s="629"/>
      <c r="Q10" s="629"/>
      <c r="R10" s="629"/>
      <c r="S10" s="629"/>
      <c r="T10" s="629"/>
      <c r="U10" s="629"/>
      <c r="V10" s="629"/>
      <c r="W10" s="571">
        <v>0</v>
      </c>
    </row>
    <row customHeight="1" ht="15" hidden="1">
      <c r="A11" s="2236"/>
      <c r="B11" s="628"/>
      <c r="C11" s="628"/>
      <c r="D11" s="989"/>
      <c r="E11" s="637"/>
      <c r="F11" s="637"/>
      <c r="G11" s="637"/>
      <c r="H11" s="637"/>
      <c r="I11" s="638"/>
      <c r="J11" s="639"/>
      <c r="K11" s="837"/>
      <c r="L11" s="2378"/>
      <c r="M11" s="635"/>
      <c r="N11" s="635"/>
      <c r="O11" s="635"/>
      <c r="P11" s="640"/>
      <c r="Q11" s="640"/>
      <c r="R11" s="641"/>
      <c r="S11" s="635"/>
      <c r="T11" s="635"/>
      <c r="U11" s="635"/>
      <c r="V11" s="635"/>
      <c r="W11" s="571">
        <v>0</v>
      </c>
    </row>
    <row s="6053" customFormat="1" customHeight="1" ht="15">
      <c r="A12" s="2236"/>
      <c r="B12" s="628"/>
      <c r="C12" s="628"/>
      <c r="D12" s="990"/>
      <c r="E12" s="947">
        <v>1</v>
      </c>
      <c r="F12" s="988">
        <v>23</v>
      </c>
      <c r="G12" s="987"/>
      <c r="H12" s="917"/>
      <c r="I12" s="915"/>
      <c r="J12" s="644" t="s">
        <v>62</v>
      </c>
      <c r="K12" s="1288" t="s">
        <v>22</v>
      </c>
      <c r="L12" s="2378"/>
      <c r="M12" s="635"/>
      <c r="N12" s="635"/>
      <c r="O12" s="635"/>
      <c r="P12" s="640" t="s">
        <v>504</v>
      </c>
      <c r="Q12" s="640" t="s">
        <v>505</v>
      </c>
      <c r="R12" s="641" t="s">
        <v>506</v>
      </c>
      <c r="S12" s="635" t="s">
        <v>507</v>
      </c>
      <c r="T12" s="635"/>
      <c r="U12" s="635"/>
      <c r="V12" s="635"/>
      <c r="W12" s="604">
        <v>14</v>
      </c>
    </row>
    <row customHeight="1" ht="15.75">
      <c r="A13" s="2236"/>
      <c r="B13" s="629"/>
      <c r="D13" s="630"/>
      <c r="E13" s="529"/>
      <c r="F13" s="653"/>
      <c r="G13" s="540" t="s">
        <v>101</v>
      </c>
      <c r="H13" s="528"/>
      <c r="I13" s="528"/>
      <c r="J13" s="528"/>
      <c r="K13" s="527"/>
      <c r="L13" s="2359"/>
      <c r="M13" s="633"/>
      <c r="N13" s="629"/>
      <c r="O13" s="629"/>
      <c r="P13" s="629"/>
      <c r="Q13" s="629"/>
      <c r="R13" s="629"/>
      <c r="S13" s="629"/>
      <c r="T13" s="629"/>
      <c r="U13" s="629"/>
      <c r="V13" s="629"/>
      <c r="W13" s="571">
        <v>15</v>
      </c>
    </row>
    <row customHeight="1" ht="11.549999999999999">
      <c r="A14" s="603"/>
      <c r="B14" s="604"/>
      <c r="C14" s="604"/>
      <c r="D14" s="619"/>
      <c r="E14" s="604"/>
      <c r="F14" s="604"/>
      <c r="G14" s="604"/>
      <c r="H14" s="604"/>
      <c r="I14" s="604"/>
      <c r="J14" s="604"/>
      <c r="K14" s="604"/>
      <c r="L14" s="604"/>
      <c r="M14" s="604"/>
      <c r="N14" s="604"/>
      <c r="O14" s="604"/>
      <c r="P14" s="604"/>
      <c r="Q14" s="604"/>
      <c r="R14" s="604"/>
      <c r="S14" s="604"/>
      <c r="T14" s="604"/>
      <c r="U14" s="604"/>
      <c r="V14" s="604"/>
      <c r="W14" s="571">
        <v>11</v>
      </c>
    </row>
    <row customHeight="1" ht="14.699999999999998">
      <c r="D15" s="590"/>
      <c r="E15" s="460"/>
      <c r="F15" s="460"/>
      <c r="G15" s="78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590"/>
      <c r="I15" s="590"/>
      <c r="J15" s="590"/>
      <c r="K15" s="590"/>
      <c r="L15" s="590"/>
      <c r="W15" s="571">
        <v>14</v>
      </c>
    </row>
    <row customHeight="1" ht="14.699999999999998">
      <c r="W16" s="571">
        <v>14</v>
      </c>
    </row>
    <row customHeight="1" ht="14.699999999999998">
      <c r="W17" s="571">
        <v>14</v>
      </c>
    </row>
    <row customHeight="1" ht="14.699999999999998">
      <c r="G18" s="629"/>
      <c r="W18" s="571">
        <v>14</v>
      </c>
    </row>
    <row customHeight="1" ht="22.5" hidden="1">
      <c r="A19" s="573" t="s">
        <v>82</v>
      </c>
      <c r="B19" s="571">
        <v>0</v>
      </c>
      <c r="C19" s="882">
        <v>0</v>
      </c>
      <c r="D19" s="575">
        <v>3</v>
      </c>
      <c r="E19" s="571">
        <v>6</v>
      </c>
      <c r="F19" s="882">
        <v>0</v>
      </c>
      <c r="G19" s="571">
        <v>30</v>
      </c>
      <c r="H19" s="571">
        <v>30</v>
      </c>
      <c r="I19" s="571">
        <v>8</v>
      </c>
      <c r="J19" s="571">
        <v>12</v>
      </c>
      <c r="K19" s="571">
        <v>46</v>
      </c>
      <c r="L19" s="571">
        <v>100</v>
      </c>
      <c r="M19" s="576">
        <v>7</v>
      </c>
      <c r="N19" s="571">
        <v>10</v>
      </c>
      <c r="O19" s="571">
        <v>10</v>
      </c>
      <c r="P19" s="571">
        <v>10</v>
      </c>
      <c r="Q19" s="571">
        <v>10</v>
      </c>
      <c r="R19" s="571">
        <v>10</v>
      </c>
      <c r="S19" s="571">
        <v>10</v>
      </c>
      <c r="T19" s="571">
        <v>10</v>
      </c>
      <c r="U19" s="571">
        <v>10</v>
      </c>
      <c r="V19" s="571">
        <v>10</v>
      </c>
      <c r="W19" s="57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79F058-D034-09B8-808D-DE176C30571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33">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28"/>
      <c r="Q3" s="476"/>
      <c r="R3" s="477"/>
      <c r="S3" s="1433">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1433">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477"/>
      <c r="S5" s="1433">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624"/>
      <c r="AP5" s="624" t="str">
        <f>IF(T5="","",T5)</f>
        <v>Источник тепловой энергии  </v>
      </c>
      <c r="AQ5" s="624"/>
      <c r="AR5" s="624"/>
      <c r="AS5" s="1279">
        <v>0</v>
      </c>
    </row>
    <row customHeight="1" ht="47.25" hidden="1">
      <c r="A6" s="1487"/>
      <c r="B6" s="1487"/>
      <c r="C6" s="1487"/>
      <c r="D6" s="1487"/>
      <c r="E6" s="2396"/>
      <c r="F6" s="2396"/>
      <c r="G6" s="2396"/>
      <c r="H6" s="2396"/>
      <c r="I6" s="2393">
        <f>S5&amp;".1"</f>
      </c>
      <c r="J6" s="1487"/>
      <c r="K6" s="1487"/>
      <c r="L6" s="1488" t="s">
        <v>515</v>
      </c>
      <c r="M6" s="661"/>
      <c r="P6" s="2394">
        <v>1</v>
      </c>
      <c r="Q6" s="1429"/>
      <c r="R6" s="480"/>
      <c r="S6" s="1433">
        <f>$I6</f>
      </c>
      <c r="T6" s="409" t="s">
        <v>516</v>
      </c>
      <c r="U6" s="424"/>
      <c r="V6" s="2382"/>
      <c r="W6" s="2383"/>
      <c r="X6" s="2383"/>
      <c r="Y6" s="2383"/>
      <c r="Z6" s="2383"/>
      <c r="AA6" s="2383"/>
      <c r="AB6" s="2383"/>
      <c r="AC6" s="2384"/>
      <c r="AD6" s="2382"/>
      <c r="AE6" s="2383"/>
      <c r="AF6" s="2383"/>
      <c r="AG6" s="2383"/>
      <c r="AH6" s="2383"/>
      <c r="AI6" s="2383"/>
      <c r="AJ6" s="2383"/>
      <c r="AK6" s="2383"/>
      <c r="AL6" s="2384"/>
      <c r="AM6" s="1382" t="s">
        <v>517</v>
      </c>
      <c r="AO6" s="624"/>
      <c r="AP6" s="624" t="str">
        <f>IF(T6="","",T6)</f>
        <v>Схема подключения теплопотребляющей установки к коллектору источника тепловой энергии</v>
      </c>
      <c r="AQ6" s="624"/>
      <c r="AR6" s="624"/>
      <c r="AS6" s="1279">
        <v>0</v>
      </c>
    </row>
    <row customHeight="1" ht="21" hidden="1">
      <c r="A7" s="1487"/>
      <c r="B7" s="1487"/>
      <c r="C7" s="1487"/>
      <c r="D7" s="1487"/>
      <c r="E7" s="2396"/>
      <c r="F7" s="2396"/>
      <c r="G7" s="2396"/>
      <c r="H7" s="2396"/>
      <c r="I7" s="2423"/>
      <c r="J7" s="2393">
        <f>I6&amp;".1"</f>
      </c>
      <c r="K7" s="1487"/>
      <c r="L7" s="1488" t="s">
        <v>518</v>
      </c>
      <c r="M7" s="661"/>
      <c r="N7" s="1490"/>
      <c r="P7" s="2394"/>
      <c r="Q7" s="2394">
        <v>1</v>
      </c>
      <c r="R7" s="481"/>
      <c r="S7" s="1433">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624"/>
      <c r="AP7" s="624" t="str">
        <f>IF(T7="","",T7)</f>
        <v>Группа потребителей</v>
      </c>
      <c r="AQ7" s="624"/>
      <c r="AR7" s="624"/>
      <c r="AS7" s="1279">
        <v>0</v>
      </c>
    </row>
    <row customHeight="1" ht="21" hidden="1">
      <c r="A8" s="1487"/>
      <c r="B8" s="1487"/>
      <c r="C8" s="1487"/>
      <c r="D8" s="1487"/>
      <c r="E8" s="2396"/>
      <c r="F8" s="2396"/>
      <c r="G8" s="2396"/>
      <c r="H8" s="2396"/>
      <c r="I8" s="2423"/>
      <c r="J8" s="2423"/>
      <c r="K8" s="2393">
        <f>J7&amp;".1"</f>
      </c>
      <c r="L8" s="1488" t="s">
        <v>521</v>
      </c>
      <c r="M8" s="661"/>
      <c r="N8" s="1490"/>
      <c r="O8" s="1490"/>
      <c r="P8" s="2394"/>
      <c r="Q8" s="2394"/>
      <c r="R8" s="481">
        <v>1</v>
      </c>
      <c r="S8" s="1433">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635">
        <f>STRCHECKDATE(V9:AL9)</f>
      </c>
      <c r="AO8" s="624"/>
      <c r="AP8" s="624" t="str">
        <f>IF(T8="","",T8)</f>
        <v/>
      </c>
      <c r="AQ8" s="624"/>
      <c r="AR8" s="624"/>
      <c r="AS8" s="1279">
        <v>0</v>
      </c>
    </row>
    <row customHeight="1" ht="0.75" hidden="1">
      <c r="A9" s="1487"/>
      <c r="B9" s="1487"/>
      <c r="C9" s="1487"/>
      <c r="D9" s="1487"/>
      <c r="E9" s="2396"/>
      <c r="F9" s="2396"/>
      <c r="G9" s="2396"/>
      <c r="H9" s="2396"/>
      <c r="I9" s="2423"/>
      <c r="J9" s="2423"/>
      <c r="K9" s="2393"/>
      <c r="L9" s="1488"/>
      <c r="M9" s="661"/>
      <c r="N9" s="1490"/>
      <c r="O9" s="1490"/>
      <c r="P9" s="2394"/>
      <c r="Q9" s="2394"/>
      <c r="R9" s="481"/>
      <c r="S9" s="1430"/>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5" hidden="1">
      <c r="A10" s="1487"/>
      <c r="B10" s="1487"/>
      <c r="C10" s="1487"/>
      <c r="D10" s="1487"/>
      <c r="E10" s="2396"/>
      <c r="F10" s="2396"/>
      <c r="G10" s="2396"/>
      <c r="H10" s="2396"/>
      <c r="I10" s="2423"/>
      <c r="J10" s="2393"/>
      <c r="K10" s="1487"/>
      <c r="L10" s="1488"/>
      <c r="M10" s="661"/>
      <c r="N10" s="1490"/>
      <c r="P10" s="2394"/>
      <c r="Q10" s="2394"/>
      <c r="R10" s="480"/>
      <c r="S10" s="1402"/>
      <c r="T10" s="412"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5" hidden="1">
      <c r="A11" s="1487"/>
      <c r="B11" s="1487"/>
      <c r="C11" s="1487"/>
      <c r="D11" s="1487"/>
      <c r="E11" s="2396"/>
      <c r="F11" s="2396"/>
      <c r="G11" s="2396"/>
      <c r="H11" s="2396"/>
      <c r="I11" s="2393"/>
      <c r="J11" s="1487"/>
      <c r="K11" s="1487"/>
      <c r="L11" s="1488"/>
      <c r="M11" s="661"/>
      <c r="P11" s="2394"/>
      <c r="Q11" s="1429"/>
      <c r="R11" s="480"/>
      <c r="S11" s="1402"/>
      <c r="T11" s="411"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14.25" hidden="1">
      <c r="A12" s="1487"/>
      <c r="B12" s="1487"/>
      <c r="C12" s="1487"/>
      <c r="D12" s="1487"/>
      <c r="E12" s="2396"/>
      <c r="F12" s="2396"/>
      <c r="G12" s="2396"/>
      <c r="H12" s="2395"/>
      <c r="I12" s="1487"/>
      <c r="J12" s="1487"/>
      <c r="K12" s="1487"/>
      <c r="L12" s="1488"/>
      <c r="M12" s="1489"/>
      <c r="N12" s="1489"/>
      <c r="O12" s="661"/>
      <c r="P12" s="484"/>
      <c r="Q12" s="499"/>
      <c r="R12" s="479"/>
      <c r="S12" s="1402"/>
      <c r="T12" s="489" t="s">
        <v>525</v>
      </c>
      <c r="U12" s="491"/>
      <c r="V12" s="491"/>
      <c r="W12" s="491"/>
      <c r="X12" s="491"/>
      <c r="Y12" s="491"/>
      <c r="Z12" s="491"/>
      <c r="AA12" s="491"/>
      <c r="AB12" s="491"/>
      <c r="AC12" s="490"/>
      <c r="AD12" s="491"/>
      <c r="AE12" s="491"/>
      <c r="AF12" s="491"/>
      <c r="AG12" s="491"/>
      <c r="AH12" s="491"/>
      <c r="AI12" s="491"/>
      <c r="AJ12" s="491"/>
      <c r="AK12" s="490"/>
      <c r="AL12" s="491"/>
      <c r="AM12" s="427"/>
      <c r="AO12" s="624"/>
      <c r="AP12" s="624" t="str">
        <f>IF(T12="","",T12)</f>
        <v>Добавить схему подключения</v>
      </c>
      <c r="AQ12" s="624"/>
      <c r="AR12" s="624"/>
      <c r="AS12" s="1279">
        <v>0</v>
      </c>
    </row>
    <row s="6698" customFormat="1" customHeight="1" ht="0.7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0.7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0.7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P17" s="1435"/>
      <c r="AD17" s="1484"/>
      <c r="AE17" s="1484"/>
      <c r="AF17" s="1484"/>
      <c r="AG17" s="1485"/>
      <c r="AH17" s="2404"/>
      <c r="AI17" s="2405" t="s">
        <v>62</v>
      </c>
      <c r="AJ17" s="2404"/>
      <c r="AK17" s="2405" t="s">
        <v>62</v>
      </c>
      <c r="AS17" s="1279">
        <v>0</v>
      </c>
    </row>
    <row customHeight="1" ht="14.25" hidden="1">
      <c r="P18" s="1435"/>
      <c r="AD18" s="1484"/>
      <c r="AE18" s="1484"/>
      <c r="AF18" s="1484"/>
      <c r="AG18" s="452" t="str">
        <f>AH17&amp;"-"&amp;AJ17</f>
        <v>-</v>
      </c>
      <c r="AH18" s="2405"/>
      <c r="AI18" s="2405"/>
      <c r="AJ18" s="2405"/>
      <c r="AK18" s="2405"/>
      <c r="AS18" s="1279">
        <v>0</v>
      </c>
    </row>
    <row customHeight="1" ht="14.25" hidden="1">
      <c r="P19" s="1435"/>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14.2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P23" s="1435"/>
      <c r="AS23" s="1279">
        <v>0</v>
      </c>
    </row>
    <row customHeight="1" ht="14.25" hidden="1">
      <c r="O24" s="1488"/>
      <c r="P24" s="1435"/>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14.699999999999998">
      <c r="Q26" s="500"/>
      <c r="R26" s="500"/>
      <c r="S26" s="238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85"/>
      <c r="U26" s="2385"/>
      <c r="V26" s="2385"/>
      <c r="W26" s="2385"/>
      <c r="X26" s="2385"/>
      <c r="Y26" s="2385"/>
      <c r="Z26" s="2385"/>
      <c r="AA26" s="2385"/>
      <c r="AB26" s="2385"/>
      <c r="AC26" s="2385"/>
      <c r="AD26" s="2385"/>
      <c r="AE26" s="2385"/>
      <c r="AF26" s="2385"/>
      <c r="AG26" s="2385"/>
      <c r="AH26" s="2385"/>
      <c r="AI26" s="2385"/>
      <c r="AJ26" s="2385"/>
      <c r="AK26" s="1367"/>
      <c r="AS26" s="1279">
        <v>14</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P33" s="1452"/>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18.7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343"/>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279">
        <v>14</v>
      </c>
    </row>
    <row customHeight="1" ht="35.699999999999996">
      <c r="Q40" s="500"/>
      <c r="R40" s="500"/>
      <c r="S40" s="2410"/>
      <c r="T40" s="2346"/>
      <c r="U40" s="1155"/>
      <c r="V40" s="2397" t="s">
        <v>545</v>
      </c>
      <c r="W40" s="2748" t="s">
        <v>546</v>
      </c>
      <c r="X40" s="2399" t="s">
        <v>547</v>
      </c>
      <c r="Y40" s="2400"/>
      <c r="Z40" s="2399" t="s">
        <v>548</v>
      </c>
      <c r="AA40" s="2406"/>
      <c r="AB40" s="2400"/>
      <c r="AC40" s="2415"/>
      <c r="AD40" s="2397" t="s">
        <v>545</v>
      </c>
      <c r="AE40" s="2420" t="s">
        <v>546</v>
      </c>
      <c r="AF40" s="2399" t="s">
        <v>547</v>
      </c>
      <c r="AG40" s="2400"/>
      <c r="AH40" s="2399" t="s">
        <v>548</v>
      </c>
      <c r="AI40" s="2406"/>
      <c r="AJ40" s="2400"/>
      <c r="AK40" s="2415"/>
      <c r="AL40" s="2418"/>
      <c r="AM40" s="2264"/>
      <c r="AS40" s="1279">
        <v>34</v>
      </c>
    </row>
    <row customHeight="1" ht="35.699999999999996">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Q41" s="500"/>
      <c r="R41" s="500"/>
      <c r="S41" s="2410"/>
      <c r="T41" s="2346"/>
      <c r="U41" s="426"/>
      <c r="V41" s="2398"/>
      <c r="W41" s="2421"/>
      <c r="X41" s="1346" t="s">
        <v>556</v>
      </c>
      <c r="Y41" s="1346" t="s">
        <v>557</v>
      </c>
      <c r="Z41" s="1345" t="s">
        <v>558</v>
      </c>
      <c r="AA41" s="2407" t="s">
        <v>559</v>
      </c>
      <c r="AB41" s="2408"/>
      <c r="AC41" s="2416"/>
      <c r="AD41" s="2398"/>
      <c r="AE41" s="2421"/>
      <c r="AF41" s="1346" t="s">
        <v>556</v>
      </c>
      <c r="AG41" s="1346" t="s">
        <v>557</v>
      </c>
      <c r="AH41" s="1437" t="s">
        <v>558</v>
      </c>
      <c r="AI41" s="2407" t="s">
        <v>559</v>
      </c>
      <c r="AJ41" s="2408"/>
      <c r="AK41" s="2416"/>
      <c r="AL41" s="2419"/>
      <c r="AM41" s="2264"/>
      <c r="AS41" s="1279">
        <v>34</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380">
        <f>OFFSET(V42,0,-1)+1</f>
        <v>3</v>
      </c>
      <c r="W42" s="1380"/>
      <c r="X42" s="1380">
        <f>OFFSET(X42,0,-1)+1</f>
        <v>1</v>
      </c>
      <c r="Y42" s="1380">
        <f>OFFSET(Y42,0,-1)+1</f>
        <v>2</v>
      </c>
      <c r="Z42" s="1380">
        <f>OFFSET(Z42,0,-1)+1</f>
        <v>3</v>
      </c>
      <c r="AA42" s="2409">
        <f>OFFSET(AA42,0,-1)+1</f>
        <v>4</v>
      </c>
      <c r="AB42" s="2409"/>
      <c r="AC42" s="1380">
        <f>OFFSET(AC42,0,-2)+1</f>
        <v>5</v>
      </c>
      <c r="AD42" s="1436">
        <f>OFFSET(AD42,0,-1)+1</f>
        <v>6</v>
      </c>
      <c r="AE42" s="1436"/>
      <c r="AF42" s="1436">
        <f>OFFSET(AF42,0,-1)+1</f>
        <v>1</v>
      </c>
      <c r="AG42" s="1436">
        <f>OFFSET(AG42,0,-1)+1</f>
        <v>2</v>
      </c>
      <c r="AH42" s="1436">
        <f>OFFSET(AH42,0,-1)+1</f>
        <v>3</v>
      </c>
      <c r="AI42" s="2409">
        <f>OFFSET(AI42,0,-1)+1</f>
        <v>4</v>
      </c>
      <c r="AJ42" s="2409"/>
      <c r="AK42" s="1436">
        <f>OFFSET(AK42,0,-2)+1</f>
        <v>5</v>
      </c>
      <c r="AL42" s="1369">
        <f>OFFSET(AL42,0,-1)</f>
        <v>5</v>
      </c>
      <c r="AM42" s="1380">
        <f>OFFSET(AM42,0,-1)+1</f>
        <v>6</v>
      </c>
      <c r="AN42" s="635"/>
      <c r="AO42" s="635"/>
      <c r="AP42" s="635"/>
      <c r="AQ42" s="635"/>
      <c r="AR42" s="635"/>
      <c r="AS42" s="620">
        <v>0</v>
      </c>
    </row>
    <row customHeight="1" ht="24">
      <c r="A43" s="1487" t="s">
        <v>270</v>
      </c>
      <c r="B43" s="1487"/>
      <c r="C43" s="1487"/>
      <c r="D43" s="1487"/>
      <c r="E43" s="2395">
        <v>1</v>
      </c>
      <c r="F43" s="1487"/>
      <c r="G43" s="1487"/>
      <c r="H43" s="1487"/>
      <c r="I43" s="1487"/>
      <c r="J43" s="1487"/>
      <c r="K43" s="1487"/>
      <c r="L43" s="1488"/>
      <c r="M43" s="1489"/>
      <c r="N43" s="1489"/>
      <c r="O43" s="1489"/>
      <c r="P43" s="485"/>
      <c r="Q43" s="484"/>
      <c r="R43" s="479"/>
      <c r="S43" s="1348">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23</v>
      </c>
    </row>
    <row customHeight="1" ht="24">
      <c r="A44" s="1487" t="s">
        <v>270</v>
      </c>
      <c r="B44" s="1487" t="s">
        <v>271</v>
      </c>
      <c r="C44" s="1487"/>
      <c r="D44" s="1487"/>
      <c r="E44" s="2396"/>
      <c r="F44" s="2395">
        <v>1</v>
      </c>
      <c r="G44" s="1487"/>
      <c r="H44" s="1487"/>
      <c r="I44" s="1487"/>
      <c r="J44" s="1487"/>
      <c r="K44" s="1487"/>
      <c r="L44" s="1488"/>
      <c r="M44" s="1489"/>
      <c r="N44" s="1489"/>
      <c r="O44" s="1489"/>
      <c r="P44" s="646"/>
      <c r="Q44" s="476"/>
      <c r="R44" s="477"/>
      <c r="S44" s="1348"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23</v>
      </c>
    </row>
    <row customHeight="1" ht="24">
      <c r="A45" s="1487" t="s">
        <v>270</v>
      </c>
      <c r="B45" s="1487" t="s">
        <v>271</v>
      </c>
      <c r="C45" s="1487" t="s">
        <v>272</v>
      </c>
      <c r="D45" s="1487"/>
      <c r="E45" s="2396"/>
      <c r="F45" s="2396"/>
      <c r="G45" s="2395">
        <v>1</v>
      </c>
      <c r="H45" s="1487"/>
      <c r="I45" s="1487"/>
      <c r="J45" s="1487"/>
      <c r="K45" s="1487"/>
      <c r="L45" s="1488"/>
      <c r="M45" s="1489"/>
      <c r="N45" s="1489"/>
      <c r="O45" s="1489"/>
      <c r="P45" s="478"/>
      <c r="Q45" s="476"/>
      <c r="R45" s="477"/>
      <c r="S45" s="1348"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4">
      <c r="A46" s="1487" t="s">
        <v>270</v>
      </c>
      <c r="B46" s="1487" t="s">
        <v>271</v>
      </c>
      <c r="C46" s="1487" t="s">
        <v>272</v>
      </c>
      <c r="D46" s="1487" t="s">
        <v>273</v>
      </c>
      <c r="E46" s="2396"/>
      <c r="F46" s="2396"/>
      <c r="G46" s="2396"/>
      <c r="H46" s="2395">
        <v>1</v>
      </c>
      <c r="I46" s="1487"/>
      <c r="J46" s="1487"/>
      <c r="K46" s="1487"/>
      <c r="L46" s="1488"/>
      <c r="M46" s="1489"/>
      <c r="N46" s="1489"/>
      <c r="O46" s="1489"/>
      <c r="P46" s="478"/>
      <c r="Q46" s="476"/>
      <c r="R46" s="477"/>
      <c r="S46" s="1348"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23</v>
      </c>
    </row>
    <row customHeight="1" ht="49.5">
      <c r="A47" s="1487" t="s">
        <v>270</v>
      </c>
      <c r="B47" s="1487" t="s">
        <v>271</v>
      </c>
      <c r="C47" s="1487" t="s">
        <v>272</v>
      </c>
      <c r="D47" s="1487" t="s">
        <v>273</v>
      </c>
      <c r="E47" s="2396"/>
      <c r="F47" s="2396"/>
      <c r="G47" s="2396"/>
      <c r="H47" s="2396"/>
      <c r="I47" s="2393" t="str">
        <f>S46&amp;".1"</f>
        <v>....1</v>
      </c>
      <c r="J47" s="1487"/>
      <c r="K47" s="1487"/>
      <c r="L47" s="1488" t="s">
        <v>515</v>
      </c>
      <c r="P47" s="2394">
        <v>1</v>
      </c>
      <c r="Q47" s="1344"/>
      <c r="R47" s="480"/>
      <c r="S47" s="1348" t="str">
        <f>$I47</f>
        <v>....1</v>
      </c>
      <c r="T47" s="409" t="s">
        <v>516</v>
      </c>
      <c r="U47" s="424"/>
      <c r="V47" s="2382"/>
      <c r="W47" s="2383"/>
      <c r="X47" s="2383"/>
      <c r="Y47" s="2383"/>
      <c r="Z47" s="2383"/>
      <c r="AA47" s="2383"/>
      <c r="AB47" s="2383"/>
      <c r="AC47" s="2384"/>
      <c r="AD47" s="2382"/>
      <c r="AE47" s="2383"/>
      <c r="AF47" s="2383"/>
      <c r="AG47" s="2383"/>
      <c r="AH47" s="2383"/>
      <c r="AI47" s="2383"/>
      <c r="AJ47" s="2383"/>
      <c r="AK47" s="2383"/>
      <c r="AL47" s="2384"/>
      <c r="AM47" s="1382" t="s">
        <v>517</v>
      </c>
      <c r="AO47" s="624"/>
      <c r="AP47" s="624" t="str">
        <f>IF(T47="","",T47)</f>
        <v>Схема подключения теплопотребляющей установки к коллектору источника тепловой энергии</v>
      </c>
      <c r="AQ47" s="624"/>
      <c r="AR47" s="624"/>
      <c r="AS47" s="1279">
        <v>47</v>
      </c>
    </row>
    <row customHeight="1" ht="24">
      <c r="A48" s="1487" t="s">
        <v>270</v>
      </c>
      <c r="B48" s="1487" t="s">
        <v>271</v>
      </c>
      <c r="C48" s="1487" t="s">
        <v>272</v>
      </c>
      <c r="D48" s="1487" t="s">
        <v>273</v>
      </c>
      <c r="E48" s="2396"/>
      <c r="F48" s="2396"/>
      <c r="G48" s="2396"/>
      <c r="H48" s="2396"/>
      <c r="I48" s="2423"/>
      <c r="J48" s="2393" t="str">
        <f>I47&amp;".1"</f>
        <v>....1.1</v>
      </c>
      <c r="K48" s="1487"/>
      <c r="L48" s="1488" t="s">
        <v>518</v>
      </c>
      <c r="P48" s="2394"/>
      <c r="Q48" s="2394">
        <v>1</v>
      </c>
      <c r="R48" s="481"/>
      <c r="S48" s="1348" t="str">
        <f>$J48</f>
        <v>....1.1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23</v>
      </c>
    </row>
    <row customHeight="1" ht="24">
      <c r="A49" s="1487" t="s">
        <v>270</v>
      </c>
      <c r="B49" s="1487" t="s">
        <v>271</v>
      </c>
      <c r="C49" s="1487" t="s">
        <v>272</v>
      </c>
      <c r="D49" s="1487" t="s">
        <v>273</v>
      </c>
      <c r="E49" s="2396"/>
      <c r="F49" s="2396"/>
      <c r="G49" s="2396"/>
      <c r="H49" s="2396"/>
      <c r="I49" s="2423"/>
      <c r="J49" s="2423"/>
      <c r="K49" s="2393" t="str">
        <f>J48&amp;".1"</f>
        <v>....1.1.1</v>
      </c>
      <c r="L49" s="1488" t="s">
        <v>521</v>
      </c>
      <c r="P49" s="2394"/>
      <c r="Q49" s="2394"/>
      <c r="R49" s="481">
        <v>1</v>
      </c>
      <c r="S49" s="1348" t="str">
        <f>$K49</f>
        <v>....1.1.1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522</v>
      </c>
      <c r="AN49" s="635">
        <f>STRCHECKDATE(V50:AL50)</f>
      </c>
      <c r="AO49" s="624"/>
      <c r="AP49" s="624" t="str">
        <f>IF(T49="","",T49)</f>
        <v/>
      </c>
      <c r="AQ49" s="624"/>
      <c r="AR49" s="624"/>
      <c r="AS49" s="1279">
        <v>23</v>
      </c>
    </row>
    <row customHeight="1" ht="1.05">
      <c r="A50" s="1487" t="s">
        <v>270</v>
      </c>
      <c r="B50" s="1487" t="s">
        <v>271</v>
      </c>
      <c r="C50" s="1487" t="s">
        <v>272</v>
      </c>
      <c r="D50" s="1487" t="s">
        <v>273</v>
      </c>
      <c r="E50" s="2396"/>
      <c r="F50" s="2396"/>
      <c r="G50" s="2396"/>
      <c r="H50" s="2396"/>
      <c r="I50" s="2423"/>
      <c r="J50" s="2423"/>
      <c r="K50" s="2393"/>
      <c r="L50" s="1488"/>
      <c r="P50" s="2394"/>
      <c r="Q50" s="2394"/>
      <c r="R50" s="481"/>
      <c r="S50" s="1347"/>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1</v>
      </c>
    </row>
    <row customHeight="1" ht="11.549999999999999">
      <c r="A51" s="1487" t="s">
        <v>270</v>
      </c>
      <c r="B51" s="1487" t="s">
        <v>271</v>
      </c>
      <c r="C51" s="1487" t="s">
        <v>272</v>
      </c>
      <c r="D51" s="1487" t="s">
        <v>273</v>
      </c>
      <c r="E51" s="2396"/>
      <c r="F51" s="2396"/>
      <c r="G51" s="2396"/>
      <c r="H51" s="2396"/>
      <c r="I51" s="2423"/>
      <c r="J51" s="2393"/>
      <c r="K51" s="1487"/>
      <c r="L51" s="1488"/>
      <c r="P51" s="2394"/>
      <c r="Q51" s="2394"/>
      <c r="R51" s="480"/>
      <c r="S51" s="1402"/>
      <c r="T51" s="412"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270</v>
      </c>
      <c r="B52" s="1487" t="s">
        <v>271</v>
      </c>
      <c r="C52" s="1487" t="s">
        <v>272</v>
      </c>
      <c r="D52" s="1487" t="s">
        <v>273</v>
      </c>
      <c r="E52" s="2396"/>
      <c r="F52" s="2396"/>
      <c r="G52" s="2396"/>
      <c r="H52" s="2396"/>
      <c r="I52" s="2393"/>
      <c r="J52" s="1487"/>
      <c r="K52" s="1487"/>
      <c r="L52" s="1488"/>
      <c r="P52" s="2394"/>
      <c r="Q52" s="1344"/>
      <c r="R52" s="480"/>
      <c r="S52" s="1402"/>
      <c r="T52" s="411"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14.699999999999998">
      <c r="A53" s="1487" t="s">
        <v>270</v>
      </c>
      <c r="B53" s="1487" t="s">
        <v>271</v>
      </c>
      <c r="C53" s="1487" t="s">
        <v>272</v>
      </c>
      <c r="D53" s="1487" t="s">
        <v>273</v>
      </c>
      <c r="E53" s="2396"/>
      <c r="F53" s="2396"/>
      <c r="G53" s="2396"/>
      <c r="H53" s="2395"/>
      <c r="I53" s="1487"/>
      <c r="J53" s="1487"/>
      <c r="K53" s="1487"/>
      <c r="L53" s="1488"/>
      <c r="M53" s="1489"/>
      <c r="N53" s="1489"/>
      <c r="O53" s="661"/>
      <c r="P53" s="484"/>
      <c r="Q53" s="499"/>
      <c r="R53" s="479"/>
      <c r="S53" s="1402"/>
      <c r="T53" s="489" t="s">
        <v>525</v>
      </c>
      <c r="U53" s="491"/>
      <c r="V53" s="491"/>
      <c r="W53" s="491"/>
      <c r="X53" s="491"/>
      <c r="Y53" s="491"/>
      <c r="Z53" s="491"/>
      <c r="AA53" s="491"/>
      <c r="AB53" s="491"/>
      <c r="AC53" s="490"/>
      <c r="AD53" s="491"/>
      <c r="AE53" s="491"/>
      <c r="AF53" s="491"/>
      <c r="AG53" s="491"/>
      <c r="AH53" s="491"/>
      <c r="AI53" s="491"/>
      <c r="AJ53" s="491"/>
      <c r="AK53" s="490"/>
      <c r="AL53" s="491"/>
      <c r="AM53" s="427"/>
      <c r="AO53" s="624"/>
      <c r="AP53" s="624" t="str">
        <f>IF(T53="","",T53)</f>
        <v>Добавить схему подключения</v>
      </c>
      <c r="AQ53" s="624"/>
      <c r="AR53" s="624"/>
      <c r="AS53" s="1279">
        <v>14</v>
      </c>
    </row>
    <row s="6698" customFormat="1" customHeight="1" ht="1.05">
      <c r="A54" s="1467" t="s">
        <v>270</v>
      </c>
      <c r="B54" s="1467" t="s">
        <v>271</v>
      </c>
      <c r="C54" s="1467" t="s">
        <v>272</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1</v>
      </c>
    </row>
    <row s="6698" customFormat="1" customHeight="1" ht="1.05">
      <c r="A55" s="1467" t="s">
        <v>270</v>
      </c>
      <c r="B55" s="1467" t="s">
        <v>271</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1</v>
      </c>
    </row>
    <row s="6698" customFormat="1" customHeight="1" ht="1.05">
      <c r="A56" s="1467" t="s">
        <v>270</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1</v>
      </c>
    </row>
    <row s="6698" customFormat="1" customHeight="1" ht="1.05">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1</v>
      </c>
    </row>
    <row customHeight="1" ht="11.549999999999999">
      <c r="M58" s="1284"/>
      <c r="N58" s="1284"/>
      <c r="O58" s="661"/>
      <c r="P58" s="1279"/>
      <c r="Q58" s="1279"/>
      <c r="R58" s="1279"/>
      <c r="S58" s="1279"/>
      <c r="AN58" s="1279"/>
      <c r="AO58" s="1279"/>
      <c r="AP58" s="1279"/>
      <c r="AQ58" s="1279"/>
      <c r="AR58" s="1279"/>
      <c r="AS58" s="1279">
        <v>11</v>
      </c>
    </row>
    <row customHeight="1" ht="28.5">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27</v>
      </c>
    </row>
    <row customHeight="1" ht="67.2">
      <c r="O60" s="661"/>
      <c r="P60" s="1427"/>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64</v>
      </c>
    </row>
    <row customHeight="1" ht="14.699999999999998">
      <c r="O61" s="661"/>
      <c r="AS61" s="1279">
        <v>14</v>
      </c>
    </row>
    <row customHeight="1" ht="18.75">
      <c r="O62" s="661"/>
      <c r="P62" s="1452"/>
      <c r="S62" s="1377"/>
      <c r="T62" s="2422"/>
      <c r="U62" s="2422"/>
      <c r="V62" s="2422"/>
      <c r="W62" s="2422"/>
      <c r="X62" s="2422"/>
      <c r="Y62" s="2422"/>
      <c r="Z62" s="2422"/>
      <c r="AA62" s="2422"/>
      <c r="AB62" s="2422"/>
      <c r="AC62" s="2422"/>
      <c r="AD62" s="2422"/>
      <c r="AE62" s="2422"/>
      <c r="AF62" s="2422"/>
      <c r="AG62" s="2422"/>
      <c r="AH62" s="2422"/>
      <c r="AI62" s="2422"/>
      <c r="AJ62" s="2422"/>
      <c r="AK62" s="2422"/>
      <c r="AL62" s="2422"/>
      <c r="AM62" s="2422"/>
      <c r="AS62" s="1279">
        <v>18</v>
      </c>
    </row>
    <row customHeight="1" ht="18.75">
      <c r="O63" s="661"/>
      <c r="P63" s="1452"/>
      <c r="T63" s="2422"/>
      <c r="U63" s="2422"/>
      <c r="V63" s="2422"/>
      <c r="W63" s="2422"/>
      <c r="X63" s="2422"/>
      <c r="Y63" s="2422"/>
      <c r="Z63" s="2422"/>
      <c r="AA63" s="2422"/>
      <c r="AB63" s="2422"/>
      <c r="AC63" s="2422"/>
      <c r="AD63" s="2422"/>
      <c r="AE63" s="2422"/>
      <c r="AF63" s="2422"/>
      <c r="AG63" s="2422"/>
      <c r="AH63" s="2422"/>
      <c r="AI63" s="2422"/>
      <c r="AJ63" s="2422"/>
      <c r="AK63" s="2422"/>
      <c r="AL63" s="2422"/>
      <c r="AM63" s="2422"/>
      <c r="AS63" s="1279">
        <v>18</v>
      </c>
    </row>
    <row customHeight="1" ht="29.25">
      <c r="O64" s="661"/>
      <c r="P64" s="1452"/>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28</v>
      </c>
    </row>
    <row customHeight="1" ht="22.5" hidden="1">
      <c r="A65" s="1284" t="s">
        <v>82</v>
      </c>
      <c r="B65" s="1284">
        <v>0</v>
      </c>
      <c r="C65" s="1284">
        <v>0</v>
      </c>
      <c r="D65" s="1284">
        <v>0</v>
      </c>
      <c r="E65" s="1284">
        <v>0</v>
      </c>
      <c r="F65" s="1284">
        <v>0</v>
      </c>
      <c r="G65" s="1284">
        <v>0</v>
      </c>
      <c r="H65" s="1284">
        <v>0</v>
      </c>
      <c r="I65" s="1284">
        <v>0</v>
      </c>
      <c r="J65" s="1284">
        <v>0</v>
      </c>
      <c r="K65" s="1284">
        <v>0</v>
      </c>
      <c r="L65" s="1453">
        <v>0</v>
      </c>
      <c r="M65" s="1486">
        <v>0</v>
      </c>
      <c r="N65" s="1486">
        <v>0</v>
      </c>
      <c r="O65" s="1486">
        <v>0</v>
      </c>
      <c r="P65" s="1342">
        <v>3</v>
      </c>
      <c r="Q65" s="468">
        <v>3</v>
      </c>
      <c r="R65" s="468">
        <v>3</v>
      </c>
      <c r="S65" s="705">
        <v>12</v>
      </c>
      <c r="T65" s="1279">
        <v>35</v>
      </c>
      <c r="U65" s="1279">
        <v>0</v>
      </c>
      <c r="V65" s="1279">
        <v>0</v>
      </c>
      <c r="W65" s="1279">
        <v>0</v>
      </c>
      <c r="X65" s="1279">
        <v>0</v>
      </c>
      <c r="Y65" s="1279">
        <v>0</v>
      </c>
      <c r="Z65" s="1279">
        <v>0</v>
      </c>
      <c r="AA65" s="1279">
        <v>0</v>
      </c>
      <c r="AB65" s="1279">
        <v>0</v>
      </c>
      <c r="AC65" s="1279">
        <v>0</v>
      </c>
      <c r="AD65" s="1279">
        <v>24</v>
      </c>
      <c r="AE65" s="1279">
        <v>0</v>
      </c>
      <c r="AF65" s="1279">
        <v>24</v>
      </c>
      <c r="AG65" s="1279">
        <v>24</v>
      </c>
      <c r="AH65" s="1279">
        <v>11</v>
      </c>
      <c r="AI65" s="1279">
        <v>3</v>
      </c>
      <c r="AJ65" s="1279">
        <v>11</v>
      </c>
      <c r="AK65" s="1279">
        <v>0</v>
      </c>
      <c r="AL65" s="1279">
        <v>4</v>
      </c>
      <c r="AM65" s="1279">
        <v>115</v>
      </c>
      <c r="AN65" s="635">
        <v>10</v>
      </c>
      <c r="AO65" s="635">
        <v>10</v>
      </c>
      <c r="AP65" s="635">
        <v>10</v>
      </c>
      <c r="AQ65" s="635">
        <v>10</v>
      </c>
      <c r="AR65" s="635">
        <v>10</v>
      </c>
      <c r="AS65" s="127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8D6E5-2657-6988-F9B8-25680CA95AD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60">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56"/>
      <c r="Q3" s="476"/>
      <c r="R3" s="477"/>
      <c r="S3" s="1460">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1460">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477"/>
      <c r="S5" s="1460">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624"/>
      <c r="AP5" s="624" t="str">
        <f>IF(T5="","",T5)</f>
        <v>Источник тепловой энергии  </v>
      </c>
      <c r="AQ5" s="624"/>
      <c r="AR5" s="624"/>
      <c r="AS5" s="1279">
        <v>0</v>
      </c>
    </row>
    <row customHeight="1" ht="47.25" hidden="1">
      <c r="A6" s="1487"/>
      <c r="B6" s="1487"/>
      <c r="C6" s="1487"/>
      <c r="D6" s="1487"/>
      <c r="E6" s="2396"/>
      <c r="F6" s="2396"/>
      <c r="G6" s="2396"/>
      <c r="H6" s="2396"/>
      <c r="I6" s="2393">
        <f>S5&amp;".1"</f>
      </c>
      <c r="J6" s="1487"/>
      <c r="K6" s="1487"/>
      <c r="L6" s="1488" t="s">
        <v>515</v>
      </c>
      <c r="M6" s="661"/>
      <c r="P6" s="2394">
        <v>1</v>
      </c>
      <c r="Q6" s="1455"/>
      <c r="R6" s="480"/>
      <c r="S6" s="1460">
        <f>$I6</f>
      </c>
      <c r="T6" s="409" t="s">
        <v>516</v>
      </c>
      <c r="U6" s="424"/>
      <c r="V6" s="2382"/>
      <c r="W6" s="2383"/>
      <c r="X6" s="2383"/>
      <c r="Y6" s="2383"/>
      <c r="Z6" s="2383"/>
      <c r="AA6" s="2383"/>
      <c r="AB6" s="2383"/>
      <c r="AC6" s="2384"/>
      <c r="AD6" s="2382"/>
      <c r="AE6" s="2383"/>
      <c r="AF6" s="2383"/>
      <c r="AG6" s="2383"/>
      <c r="AH6" s="2383"/>
      <c r="AI6" s="2383"/>
      <c r="AJ6" s="2383"/>
      <c r="AK6" s="2383"/>
      <c r="AL6" s="2384"/>
      <c r="AM6" s="1382" t="s">
        <v>517</v>
      </c>
      <c r="AO6" s="624"/>
      <c r="AP6" s="624" t="str">
        <f>IF(T6="","",T6)</f>
        <v>Схема подключения теплопотребляющей установки к коллектору источника тепловой энергии</v>
      </c>
      <c r="AQ6" s="624"/>
      <c r="AR6" s="624"/>
      <c r="AS6" s="1279">
        <v>0</v>
      </c>
    </row>
    <row customHeight="1" ht="21" hidden="1">
      <c r="A7" s="1487"/>
      <c r="B7" s="1487"/>
      <c r="C7" s="1487"/>
      <c r="D7" s="1487"/>
      <c r="E7" s="2396"/>
      <c r="F7" s="2396"/>
      <c r="G7" s="2396"/>
      <c r="H7" s="2396"/>
      <c r="I7" s="2423"/>
      <c r="J7" s="2393">
        <f>I6&amp;".1"</f>
      </c>
      <c r="K7" s="1487"/>
      <c r="L7" s="1488" t="s">
        <v>518</v>
      </c>
      <c r="M7" s="661"/>
      <c r="N7" s="1490"/>
      <c r="P7" s="2394"/>
      <c r="Q7" s="2394">
        <v>1</v>
      </c>
      <c r="R7" s="481"/>
      <c r="S7" s="1460">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624"/>
      <c r="AP7" s="624" t="str">
        <f>IF(T7="","",T7)</f>
        <v>Группа потребителей</v>
      </c>
      <c r="AQ7" s="624"/>
      <c r="AR7" s="624"/>
      <c r="AS7" s="1279">
        <v>0</v>
      </c>
    </row>
    <row customHeight="1" ht="21" hidden="1">
      <c r="A8" s="1487"/>
      <c r="B8" s="1487"/>
      <c r="C8" s="1487"/>
      <c r="D8" s="1487"/>
      <c r="E8" s="2396"/>
      <c r="F8" s="2396"/>
      <c r="G8" s="2396"/>
      <c r="H8" s="2396"/>
      <c r="I8" s="2423"/>
      <c r="J8" s="2423"/>
      <c r="K8" s="2393">
        <f>J7&amp;".1"</f>
      </c>
      <c r="L8" s="1488" t="s">
        <v>521</v>
      </c>
      <c r="M8" s="661"/>
      <c r="N8" s="1490"/>
      <c r="O8" s="1490"/>
      <c r="P8" s="2394"/>
      <c r="Q8" s="2394"/>
      <c r="R8" s="481">
        <v>1</v>
      </c>
      <c r="S8" s="1460">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635">
        <f>STRCHECKDATE(V9:AL9)</f>
      </c>
      <c r="AO8" s="624"/>
      <c r="AP8" s="624" t="str">
        <f>IF(T8="","",T8)</f>
        <v/>
      </c>
      <c r="AQ8" s="624"/>
      <c r="AR8" s="624"/>
      <c r="AS8" s="1279">
        <v>0</v>
      </c>
    </row>
    <row customHeight="1" ht="0.75" hidden="1">
      <c r="A9" s="1487"/>
      <c r="B9" s="1487"/>
      <c r="C9" s="1487"/>
      <c r="D9" s="1487"/>
      <c r="E9" s="2396"/>
      <c r="F9" s="2396"/>
      <c r="G9" s="2396"/>
      <c r="H9" s="2396"/>
      <c r="I9" s="2423"/>
      <c r="J9" s="2423"/>
      <c r="K9" s="2393"/>
      <c r="L9" s="1488"/>
      <c r="M9" s="661"/>
      <c r="N9" s="1490"/>
      <c r="O9" s="1490"/>
      <c r="P9" s="2394"/>
      <c r="Q9" s="2394"/>
      <c r="R9" s="481"/>
      <c r="S9" s="1466"/>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5" hidden="1">
      <c r="A10" s="1487"/>
      <c r="B10" s="1487"/>
      <c r="C10" s="1487"/>
      <c r="D10" s="1487"/>
      <c r="E10" s="2396"/>
      <c r="F10" s="2396"/>
      <c r="G10" s="2396"/>
      <c r="H10" s="2396"/>
      <c r="I10" s="2423"/>
      <c r="J10" s="2393"/>
      <c r="K10" s="1487"/>
      <c r="L10" s="1488"/>
      <c r="M10" s="661"/>
      <c r="N10" s="1490"/>
      <c r="P10" s="2394"/>
      <c r="Q10" s="2394"/>
      <c r="R10" s="480"/>
      <c r="S10" s="1402"/>
      <c r="T10" s="412"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5" hidden="1">
      <c r="A11" s="1487"/>
      <c r="B11" s="1487"/>
      <c r="C11" s="1487"/>
      <c r="D11" s="1487"/>
      <c r="E11" s="2396"/>
      <c r="F11" s="2396"/>
      <c r="G11" s="2396"/>
      <c r="H11" s="2396"/>
      <c r="I11" s="2393"/>
      <c r="J11" s="1487"/>
      <c r="K11" s="1487"/>
      <c r="L11" s="1488"/>
      <c r="M11" s="661"/>
      <c r="P11" s="2394"/>
      <c r="Q11" s="1455"/>
      <c r="R11" s="480"/>
      <c r="S11" s="1402"/>
      <c r="T11" s="411"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14.25" hidden="1">
      <c r="A12" s="1487"/>
      <c r="B12" s="1487"/>
      <c r="C12" s="1487"/>
      <c r="D12" s="1487"/>
      <c r="E12" s="2396"/>
      <c r="F12" s="2396"/>
      <c r="G12" s="2396"/>
      <c r="H12" s="2395"/>
      <c r="I12" s="1487"/>
      <c r="J12" s="1487"/>
      <c r="K12" s="1487"/>
      <c r="L12" s="1488"/>
      <c r="M12" s="1489"/>
      <c r="N12" s="1489"/>
      <c r="O12" s="661"/>
      <c r="P12" s="484"/>
      <c r="Q12" s="499"/>
      <c r="R12" s="479"/>
      <c r="S12" s="1402"/>
      <c r="T12" s="489" t="s">
        <v>525</v>
      </c>
      <c r="U12" s="491"/>
      <c r="V12" s="491"/>
      <c r="W12" s="491"/>
      <c r="X12" s="491"/>
      <c r="Y12" s="491"/>
      <c r="Z12" s="491"/>
      <c r="AA12" s="491"/>
      <c r="AB12" s="491"/>
      <c r="AC12" s="490"/>
      <c r="AD12" s="491"/>
      <c r="AE12" s="491"/>
      <c r="AF12" s="491"/>
      <c r="AG12" s="491"/>
      <c r="AH12" s="491"/>
      <c r="AI12" s="491"/>
      <c r="AJ12" s="491"/>
      <c r="AK12" s="490"/>
      <c r="AL12" s="491"/>
      <c r="AM12" s="427"/>
      <c r="AO12" s="624"/>
      <c r="AP12" s="624" t="str">
        <f>IF(T12="","",T12)</f>
        <v>Добавить схему подключения</v>
      </c>
      <c r="AQ12" s="624"/>
      <c r="AR12" s="624"/>
      <c r="AS12" s="1279">
        <v>0</v>
      </c>
    </row>
    <row s="6698" customFormat="1" customHeight="1" ht="0.7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0.7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0.7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AD17" s="1484"/>
      <c r="AE17" s="1484"/>
      <c r="AF17" s="1484"/>
      <c r="AG17" s="1485"/>
      <c r="AH17" s="2404"/>
      <c r="AI17" s="2405" t="s">
        <v>62</v>
      </c>
      <c r="AJ17" s="2404"/>
      <c r="AK17" s="2405" t="s">
        <v>62</v>
      </c>
      <c r="AS17" s="1279">
        <v>0</v>
      </c>
    </row>
    <row customHeight="1" ht="14.25" hidden="1">
      <c r="AD18" s="1484"/>
      <c r="AE18" s="1484"/>
      <c r="AF18" s="1484"/>
      <c r="AG18" s="452" t="str">
        <f>AH17&amp;"-"&amp;AJ17</f>
        <v>-</v>
      </c>
      <c r="AH18" s="2405"/>
      <c r="AI18" s="2405"/>
      <c r="AJ18" s="2405"/>
      <c r="AK18" s="2405"/>
      <c r="AS18" s="1279">
        <v>0</v>
      </c>
    </row>
    <row customHeight="1" ht="14.25" hidden="1">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14.2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AS23" s="1279">
        <v>0</v>
      </c>
    </row>
    <row customHeight="1" ht="14.25" hidden="1">
      <c r="O24" s="1488"/>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14.699999999999998">
      <c r="Q26" s="500"/>
      <c r="R26" s="500"/>
      <c r="S26" s="238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85"/>
      <c r="U26" s="2385"/>
      <c r="V26" s="2385"/>
      <c r="W26" s="2385"/>
      <c r="X26" s="2385"/>
      <c r="Y26" s="2385"/>
      <c r="Z26" s="2385"/>
      <c r="AA26" s="2385"/>
      <c r="AB26" s="2385"/>
      <c r="AC26" s="2385"/>
      <c r="AD26" s="2385"/>
      <c r="AE26" s="2385"/>
      <c r="AF26" s="2385"/>
      <c r="AG26" s="2385"/>
      <c r="AH26" s="2385"/>
      <c r="AI26" s="2385"/>
      <c r="AJ26" s="2385"/>
      <c r="AK26" s="1367"/>
      <c r="AS26" s="1279">
        <v>14</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18.7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464"/>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279">
        <v>14</v>
      </c>
    </row>
    <row customHeight="1" ht="35.699999999999996">
      <c r="Q40" s="500"/>
      <c r="R40" s="500"/>
      <c r="S40" s="2410"/>
      <c r="T40" s="2346"/>
      <c r="U40" s="1155"/>
      <c r="V40" s="2397" t="s">
        <v>545</v>
      </c>
      <c r="W40" s="2420" t="s">
        <v>546</v>
      </c>
      <c r="X40" s="2399" t="s">
        <v>547</v>
      </c>
      <c r="Y40" s="2400"/>
      <c r="Z40" s="2399" t="s">
        <v>561</v>
      </c>
      <c r="AA40" s="2406"/>
      <c r="AB40" s="2400"/>
      <c r="AC40" s="2415"/>
      <c r="AD40" s="2397" t="s">
        <v>545</v>
      </c>
      <c r="AE40" s="2420" t="s">
        <v>546</v>
      </c>
      <c r="AF40" s="2399" t="s">
        <v>547</v>
      </c>
      <c r="AG40" s="2400"/>
      <c r="AH40" s="2399" t="s">
        <v>548</v>
      </c>
      <c r="AI40" s="2406"/>
      <c r="AJ40" s="2400"/>
      <c r="AK40" s="2415"/>
      <c r="AL40" s="2418"/>
      <c r="AM40" s="2264"/>
      <c r="AS40" s="1279">
        <v>34</v>
      </c>
    </row>
    <row customHeight="1" ht="35.699999999999996">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Q41" s="500"/>
      <c r="R41" s="500"/>
      <c r="S41" s="2410"/>
      <c r="T41" s="2346"/>
      <c r="U41" s="426"/>
      <c r="V41" s="2398"/>
      <c r="W41" s="2421"/>
      <c r="X41" s="1346" t="s">
        <v>556</v>
      </c>
      <c r="Y41" s="1346" t="s">
        <v>557</v>
      </c>
      <c r="Z41" s="1462" t="s">
        <v>558</v>
      </c>
      <c r="AA41" s="2407" t="s">
        <v>559</v>
      </c>
      <c r="AB41" s="2408"/>
      <c r="AC41" s="2416"/>
      <c r="AD41" s="2398"/>
      <c r="AE41" s="2421"/>
      <c r="AF41" s="1346" t="s">
        <v>556</v>
      </c>
      <c r="AG41" s="1346" t="s">
        <v>557</v>
      </c>
      <c r="AH41" s="1462" t="s">
        <v>558</v>
      </c>
      <c r="AI41" s="2407" t="s">
        <v>559</v>
      </c>
      <c r="AJ41" s="2408"/>
      <c r="AK41" s="2416"/>
      <c r="AL41" s="2419"/>
      <c r="AM41" s="2264"/>
      <c r="AS41" s="1279">
        <v>34</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459">
        <f>OFFSET(V42,0,-1)+1</f>
        <v>3</v>
      </c>
      <c r="W42" s="1459"/>
      <c r="X42" s="1459">
        <f>OFFSET(X42,0,-1)+1</f>
        <v>1</v>
      </c>
      <c r="Y42" s="1459">
        <f>OFFSET(Y42,0,-1)+1</f>
        <v>2</v>
      </c>
      <c r="Z42" s="1459">
        <f>OFFSET(Z42,0,-1)+1</f>
        <v>3</v>
      </c>
      <c r="AA42" s="2409">
        <f>OFFSET(AA42,0,-1)+1</f>
        <v>4</v>
      </c>
      <c r="AB42" s="2409"/>
      <c r="AC42" s="1459">
        <f>OFFSET(AC42,0,-2)+1</f>
        <v>5</v>
      </c>
      <c r="AD42" s="1459">
        <f>OFFSET(AD42,0,-1)+1</f>
        <v>6</v>
      </c>
      <c r="AE42" s="1459"/>
      <c r="AF42" s="1459">
        <f>OFFSET(AF42,0,-1)+1</f>
        <v>1</v>
      </c>
      <c r="AG42" s="1459">
        <f>OFFSET(AG42,0,-1)+1</f>
        <v>2</v>
      </c>
      <c r="AH42" s="1459">
        <f>OFFSET(AH42,0,-1)+1</f>
        <v>3</v>
      </c>
      <c r="AI42" s="2409">
        <f>OFFSET(AI42,0,-1)+1</f>
        <v>4</v>
      </c>
      <c r="AJ42" s="2409"/>
      <c r="AK42" s="1459">
        <f>OFFSET(AK42,0,-2)+1</f>
        <v>5</v>
      </c>
      <c r="AL42" s="1369">
        <f>OFFSET(AL42,0,-1)</f>
        <v>5</v>
      </c>
      <c r="AM42" s="1459">
        <f>OFFSET(AM42,0,-1)+1</f>
        <v>6</v>
      </c>
      <c r="AN42" s="635"/>
      <c r="AO42" s="635"/>
      <c r="AP42" s="635"/>
      <c r="AQ42" s="635"/>
      <c r="AR42" s="635"/>
      <c r="AS42" s="620">
        <v>0</v>
      </c>
    </row>
    <row customHeight="1" ht="22.049999999999997">
      <c r="A43" s="1487" t="s">
        <v>275</v>
      </c>
      <c r="B43" s="1487"/>
      <c r="C43" s="1487"/>
      <c r="D43" s="1487"/>
      <c r="E43" s="2395">
        <v>1</v>
      </c>
      <c r="F43" s="1487"/>
      <c r="G43" s="1487"/>
      <c r="H43" s="1487"/>
      <c r="I43" s="1487"/>
      <c r="J43" s="1487"/>
      <c r="K43" s="1487"/>
      <c r="L43" s="1488"/>
      <c r="M43" s="1489"/>
      <c r="N43" s="1489"/>
      <c r="O43" s="1489"/>
      <c r="P43" s="485"/>
      <c r="Q43" s="484"/>
      <c r="R43" s="479"/>
      <c r="S43" s="1460">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21</v>
      </c>
    </row>
    <row customHeight="1" ht="22.049999999999997">
      <c r="A44" s="1487" t="s">
        <v>275</v>
      </c>
      <c r="B44" s="1487" t="s">
        <v>276</v>
      </c>
      <c r="C44" s="1487"/>
      <c r="D44" s="1487"/>
      <c r="E44" s="2396"/>
      <c r="F44" s="2395">
        <v>1</v>
      </c>
      <c r="G44" s="1487"/>
      <c r="H44" s="1487"/>
      <c r="I44" s="1487"/>
      <c r="J44" s="1487"/>
      <c r="K44" s="1487"/>
      <c r="L44" s="1488"/>
      <c r="M44" s="1489"/>
      <c r="N44" s="1489"/>
      <c r="O44" s="1489"/>
      <c r="P44" s="1456"/>
      <c r="Q44" s="476"/>
      <c r="R44" s="477"/>
      <c r="S44" s="1460"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21</v>
      </c>
    </row>
    <row customHeight="1" ht="24">
      <c r="A45" s="1487" t="s">
        <v>275</v>
      </c>
      <c r="B45" s="1487" t="s">
        <v>276</v>
      </c>
      <c r="C45" s="1487" t="s">
        <v>277</v>
      </c>
      <c r="D45" s="1487"/>
      <c r="E45" s="2396"/>
      <c r="F45" s="2396"/>
      <c r="G45" s="2395">
        <v>1</v>
      </c>
      <c r="H45" s="1487"/>
      <c r="I45" s="1487"/>
      <c r="J45" s="1487"/>
      <c r="K45" s="1487"/>
      <c r="L45" s="1488"/>
      <c r="M45" s="1489"/>
      <c r="N45" s="1489"/>
      <c r="O45" s="1489"/>
      <c r="P45" s="478"/>
      <c r="Q45" s="476"/>
      <c r="R45" s="477"/>
      <c r="S45" s="1460"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2.049999999999997">
      <c r="A46" s="1487" t="s">
        <v>275</v>
      </c>
      <c r="B46" s="1487" t="s">
        <v>276</v>
      </c>
      <c r="C46" s="1487" t="s">
        <v>277</v>
      </c>
      <c r="D46" s="1487" t="s">
        <v>278</v>
      </c>
      <c r="E46" s="2396"/>
      <c r="F46" s="2396"/>
      <c r="G46" s="2396"/>
      <c r="H46" s="2395">
        <v>1</v>
      </c>
      <c r="I46" s="1487"/>
      <c r="J46" s="1487"/>
      <c r="K46" s="1487"/>
      <c r="L46" s="1488"/>
      <c r="M46" s="1489"/>
      <c r="N46" s="1489"/>
      <c r="O46" s="1489"/>
      <c r="P46" s="478"/>
      <c r="Q46" s="476"/>
      <c r="R46" s="477"/>
      <c r="S46" s="1460"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21</v>
      </c>
    </row>
    <row customHeight="1" ht="49.5">
      <c r="A47" s="1487" t="s">
        <v>275</v>
      </c>
      <c r="B47" s="1487" t="s">
        <v>276</v>
      </c>
      <c r="C47" s="1487" t="s">
        <v>277</v>
      </c>
      <c r="D47" s="1487" t="s">
        <v>278</v>
      </c>
      <c r="E47" s="2396"/>
      <c r="F47" s="2396"/>
      <c r="G47" s="2396"/>
      <c r="H47" s="2396"/>
      <c r="I47" s="2393" t="str">
        <f>S46&amp;".1"</f>
        <v>....1</v>
      </c>
      <c r="J47" s="1487"/>
      <c r="K47" s="1487"/>
      <c r="L47" s="1488" t="s">
        <v>515</v>
      </c>
      <c r="P47" s="2394">
        <v>1</v>
      </c>
      <c r="Q47" s="1455"/>
      <c r="R47" s="480"/>
      <c r="S47" s="1460" t="str">
        <f>$I47</f>
        <v>....1</v>
      </c>
      <c r="T47" s="409" t="s">
        <v>516</v>
      </c>
      <c r="U47" s="424"/>
      <c r="V47" s="2382"/>
      <c r="W47" s="2383"/>
      <c r="X47" s="2383"/>
      <c r="Y47" s="2383"/>
      <c r="Z47" s="2383"/>
      <c r="AA47" s="2383"/>
      <c r="AB47" s="2383"/>
      <c r="AC47" s="2384"/>
      <c r="AD47" s="2382"/>
      <c r="AE47" s="2383"/>
      <c r="AF47" s="2383"/>
      <c r="AG47" s="2383"/>
      <c r="AH47" s="2383"/>
      <c r="AI47" s="2383"/>
      <c r="AJ47" s="2383"/>
      <c r="AK47" s="2383"/>
      <c r="AL47" s="2384"/>
      <c r="AM47" s="1382" t="s">
        <v>517</v>
      </c>
      <c r="AO47" s="624"/>
      <c r="AP47" s="624" t="str">
        <f>IF(T47="","",T47)</f>
        <v>Схема подключения теплопотребляющей установки к коллектору источника тепловой энергии</v>
      </c>
      <c r="AQ47" s="624"/>
      <c r="AR47" s="624"/>
      <c r="AS47" s="1279">
        <v>47</v>
      </c>
    </row>
    <row customHeight="1" ht="22.049999999999997">
      <c r="A48" s="1487" t="s">
        <v>275</v>
      </c>
      <c r="B48" s="1487" t="s">
        <v>276</v>
      </c>
      <c r="C48" s="1487" t="s">
        <v>277</v>
      </c>
      <c r="D48" s="1487" t="s">
        <v>278</v>
      </c>
      <c r="E48" s="2396"/>
      <c r="F48" s="2396"/>
      <c r="G48" s="2396"/>
      <c r="H48" s="2396"/>
      <c r="I48" s="2423"/>
      <c r="J48" s="2393" t="str">
        <f>I47&amp;".1"</f>
        <v>....1.1</v>
      </c>
      <c r="K48" s="1487"/>
      <c r="L48" s="1488" t="s">
        <v>518</v>
      </c>
      <c r="P48" s="2394"/>
      <c r="Q48" s="2394">
        <v>1</v>
      </c>
      <c r="R48" s="481"/>
      <c r="S48" s="1460" t="str">
        <f>$J48</f>
        <v>....1.1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21</v>
      </c>
    </row>
    <row customHeight="1" ht="22.049999999999997">
      <c r="A49" s="1487" t="s">
        <v>275</v>
      </c>
      <c r="B49" s="1487" t="s">
        <v>276</v>
      </c>
      <c r="C49" s="1487" t="s">
        <v>277</v>
      </c>
      <c r="D49" s="1487" t="s">
        <v>278</v>
      </c>
      <c r="E49" s="2396"/>
      <c r="F49" s="2396"/>
      <c r="G49" s="2396"/>
      <c r="H49" s="2396"/>
      <c r="I49" s="2423"/>
      <c r="J49" s="2423"/>
      <c r="K49" s="2393" t="str">
        <f>J48&amp;".1"</f>
        <v>....1.1.1</v>
      </c>
      <c r="L49" s="1488" t="s">
        <v>521</v>
      </c>
      <c r="P49" s="2394"/>
      <c r="Q49" s="2394"/>
      <c r="R49" s="481">
        <v>1</v>
      </c>
      <c r="S49" s="1460" t="str">
        <f>$K49</f>
        <v>....1.1.1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522</v>
      </c>
      <c r="AN49" s="635">
        <f>STRCHECKDATE(V50:AL50)</f>
      </c>
      <c r="AO49" s="624"/>
      <c r="AP49" s="624" t="str">
        <f>IF(T49="","",T49)</f>
        <v/>
      </c>
      <c r="AQ49" s="624"/>
      <c r="AR49" s="624"/>
      <c r="AS49" s="1279">
        <v>21</v>
      </c>
    </row>
    <row customHeight="1" ht="1.05">
      <c r="A50" s="1487" t="s">
        <v>275</v>
      </c>
      <c r="B50" s="1487" t="s">
        <v>276</v>
      </c>
      <c r="C50" s="1487" t="s">
        <v>277</v>
      </c>
      <c r="D50" s="1487" t="s">
        <v>278</v>
      </c>
      <c r="E50" s="2396"/>
      <c r="F50" s="2396"/>
      <c r="G50" s="2396"/>
      <c r="H50" s="2396"/>
      <c r="I50" s="2423"/>
      <c r="J50" s="2423"/>
      <c r="K50" s="2393"/>
      <c r="L50" s="1488"/>
      <c r="P50" s="2394"/>
      <c r="Q50" s="2394"/>
      <c r="R50" s="481"/>
      <c r="S50" s="1466"/>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1</v>
      </c>
    </row>
    <row customHeight="1" ht="11.549999999999999">
      <c r="A51" s="1487" t="s">
        <v>275</v>
      </c>
      <c r="B51" s="1487" t="s">
        <v>276</v>
      </c>
      <c r="C51" s="1487" t="s">
        <v>277</v>
      </c>
      <c r="D51" s="1487" t="s">
        <v>278</v>
      </c>
      <c r="E51" s="2396"/>
      <c r="F51" s="2396"/>
      <c r="G51" s="2396"/>
      <c r="H51" s="2396"/>
      <c r="I51" s="2423"/>
      <c r="J51" s="2393"/>
      <c r="K51" s="1487"/>
      <c r="L51" s="1488"/>
      <c r="P51" s="2394"/>
      <c r="Q51" s="2394"/>
      <c r="R51" s="480"/>
      <c r="S51" s="1402"/>
      <c r="T51" s="412"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275</v>
      </c>
      <c r="B52" s="1487" t="s">
        <v>276</v>
      </c>
      <c r="C52" s="1487" t="s">
        <v>277</v>
      </c>
      <c r="D52" s="1487" t="s">
        <v>278</v>
      </c>
      <c r="E52" s="2396"/>
      <c r="F52" s="2396"/>
      <c r="G52" s="2396"/>
      <c r="H52" s="2396"/>
      <c r="I52" s="2393"/>
      <c r="J52" s="1487"/>
      <c r="K52" s="1487"/>
      <c r="L52" s="1488"/>
      <c r="P52" s="2394"/>
      <c r="Q52" s="1455"/>
      <c r="R52" s="480"/>
      <c r="S52" s="1402"/>
      <c r="T52" s="411"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14.699999999999998">
      <c r="A53" s="1487" t="s">
        <v>275</v>
      </c>
      <c r="B53" s="1487" t="s">
        <v>276</v>
      </c>
      <c r="C53" s="1487" t="s">
        <v>277</v>
      </c>
      <c r="D53" s="1487" t="s">
        <v>278</v>
      </c>
      <c r="E53" s="2396"/>
      <c r="F53" s="2396"/>
      <c r="G53" s="2396"/>
      <c r="H53" s="2395"/>
      <c r="I53" s="1487"/>
      <c r="J53" s="1487"/>
      <c r="K53" s="1487"/>
      <c r="L53" s="1488"/>
      <c r="M53" s="1489"/>
      <c r="N53" s="1489"/>
      <c r="O53" s="661"/>
      <c r="P53" s="484"/>
      <c r="Q53" s="499"/>
      <c r="R53" s="479"/>
      <c r="S53" s="1402"/>
      <c r="T53" s="489" t="s">
        <v>525</v>
      </c>
      <c r="U53" s="491"/>
      <c r="V53" s="491"/>
      <c r="W53" s="491"/>
      <c r="X53" s="491"/>
      <c r="Y53" s="491"/>
      <c r="Z53" s="491"/>
      <c r="AA53" s="491"/>
      <c r="AB53" s="491"/>
      <c r="AC53" s="490"/>
      <c r="AD53" s="491"/>
      <c r="AE53" s="491"/>
      <c r="AF53" s="491"/>
      <c r="AG53" s="491"/>
      <c r="AH53" s="491"/>
      <c r="AI53" s="491"/>
      <c r="AJ53" s="491"/>
      <c r="AK53" s="490"/>
      <c r="AL53" s="491"/>
      <c r="AM53" s="427"/>
      <c r="AO53" s="624"/>
      <c r="AP53" s="624" t="str">
        <f>IF(T53="","",T53)</f>
        <v>Добавить схему подключения</v>
      </c>
      <c r="AQ53" s="624"/>
      <c r="AR53" s="624"/>
      <c r="AS53" s="1279">
        <v>14</v>
      </c>
    </row>
    <row s="6698" customFormat="1" customHeight="1" ht="1.05">
      <c r="A54" s="1467" t="s">
        <v>275</v>
      </c>
      <c r="B54" s="1467" t="s">
        <v>276</v>
      </c>
      <c r="C54" s="1467" t="s">
        <v>277</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1</v>
      </c>
    </row>
    <row s="6698" customFormat="1" customHeight="1" ht="1.05">
      <c r="A55" s="1467" t="s">
        <v>275</v>
      </c>
      <c r="B55" s="1467" t="s">
        <v>276</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1</v>
      </c>
    </row>
    <row s="6698" customFormat="1" customHeight="1" ht="1.05">
      <c r="A56" s="1467" t="s">
        <v>275</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1</v>
      </c>
    </row>
    <row s="6698" customFormat="1" customHeight="1" ht="1.05">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1</v>
      </c>
    </row>
    <row customHeight="1" ht="11.549999999999999">
      <c r="M58" s="1284"/>
      <c r="N58" s="1284"/>
      <c r="O58" s="661"/>
      <c r="P58" s="1279"/>
      <c r="Q58" s="1279"/>
      <c r="R58" s="1279"/>
      <c r="S58" s="1279"/>
      <c r="AN58" s="1279"/>
      <c r="AO58" s="1279"/>
      <c r="AP58" s="1279"/>
      <c r="AQ58" s="1279"/>
      <c r="AR58" s="1279"/>
      <c r="AS58" s="1279">
        <v>11</v>
      </c>
    </row>
    <row customHeight="1" ht="28.5">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27</v>
      </c>
    </row>
    <row customHeight="1" ht="65.25">
      <c r="O60" s="661"/>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62</v>
      </c>
    </row>
    <row customHeight="1" ht="14.699999999999998">
      <c r="O61" s="661"/>
      <c r="AS61" s="1279">
        <v>14</v>
      </c>
    </row>
    <row customHeight="1" ht="18.75">
      <c r="O62" s="661"/>
      <c r="S62" s="1377"/>
      <c r="T62" s="2422"/>
      <c r="U62" s="2422"/>
      <c r="V62" s="2422"/>
      <c r="W62" s="2422"/>
      <c r="X62" s="2422"/>
      <c r="Y62" s="2422"/>
      <c r="Z62" s="2422"/>
      <c r="AA62" s="2422"/>
      <c r="AB62" s="2422"/>
      <c r="AC62" s="2422"/>
      <c r="AD62" s="2422"/>
      <c r="AE62" s="2422"/>
      <c r="AF62" s="2422"/>
      <c r="AG62" s="2422"/>
      <c r="AH62" s="2422"/>
      <c r="AI62" s="2422"/>
      <c r="AJ62" s="2422"/>
      <c r="AK62" s="2422"/>
      <c r="AL62" s="2422"/>
      <c r="AM62" s="2422"/>
      <c r="AS62" s="1279">
        <v>18</v>
      </c>
    </row>
    <row customHeight="1" ht="18.75">
      <c r="O63" s="661"/>
      <c r="T63" s="2422"/>
      <c r="U63" s="2422"/>
      <c r="V63" s="2422"/>
      <c r="W63" s="2422"/>
      <c r="X63" s="2422"/>
      <c r="Y63" s="2422"/>
      <c r="Z63" s="2422"/>
      <c r="AA63" s="2422"/>
      <c r="AB63" s="2422"/>
      <c r="AC63" s="2422"/>
      <c r="AD63" s="2422"/>
      <c r="AE63" s="2422"/>
      <c r="AF63" s="2422"/>
      <c r="AG63" s="2422"/>
      <c r="AH63" s="2422"/>
      <c r="AI63" s="2422"/>
      <c r="AJ63" s="2422"/>
      <c r="AK63" s="2422"/>
      <c r="AL63" s="2422"/>
      <c r="AM63" s="2422"/>
      <c r="AS63" s="1279">
        <v>18</v>
      </c>
    </row>
    <row customHeight="1" ht="29.25">
      <c r="O64" s="661"/>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28</v>
      </c>
    </row>
    <row customHeight="1" ht="22.5" hidden="1">
      <c r="A65" s="1284" t="s">
        <v>82</v>
      </c>
      <c r="B65" s="1284">
        <v>0</v>
      </c>
      <c r="C65" s="1284">
        <v>0</v>
      </c>
      <c r="D65" s="1284">
        <v>0</v>
      </c>
      <c r="E65" s="1284">
        <v>0</v>
      </c>
      <c r="F65" s="1284">
        <v>0</v>
      </c>
      <c r="G65" s="1284">
        <v>0</v>
      </c>
      <c r="H65" s="1284">
        <v>0</v>
      </c>
      <c r="I65" s="1284">
        <v>0</v>
      </c>
      <c r="J65" s="1284">
        <v>0</v>
      </c>
      <c r="K65" s="1284">
        <v>0</v>
      </c>
      <c r="L65" s="1453">
        <v>0</v>
      </c>
      <c r="M65" s="1486">
        <v>0</v>
      </c>
      <c r="N65" s="1486">
        <v>0</v>
      </c>
      <c r="O65" s="1486">
        <v>0</v>
      </c>
      <c r="P65" s="1452">
        <v>3</v>
      </c>
      <c r="Q65" s="468">
        <v>3</v>
      </c>
      <c r="R65" s="468">
        <v>3</v>
      </c>
      <c r="S65" s="705">
        <v>12</v>
      </c>
      <c r="T65" s="1279">
        <v>31</v>
      </c>
      <c r="U65" s="1279">
        <v>0</v>
      </c>
      <c r="V65" s="1279">
        <v>0</v>
      </c>
      <c r="W65" s="1279">
        <v>0</v>
      </c>
      <c r="X65" s="1279">
        <v>0</v>
      </c>
      <c r="Y65" s="1279">
        <v>0</v>
      </c>
      <c r="Z65" s="1279">
        <v>0</v>
      </c>
      <c r="AA65" s="1279">
        <v>0</v>
      </c>
      <c r="AB65" s="1279">
        <v>0</v>
      </c>
      <c r="AC65" s="1279">
        <v>0</v>
      </c>
      <c r="AD65" s="1279">
        <v>24</v>
      </c>
      <c r="AE65" s="1279">
        <v>0</v>
      </c>
      <c r="AF65" s="1279">
        <v>24</v>
      </c>
      <c r="AG65" s="1279">
        <v>24</v>
      </c>
      <c r="AH65" s="1279">
        <v>11</v>
      </c>
      <c r="AI65" s="1279">
        <v>3</v>
      </c>
      <c r="AJ65" s="1279">
        <v>11</v>
      </c>
      <c r="AK65" s="1279">
        <v>0</v>
      </c>
      <c r="AL65" s="1279">
        <v>4</v>
      </c>
      <c r="AM65" s="1279">
        <v>115</v>
      </c>
      <c r="AN65" s="635">
        <v>10</v>
      </c>
      <c r="AO65" s="635">
        <v>10</v>
      </c>
      <c r="AP65" s="635">
        <v>10</v>
      </c>
      <c r="AQ65" s="635">
        <v>10</v>
      </c>
      <c r="AR65" s="635">
        <v>10</v>
      </c>
      <c r="AS65" s="127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80D468-3451-5E5F-0E88-0F726F2467F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213" width="10.57421875" hidden="1"/>
    <col min="2" max="2" style="7213" width="11.00390625" hidden="1" customWidth="1"/>
    <col min="3" max="3" style="7213" width="10.57421875" hidden="1"/>
    <col min="4" max="4" style="7213" width="11.8515625" hidden="1" customWidth="1"/>
    <col min="5" max="5" style="7213" width="10.00390625" hidden="1" customWidth="1"/>
    <col min="6" max="6" style="7213" width="8.7109375" hidden="1" customWidth="1"/>
    <col min="7" max="7" style="7213" width="7.57421875" hidden="1" customWidth="1"/>
    <col min="8" max="8" style="7213" width="11.421875" hidden="1" customWidth="1"/>
    <col min="9" max="9" style="7213" width="12.00390625" hidden="1" customWidth="1"/>
    <col min="10" max="10" style="7213" width="9.8515625" hidden="1" customWidth="1"/>
    <col min="11" max="11" style="7213" width="11.421875" hidden="1" customWidth="1"/>
    <col min="12" max="12" style="7895" width="19.140625" hidden="1" customWidth="1"/>
    <col min="13" max="14" style="7916" width="12.28125" hidden="1" customWidth="1"/>
    <col min="15" max="15" style="7916" width="23.421875" hidden="1" customWidth="1"/>
    <col min="16" max="16" style="7916" width="3.00390625"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AS1" s="1755" t="s">
        <v>14</v>
      </c>
    </row>
    <row customHeight="1" ht="21" hidden="1">
      <c r="A2" s="1391"/>
      <c r="B2" s="1391"/>
      <c r="C2" s="1391"/>
      <c r="D2" s="1391"/>
      <c r="E2" s="2426">
        <v>1</v>
      </c>
      <c r="F2" s="1391"/>
      <c r="G2" s="1391"/>
      <c r="H2" s="1391"/>
      <c r="I2" s="1391"/>
      <c r="J2" s="1391"/>
      <c r="K2" s="1391"/>
      <c r="L2" s="1434"/>
      <c r="M2" s="1734"/>
      <c r="N2" s="1734"/>
      <c r="O2" s="1734"/>
      <c r="P2" s="1714"/>
      <c r="Q2" s="484"/>
      <c r="R2" s="479"/>
      <c r="S2" s="2079">
        <f>INDEX(PT_DIFFERENTIATION_NUM_NTAR,MATCH(A2,PT_DIFFERENTIATION_NTAR_ID,0))</f>
      </c>
      <c r="T2" s="1649"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1748"/>
      <c r="AP2" s="1748" t="str">
        <f>IF(T2="","",T2)</f>
        <v>Наименование тарифа</v>
      </c>
      <c r="AQ2" s="1748"/>
      <c r="AR2" s="1748"/>
      <c r="AS2" s="1755">
        <v>0</v>
      </c>
    </row>
    <row customHeight="1" ht="21" hidden="1">
      <c r="A3" s="1391"/>
      <c r="B3" s="1391"/>
      <c r="C3" s="1391"/>
      <c r="D3" s="1391"/>
      <c r="E3" s="2427"/>
      <c r="F3" s="2426">
        <v>1</v>
      </c>
      <c r="G3" s="1391"/>
      <c r="H3" s="1391"/>
      <c r="I3" s="1391"/>
      <c r="J3" s="1391"/>
      <c r="K3" s="1391"/>
      <c r="L3" s="1434"/>
      <c r="M3" s="1734"/>
      <c r="N3" s="1734"/>
      <c r="O3" s="1734"/>
      <c r="P3" s="2061"/>
      <c r="Q3" s="476"/>
      <c r="R3" s="477"/>
      <c r="S3" s="2079">
        <f>INDEX(PT_DIFFERENTIATION_NUM_TER,MATCH(B3,PT_DIFFERENTIATION_TER_ID,0))</f>
      </c>
      <c r="T3" s="1646"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1748"/>
      <c r="AP3" s="1748" t="str">
        <f>IF(T3="","",T3)</f>
        <v>Территория действия тарифа</v>
      </c>
      <c r="AQ3" s="1748"/>
      <c r="AR3" s="1748"/>
      <c r="AS3" s="1755">
        <v>0</v>
      </c>
    </row>
    <row customHeight="1" ht="23.25" hidden="1">
      <c r="A4" s="1391"/>
      <c r="B4" s="1391"/>
      <c r="C4" s="1391"/>
      <c r="D4" s="1391"/>
      <c r="E4" s="2427"/>
      <c r="F4" s="2427"/>
      <c r="G4" s="2426">
        <v>1</v>
      </c>
      <c r="H4" s="1391"/>
      <c r="I4" s="1391"/>
      <c r="J4" s="1391"/>
      <c r="K4" s="1391"/>
      <c r="L4" s="1434"/>
      <c r="M4" s="1734"/>
      <c r="N4" s="1734"/>
      <c r="O4" s="1734"/>
      <c r="P4" s="478"/>
      <c r="Q4" s="476"/>
      <c r="R4" s="477"/>
      <c r="S4" s="2079">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1748"/>
      <c r="AP4" s="1748" t="str">
        <f>IF(T4="","",T4)</f>
        <v>Наименование системы теплоснабжения </v>
      </c>
      <c r="AQ4" s="1748"/>
      <c r="AR4" s="1748"/>
      <c r="AS4" s="1755">
        <v>0</v>
      </c>
    </row>
    <row customHeight="1" ht="21" hidden="1">
      <c r="A5" s="1391"/>
      <c r="B5" s="1391"/>
      <c r="C5" s="1391"/>
      <c r="D5" s="1391"/>
      <c r="E5" s="2427"/>
      <c r="F5" s="2427"/>
      <c r="G5" s="2427"/>
      <c r="H5" s="2426">
        <v>1</v>
      </c>
      <c r="I5" s="1391"/>
      <c r="J5" s="1391"/>
      <c r="K5" s="1391"/>
      <c r="L5" s="1434"/>
      <c r="M5" s="1734"/>
      <c r="N5" s="1734"/>
      <c r="O5" s="1734"/>
      <c r="P5" s="478"/>
      <c r="Q5" s="476"/>
      <c r="R5" s="477"/>
      <c r="S5" s="2079">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1748"/>
      <c r="AP5" s="1748" t="str">
        <f>IF(T5="","",T5)</f>
        <v>Источник тепловой энергии  </v>
      </c>
      <c r="AQ5" s="1748"/>
      <c r="AR5" s="1748"/>
      <c r="AS5" s="1755">
        <v>0</v>
      </c>
    </row>
    <row customHeight="1" ht="47.25" hidden="1">
      <c r="A6" s="1391"/>
      <c r="B6" s="1391"/>
      <c r="C6" s="1391"/>
      <c r="D6" s="1391"/>
      <c r="E6" s="2427"/>
      <c r="F6" s="2427"/>
      <c r="G6" s="2427"/>
      <c r="H6" s="2427"/>
      <c r="I6" s="2264">
        <f>S5&amp;".1"</f>
      </c>
      <c r="J6" s="1391"/>
      <c r="K6" s="1391"/>
      <c r="L6" s="1434" t="s">
        <v>515</v>
      </c>
      <c r="M6" s="1759"/>
      <c r="P6" s="2394">
        <v>1</v>
      </c>
      <c r="Q6" s="2075"/>
      <c r="R6" s="480"/>
      <c r="S6" s="2079">
        <f>$I6</f>
      </c>
      <c r="T6" s="409" t="s">
        <v>516</v>
      </c>
      <c r="U6" s="424"/>
      <c r="V6" s="2382"/>
      <c r="W6" s="2383"/>
      <c r="X6" s="2383"/>
      <c r="Y6" s="2383"/>
      <c r="Z6" s="2383"/>
      <c r="AA6" s="2383"/>
      <c r="AB6" s="2383"/>
      <c r="AC6" s="2384"/>
      <c r="AD6" s="2382"/>
      <c r="AE6" s="2383"/>
      <c r="AF6" s="2383"/>
      <c r="AG6" s="2383"/>
      <c r="AH6" s="2383"/>
      <c r="AI6" s="2383"/>
      <c r="AJ6" s="2383"/>
      <c r="AK6" s="2383"/>
      <c r="AL6" s="2384"/>
      <c r="AM6" s="1382" t="s">
        <v>517</v>
      </c>
      <c r="AO6" s="1748"/>
      <c r="AP6" s="1748" t="str">
        <f>IF(T6="","",T6)</f>
        <v>Схема подключения теплопотребляющей установки к коллектору источника тепловой энергии</v>
      </c>
      <c r="AQ6" s="1748"/>
      <c r="AR6" s="1748"/>
      <c r="AS6" s="1755">
        <v>0</v>
      </c>
    </row>
    <row customHeight="1" ht="21" hidden="1">
      <c r="A7" s="1391"/>
      <c r="B7" s="1391"/>
      <c r="C7" s="1391"/>
      <c r="D7" s="1391"/>
      <c r="E7" s="2427"/>
      <c r="F7" s="2427"/>
      <c r="G7" s="2427"/>
      <c r="H7" s="2427"/>
      <c r="I7" s="2238"/>
      <c r="J7" s="2264">
        <f>I6&amp;".1"</f>
      </c>
      <c r="K7" s="1391"/>
      <c r="L7" s="1434" t="s">
        <v>518</v>
      </c>
      <c r="M7" s="1759"/>
      <c r="N7" s="1755"/>
      <c r="P7" s="2394"/>
      <c r="Q7" s="2394">
        <v>1</v>
      </c>
      <c r="R7" s="481"/>
      <c r="S7" s="2079">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1748"/>
      <c r="AP7" s="1748" t="str">
        <f>IF(T7="","",T7)</f>
        <v>Группа потребителей</v>
      </c>
      <c r="AQ7" s="1748"/>
      <c r="AR7" s="1748"/>
      <c r="AS7" s="1755">
        <v>0</v>
      </c>
    </row>
    <row customHeight="1" ht="21" hidden="1">
      <c r="A8" s="1391"/>
      <c r="B8" s="1391"/>
      <c r="C8" s="1391"/>
      <c r="D8" s="1391"/>
      <c r="E8" s="2427"/>
      <c r="F8" s="2427"/>
      <c r="G8" s="2427"/>
      <c r="H8" s="2427"/>
      <c r="I8" s="2238"/>
      <c r="J8" s="2238"/>
      <c r="K8" s="2264">
        <f>J7&amp;".1"</f>
      </c>
      <c r="L8" s="1434" t="s">
        <v>521</v>
      </c>
      <c r="M8" s="1759"/>
      <c r="N8" s="1755"/>
      <c r="O8" s="1755"/>
      <c r="P8" s="2394"/>
      <c r="Q8" s="2394"/>
      <c r="R8" s="481">
        <v>1</v>
      </c>
      <c r="S8" s="2079">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1760">
        <f>STRCHECKDATE(V9:AL9)</f>
      </c>
      <c r="AO8" s="1748"/>
      <c r="AP8" s="1748" t="str">
        <f>IF(T8="","",T8)</f>
        <v/>
      </c>
      <c r="AQ8" s="1748"/>
      <c r="AR8" s="1748"/>
      <c r="AS8" s="1755">
        <v>0</v>
      </c>
    </row>
    <row customHeight="1" ht="0.75" hidden="1">
      <c r="A9" s="1391"/>
      <c r="B9" s="1391"/>
      <c r="C9" s="1391"/>
      <c r="D9" s="1391"/>
      <c r="E9" s="2427"/>
      <c r="F9" s="2427"/>
      <c r="G9" s="2427"/>
      <c r="H9" s="2427"/>
      <c r="I9" s="2238"/>
      <c r="J9" s="2238"/>
      <c r="K9" s="2264"/>
      <c r="L9" s="1434"/>
      <c r="M9" s="1759"/>
      <c r="N9" s="1755"/>
      <c r="O9" s="1755"/>
      <c r="P9" s="2394"/>
      <c r="Q9" s="2394"/>
      <c r="R9" s="481"/>
      <c r="S9" s="2088"/>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1748"/>
      <c r="AP9" s="1748" t="str">
        <f>IF(T9="","",T9)</f>
        <v/>
      </c>
      <c r="AQ9" s="1748"/>
      <c r="AR9" s="1748"/>
      <c r="AS9" s="1755">
        <v>0</v>
      </c>
    </row>
    <row customHeight="1" ht="15" hidden="1">
      <c r="A10" s="1391"/>
      <c r="B10" s="1391"/>
      <c r="C10" s="1391"/>
      <c r="D10" s="1391"/>
      <c r="E10" s="2427"/>
      <c r="F10" s="2427"/>
      <c r="G10" s="2427"/>
      <c r="H10" s="2427"/>
      <c r="I10" s="2238"/>
      <c r="J10" s="2264"/>
      <c r="K10" s="1391"/>
      <c r="L10" s="1434"/>
      <c r="M10" s="1759"/>
      <c r="N10" s="1755"/>
      <c r="P10" s="2394"/>
      <c r="Q10" s="2394"/>
      <c r="R10" s="480"/>
      <c r="S10" s="1402"/>
      <c r="T10" s="412" t="s">
        <v>523</v>
      </c>
      <c r="U10" s="724"/>
      <c r="V10" s="724"/>
      <c r="W10" s="724"/>
      <c r="X10" s="724"/>
      <c r="Y10" s="724"/>
      <c r="Z10" s="724"/>
      <c r="AA10" s="724"/>
      <c r="AB10" s="724"/>
      <c r="AC10" s="724"/>
      <c r="AD10" s="724"/>
      <c r="AE10" s="724"/>
      <c r="AF10" s="724"/>
      <c r="AG10" s="724"/>
      <c r="AH10" s="724"/>
      <c r="AI10" s="724"/>
      <c r="AJ10" s="724"/>
      <c r="AK10" s="724"/>
      <c r="AL10" s="448"/>
      <c r="AM10" s="2392"/>
      <c r="AO10" s="1748"/>
      <c r="AP10" s="1748" t="str">
        <f>IF(T10="","",T10)</f>
        <v>Добавить вид теплоносителя (параметры теплоносителя)</v>
      </c>
      <c r="AQ10" s="1748"/>
      <c r="AR10" s="1748"/>
      <c r="AS10" s="1755">
        <v>0</v>
      </c>
    </row>
    <row customHeight="1" ht="15" hidden="1">
      <c r="A11" s="1391"/>
      <c r="B11" s="1391"/>
      <c r="C11" s="1391"/>
      <c r="D11" s="1391"/>
      <c r="E11" s="2427"/>
      <c r="F11" s="2427"/>
      <c r="G11" s="2427"/>
      <c r="H11" s="2427"/>
      <c r="I11" s="2264"/>
      <c r="J11" s="1391"/>
      <c r="K11" s="1391"/>
      <c r="L11" s="1434"/>
      <c r="M11" s="1759"/>
      <c r="P11" s="2394"/>
      <c r="Q11" s="2075"/>
      <c r="R11" s="480"/>
      <c r="S11" s="1402"/>
      <c r="T11" s="411" t="s">
        <v>524</v>
      </c>
      <c r="U11" s="724"/>
      <c r="V11" s="724"/>
      <c r="W11" s="724"/>
      <c r="X11" s="724"/>
      <c r="Y11" s="724"/>
      <c r="Z11" s="724"/>
      <c r="AA11" s="724"/>
      <c r="AB11" s="724"/>
      <c r="AC11" s="490"/>
      <c r="AD11" s="724"/>
      <c r="AE11" s="724"/>
      <c r="AF11" s="724"/>
      <c r="AG11" s="724"/>
      <c r="AH11" s="724"/>
      <c r="AI11" s="724"/>
      <c r="AJ11" s="724"/>
      <c r="AK11" s="490"/>
      <c r="AL11" s="724"/>
      <c r="AM11" s="427"/>
      <c r="AO11" s="1748"/>
      <c r="AP11" s="1748" t="str">
        <f>IF(T11="","",T11)</f>
        <v>Добавить группу потребителей</v>
      </c>
      <c r="AQ11" s="1748"/>
      <c r="AR11" s="1748"/>
      <c r="AS11" s="1755">
        <v>0</v>
      </c>
    </row>
    <row customHeight="1" ht="14.25" hidden="1">
      <c r="A12" s="1391"/>
      <c r="B12" s="1391"/>
      <c r="C12" s="1391"/>
      <c r="D12" s="1391"/>
      <c r="E12" s="2427"/>
      <c r="F12" s="2427"/>
      <c r="G12" s="2427"/>
      <c r="H12" s="2426"/>
      <c r="I12" s="1391"/>
      <c r="J12" s="1391"/>
      <c r="K12" s="1391"/>
      <c r="L12" s="1434"/>
      <c r="M12" s="1734"/>
      <c r="N12" s="1734"/>
      <c r="O12" s="1759"/>
      <c r="P12" s="484"/>
      <c r="Q12" s="499"/>
      <c r="R12" s="479"/>
      <c r="S12" s="1402"/>
      <c r="T12" s="489" t="s">
        <v>525</v>
      </c>
      <c r="U12" s="724"/>
      <c r="V12" s="724"/>
      <c r="W12" s="724"/>
      <c r="X12" s="724"/>
      <c r="Y12" s="724"/>
      <c r="Z12" s="724"/>
      <c r="AA12" s="724"/>
      <c r="AB12" s="724"/>
      <c r="AC12" s="490"/>
      <c r="AD12" s="724"/>
      <c r="AE12" s="724"/>
      <c r="AF12" s="724"/>
      <c r="AG12" s="724"/>
      <c r="AH12" s="724"/>
      <c r="AI12" s="724"/>
      <c r="AJ12" s="724"/>
      <c r="AK12" s="490"/>
      <c r="AL12" s="724"/>
      <c r="AM12" s="427"/>
      <c r="AO12" s="1748"/>
      <c r="AP12" s="1748" t="str">
        <f>IF(T12="","",T12)</f>
        <v>Добавить схему подключения</v>
      </c>
      <c r="AQ12" s="1748"/>
      <c r="AR12" s="1748"/>
      <c r="AS12" s="1755">
        <v>0</v>
      </c>
    </row>
    <row s="6698" customFormat="1" customHeight="1" ht="0.75" hidden="1">
      <c r="A13" s="1498"/>
      <c r="B13" s="1498"/>
      <c r="C13" s="1498"/>
      <c r="D13" s="1498"/>
      <c r="E13" s="2427"/>
      <c r="F13" s="2427"/>
      <c r="G13" s="2426"/>
      <c r="H13" s="1498"/>
      <c r="I13" s="1498"/>
      <c r="J13" s="1498"/>
      <c r="K13" s="1498"/>
      <c r="L13" s="1501"/>
      <c r="M13" s="1502"/>
      <c r="N13" s="1502"/>
      <c r="O13" s="475"/>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1375"/>
      <c r="AP13" s="1375" t="str">
        <f>IF(T13="","",T13)</f>
        <v>Добавить источник для дифференциации</v>
      </c>
      <c r="AQ13" s="1375"/>
      <c r="AR13" s="1375"/>
      <c r="AS13" s="1766">
        <v>0</v>
      </c>
    </row>
    <row s="6698" customFormat="1" customHeight="1" ht="0.75" hidden="1">
      <c r="A14" s="1498"/>
      <c r="B14" s="1498"/>
      <c r="C14" s="1498"/>
      <c r="D14" s="1498"/>
      <c r="E14" s="2427"/>
      <c r="F14" s="2426"/>
      <c r="G14" s="1498"/>
      <c r="H14" s="1498"/>
      <c r="I14" s="1498"/>
      <c r="J14" s="1498"/>
      <c r="K14" s="1498"/>
      <c r="L14" s="1501"/>
      <c r="M14" s="1503"/>
      <c r="N14" s="1503"/>
      <c r="O14" s="47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1375"/>
      <c r="AP14" s="1375" t="str">
        <f>IF(T14="","",T14)</f>
        <v>Добавить централизованную систему для дифференциации</v>
      </c>
      <c r="AQ14" s="1375"/>
      <c r="AR14" s="1375"/>
      <c r="AS14" s="1766">
        <v>0</v>
      </c>
    </row>
    <row s="6698" customFormat="1" customHeight="1" ht="0.75" hidden="1">
      <c r="A15" s="1498"/>
      <c r="B15" s="1498"/>
      <c r="C15" s="1498"/>
      <c r="D15" s="1498"/>
      <c r="E15" s="2426"/>
      <c r="F15" s="1498"/>
      <c r="G15" s="1498"/>
      <c r="H15" s="1498"/>
      <c r="I15" s="1498"/>
      <c r="J15" s="1498"/>
      <c r="K15" s="1498"/>
      <c r="L15" s="1501"/>
      <c r="M15" s="1503"/>
      <c r="N15" s="1503"/>
      <c r="O15" s="47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1375"/>
      <c r="AP15" s="1375" t="str">
        <f>IF(T15="","",T15)</f>
        <v>Добавить территорию для дифференциации</v>
      </c>
      <c r="AQ15" s="1375"/>
      <c r="AR15" s="1375"/>
      <c r="AS15" s="1766">
        <v>0</v>
      </c>
    </row>
    <row customHeight="1" ht="14.25" hidden="1">
      <c r="AS16" s="1755">
        <v>0</v>
      </c>
    </row>
    <row customHeight="1" ht="14.25" hidden="1">
      <c r="AD17" s="1484"/>
      <c r="AE17" s="1484"/>
      <c r="AF17" s="1484"/>
      <c r="AG17" s="1485"/>
      <c r="AH17" s="2404"/>
      <c r="AI17" s="2405" t="s">
        <v>62</v>
      </c>
      <c r="AJ17" s="2404"/>
      <c r="AK17" s="2405" t="s">
        <v>62</v>
      </c>
      <c r="AS17" s="1755">
        <v>0</v>
      </c>
    </row>
    <row customHeight="1" ht="14.25" hidden="1">
      <c r="AD18" s="1484"/>
      <c r="AE18" s="1484"/>
      <c r="AF18" s="1484"/>
      <c r="AG18" s="452" t="str">
        <f>AH17&amp;"-"&amp;AJ17</f>
        <v>-</v>
      </c>
      <c r="AH18" s="2405"/>
      <c r="AI18" s="2405"/>
      <c r="AJ18" s="2405"/>
      <c r="AK18" s="2405"/>
      <c r="AS18" s="1755">
        <v>0</v>
      </c>
    </row>
    <row customHeight="1" ht="14.25" hidden="1">
      <c r="AS19" s="1755">
        <v>0</v>
      </c>
    </row>
    <row s="7158" customFormat="1" customHeight="1" ht="22.5" hidden="1">
      <c r="A20" s="1755"/>
      <c r="B20" s="1755"/>
      <c r="C20" s="1755"/>
      <c r="D20" s="1755"/>
      <c r="E20" s="1755"/>
      <c r="F20" s="1755"/>
      <c r="G20" s="1755"/>
      <c r="H20" s="1755"/>
      <c r="I20" s="1755"/>
      <c r="J20" s="1755"/>
      <c r="K20" s="1755"/>
      <c r="L20" s="2060"/>
      <c r="M20" s="2086"/>
      <c r="N20" s="2086"/>
      <c r="O20" s="1469" t="s">
        <v>529</v>
      </c>
      <c r="P20" s="1486"/>
      <c r="Q20" s="1495"/>
      <c r="R20" s="1495"/>
      <c r="S20" s="853"/>
      <c r="Z20" s="1491"/>
      <c r="AB20" s="1491"/>
      <c r="AH20" s="1491"/>
      <c r="AJ20" s="1491"/>
      <c r="AN20" s="1760"/>
      <c r="AO20" s="1760"/>
      <c r="AP20" s="1760"/>
      <c r="AQ20" s="1760"/>
      <c r="AR20" s="1760"/>
      <c r="AS20" s="1490">
        <v>0</v>
      </c>
    </row>
    <row s="7158" customFormat="1" customHeight="1" ht="14.25" hidden="1">
      <c r="A21" s="1755"/>
      <c r="B21" s="1755"/>
      <c r="C21" s="1755"/>
      <c r="D21" s="1755"/>
      <c r="E21" s="1755"/>
      <c r="F21" s="1755"/>
      <c r="G21" s="1755"/>
      <c r="H21" s="1755"/>
      <c r="I21" s="1755"/>
      <c r="J21" s="1755"/>
      <c r="K21" s="1755"/>
      <c r="L21" s="2060"/>
      <c r="M21" s="2086"/>
      <c r="N21" s="2086"/>
      <c r="O21" s="2086"/>
      <c r="P21" s="1486"/>
      <c r="Q21" s="1495"/>
      <c r="R21" s="1495"/>
      <c r="S21" s="853"/>
      <c r="AN21" s="1760"/>
      <c r="AO21" s="1760"/>
      <c r="AP21" s="1760"/>
      <c r="AQ21" s="1760"/>
      <c r="AR21" s="1760"/>
      <c r="AS21" s="1490">
        <v>0</v>
      </c>
    </row>
    <row s="7158" customFormat="1" customHeight="1" ht="14.25" hidden="1">
      <c r="A22" s="1755"/>
      <c r="B22" s="1755"/>
      <c r="C22" s="1755"/>
      <c r="D22" s="1755"/>
      <c r="E22" s="1755"/>
      <c r="F22" s="1755"/>
      <c r="G22" s="1755"/>
      <c r="H22" s="1755"/>
      <c r="I22" s="1755"/>
      <c r="J22" s="1755"/>
      <c r="K22" s="1755"/>
      <c r="L22" s="2060"/>
      <c r="M22" s="2086"/>
      <c r="N22" s="2086"/>
      <c r="O22" s="1434" t="s">
        <v>530</v>
      </c>
      <c r="P22" s="1486"/>
      <c r="Q22" s="1495"/>
      <c r="R22" s="1495"/>
      <c r="S22" s="853"/>
      <c r="T22" s="1490" t="s">
        <v>531</v>
      </c>
      <c r="AA22" s="719" t="s">
        <v>532</v>
      </c>
      <c r="AC22" s="719" t="s">
        <v>533</v>
      </c>
      <c r="AD22" s="1490" t="s">
        <v>531</v>
      </c>
      <c r="AI22" s="719" t="s">
        <v>534</v>
      </c>
      <c r="AK22" s="719" t="s">
        <v>533</v>
      </c>
      <c r="AN22" s="1760"/>
      <c r="AO22" s="1760"/>
      <c r="AP22" s="1760"/>
      <c r="AQ22" s="1760"/>
      <c r="AR22" s="1760"/>
      <c r="AS22" s="1490">
        <v>0</v>
      </c>
    </row>
    <row customHeight="1" ht="14.25" hidden="1">
      <c r="O23" s="1434"/>
      <c r="AS23" s="1755">
        <v>0</v>
      </c>
    </row>
    <row customHeight="1" ht="14.25" hidden="1">
      <c r="O24" s="1434"/>
      <c r="AS24" s="1755">
        <v>0</v>
      </c>
    </row>
    <row customHeight="1" ht="14.699999999999998">
      <c r="Q25" s="500"/>
      <c r="R25" s="500"/>
      <c r="S25" s="1399"/>
      <c r="T25" s="581"/>
      <c r="U25" s="581"/>
      <c r="V25" s="1759"/>
      <c r="W25" s="1759"/>
      <c r="X25" s="1759"/>
      <c r="Y25" s="1759"/>
      <c r="Z25" s="1759"/>
      <c r="AA25" s="1759"/>
      <c r="AB25" s="1759"/>
      <c r="AC25" s="1759"/>
      <c r="AD25" s="1759"/>
      <c r="AE25" s="1759"/>
      <c r="AF25" s="1759"/>
      <c r="AG25" s="1759"/>
      <c r="AH25" s="1759"/>
      <c r="AI25" s="1759"/>
      <c r="AJ25" s="1759"/>
      <c r="AK25" s="1759"/>
      <c r="AS25" s="1755">
        <v>14</v>
      </c>
    </row>
    <row customHeight="1" ht="14.699999999999998">
      <c r="Q26" s="500"/>
      <c r="R26" s="500"/>
      <c r="S26" s="238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85"/>
      <c r="U26" s="2385"/>
      <c r="V26" s="2385"/>
      <c r="W26" s="2385"/>
      <c r="X26" s="2385"/>
      <c r="Y26" s="2385"/>
      <c r="Z26" s="2385"/>
      <c r="AA26" s="2385"/>
      <c r="AB26" s="2385"/>
      <c r="AC26" s="2385"/>
      <c r="AD26" s="2385"/>
      <c r="AE26" s="2385"/>
      <c r="AF26" s="2385"/>
      <c r="AG26" s="2385"/>
      <c r="AH26" s="2385"/>
      <c r="AI26" s="2385"/>
      <c r="AJ26" s="2385"/>
      <c r="AK26" s="1367"/>
      <c r="AS26" s="1755">
        <v>14</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755">
        <v>14</v>
      </c>
    </row>
    <row customHeight="1" ht="14.25" hidden="1">
      <c r="Q28" s="500"/>
      <c r="R28" s="500"/>
      <c r="S28" s="1399"/>
      <c r="T28" s="581"/>
      <c r="U28" s="581"/>
      <c r="V28" s="446"/>
      <c r="W28" s="446"/>
      <c r="X28" s="446"/>
      <c r="Y28" s="446"/>
      <c r="Z28" s="446"/>
      <c r="AA28" s="446"/>
      <c r="AB28" s="446"/>
      <c r="AC28" s="446"/>
      <c r="AD28" s="446"/>
      <c r="AE28" s="446"/>
      <c r="AF28" s="446"/>
      <c r="AG28" s="446"/>
      <c r="AH28" s="446"/>
      <c r="AI28" s="446"/>
      <c r="AJ28" s="446"/>
      <c r="AK28" s="446"/>
      <c r="AL28" s="1759"/>
      <c r="AS28" s="1755">
        <v>0</v>
      </c>
    </row>
    <row s="7787" customFormat="1" customHeight="1" ht="25.5" hidden="1">
      <c r="A29" s="1372"/>
      <c r="B29" s="1372"/>
      <c r="C29" s="1372"/>
      <c r="D29" s="1372"/>
      <c r="E29" s="1372"/>
      <c r="F29" s="1372"/>
      <c r="G29" s="1372"/>
      <c r="H29" s="1372"/>
      <c r="I29" s="1372"/>
      <c r="J29" s="1372"/>
      <c r="K29" s="1372"/>
      <c r="L29" s="1504"/>
      <c r="M29" s="1372"/>
      <c r="N29" s="1372"/>
      <c r="O29" s="1372"/>
      <c r="S29" s="2387" t="s">
        <v>41</v>
      </c>
      <c r="T29" s="2387"/>
      <c r="U29" s="1496"/>
      <c r="V29" s="2388" t="str">
        <f>IF(TITLE_NAME_OR_PR_CHANGE="",IF(TITLE_NAME_OR_PR="","",TITLE_NAME_OR_PR),TITLE_NAME_OR_PR_CHANGE)</f>
        <v/>
      </c>
      <c r="W29" s="2388"/>
      <c r="X29" s="2388"/>
      <c r="Y29" s="2388"/>
      <c r="Z29" s="2388"/>
      <c r="AA29" s="2388"/>
      <c r="AB29" s="2388"/>
      <c r="AC29" s="1759"/>
      <c r="AD29" s="2388" t="str">
        <f>IF(TITLE_NAME_OR_PR_CHANGE="",IF(TITLE_NAME_OR_PR="","",TITLE_NAME_OR_PR),TITLE_NAME_OR_PR_CHANGE)</f>
        <v/>
      </c>
      <c r="AE29" s="2388"/>
      <c r="AF29" s="2388"/>
      <c r="AG29" s="2388"/>
      <c r="AH29" s="2388"/>
      <c r="AI29" s="2388"/>
      <c r="AJ29" s="2388"/>
      <c r="AK29" s="1759"/>
      <c r="AL29" s="1759"/>
      <c r="AM29" s="404"/>
      <c r="AN29" s="492"/>
      <c r="AO29" s="492"/>
      <c r="AP29" s="492"/>
      <c r="AQ29" s="492"/>
      <c r="AR29" s="492"/>
      <c r="AS29" s="542">
        <v>0</v>
      </c>
    </row>
    <row s="7787" customFormat="1" customHeight="1" ht="18.75" hidden="1">
      <c r="A30" s="1372"/>
      <c r="B30" s="1372"/>
      <c r="C30" s="1372"/>
      <c r="D30" s="1372"/>
      <c r="E30" s="1372"/>
      <c r="F30" s="1372"/>
      <c r="G30" s="1372"/>
      <c r="H30" s="1372"/>
      <c r="I30" s="1372"/>
      <c r="J30" s="1372"/>
      <c r="K30" s="1372"/>
      <c r="L30" s="1504"/>
      <c r="M30" s="1372"/>
      <c r="N30" s="1372"/>
      <c r="O30" s="1372"/>
      <c r="S30" s="2387" t="s">
        <v>535</v>
      </c>
      <c r="T30" s="2387"/>
      <c r="U30" s="1496"/>
      <c r="V30" s="2401" t="str">
        <f>IF(TITLE_DATE_PR_CHANGE="",IF(TITLE_DATE_PR="","",TITLE_DATE_PR),TITLE_DATE_PR_CHANGE)</f>
        <v/>
      </c>
      <c r="W30" s="2401"/>
      <c r="X30" s="2401"/>
      <c r="Y30" s="2401"/>
      <c r="Z30" s="2401"/>
      <c r="AA30" s="2401"/>
      <c r="AB30" s="2401"/>
      <c r="AC30" s="1759"/>
      <c r="AD30" s="2401" t="str">
        <f>IF(TITLE_DATE_PR_CHANGE="",IF(TITLE_DATE_PR="","",TITLE_DATE_PR),TITLE_DATE_PR_CHANGE)</f>
        <v/>
      </c>
      <c r="AE30" s="2401"/>
      <c r="AF30" s="2401"/>
      <c r="AG30" s="2401"/>
      <c r="AH30" s="2401"/>
      <c r="AI30" s="2401"/>
      <c r="AJ30" s="2401"/>
      <c r="AK30" s="1759"/>
      <c r="AL30" s="1759"/>
      <c r="AM30" s="404"/>
      <c r="AN30" s="492"/>
      <c r="AO30" s="492"/>
      <c r="AP30" s="492"/>
      <c r="AQ30" s="492"/>
      <c r="AR30" s="492"/>
      <c r="AS30" s="542">
        <v>0</v>
      </c>
    </row>
    <row s="7787" customFormat="1" customHeight="1" ht="18.75" hidden="1">
      <c r="A31" s="1372"/>
      <c r="B31" s="1372"/>
      <c r="C31" s="1372"/>
      <c r="D31" s="1372"/>
      <c r="E31" s="1372"/>
      <c r="F31" s="1372"/>
      <c r="G31" s="1372"/>
      <c r="H31" s="1372"/>
      <c r="I31" s="1372"/>
      <c r="J31" s="1372"/>
      <c r="K31" s="1372"/>
      <c r="L31" s="1504"/>
      <c r="M31" s="1372"/>
      <c r="N31" s="1372"/>
      <c r="O31" s="1372"/>
      <c r="S31" s="2387" t="s">
        <v>536</v>
      </c>
      <c r="T31" s="2387"/>
      <c r="U31" s="1496"/>
      <c r="V31" s="2388" t="str">
        <f>IF(TITLE_NUMBER_PR_CHANGE="",IF(TITLE_NUMBER_PR="","",TITLE_NUMBER_PR),TITLE_NUMBER_PR_CHANGE)</f>
        <v/>
      </c>
      <c r="W31" s="2388"/>
      <c r="X31" s="2388"/>
      <c r="Y31" s="2388"/>
      <c r="Z31" s="2388"/>
      <c r="AA31" s="2388"/>
      <c r="AB31" s="2388"/>
      <c r="AC31" s="1759"/>
      <c r="AD31" s="2388" t="str">
        <f>IF(TITLE_NUMBER_PR_CHANGE="",IF(TITLE_NUMBER_PR="","",TITLE_NUMBER_PR),TITLE_NUMBER_PR_CHANGE)</f>
        <v/>
      </c>
      <c r="AE31" s="2388"/>
      <c r="AF31" s="2388"/>
      <c r="AG31" s="2388"/>
      <c r="AH31" s="2388"/>
      <c r="AI31" s="2388"/>
      <c r="AJ31" s="2388"/>
      <c r="AK31" s="1759"/>
      <c r="AL31" s="1759"/>
      <c r="AM31" s="404"/>
      <c r="AN31" s="492"/>
      <c r="AO31" s="492"/>
      <c r="AP31" s="492"/>
      <c r="AQ31" s="492"/>
      <c r="AR31" s="492"/>
      <c r="AS31" s="542">
        <v>0</v>
      </c>
    </row>
    <row s="7787" customFormat="1" customHeight="1" ht="18.75" hidden="1">
      <c r="A32" s="1372"/>
      <c r="B32" s="1372"/>
      <c r="C32" s="1372"/>
      <c r="D32" s="1372"/>
      <c r="E32" s="1372"/>
      <c r="F32" s="1372"/>
      <c r="G32" s="1372"/>
      <c r="H32" s="1372"/>
      <c r="I32" s="1372"/>
      <c r="J32" s="1372"/>
      <c r="K32" s="1372"/>
      <c r="L32" s="1504"/>
      <c r="M32" s="1372"/>
      <c r="N32" s="1372"/>
      <c r="O32" s="1372"/>
      <c r="S32" s="2387" t="s">
        <v>42</v>
      </c>
      <c r="T32" s="2387"/>
      <c r="U32" s="1496"/>
      <c r="V32" s="2388" t="str">
        <f>IF(TITLE_IST_PUB_CHANGE="",IF(TITLE_IST_PUB="","",TITLE_IST_PUB),TITLE_IST_PUB_CHANGE)</f>
        <v/>
      </c>
      <c r="W32" s="2388"/>
      <c r="X32" s="2388"/>
      <c r="Y32" s="2388"/>
      <c r="Z32" s="2388"/>
      <c r="AA32" s="2388"/>
      <c r="AB32" s="2388"/>
      <c r="AC32" s="1759"/>
      <c r="AD32" s="2388" t="str">
        <f>IF(TITLE_IST_PUB_CHANGE="",IF(TITLE_IST_PUB="","",TITLE_IST_PUB),TITLE_IST_PUB_CHANGE)</f>
        <v/>
      </c>
      <c r="AE32" s="2388"/>
      <c r="AF32" s="2388"/>
      <c r="AG32" s="2388"/>
      <c r="AH32" s="2388"/>
      <c r="AI32" s="2388"/>
      <c r="AJ32" s="2388"/>
      <c r="AK32" s="1759"/>
      <c r="AL32" s="1759"/>
      <c r="AM32" s="404"/>
      <c r="AN32" s="492"/>
      <c r="AO32" s="492"/>
      <c r="AP32" s="492"/>
      <c r="AQ32" s="492"/>
      <c r="AR32" s="492"/>
      <c r="AS32" s="542">
        <v>0</v>
      </c>
    </row>
    <row customHeight="1" ht="14.25" hidden="1">
      <c r="Q33" s="500"/>
      <c r="R33" s="500"/>
      <c r="S33" s="1399"/>
      <c r="T33" s="581"/>
      <c r="U33" s="581"/>
      <c r="V33" s="446"/>
      <c r="W33" s="446"/>
      <c r="X33" s="446"/>
      <c r="Y33" s="446"/>
      <c r="Z33" s="446"/>
      <c r="AA33" s="446"/>
      <c r="AB33" s="446"/>
      <c r="AC33" s="446"/>
      <c r="AD33" s="446"/>
      <c r="AE33" s="446"/>
      <c r="AF33" s="446"/>
      <c r="AG33" s="446"/>
      <c r="AH33" s="446"/>
      <c r="AI33" s="446"/>
      <c r="AJ33" s="446"/>
      <c r="AK33" s="446"/>
      <c r="AL33" s="1759"/>
      <c r="AS33" s="1755">
        <v>0</v>
      </c>
    </row>
    <row s="7787" customFormat="1" customHeight="1" ht="18.75" hidden="1">
      <c r="A34" s="1372"/>
      <c r="B34" s="1372"/>
      <c r="C34" s="1372"/>
      <c r="D34" s="1372"/>
      <c r="E34" s="1372"/>
      <c r="F34" s="1372"/>
      <c r="G34" s="1372"/>
      <c r="H34" s="1372"/>
      <c r="I34" s="1372"/>
      <c r="J34" s="1372"/>
      <c r="K34" s="1372"/>
      <c r="L34" s="1504"/>
      <c r="M34" s="1372"/>
      <c r="N34" s="1372"/>
      <c r="O34" s="1372"/>
      <c r="S34" s="2387" t="s">
        <v>537</v>
      </c>
      <c r="T34" s="2387"/>
      <c r="U34" s="1496"/>
      <c r="V34" s="2401" t="str">
        <f>IF(TITLE_DATE_PR_CHANGE="",IF(TITLE_DATE_PR="","",TITLE_DATE_PR),TITLE_DATE_PR_CHANGE)</f>
        <v/>
      </c>
      <c r="W34" s="2401"/>
      <c r="X34" s="2401"/>
      <c r="Y34" s="2401"/>
      <c r="Z34" s="2401"/>
      <c r="AA34" s="2401"/>
      <c r="AB34" s="2401"/>
      <c r="AC34" s="1759"/>
      <c r="AD34" s="2401" t="str">
        <f>IF(TITLE_DATE_PR_CHANGE="",IF(TITLE_DATE_PR="","",TITLE_DATE_PR),TITLE_DATE_PR_CHANGE)</f>
        <v/>
      </c>
      <c r="AE34" s="2401"/>
      <c r="AF34" s="2401"/>
      <c r="AG34" s="2401"/>
      <c r="AH34" s="2401"/>
      <c r="AI34" s="2401"/>
      <c r="AJ34" s="2401"/>
      <c r="AK34" s="1759"/>
      <c r="AL34" s="1759"/>
      <c r="AM34" s="404"/>
      <c r="AN34" s="492"/>
      <c r="AO34" s="492"/>
      <c r="AP34" s="492"/>
      <c r="AQ34" s="492"/>
      <c r="AR34" s="492"/>
      <c r="AS34" s="542">
        <v>0</v>
      </c>
    </row>
    <row s="7787" customFormat="1" customHeight="1" ht="18.75" hidden="1">
      <c r="A35" s="1372"/>
      <c r="B35" s="1372"/>
      <c r="C35" s="1372"/>
      <c r="D35" s="1372"/>
      <c r="E35" s="1372"/>
      <c r="F35" s="1372"/>
      <c r="G35" s="1372"/>
      <c r="H35" s="1372"/>
      <c r="I35" s="1372"/>
      <c r="J35" s="1372"/>
      <c r="K35" s="1372"/>
      <c r="L35" s="1504"/>
      <c r="M35" s="1372"/>
      <c r="N35" s="1372"/>
      <c r="O35" s="1372"/>
      <c r="S35" s="2387" t="s">
        <v>538</v>
      </c>
      <c r="T35" s="2387"/>
      <c r="U35" s="1496"/>
      <c r="V35" s="2388" t="str">
        <f>IF(TITLE_NUMBER_PR_CHANGE="",IF(TITLE_NUMBER_PR="","",TITLE_NUMBER_PR),TITLE_NUMBER_PR_CHANGE)</f>
        <v/>
      </c>
      <c r="W35" s="2388"/>
      <c r="X35" s="2388"/>
      <c r="Y35" s="2388"/>
      <c r="Z35" s="2388"/>
      <c r="AA35" s="2388"/>
      <c r="AB35" s="2388"/>
      <c r="AC35" s="1759"/>
      <c r="AD35" s="2388" t="str">
        <f>IF(TITLE_NUMBER_PR_CHANGE="",IF(TITLE_NUMBER_PR="","",TITLE_NUMBER_PR),TITLE_NUMBER_PR_CHANGE)</f>
        <v/>
      </c>
      <c r="AE35" s="2388"/>
      <c r="AF35" s="2388"/>
      <c r="AG35" s="2388"/>
      <c r="AH35" s="2388"/>
      <c r="AI35" s="2388"/>
      <c r="AJ35" s="2388"/>
      <c r="AK35" s="1759"/>
      <c r="AL35" s="1759"/>
      <c r="AM35" s="404"/>
      <c r="AN35" s="492"/>
      <c r="AO35" s="492"/>
      <c r="AP35" s="492"/>
      <c r="AQ35" s="492"/>
      <c r="AR35" s="492"/>
      <c r="AS35" s="542">
        <v>0</v>
      </c>
    </row>
    <row s="7787" customFormat="1" customHeight="1" ht="0">
      <c r="A36" s="1372"/>
      <c r="B36" s="1372"/>
      <c r="C36" s="1372"/>
      <c r="D36" s="1372"/>
      <c r="E36" s="1372"/>
      <c r="F36" s="1372"/>
      <c r="G36" s="1372"/>
      <c r="H36" s="1372"/>
      <c r="I36" s="1372"/>
      <c r="J36" s="1372"/>
      <c r="K36" s="1372"/>
      <c r="L36" s="1504"/>
      <c r="M36" s="1372"/>
      <c r="N36" s="1372"/>
      <c r="O36" s="1372"/>
      <c r="S36" s="1759"/>
      <c r="T36" s="1759"/>
      <c r="U36" s="2091"/>
      <c r="V36" s="1759"/>
      <c r="W36" s="1759"/>
      <c r="X36" s="1759"/>
      <c r="Y36" s="1759"/>
      <c r="Z36" s="1759"/>
      <c r="AA36" s="1759"/>
      <c r="AB36" s="1759"/>
      <c r="AC36" s="1766" t="s">
        <v>539</v>
      </c>
      <c r="AD36" s="1759"/>
      <c r="AE36" s="1759"/>
      <c r="AF36" s="1759"/>
      <c r="AG36" s="1759"/>
      <c r="AH36" s="1759"/>
      <c r="AI36" s="1759"/>
      <c r="AJ36" s="1759"/>
      <c r="AK36" s="1766" t="s">
        <v>539</v>
      </c>
      <c r="AN36" s="492"/>
      <c r="AO36" s="492"/>
      <c r="AP36" s="492"/>
      <c r="AQ36" s="492"/>
      <c r="AR36" s="492"/>
      <c r="AS36" s="542">
        <v>0</v>
      </c>
    </row>
    <row customHeight="1" ht="14.699999999999998">
      <c r="Q37" s="500"/>
      <c r="R37" s="500"/>
      <c r="S37" s="1399"/>
      <c r="T37" s="581"/>
      <c r="U37" s="1368"/>
      <c r="V37" s="2389"/>
      <c r="W37" s="2389"/>
      <c r="X37" s="2389"/>
      <c r="Y37" s="2389"/>
      <c r="Z37" s="2389"/>
      <c r="AA37" s="2389"/>
      <c r="AB37" s="2389"/>
      <c r="AC37" s="2389"/>
      <c r="AD37" s="2389"/>
      <c r="AE37" s="2389"/>
      <c r="AF37" s="2389"/>
      <c r="AG37" s="2389"/>
      <c r="AH37" s="2389"/>
      <c r="AI37" s="2389"/>
      <c r="AJ37" s="2389"/>
      <c r="AK37" s="2389"/>
      <c r="AS37" s="1755">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755">
        <v>14</v>
      </c>
    </row>
    <row customHeight="1" ht="14.699999999999998">
      <c r="Q39" s="500"/>
      <c r="R39" s="500"/>
      <c r="S39" s="2410" t="s">
        <v>88</v>
      </c>
      <c r="T39" s="2346" t="s">
        <v>540</v>
      </c>
      <c r="U39" s="461"/>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755">
        <v>14</v>
      </c>
    </row>
    <row customHeight="1" ht="35.699999999999996">
      <c r="Q40" s="500"/>
      <c r="R40" s="500"/>
      <c r="S40" s="2410"/>
      <c r="T40" s="2346"/>
      <c r="U40" s="1155"/>
      <c r="V40" s="2397" t="s">
        <v>545</v>
      </c>
      <c r="W40" s="2420" t="s">
        <v>546</v>
      </c>
      <c r="X40" s="2399" t="s">
        <v>547</v>
      </c>
      <c r="Y40" s="2400"/>
      <c r="Z40" s="2399" t="s">
        <v>561</v>
      </c>
      <c r="AA40" s="2406"/>
      <c r="AB40" s="2400"/>
      <c r="AC40" s="2415"/>
      <c r="AD40" s="2397" t="s">
        <v>545</v>
      </c>
      <c r="AE40" s="2420" t="s">
        <v>546</v>
      </c>
      <c r="AF40" s="2399" t="s">
        <v>547</v>
      </c>
      <c r="AG40" s="2400"/>
      <c r="AH40" s="2399" t="s">
        <v>548</v>
      </c>
      <c r="AI40" s="2406"/>
      <c r="AJ40" s="2400"/>
      <c r="AK40" s="2415"/>
      <c r="AL40" s="2418"/>
      <c r="AM40" s="2264"/>
      <c r="AS40" s="1755">
        <v>34</v>
      </c>
    </row>
    <row customHeight="1" ht="35.699999999999996">
      <c r="A41" s="1390"/>
      <c r="B41" s="1390" t="s">
        <v>255</v>
      </c>
      <c r="C41" s="1390" t="s">
        <v>256</v>
      </c>
      <c r="D41" s="1390" t="s">
        <v>257</v>
      </c>
      <c r="E41" s="1434" t="s">
        <v>549</v>
      </c>
      <c r="F41" s="1434" t="s">
        <v>550</v>
      </c>
      <c r="G41" s="1434" t="s">
        <v>551</v>
      </c>
      <c r="H41" s="1434" t="s">
        <v>552</v>
      </c>
      <c r="I41" s="1434" t="s">
        <v>553</v>
      </c>
      <c r="J41" s="1434" t="s">
        <v>554</v>
      </c>
      <c r="K41" s="1434" t="s">
        <v>555</v>
      </c>
      <c r="L41" s="1434" t="s">
        <v>530</v>
      </c>
      <c r="Q41" s="500"/>
      <c r="R41" s="500"/>
      <c r="S41" s="2410"/>
      <c r="T41" s="2346"/>
      <c r="U41" s="426"/>
      <c r="V41" s="2398"/>
      <c r="W41" s="2421"/>
      <c r="X41" s="2059" t="s">
        <v>556</v>
      </c>
      <c r="Y41" s="2059" t="s">
        <v>557</v>
      </c>
      <c r="Z41" s="2059" t="s">
        <v>558</v>
      </c>
      <c r="AA41" s="2407" t="s">
        <v>559</v>
      </c>
      <c r="AB41" s="2408"/>
      <c r="AC41" s="2416"/>
      <c r="AD41" s="2398"/>
      <c r="AE41" s="2421"/>
      <c r="AF41" s="2059" t="s">
        <v>556</v>
      </c>
      <c r="AG41" s="2059" t="s">
        <v>557</v>
      </c>
      <c r="AH41" s="2059" t="s">
        <v>558</v>
      </c>
      <c r="AI41" s="2407" t="s">
        <v>559</v>
      </c>
      <c r="AJ41" s="2408"/>
      <c r="AK41" s="2416"/>
      <c r="AL41" s="2419"/>
      <c r="AM41" s="2264"/>
      <c r="AS41" s="1755">
        <v>34</v>
      </c>
    </row>
    <row s="6292" customFormat="1" customHeight="1" ht="11.25" hidden="1">
      <c r="A42" s="1390"/>
      <c r="B42" s="1390"/>
      <c r="C42" s="1390"/>
      <c r="D42" s="1390"/>
      <c r="E42" s="1390"/>
      <c r="F42" s="1390"/>
      <c r="G42" s="1390"/>
      <c r="H42" s="1390"/>
      <c r="I42" s="1390"/>
      <c r="J42" s="1390"/>
      <c r="K42" s="1390"/>
      <c r="L42" s="1434"/>
      <c r="M42" s="2086"/>
      <c r="N42" s="2086"/>
      <c r="O42" s="2086"/>
      <c r="P42" s="1370"/>
      <c r="Q42" s="1371"/>
      <c r="R42" s="1378">
        <v>1</v>
      </c>
      <c r="S42" s="1401" t="s">
        <v>210</v>
      </c>
      <c r="T42" s="1379" t="s">
        <v>102</v>
      </c>
      <c r="U42" s="1369" t="str">
        <f>OFFSET(U42,0,-1)</f>
        <v>2</v>
      </c>
      <c r="V42" s="2077">
        <f>OFFSET(V42,0,-1)+1</f>
        <v>3</v>
      </c>
      <c r="W42" s="2077"/>
      <c r="X42" s="2077">
        <f>OFFSET(X42,0,-1)+1</f>
        <v>1</v>
      </c>
      <c r="Y42" s="2077">
        <f>OFFSET(Y42,0,-1)+1</f>
        <v>2</v>
      </c>
      <c r="Z42" s="2077">
        <f>OFFSET(Z42,0,-1)+1</f>
        <v>3</v>
      </c>
      <c r="AA42" s="2409">
        <f>OFFSET(AA42,0,-1)+1</f>
        <v>4</v>
      </c>
      <c r="AB42" s="2409"/>
      <c r="AC42" s="2077">
        <f>OFFSET(AC42,0,-2)+1</f>
        <v>5</v>
      </c>
      <c r="AD42" s="2077">
        <f>OFFSET(AD42,0,-1)+1</f>
        <v>6</v>
      </c>
      <c r="AE42" s="2077"/>
      <c r="AF42" s="2077">
        <f>OFFSET(AF42,0,-1)+1</f>
        <v>1</v>
      </c>
      <c r="AG42" s="2077">
        <f>OFFSET(AG42,0,-1)+1</f>
        <v>2</v>
      </c>
      <c r="AH42" s="2077">
        <f>OFFSET(AH42,0,-1)+1</f>
        <v>3</v>
      </c>
      <c r="AI42" s="2409">
        <f>OFFSET(AI42,0,-1)+1</f>
        <v>4</v>
      </c>
      <c r="AJ42" s="2409"/>
      <c r="AK42" s="2077">
        <f>OFFSET(AK42,0,-2)+1</f>
        <v>5</v>
      </c>
      <c r="AL42" s="1369">
        <f>OFFSET(AL42,0,-1)</f>
        <v>5</v>
      </c>
      <c r="AM42" s="2077">
        <f>OFFSET(AM42,0,-1)+1</f>
        <v>6</v>
      </c>
      <c r="AN42" s="1760"/>
      <c r="AO42" s="1760"/>
      <c r="AP42" s="1760"/>
      <c r="AQ42" s="1760"/>
      <c r="AR42" s="1760"/>
      <c r="AS42" s="1765">
        <v>0</v>
      </c>
    </row>
    <row customHeight="1" ht="22.049999999999997">
      <c r="A43" s="1391" t="s">
        <v>324</v>
      </c>
      <c r="B43" s="1391"/>
      <c r="C43" s="1391"/>
      <c r="D43" s="1391"/>
      <c r="E43" s="2426">
        <v>1</v>
      </c>
      <c r="F43" s="1391"/>
      <c r="G43" s="1391"/>
      <c r="H43" s="1391"/>
      <c r="I43" s="1391"/>
      <c r="J43" s="1391"/>
      <c r="K43" s="1391"/>
      <c r="L43" s="1434"/>
      <c r="M43" s="1734"/>
      <c r="N43" s="1734"/>
      <c r="O43" s="1734"/>
      <c r="P43" s="1714"/>
      <c r="Q43" s="484"/>
      <c r="R43" s="479"/>
      <c r="S43" s="2079">
        <f>INDEX(PT_DIFFERENTIATION_NUM_NTAR,MATCH(A43,PT_DIFFERENTIATION_NTAR_ID,0))</f>
        <v>0</v>
      </c>
      <c r="T43" s="1649"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48"/>
      <c r="AP43" s="1748" t="str">
        <f>IF(T43="","",T43)</f>
        <v>Наименование тарифа</v>
      </c>
      <c r="AQ43" s="1748"/>
      <c r="AR43" s="1748"/>
      <c r="AS43" s="1755">
        <v>21</v>
      </c>
    </row>
    <row customHeight="1" ht="22.049999999999997">
      <c r="A44" s="1391" t="s">
        <v>324</v>
      </c>
      <c r="B44" s="1391" t="s">
        <v>325</v>
      </c>
      <c r="C44" s="1391"/>
      <c r="D44" s="1391"/>
      <c r="E44" s="2427"/>
      <c r="F44" s="2426">
        <v>1</v>
      </c>
      <c r="G44" s="1391"/>
      <c r="H44" s="1391"/>
      <c r="I44" s="1391"/>
      <c r="J44" s="1391"/>
      <c r="K44" s="1391"/>
      <c r="L44" s="1434"/>
      <c r="M44" s="1734"/>
      <c r="N44" s="1734"/>
      <c r="O44" s="1734"/>
      <c r="P44" s="2061"/>
      <c r="Q44" s="476"/>
      <c r="R44" s="477"/>
      <c r="S44" s="2079" t="str">
        <f>INDEX(PT_DIFFERENTIATION_NUM_TER,MATCH(B44,PT_DIFFERENTIATION_TER_ID,0))</f>
        <v>.</v>
      </c>
      <c r="T44" s="1646"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1748"/>
      <c r="AP44" s="1748" t="str">
        <f>IF(T44="","",T44)</f>
        <v>Территория действия тарифа</v>
      </c>
      <c r="AQ44" s="1748"/>
      <c r="AR44" s="1748"/>
      <c r="AS44" s="1755">
        <v>21</v>
      </c>
    </row>
    <row customHeight="1" ht="24">
      <c r="A45" s="1391" t="s">
        <v>324</v>
      </c>
      <c r="B45" s="1391" t="s">
        <v>325</v>
      </c>
      <c r="C45" s="1391" t="s">
        <v>326</v>
      </c>
      <c r="D45" s="1391"/>
      <c r="E45" s="2427"/>
      <c r="F45" s="2427"/>
      <c r="G45" s="2426">
        <v>1</v>
      </c>
      <c r="H45" s="1391"/>
      <c r="I45" s="1391"/>
      <c r="J45" s="1391"/>
      <c r="K45" s="1391"/>
      <c r="L45" s="1434"/>
      <c r="M45" s="1734"/>
      <c r="N45" s="1734"/>
      <c r="O45" s="1734"/>
      <c r="P45" s="478"/>
      <c r="Q45" s="476"/>
      <c r="R45" s="477"/>
      <c r="S45" s="2079"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1748"/>
      <c r="AP45" s="1748" t="str">
        <f>IF(T45="","",T45)</f>
        <v>Наименование системы теплоснабжения </v>
      </c>
      <c r="AQ45" s="1748"/>
      <c r="AR45" s="1748"/>
      <c r="AS45" s="1755">
        <v>23</v>
      </c>
    </row>
    <row customHeight="1" ht="22.049999999999997">
      <c r="A46" s="1391" t="s">
        <v>324</v>
      </c>
      <c r="B46" s="1391" t="s">
        <v>325</v>
      </c>
      <c r="C46" s="1391" t="s">
        <v>326</v>
      </c>
      <c r="D46" s="1391" t="s">
        <v>327</v>
      </c>
      <c r="E46" s="2427"/>
      <c r="F46" s="2427"/>
      <c r="G46" s="2427"/>
      <c r="H46" s="2426">
        <v>1</v>
      </c>
      <c r="I46" s="1391"/>
      <c r="J46" s="1391"/>
      <c r="K46" s="1391"/>
      <c r="L46" s="1434"/>
      <c r="M46" s="1734"/>
      <c r="N46" s="1734"/>
      <c r="O46" s="1734"/>
      <c r="P46" s="478"/>
      <c r="Q46" s="476"/>
      <c r="R46" s="477"/>
      <c r="S46" s="2079"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1748"/>
      <c r="AP46" s="1748" t="str">
        <f>IF(T46="","",T46)</f>
        <v>Источник тепловой энергии  </v>
      </c>
      <c r="AQ46" s="1748"/>
      <c r="AR46" s="1748"/>
      <c r="AS46" s="1755">
        <v>21</v>
      </c>
    </row>
    <row customHeight="1" ht="49.5">
      <c r="A47" s="1391" t="s">
        <v>324</v>
      </c>
      <c r="B47" s="1391" t="s">
        <v>325</v>
      </c>
      <c r="C47" s="1391" t="s">
        <v>326</v>
      </c>
      <c r="D47" s="1391" t="s">
        <v>327</v>
      </c>
      <c r="E47" s="2427"/>
      <c r="F47" s="2427"/>
      <c r="G47" s="2427"/>
      <c r="H47" s="2427"/>
      <c r="I47" s="2264" t="str">
        <f>S46&amp;".1"</f>
        <v>....1</v>
      </c>
      <c r="J47" s="1391"/>
      <c r="K47" s="1391"/>
      <c r="L47" s="1434" t="s">
        <v>515</v>
      </c>
      <c r="P47" s="2394">
        <v>1</v>
      </c>
      <c r="Q47" s="2075"/>
      <c r="R47" s="480"/>
      <c r="S47" s="2079" t="str">
        <f>$I47</f>
        <v>....1</v>
      </c>
      <c r="T47" s="409" t="s">
        <v>516</v>
      </c>
      <c r="U47" s="424"/>
      <c r="V47" s="2382"/>
      <c r="W47" s="2383"/>
      <c r="X47" s="2383"/>
      <c r="Y47" s="2383"/>
      <c r="Z47" s="2383"/>
      <c r="AA47" s="2383"/>
      <c r="AB47" s="2383"/>
      <c r="AC47" s="2384"/>
      <c r="AD47" s="2382"/>
      <c r="AE47" s="2383"/>
      <c r="AF47" s="2383"/>
      <c r="AG47" s="2383"/>
      <c r="AH47" s="2383"/>
      <c r="AI47" s="2383"/>
      <c r="AJ47" s="2383"/>
      <c r="AK47" s="2383"/>
      <c r="AL47" s="2384"/>
      <c r="AM47" s="1382" t="s">
        <v>517</v>
      </c>
      <c r="AO47" s="1748"/>
      <c r="AP47" s="1748" t="str">
        <f>IF(T47="","",T47)</f>
        <v>Схема подключения теплопотребляющей установки к коллектору источника тепловой энергии</v>
      </c>
      <c r="AQ47" s="1748"/>
      <c r="AR47" s="1748"/>
      <c r="AS47" s="1755">
        <v>47</v>
      </c>
    </row>
    <row customHeight="1" ht="22.049999999999997">
      <c r="A48" s="1391" t="s">
        <v>324</v>
      </c>
      <c r="B48" s="1391" t="s">
        <v>325</v>
      </c>
      <c r="C48" s="1391" t="s">
        <v>326</v>
      </c>
      <c r="D48" s="1391" t="s">
        <v>327</v>
      </c>
      <c r="E48" s="2427"/>
      <c r="F48" s="2427"/>
      <c r="G48" s="2427"/>
      <c r="H48" s="2427"/>
      <c r="I48" s="2238"/>
      <c r="J48" s="2264" t="str">
        <f>I47&amp;".1"</f>
        <v>....1.1</v>
      </c>
      <c r="K48" s="1391"/>
      <c r="L48" s="1434" t="s">
        <v>518</v>
      </c>
      <c r="P48" s="2394"/>
      <c r="Q48" s="2394">
        <v>1</v>
      </c>
      <c r="R48" s="481"/>
      <c r="S48" s="2079" t="str">
        <f>$J48</f>
        <v>....1.1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1748"/>
      <c r="AP48" s="1748" t="str">
        <f>IF(T48="","",T48)</f>
        <v>Группа потребителей</v>
      </c>
      <c r="AQ48" s="1748"/>
      <c r="AR48" s="1748"/>
      <c r="AS48" s="1755">
        <v>21</v>
      </c>
    </row>
    <row customHeight="1" ht="22.049999999999997">
      <c r="A49" s="1391" t="s">
        <v>324</v>
      </c>
      <c r="B49" s="1391" t="s">
        <v>325</v>
      </c>
      <c r="C49" s="1391" t="s">
        <v>326</v>
      </c>
      <c r="D49" s="1391" t="s">
        <v>327</v>
      </c>
      <c r="E49" s="2427"/>
      <c r="F49" s="2427"/>
      <c r="G49" s="2427"/>
      <c r="H49" s="2427"/>
      <c r="I49" s="2238"/>
      <c r="J49" s="2238"/>
      <c r="K49" s="2264" t="str">
        <f>J48&amp;".1"</f>
        <v>....1.1.1</v>
      </c>
      <c r="L49" s="1434" t="s">
        <v>521</v>
      </c>
      <c r="P49" s="2394"/>
      <c r="Q49" s="2394"/>
      <c r="R49" s="481">
        <v>1</v>
      </c>
      <c r="S49" s="2079" t="str">
        <f>$K49</f>
        <v>....1.1.1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522</v>
      </c>
      <c r="AN49" s="1760">
        <f>STRCHECKDATE(V50:AL50)</f>
      </c>
      <c r="AO49" s="1748"/>
      <c r="AP49" s="1748" t="str">
        <f>IF(T49="","",T49)</f>
        <v/>
      </c>
      <c r="AQ49" s="1748"/>
      <c r="AR49" s="1748"/>
      <c r="AS49" s="1755">
        <v>21</v>
      </c>
    </row>
    <row customHeight="1" ht="1.05">
      <c r="A50" s="1391" t="s">
        <v>324</v>
      </c>
      <c r="B50" s="1391" t="s">
        <v>325</v>
      </c>
      <c r="C50" s="1391" t="s">
        <v>326</v>
      </c>
      <c r="D50" s="1391" t="s">
        <v>327</v>
      </c>
      <c r="E50" s="2427"/>
      <c r="F50" s="2427"/>
      <c r="G50" s="2427"/>
      <c r="H50" s="2427"/>
      <c r="I50" s="2238"/>
      <c r="J50" s="2238"/>
      <c r="K50" s="2264"/>
      <c r="L50" s="1434"/>
      <c r="P50" s="2394"/>
      <c r="Q50" s="2394"/>
      <c r="R50" s="481"/>
      <c r="S50" s="2088"/>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1748"/>
      <c r="AP50" s="1748" t="str">
        <f>IF(T50="","",T50)</f>
        <v/>
      </c>
      <c r="AQ50" s="1748"/>
      <c r="AR50" s="1748"/>
      <c r="AS50" s="1755">
        <v>1</v>
      </c>
    </row>
    <row customHeight="1" ht="11.549999999999999">
      <c r="A51" s="1391" t="s">
        <v>324</v>
      </c>
      <c r="B51" s="1391" t="s">
        <v>325</v>
      </c>
      <c r="C51" s="1391" t="s">
        <v>326</v>
      </c>
      <c r="D51" s="1391" t="s">
        <v>327</v>
      </c>
      <c r="E51" s="2427"/>
      <c r="F51" s="2427"/>
      <c r="G51" s="2427"/>
      <c r="H51" s="2427"/>
      <c r="I51" s="2238"/>
      <c r="J51" s="2264"/>
      <c r="K51" s="1391"/>
      <c r="L51" s="1434"/>
      <c r="P51" s="2394"/>
      <c r="Q51" s="2394"/>
      <c r="R51" s="480"/>
      <c r="S51" s="1402"/>
      <c r="T51" s="412" t="s">
        <v>523</v>
      </c>
      <c r="U51" s="724"/>
      <c r="V51" s="724"/>
      <c r="W51" s="724"/>
      <c r="X51" s="724"/>
      <c r="Y51" s="724"/>
      <c r="Z51" s="724"/>
      <c r="AA51" s="724"/>
      <c r="AB51" s="724"/>
      <c r="AC51" s="724"/>
      <c r="AD51" s="724"/>
      <c r="AE51" s="724"/>
      <c r="AF51" s="724"/>
      <c r="AG51" s="724"/>
      <c r="AH51" s="724"/>
      <c r="AI51" s="724"/>
      <c r="AJ51" s="724"/>
      <c r="AK51" s="724"/>
      <c r="AL51" s="448"/>
      <c r="AM51" s="2392"/>
      <c r="AO51" s="1748"/>
      <c r="AP51" s="1748" t="str">
        <f>IF(T51="","",T51)</f>
        <v>Добавить вид теплоносителя (параметры теплоносителя)</v>
      </c>
      <c r="AQ51" s="1748"/>
      <c r="AR51" s="1748"/>
      <c r="AS51" s="1755">
        <v>11</v>
      </c>
    </row>
    <row customHeight="1" ht="11.549999999999999">
      <c r="A52" s="1391" t="s">
        <v>324</v>
      </c>
      <c r="B52" s="1391" t="s">
        <v>325</v>
      </c>
      <c r="C52" s="1391" t="s">
        <v>326</v>
      </c>
      <c r="D52" s="1391" t="s">
        <v>327</v>
      </c>
      <c r="E52" s="2427"/>
      <c r="F52" s="2427"/>
      <c r="G52" s="2427"/>
      <c r="H52" s="2427"/>
      <c r="I52" s="2264"/>
      <c r="J52" s="1391"/>
      <c r="K52" s="1391"/>
      <c r="L52" s="1434"/>
      <c r="P52" s="2394"/>
      <c r="Q52" s="2075"/>
      <c r="R52" s="480"/>
      <c r="S52" s="1402"/>
      <c r="T52" s="411" t="s">
        <v>524</v>
      </c>
      <c r="U52" s="724"/>
      <c r="V52" s="724"/>
      <c r="W52" s="724"/>
      <c r="X52" s="724"/>
      <c r="Y52" s="724"/>
      <c r="Z52" s="724"/>
      <c r="AA52" s="724"/>
      <c r="AB52" s="724"/>
      <c r="AC52" s="490"/>
      <c r="AD52" s="724"/>
      <c r="AE52" s="724"/>
      <c r="AF52" s="724"/>
      <c r="AG52" s="724"/>
      <c r="AH52" s="724"/>
      <c r="AI52" s="724"/>
      <c r="AJ52" s="724"/>
      <c r="AK52" s="490"/>
      <c r="AL52" s="724"/>
      <c r="AM52" s="427"/>
      <c r="AO52" s="1748"/>
      <c r="AP52" s="1748" t="str">
        <f>IF(T52="","",T52)</f>
        <v>Добавить группу потребителей</v>
      </c>
      <c r="AQ52" s="1748"/>
      <c r="AR52" s="1748"/>
      <c r="AS52" s="1755">
        <v>11</v>
      </c>
    </row>
    <row customHeight="1" ht="14.699999999999998">
      <c r="A53" s="1391" t="s">
        <v>324</v>
      </c>
      <c r="B53" s="1391" t="s">
        <v>325</v>
      </c>
      <c r="C53" s="1391" t="s">
        <v>326</v>
      </c>
      <c r="D53" s="1391" t="s">
        <v>327</v>
      </c>
      <c r="E53" s="2427"/>
      <c r="F53" s="2427"/>
      <c r="G53" s="2427"/>
      <c r="H53" s="2426"/>
      <c r="I53" s="1391"/>
      <c r="J53" s="1391"/>
      <c r="K53" s="1391"/>
      <c r="L53" s="1434"/>
      <c r="M53" s="1734"/>
      <c r="N53" s="1734"/>
      <c r="O53" s="1759"/>
      <c r="P53" s="484"/>
      <c r="Q53" s="499"/>
      <c r="R53" s="479"/>
      <c r="S53" s="1402"/>
      <c r="T53" s="489" t="s">
        <v>525</v>
      </c>
      <c r="U53" s="724"/>
      <c r="V53" s="724"/>
      <c r="W53" s="724"/>
      <c r="X53" s="724"/>
      <c r="Y53" s="724"/>
      <c r="Z53" s="724"/>
      <c r="AA53" s="724"/>
      <c r="AB53" s="724"/>
      <c r="AC53" s="490"/>
      <c r="AD53" s="724"/>
      <c r="AE53" s="724"/>
      <c r="AF53" s="724"/>
      <c r="AG53" s="724"/>
      <c r="AH53" s="724"/>
      <c r="AI53" s="724"/>
      <c r="AJ53" s="724"/>
      <c r="AK53" s="490"/>
      <c r="AL53" s="724"/>
      <c r="AM53" s="427"/>
      <c r="AO53" s="1748"/>
      <c r="AP53" s="1748" t="str">
        <f>IF(T53="","",T53)</f>
        <v>Добавить схему подключения</v>
      </c>
      <c r="AQ53" s="1748"/>
      <c r="AR53" s="1748"/>
      <c r="AS53" s="1755">
        <v>14</v>
      </c>
    </row>
    <row s="6698" customFormat="1" customHeight="1" ht="4.2">
      <c r="A54" s="1499" t="s">
        <v>324</v>
      </c>
      <c r="B54" s="1499" t="s">
        <v>325</v>
      </c>
      <c r="C54" s="1499" t="s">
        <v>326</v>
      </c>
      <c r="D54" s="1498"/>
      <c r="E54" s="2427"/>
      <c r="F54" s="2427"/>
      <c r="G54" s="2426"/>
      <c r="H54" s="1498"/>
      <c r="I54" s="1498"/>
      <c r="J54" s="1498"/>
      <c r="K54" s="1498"/>
      <c r="L54" s="1501"/>
      <c r="M54" s="1502"/>
      <c r="N54" s="1502"/>
      <c r="O54" s="475"/>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1375"/>
      <c r="AP54" s="1375" t="str">
        <f>IF(T54="","",T54)</f>
        <v>Добавить источник для дифференциации</v>
      </c>
      <c r="AQ54" s="1375"/>
      <c r="AR54" s="1375"/>
      <c r="AS54" s="1766">
        <v>4</v>
      </c>
    </row>
    <row s="6698" customFormat="1" customHeight="1" ht="4.2">
      <c r="A55" s="1499" t="s">
        <v>324</v>
      </c>
      <c r="B55" s="1499" t="s">
        <v>325</v>
      </c>
      <c r="C55" s="1498"/>
      <c r="D55" s="1498"/>
      <c r="E55" s="2427"/>
      <c r="F55" s="2426"/>
      <c r="G55" s="1498"/>
      <c r="H55" s="1498"/>
      <c r="I55" s="1498"/>
      <c r="J55" s="1498"/>
      <c r="K55" s="1498"/>
      <c r="L55" s="1501"/>
      <c r="M55" s="1503"/>
      <c r="N55" s="1503"/>
      <c r="O55" s="47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1375"/>
      <c r="AP55" s="1375" t="str">
        <f>IF(T55="","",T55)</f>
        <v>Добавить централизованную систему для дифференциации</v>
      </c>
      <c r="AQ55" s="1375"/>
      <c r="AR55" s="1375"/>
      <c r="AS55" s="1766">
        <v>4</v>
      </c>
    </row>
    <row s="6698" customFormat="1" customHeight="1" ht="4.2">
      <c r="A56" s="1499" t="s">
        <v>324</v>
      </c>
      <c r="B56" s="1499"/>
      <c r="C56" s="1499"/>
      <c r="D56" s="1499"/>
      <c r="E56" s="2426"/>
      <c r="F56" s="1499"/>
      <c r="G56" s="1499"/>
      <c r="H56" s="1499"/>
      <c r="I56" s="1499"/>
      <c r="J56" s="1499"/>
      <c r="K56" s="1499"/>
      <c r="L56" s="1505"/>
      <c r="M56" s="1503"/>
      <c r="N56" s="1503"/>
      <c r="O56" s="475"/>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1748"/>
      <c r="AP56" s="1748" t="str">
        <f>IF(T56="","",T56)</f>
        <v>Добавить территорию для дифференциации</v>
      </c>
      <c r="AQ56" s="1748"/>
      <c r="AR56" s="1748"/>
      <c r="AS56" s="1760">
        <v>4</v>
      </c>
    </row>
    <row s="6698" customFormat="1" customHeight="1" ht="4.2">
      <c r="A57" s="1498"/>
      <c r="B57" s="1498"/>
      <c r="C57" s="1498"/>
      <c r="D57" s="1498"/>
      <c r="E57" s="1499"/>
      <c r="F57" s="1498"/>
      <c r="G57" s="1498"/>
      <c r="H57" s="1498"/>
      <c r="I57" s="1498"/>
      <c r="J57" s="1498"/>
      <c r="K57" s="1498"/>
      <c r="L57" s="1501"/>
      <c r="M57" s="1503"/>
      <c r="N57" s="1503"/>
      <c r="O57" s="47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1375"/>
      <c r="AP57" s="1375" t="str">
        <f>IF(T57="","",T57)</f>
        <v>Добавить наименование тарифа</v>
      </c>
      <c r="AQ57" s="1375"/>
      <c r="AR57" s="1375"/>
      <c r="AS57" s="1766">
        <v>4</v>
      </c>
    </row>
    <row customHeight="1" ht="11.549999999999999">
      <c r="M58" s="1755"/>
      <c r="N58" s="1755"/>
      <c r="O58" s="1759"/>
      <c r="P58" s="1755"/>
      <c r="Q58" s="1755"/>
      <c r="R58" s="1755"/>
      <c r="S58" s="1755"/>
      <c r="AN58" s="1755"/>
      <c r="AO58" s="1755"/>
      <c r="AP58" s="1755"/>
      <c r="AQ58" s="1755"/>
      <c r="AR58" s="1755"/>
      <c r="AS58" s="1755">
        <v>11</v>
      </c>
    </row>
    <row customHeight="1" ht="28.5">
      <c r="O59" s="1759"/>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755">
        <v>27</v>
      </c>
    </row>
    <row customHeight="1" ht="65.25">
      <c r="O60" s="1759"/>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755">
        <v>62</v>
      </c>
    </row>
    <row customHeight="1" ht="14.699999999999998">
      <c r="O61" s="1759"/>
      <c r="AS61" s="1755">
        <v>14</v>
      </c>
    </row>
    <row customHeight="1" ht="18.75">
      <c r="O62" s="1759"/>
      <c r="S62" s="1377"/>
      <c r="T62" s="2422"/>
      <c r="U62" s="2422"/>
      <c r="V62" s="2422"/>
      <c r="W62" s="2422"/>
      <c r="X62" s="2422"/>
      <c r="Y62" s="2422"/>
      <c r="Z62" s="2422"/>
      <c r="AA62" s="2422"/>
      <c r="AB62" s="2422"/>
      <c r="AC62" s="2422"/>
      <c r="AD62" s="2422"/>
      <c r="AE62" s="2422"/>
      <c r="AF62" s="2422"/>
      <c r="AG62" s="2422"/>
      <c r="AH62" s="2422"/>
      <c r="AI62" s="2422"/>
      <c r="AJ62" s="2422"/>
      <c r="AK62" s="2422"/>
      <c r="AL62" s="2422"/>
      <c r="AM62" s="2422"/>
      <c r="AS62" s="1755">
        <v>18</v>
      </c>
    </row>
    <row customHeight="1" ht="18.75">
      <c r="O63" s="1759"/>
      <c r="T63" s="2422"/>
      <c r="U63" s="2422"/>
      <c r="V63" s="2422"/>
      <c r="W63" s="2422"/>
      <c r="X63" s="2422"/>
      <c r="Y63" s="2422"/>
      <c r="Z63" s="2422"/>
      <c r="AA63" s="2422"/>
      <c r="AB63" s="2422"/>
      <c r="AC63" s="2422"/>
      <c r="AD63" s="2422"/>
      <c r="AE63" s="2422"/>
      <c r="AF63" s="2422"/>
      <c r="AG63" s="2422"/>
      <c r="AH63" s="2422"/>
      <c r="AI63" s="2422"/>
      <c r="AJ63" s="2422"/>
      <c r="AK63" s="2422"/>
      <c r="AL63" s="2422"/>
      <c r="AM63" s="2422"/>
      <c r="AS63" s="1755">
        <v>18</v>
      </c>
    </row>
    <row customHeight="1" ht="29.25">
      <c r="O64" s="1759"/>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755">
        <v>28</v>
      </c>
    </row>
    <row customHeight="1" ht="22.5" hidden="1">
      <c r="A65" s="1755" t="s">
        <v>82</v>
      </c>
      <c r="B65" s="1755">
        <v>0</v>
      </c>
      <c r="C65" s="1755">
        <v>0</v>
      </c>
      <c r="D65" s="1755">
        <v>0</v>
      </c>
      <c r="E65" s="1755">
        <v>0</v>
      </c>
      <c r="F65" s="1755">
        <v>0</v>
      </c>
      <c r="G65" s="1755">
        <v>0</v>
      </c>
      <c r="H65" s="1755">
        <v>0</v>
      </c>
      <c r="I65" s="1755">
        <v>0</v>
      </c>
      <c r="J65" s="1755">
        <v>0</v>
      </c>
      <c r="K65" s="1755">
        <v>0</v>
      </c>
      <c r="L65" s="2060">
        <v>0</v>
      </c>
      <c r="M65" s="2086">
        <v>0</v>
      </c>
      <c r="N65" s="2086">
        <v>0</v>
      </c>
      <c r="O65" s="2086">
        <v>0</v>
      </c>
      <c r="P65" s="2086">
        <v>3</v>
      </c>
      <c r="Q65" s="468">
        <v>3</v>
      </c>
      <c r="R65" s="468">
        <v>3</v>
      </c>
      <c r="S65" s="705">
        <v>12</v>
      </c>
      <c r="T65" s="1755">
        <v>31</v>
      </c>
      <c r="U65" s="1755">
        <v>0</v>
      </c>
      <c r="V65" s="1755">
        <v>0</v>
      </c>
      <c r="W65" s="1755">
        <v>0</v>
      </c>
      <c r="X65" s="1755">
        <v>0</v>
      </c>
      <c r="Y65" s="1755">
        <v>0</v>
      </c>
      <c r="Z65" s="1755">
        <v>0</v>
      </c>
      <c r="AA65" s="1755">
        <v>0</v>
      </c>
      <c r="AB65" s="1755">
        <v>0</v>
      </c>
      <c r="AC65" s="1755">
        <v>0</v>
      </c>
      <c r="AD65" s="1755">
        <v>24</v>
      </c>
      <c r="AE65" s="1755">
        <v>0</v>
      </c>
      <c r="AF65" s="1755">
        <v>24</v>
      </c>
      <c r="AG65" s="1755">
        <v>24</v>
      </c>
      <c r="AH65" s="1755">
        <v>11</v>
      </c>
      <c r="AI65" s="1755">
        <v>3</v>
      </c>
      <c r="AJ65" s="1755">
        <v>11</v>
      </c>
      <c r="AK65" s="1755">
        <v>0</v>
      </c>
      <c r="AL65" s="1755">
        <v>4</v>
      </c>
      <c r="AM65" s="1755">
        <v>115</v>
      </c>
      <c r="AN65" s="1760">
        <v>10</v>
      </c>
      <c r="AO65" s="1760">
        <v>10</v>
      </c>
      <c r="AP65" s="1760">
        <v>10</v>
      </c>
      <c r="AQ65" s="1760">
        <v>10</v>
      </c>
      <c r="AR65" s="1760">
        <v>10</v>
      </c>
      <c r="AS65" s="175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145641-3682-16FB-44A8-A363FD3EFAA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213" width="10.57421875" hidden="1"/>
    <col min="2" max="2" style="7213" width="11.00390625" hidden="1" customWidth="1"/>
    <col min="3" max="3" style="7213" width="10.57421875" hidden="1"/>
    <col min="4" max="4" style="7213" width="11.8515625" hidden="1" customWidth="1"/>
    <col min="5" max="5" style="7213" width="10.00390625" hidden="1" customWidth="1"/>
    <col min="6" max="6" style="7213" width="8.7109375" hidden="1" customWidth="1"/>
    <col min="7" max="7" style="7213" width="7.57421875" hidden="1" customWidth="1"/>
    <col min="8" max="8" style="7213" width="11.421875" hidden="1" customWidth="1"/>
    <col min="9" max="9" style="7213" width="12.00390625" hidden="1" customWidth="1"/>
    <col min="10" max="10" style="7213" width="9.8515625" hidden="1" customWidth="1"/>
    <col min="11" max="11" style="7213" width="11.421875" hidden="1" customWidth="1"/>
    <col min="12" max="12" style="7895" width="19.140625" hidden="1" customWidth="1"/>
    <col min="13" max="14" style="7916" width="12.28125" hidden="1" customWidth="1"/>
    <col min="15" max="15" style="7916" width="23.421875" hidden="1" customWidth="1"/>
    <col min="16" max="16" style="7916" width="3.00390625"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AS1" s="1755" t="s">
        <v>14</v>
      </c>
    </row>
    <row customHeight="1" ht="21" hidden="1">
      <c r="A2" s="1391"/>
      <c r="B2" s="1391"/>
      <c r="C2" s="1391"/>
      <c r="D2" s="1391"/>
      <c r="E2" s="2426">
        <v>1</v>
      </c>
      <c r="F2" s="1391"/>
      <c r="G2" s="1391"/>
      <c r="H2" s="1391"/>
      <c r="I2" s="1391"/>
      <c r="J2" s="1391"/>
      <c r="K2" s="1391"/>
      <c r="L2" s="1434"/>
      <c r="M2" s="1734"/>
      <c r="N2" s="1734"/>
      <c r="O2" s="1734"/>
      <c r="P2" s="1714"/>
      <c r="Q2" s="484"/>
      <c r="R2" s="479"/>
      <c r="S2" s="2079">
        <f>INDEX(PT_DIFFERENTIATION_NUM_NTAR,MATCH(A2,PT_DIFFERENTIATION_NTAR_ID,0))</f>
      </c>
      <c r="T2" s="1649"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1748"/>
      <c r="AP2" s="1748" t="str">
        <f>IF(T2="","",T2)</f>
        <v>Наименование тарифа</v>
      </c>
      <c r="AQ2" s="1748"/>
      <c r="AR2" s="1748"/>
      <c r="AS2" s="1755">
        <v>0</v>
      </c>
    </row>
    <row customHeight="1" ht="21" hidden="1">
      <c r="A3" s="1391"/>
      <c r="B3" s="1391"/>
      <c r="C3" s="1391"/>
      <c r="D3" s="1391"/>
      <c r="E3" s="2427"/>
      <c r="F3" s="2426">
        <v>1</v>
      </c>
      <c r="G3" s="1391"/>
      <c r="H3" s="1391"/>
      <c r="I3" s="1391"/>
      <c r="J3" s="1391"/>
      <c r="K3" s="1391"/>
      <c r="L3" s="1434"/>
      <c r="M3" s="1734"/>
      <c r="N3" s="1734"/>
      <c r="O3" s="1734"/>
      <c r="P3" s="2061"/>
      <c r="Q3" s="476"/>
      <c r="R3" s="477"/>
      <c r="S3" s="2079">
        <f>INDEX(PT_DIFFERENTIATION_NUM_TER,MATCH(B3,PT_DIFFERENTIATION_TER_ID,0))</f>
      </c>
      <c r="T3" s="1646"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1748"/>
      <c r="AP3" s="1748" t="str">
        <f>IF(T3="","",T3)</f>
        <v>Территория действия тарифа</v>
      </c>
      <c r="AQ3" s="1748"/>
      <c r="AR3" s="1748"/>
      <c r="AS3" s="1755">
        <v>0</v>
      </c>
    </row>
    <row customHeight="1" ht="23.25" hidden="1">
      <c r="A4" s="1391"/>
      <c r="B4" s="1391"/>
      <c r="C4" s="1391"/>
      <c r="D4" s="1391"/>
      <c r="E4" s="2427"/>
      <c r="F4" s="2427"/>
      <c r="G4" s="2426">
        <v>1</v>
      </c>
      <c r="H4" s="1391"/>
      <c r="I4" s="1391"/>
      <c r="J4" s="1391"/>
      <c r="K4" s="1391"/>
      <c r="L4" s="1434"/>
      <c r="M4" s="1734"/>
      <c r="N4" s="1734"/>
      <c r="O4" s="1734"/>
      <c r="P4" s="478"/>
      <c r="Q4" s="476"/>
      <c r="R4" s="477"/>
      <c r="S4" s="2079">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1748"/>
      <c r="AP4" s="1748" t="str">
        <f>IF(T4="","",T4)</f>
        <v>Наименование системы теплоснабжения </v>
      </c>
      <c r="AQ4" s="1748"/>
      <c r="AR4" s="1748"/>
      <c r="AS4" s="1755">
        <v>0</v>
      </c>
    </row>
    <row customHeight="1" ht="21" hidden="1">
      <c r="A5" s="1391"/>
      <c r="B5" s="1391"/>
      <c r="C5" s="1391"/>
      <c r="D5" s="1391"/>
      <c r="E5" s="2427"/>
      <c r="F5" s="2427"/>
      <c r="G5" s="2427"/>
      <c r="H5" s="2426">
        <v>1</v>
      </c>
      <c r="I5" s="1391"/>
      <c r="J5" s="1391"/>
      <c r="K5" s="1391"/>
      <c r="L5" s="1434"/>
      <c r="M5" s="1734"/>
      <c r="N5" s="1734"/>
      <c r="O5" s="1734"/>
      <c r="P5" s="478"/>
      <c r="Q5" s="476"/>
      <c r="R5" s="477"/>
      <c r="S5" s="2079">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1748"/>
      <c r="AP5" s="1748" t="str">
        <f>IF(T5="","",T5)</f>
        <v>Источник тепловой энергии  </v>
      </c>
      <c r="AQ5" s="1748"/>
      <c r="AR5" s="1748"/>
      <c r="AS5" s="1755">
        <v>0</v>
      </c>
    </row>
    <row customHeight="1" ht="47.25" hidden="1">
      <c r="A6" s="1391"/>
      <c r="B6" s="1391"/>
      <c r="C6" s="1391"/>
      <c r="D6" s="1391"/>
      <c r="E6" s="2427"/>
      <c r="F6" s="2427"/>
      <c r="G6" s="2427"/>
      <c r="H6" s="2427"/>
      <c r="I6" s="2264">
        <f>S5&amp;".1"</f>
      </c>
      <c r="J6" s="1391"/>
      <c r="K6" s="1391"/>
      <c r="L6" s="1434" t="s">
        <v>515</v>
      </c>
      <c r="M6" s="1759"/>
      <c r="P6" s="2394">
        <v>1</v>
      </c>
      <c r="Q6" s="2075"/>
      <c r="R6" s="480"/>
      <c r="S6" s="2079">
        <f>$I6</f>
      </c>
      <c r="T6" s="409" t="s">
        <v>516</v>
      </c>
      <c r="U6" s="424"/>
      <c r="V6" s="2382"/>
      <c r="W6" s="2383"/>
      <c r="X6" s="2383"/>
      <c r="Y6" s="2383"/>
      <c r="Z6" s="2383"/>
      <c r="AA6" s="2383"/>
      <c r="AB6" s="2383"/>
      <c r="AC6" s="2384"/>
      <c r="AD6" s="2382"/>
      <c r="AE6" s="2383"/>
      <c r="AF6" s="2383"/>
      <c r="AG6" s="2383"/>
      <c r="AH6" s="2383"/>
      <c r="AI6" s="2383"/>
      <c r="AJ6" s="2383"/>
      <c r="AK6" s="2383"/>
      <c r="AL6" s="2384"/>
      <c r="AM6" s="1382" t="s">
        <v>517</v>
      </c>
      <c r="AO6" s="1748"/>
      <c r="AP6" s="1748" t="str">
        <f>IF(T6="","",T6)</f>
        <v>Схема подключения теплопотребляющей установки к коллектору источника тепловой энергии</v>
      </c>
      <c r="AQ6" s="1748"/>
      <c r="AR6" s="1748"/>
      <c r="AS6" s="1755">
        <v>0</v>
      </c>
    </row>
    <row customHeight="1" ht="21" hidden="1">
      <c r="A7" s="1391"/>
      <c r="B7" s="1391"/>
      <c r="C7" s="1391"/>
      <c r="D7" s="1391"/>
      <c r="E7" s="2427"/>
      <c r="F7" s="2427"/>
      <c r="G7" s="2427"/>
      <c r="H7" s="2427"/>
      <c r="I7" s="2238"/>
      <c r="J7" s="2264">
        <f>I6&amp;".1"</f>
      </c>
      <c r="K7" s="1391"/>
      <c r="L7" s="1434" t="s">
        <v>518</v>
      </c>
      <c r="M7" s="1759"/>
      <c r="N7" s="1755"/>
      <c r="P7" s="2394"/>
      <c r="Q7" s="2394">
        <v>1</v>
      </c>
      <c r="R7" s="481"/>
      <c r="S7" s="2079">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1748"/>
      <c r="AP7" s="1748" t="str">
        <f>IF(T7="","",T7)</f>
        <v>Группа потребителей</v>
      </c>
      <c r="AQ7" s="1748"/>
      <c r="AR7" s="1748"/>
      <c r="AS7" s="1755">
        <v>0</v>
      </c>
    </row>
    <row customHeight="1" ht="21" hidden="1">
      <c r="A8" s="1391"/>
      <c r="B8" s="1391"/>
      <c r="C8" s="1391"/>
      <c r="D8" s="1391"/>
      <c r="E8" s="2427"/>
      <c r="F8" s="2427"/>
      <c r="G8" s="2427"/>
      <c r="H8" s="2427"/>
      <c r="I8" s="2238"/>
      <c r="J8" s="2238"/>
      <c r="K8" s="2264">
        <f>J7&amp;".1"</f>
      </c>
      <c r="L8" s="1434" t="s">
        <v>521</v>
      </c>
      <c r="M8" s="1759"/>
      <c r="N8" s="1755"/>
      <c r="O8" s="1755"/>
      <c r="P8" s="2394"/>
      <c r="Q8" s="2394"/>
      <c r="R8" s="481">
        <v>1</v>
      </c>
      <c r="S8" s="2079">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1760">
        <f>STRCHECKDATE(V9:AL9)</f>
      </c>
      <c r="AO8" s="1748"/>
      <c r="AP8" s="1748" t="str">
        <f>IF(T8="","",T8)</f>
        <v/>
      </c>
      <c r="AQ8" s="1748"/>
      <c r="AR8" s="1748"/>
      <c r="AS8" s="1755">
        <v>0</v>
      </c>
    </row>
    <row customHeight="1" ht="0.75" hidden="1">
      <c r="A9" s="1391"/>
      <c r="B9" s="1391"/>
      <c r="C9" s="1391"/>
      <c r="D9" s="1391"/>
      <c r="E9" s="2427"/>
      <c r="F9" s="2427"/>
      <c r="G9" s="2427"/>
      <c r="H9" s="2427"/>
      <c r="I9" s="2238"/>
      <c r="J9" s="2238"/>
      <c r="K9" s="2264"/>
      <c r="L9" s="1434"/>
      <c r="M9" s="1759"/>
      <c r="N9" s="1755"/>
      <c r="O9" s="1755"/>
      <c r="P9" s="2394"/>
      <c r="Q9" s="2394"/>
      <c r="R9" s="481"/>
      <c r="S9" s="2088"/>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1748"/>
      <c r="AP9" s="1748" t="str">
        <f>IF(T9="","",T9)</f>
        <v/>
      </c>
      <c r="AQ9" s="1748"/>
      <c r="AR9" s="1748"/>
      <c r="AS9" s="1755">
        <v>0</v>
      </c>
    </row>
    <row customHeight="1" ht="15" hidden="1">
      <c r="A10" s="1391"/>
      <c r="B10" s="1391"/>
      <c r="C10" s="1391"/>
      <c r="D10" s="1391"/>
      <c r="E10" s="2427"/>
      <c r="F10" s="2427"/>
      <c r="G10" s="2427"/>
      <c r="H10" s="2427"/>
      <c r="I10" s="2238"/>
      <c r="J10" s="2264"/>
      <c r="K10" s="1391"/>
      <c r="L10" s="1434"/>
      <c r="M10" s="1759"/>
      <c r="N10" s="1755"/>
      <c r="P10" s="2394"/>
      <c r="Q10" s="2394"/>
      <c r="R10" s="480"/>
      <c r="S10" s="1402"/>
      <c r="T10" s="412" t="s">
        <v>523</v>
      </c>
      <c r="U10" s="724"/>
      <c r="V10" s="724"/>
      <c r="W10" s="724"/>
      <c r="X10" s="724"/>
      <c r="Y10" s="724"/>
      <c r="Z10" s="724"/>
      <c r="AA10" s="724"/>
      <c r="AB10" s="724"/>
      <c r="AC10" s="724"/>
      <c r="AD10" s="724"/>
      <c r="AE10" s="724"/>
      <c r="AF10" s="724"/>
      <c r="AG10" s="724"/>
      <c r="AH10" s="724"/>
      <c r="AI10" s="724"/>
      <c r="AJ10" s="724"/>
      <c r="AK10" s="724"/>
      <c r="AL10" s="448"/>
      <c r="AM10" s="2392"/>
      <c r="AO10" s="1748"/>
      <c r="AP10" s="1748" t="str">
        <f>IF(T10="","",T10)</f>
        <v>Добавить вид теплоносителя (параметры теплоносителя)</v>
      </c>
      <c r="AQ10" s="1748"/>
      <c r="AR10" s="1748"/>
      <c r="AS10" s="1755">
        <v>0</v>
      </c>
    </row>
    <row customHeight="1" ht="15" hidden="1">
      <c r="A11" s="1391"/>
      <c r="B11" s="1391"/>
      <c r="C11" s="1391"/>
      <c r="D11" s="1391"/>
      <c r="E11" s="2427"/>
      <c r="F11" s="2427"/>
      <c r="G11" s="2427"/>
      <c r="H11" s="2427"/>
      <c r="I11" s="2264"/>
      <c r="J11" s="1391"/>
      <c r="K11" s="1391"/>
      <c r="L11" s="1434"/>
      <c r="M11" s="1759"/>
      <c r="P11" s="2394"/>
      <c r="Q11" s="2075"/>
      <c r="R11" s="480"/>
      <c r="S11" s="1402"/>
      <c r="T11" s="411" t="s">
        <v>524</v>
      </c>
      <c r="U11" s="724"/>
      <c r="V11" s="724"/>
      <c r="W11" s="724"/>
      <c r="X11" s="724"/>
      <c r="Y11" s="724"/>
      <c r="Z11" s="724"/>
      <c r="AA11" s="724"/>
      <c r="AB11" s="724"/>
      <c r="AC11" s="490"/>
      <c r="AD11" s="724"/>
      <c r="AE11" s="724"/>
      <c r="AF11" s="724"/>
      <c r="AG11" s="724"/>
      <c r="AH11" s="724"/>
      <c r="AI11" s="724"/>
      <c r="AJ11" s="724"/>
      <c r="AK11" s="490"/>
      <c r="AL11" s="724"/>
      <c r="AM11" s="427"/>
      <c r="AO11" s="1748"/>
      <c r="AP11" s="1748" t="str">
        <f>IF(T11="","",T11)</f>
        <v>Добавить группу потребителей</v>
      </c>
      <c r="AQ11" s="1748"/>
      <c r="AR11" s="1748"/>
      <c r="AS11" s="1755">
        <v>0</v>
      </c>
    </row>
    <row customHeight="1" ht="14.25" hidden="1">
      <c r="A12" s="1391"/>
      <c r="B12" s="1391"/>
      <c r="C12" s="1391"/>
      <c r="D12" s="1391"/>
      <c r="E12" s="2427"/>
      <c r="F12" s="2427"/>
      <c r="G12" s="2427"/>
      <c r="H12" s="2426"/>
      <c r="I12" s="1391"/>
      <c r="J12" s="1391"/>
      <c r="K12" s="1391"/>
      <c r="L12" s="1434"/>
      <c r="M12" s="1734"/>
      <c r="N12" s="1734"/>
      <c r="O12" s="1759"/>
      <c r="P12" s="484"/>
      <c r="Q12" s="499"/>
      <c r="R12" s="479"/>
      <c r="S12" s="1402"/>
      <c r="T12" s="489" t="s">
        <v>525</v>
      </c>
      <c r="U12" s="724"/>
      <c r="V12" s="724"/>
      <c r="W12" s="724"/>
      <c r="X12" s="724"/>
      <c r="Y12" s="724"/>
      <c r="Z12" s="724"/>
      <c r="AA12" s="724"/>
      <c r="AB12" s="724"/>
      <c r="AC12" s="490"/>
      <c r="AD12" s="724"/>
      <c r="AE12" s="724"/>
      <c r="AF12" s="724"/>
      <c r="AG12" s="724"/>
      <c r="AH12" s="724"/>
      <c r="AI12" s="724"/>
      <c r="AJ12" s="724"/>
      <c r="AK12" s="490"/>
      <c r="AL12" s="724"/>
      <c r="AM12" s="427"/>
      <c r="AO12" s="1748"/>
      <c r="AP12" s="1748" t="str">
        <f>IF(T12="","",T12)</f>
        <v>Добавить схему подключения</v>
      </c>
      <c r="AQ12" s="1748"/>
      <c r="AR12" s="1748"/>
      <c r="AS12" s="1755">
        <v>0</v>
      </c>
    </row>
    <row s="6698" customFormat="1" customHeight="1" ht="0.75" hidden="1">
      <c r="A13" s="2095"/>
      <c r="B13" s="2095"/>
      <c r="C13" s="2095"/>
      <c r="D13" s="2095"/>
      <c r="E13" s="2427"/>
      <c r="F13" s="2427"/>
      <c r="G13" s="2426"/>
      <c r="H13" s="2095"/>
      <c r="I13" s="2095"/>
      <c r="J13" s="2095"/>
      <c r="K13" s="2095"/>
      <c r="L13" s="1504"/>
      <c r="M13" s="1734"/>
      <c r="N13" s="1734"/>
      <c r="O13" s="175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1375"/>
      <c r="AP13" s="1375" t="str">
        <f>IF(T13="","",T13)</f>
        <v>Добавить источник для дифференциации</v>
      </c>
      <c r="AQ13" s="1375"/>
      <c r="AR13" s="1375"/>
      <c r="AS13" s="1766">
        <v>0</v>
      </c>
    </row>
    <row s="6698" customFormat="1" customHeight="1" ht="0.75" hidden="1">
      <c r="A14" s="2095"/>
      <c r="B14" s="2095"/>
      <c r="C14" s="2095"/>
      <c r="D14" s="2095"/>
      <c r="E14" s="2427"/>
      <c r="F14" s="2426"/>
      <c r="G14" s="2095"/>
      <c r="H14" s="2095"/>
      <c r="I14" s="2095"/>
      <c r="J14" s="2095"/>
      <c r="K14" s="2095"/>
      <c r="L14" s="1504"/>
      <c r="M14" s="2096"/>
      <c r="N14" s="2096"/>
      <c r="O14" s="1759"/>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1375"/>
      <c r="AP14" s="1375" t="str">
        <f>IF(T14="","",T14)</f>
        <v>Добавить централизованную систему для дифференциации</v>
      </c>
      <c r="AQ14" s="1375"/>
      <c r="AR14" s="1375"/>
      <c r="AS14" s="1766">
        <v>0</v>
      </c>
    </row>
    <row s="6698" customFormat="1" customHeight="1" ht="0.75" hidden="1">
      <c r="A15" s="2095"/>
      <c r="B15" s="2095"/>
      <c r="C15" s="2095"/>
      <c r="D15" s="2095"/>
      <c r="E15" s="2426"/>
      <c r="F15" s="2095"/>
      <c r="G15" s="2095"/>
      <c r="H15" s="2095"/>
      <c r="I15" s="2095"/>
      <c r="J15" s="2095"/>
      <c r="K15" s="2095"/>
      <c r="L15" s="1504"/>
      <c r="M15" s="2096"/>
      <c r="N15" s="2096"/>
      <c r="O15" s="1759"/>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1375"/>
      <c r="AP15" s="1375" t="str">
        <f>IF(T15="","",T15)</f>
        <v>Добавить территорию для дифференциации</v>
      </c>
      <c r="AQ15" s="1375"/>
      <c r="AR15" s="1375"/>
      <c r="AS15" s="1766">
        <v>0</v>
      </c>
    </row>
    <row customHeight="1" ht="14.25" hidden="1">
      <c r="AS16" s="1755">
        <v>0</v>
      </c>
    </row>
    <row customHeight="1" ht="14.25" hidden="1">
      <c r="AD17" s="1484"/>
      <c r="AE17" s="1484"/>
      <c r="AF17" s="1484"/>
      <c r="AG17" s="1485"/>
      <c r="AH17" s="2404"/>
      <c r="AI17" s="2405" t="s">
        <v>62</v>
      </c>
      <c r="AJ17" s="2404"/>
      <c r="AK17" s="2405" t="s">
        <v>62</v>
      </c>
      <c r="AS17" s="1755">
        <v>0</v>
      </c>
    </row>
    <row customHeight="1" ht="14.25" hidden="1">
      <c r="AD18" s="1484"/>
      <c r="AE18" s="1484"/>
      <c r="AF18" s="1484"/>
      <c r="AG18" s="452" t="str">
        <f>AH17&amp;"-"&amp;AJ17</f>
        <v>-</v>
      </c>
      <c r="AH18" s="2405"/>
      <c r="AI18" s="2405"/>
      <c r="AJ18" s="2405"/>
      <c r="AK18" s="2405"/>
      <c r="AS18" s="1755">
        <v>0</v>
      </c>
    </row>
    <row customHeight="1" ht="14.25" hidden="1">
      <c r="AS19" s="1755">
        <v>0</v>
      </c>
    </row>
    <row s="7158" customFormat="1" customHeight="1" ht="22.5" hidden="1">
      <c r="A20" s="1755"/>
      <c r="B20" s="1755"/>
      <c r="C20" s="1755"/>
      <c r="D20" s="1755"/>
      <c r="E20" s="1755"/>
      <c r="F20" s="1755"/>
      <c r="G20" s="1755"/>
      <c r="H20" s="1755"/>
      <c r="I20" s="1755"/>
      <c r="J20" s="1755"/>
      <c r="K20" s="1755"/>
      <c r="L20" s="2060"/>
      <c r="M20" s="2086"/>
      <c r="N20" s="2086"/>
      <c r="O20" s="1469" t="s">
        <v>529</v>
      </c>
      <c r="P20" s="1486"/>
      <c r="Q20" s="1495"/>
      <c r="R20" s="1495"/>
      <c r="S20" s="853"/>
      <c r="Z20" s="1491"/>
      <c r="AB20" s="1491"/>
      <c r="AH20" s="1491"/>
      <c r="AJ20" s="1491"/>
      <c r="AN20" s="1760"/>
      <c r="AO20" s="1760"/>
      <c r="AP20" s="1760"/>
      <c r="AQ20" s="1760"/>
      <c r="AR20" s="1760"/>
      <c r="AS20" s="1490">
        <v>0</v>
      </c>
    </row>
    <row s="7158" customFormat="1" customHeight="1" ht="14.25" hidden="1">
      <c r="A21" s="1755"/>
      <c r="B21" s="1755"/>
      <c r="C21" s="1755"/>
      <c r="D21" s="1755"/>
      <c r="E21" s="1755"/>
      <c r="F21" s="1755"/>
      <c r="G21" s="1755"/>
      <c r="H21" s="1755"/>
      <c r="I21" s="1755"/>
      <c r="J21" s="1755"/>
      <c r="K21" s="1755"/>
      <c r="L21" s="2060"/>
      <c r="M21" s="2086"/>
      <c r="N21" s="2086"/>
      <c r="O21" s="2086"/>
      <c r="P21" s="1486"/>
      <c r="Q21" s="1495"/>
      <c r="R21" s="1495"/>
      <c r="S21" s="853"/>
      <c r="AN21" s="1760"/>
      <c r="AO21" s="1760"/>
      <c r="AP21" s="1760"/>
      <c r="AQ21" s="1760"/>
      <c r="AR21" s="1760"/>
      <c r="AS21" s="1490">
        <v>0</v>
      </c>
    </row>
    <row s="7158" customFormat="1" customHeight="1" ht="14.25" hidden="1">
      <c r="A22" s="1755"/>
      <c r="B22" s="1755"/>
      <c r="C22" s="1755"/>
      <c r="D22" s="1755"/>
      <c r="E22" s="1755"/>
      <c r="F22" s="1755"/>
      <c r="G22" s="1755"/>
      <c r="H22" s="1755"/>
      <c r="I22" s="1755"/>
      <c r="J22" s="1755"/>
      <c r="K22" s="1755"/>
      <c r="L22" s="2060"/>
      <c r="M22" s="2086"/>
      <c r="N22" s="2086"/>
      <c r="O22" s="1434" t="s">
        <v>530</v>
      </c>
      <c r="P22" s="1486"/>
      <c r="Q22" s="1495"/>
      <c r="R22" s="1495"/>
      <c r="S22" s="853"/>
      <c r="T22" s="1490" t="s">
        <v>531</v>
      </c>
      <c r="AA22" s="719" t="s">
        <v>532</v>
      </c>
      <c r="AC22" s="719" t="s">
        <v>533</v>
      </c>
      <c r="AD22" s="1490" t="s">
        <v>531</v>
      </c>
      <c r="AI22" s="719" t="s">
        <v>534</v>
      </c>
      <c r="AK22" s="719" t="s">
        <v>533</v>
      </c>
      <c r="AN22" s="1760"/>
      <c r="AO22" s="1760"/>
      <c r="AP22" s="1760"/>
      <c r="AQ22" s="1760"/>
      <c r="AR22" s="1760"/>
      <c r="AS22" s="1490">
        <v>0</v>
      </c>
    </row>
    <row customHeight="1" ht="14.25" hidden="1">
      <c r="O23" s="1434"/>
      <c r="AS23" s="1755">
        <v>0</v>
      </c>
    </row>
    <row customHeight="1" ht="14.25" hidden="1">
      <c r="O24" s="1434"/>
      <c r="AS24" s="1755">
        <v>0</v>
      </c>
    </row>
    <row customHeight="1" ht="14.699999999999998">
      <c r="Q25" s="500"/>
      <c r="R25" s="500"/>
      <c r="S25" s="1399"/>
      <c r="T25" s="581"/>
      <c r="U25" s="581"/>
      <c r="V25" s="1759"/>
      <c r="W25" s="1759"/>
      <c r="X25" s="1759"/>
      <c r="Y25" s="1759"/>
      <c r="Z25" s="1759"/>
      <c r="AA25" s="1759"/>
      <c r="AB25" s="1759"/>
      <c r="AC25" s="1759"/>
      <c r="AD25" s="1759"/>
      <c r="AE25" s="1759"/>
      <c r="AF25" s="1759"/>
      <c r="AG25" s="1759"/>
      <c r="AH25" s="1759"/>
      <c r="AI25" s="1759"/>
      <c r="AJ25" s="1759"/>
      <c r="AK25" s="1759"/>
      <c r="AS25" s="1755">
        <v>14</v>
      </c>
    </row>
    <row customHeight="1" ht="14.699999999999998">
      <c r="Q26" s="500"/>
      <c r="R26" s="500"/>
      <c r="S26" s="238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85"/>
      <c r="U26" s="2385"/>
      <c r="V26" s="2385"/>
      <c r="W26" s="2385"/>
      <c r="X26" s="2385"/>
      <c r="Y26" s="2385"/>
      <c r="Z26" s="2385"/>
      <c r="AA26" s="2385"/>
      <c r="AB26" s="2385"/>
      <c r="AC26" s="2385"/>
      <c r="AD26" s="2385"/>
      <c r="AE26" s="2385"/>
      <c r="AF26" s="2385"/>
      <c r="AG26" s="2385"/>
      <c r="AH26" s="2385"/>
      <c r="AI26" s="2385"/>
      <c r="AJ26" s="2385"/>
      <c r="AK26" s="1367"/>
      <c r="AS26" s="1755">
        <v>14</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755">
        <v>14</v>
      </c>
    </row>
    <row customHeight="1" ht="14.25" hidden="1">
      <c r="Q28" s="500"/>
      <c r="R28" s="500"/>
      <c r="S28" s="1399"/>
      <c r="T28" s="581"/>
      <c r="U28" s="581"/>
      <c r="V28" s="446"/>
      <c r="W28" s="446"/>
      <c r="X28" s="446"/>
      <c r="Y28" s="446"/>
      <c r="Z28" s="446"/>
      <c r="AA28" s="446"/>
      <c r="AB28" s="446"/>
      <c r="AC28" s="446"/>
      <c r="AD28" s="446"/>
      <c r="AE28" s="446"/>
      <c r="AF28" s="446"/>
      <c r="AG28" s="446"/>
      <c r="AH28" s="446"/>
      <c r="AI28" s="446"/>
      <c r="AJ28" s="446"/>
      <c r="AK28" s="446"/>
      <c r="AL28" s="1759"/>
      <c r="AS28" s="1755">
        <v>0</v>
      </c>
    </row>
    <row s="7787" customFormat="1" customHeight="1" ht="25.5" hidden="1">
      <c r="A29" s="1372"/>
      <c r="B29" s="1372"/>
      <c r="C29" s="1372"/>
      <c r="D29" s="1372"/>
      <c r="E29" s="1372"/>
      <c r="F29" s="1372"/>
      <c r="G29" s="1372"/>
      <c r="H29" s="1372"/>
      <c r="I29" s="1372"/>
      <c r="J29" s="1372"/>
      <c r="K29" s="1372"/>
      <c r="L29" s="1504"/>
      <c r="M29" s="1372"/>
      <c r="N29" s="1372"/>
      <c r="O29" s="1372"/>
      <c r="S29" s="2387" t="s">
        <v>41</v>
      </c>
      <c r="T29" s="2387"/>
      <c r="U29" s="1496"/>
      <c r="V29" s="2388" t="str">
        <f>IF(TITLE_NAME_OR_PR_CHANGE="",IF(TITLE_NAME_OR_PR="","",TITLE_NAME_OR_PR),TITLE_NAME_OR_PR_CHANGE)</f>
        <v/>
      </c>
      <c r="W29" s="2388"/>
      <c r="X29" s="2388"/>
      <c r="Y29" s="2388"/>
      <c r="Z29" s="2388"/>
      <c r="AA29" s="2388"/>
      <c r="AB29" s="2388"/>
      <c r="AC29" s="1759"/>
      <c r="AD29" s="2388" t="str">
        <f>IF(TITLE_NAME_OR_PR_CHANGE="",IF(TITLE_NAME_OR_PR="","",TITLE_NAME_OR_PR),TITLE_NAME_OR_PR_CHANGE)</f>
        <v/>
      </c>
      <c r="AE29" s="2388"/>
      <c r="AF29" s="2388"/>
      <c r="AG29" s="2388"/>
      <c r="AH29" s="2388"/>
      <c r="AI29" s="2388"/>
      <c r="AJ29" s="2388"/>
      <c r="AK29" s="1759"/>
      <c r="AL29" s="1759"/>
      <c r="AM29" s="404"/>
      <c r="AN29" s="492"/>
      <c r="AO29" s="492"/>
      <c r="AP29" s="492"/>
      <c r="AQ29" s="492"/>
      <c r="AR29" s="492"/>
      <c r="AS29" s="542">
        <v>0</v>
      </c>
    </row>
    <row s="7787" customFormat="1" customHeight="1" ht="18.75" hidden="1">
      <c r="A30" s="1372"/>
      <c r="B30" s="1372"/>
      <c r="C30" s="1372"/>
      <c r="D30" s="1372"/>
      <c r="E30" s="1372"/>
      <c r="F30" s="1372"/>
      <c r="G30" s="1372"/>
      <c r="H30" s="1372"/>
      <c r="I30" s="1372"/>
      <c r="J30" s="1372"/>
      <c r="K30" s="1372"/>
      <c r="L30" s="1504"/>
      <c r="M30" s="1372"/>
      <c r="N30" s="1372"/>
      <c r="O30" s="1372"/>
      <c r="S30" s="2387" t="s">
        <v>535</v>
      </c>
      <c r="T30" s="2387"/>
      <c r="U30" s="1496"/>
      <c r="V30" s="2401" t="str">
        <f>IF(TITLE_DATE_PR_CHANGE="",IF(TITLE_DATE_PR="","",TITLE_DATE_PR),TITLE_DATE_PR_CHANGE)</f>
        <v/>
      </c>
      <c r="W30" s="2401"/>
      <c r="X30" s="2401"/>
      <c r="Y30" s="2401"/>
      <c r="Z30" s="2401"/>
      <c r="AA30" s="2401"/>
      <c r="AB30" s="2401"/>
      <c r="AC30" s="1759"/>
      <c r="AD30" s="2401" t="str">
        <f>IF(TITLE_DATE_PR_CHANGE="",IF(TITLE_DATE_PR="","",TITLE_DATE_PR),TITLE_DATE_PR_CHANGE)</f>
        <v/>
      </c>
      <c r="AE30" s="2401"/>
      <c r="AF30" s="2401"/>
      <c r="AG30" s="2401"/>
      <c r="AH30" s="2401"/>
      <c r="AI30" s="2401"/>
      <c r="AJ30" s="2401"/>
      <c r="AK30" s="1759"/>
      <c r="AL30" s="1759"/>
      <c r="AM30" s="404"/>
      <c r="AN30" s="492"/>
      <c r="AO30" s="492"/>
      <c r="AP30" s="492"/>
      <c r="AQ30" s="492"/>
      <c r="AR30" s="492"/>
      <c r="AS30" s="542">
        <v>0</v>
      </c>
    </row>
    <row s="7787" customFormat="1" customHeight="1" ht="18.75" hidden="1">
      <c r="A31" s="1372"/>
      <c r="B31" s="1372"/>
      <c r="C31" s="1372"/>
      <c r="D31" s="1372"/>
      <c r="E31" s="1372"/>
      <c r="F31" s="1372"/>
      <c r="G31" s="1372"/>
      <c r="H31" s="1372"/>
      <c r="I31" s="1372"/>
      <c r="J31" s="1372"/>
      <c r="K31" s="1372"/>
      <c r="L31" s="1504"/>
      <c r="M31" s="1372"/>
      <c r="N31" s="1372"/>
      <c r="O31" s="1372"/>
      <c r="S31" s="2387" t="s">
        <v>536</v>
      </c>
      <c r="T31" s="2387"/>
      <c r="U31" s="1496"/>
      <c r="V31" s="2388" t="str">
        <f>IF(TITLE_NUMBER_PR_CHANGE="",IF(TITLE_NUMBER_PR="","",TITLE_NUMBER_PR),TITLE_NUMBER_PR_CHANGE)</f>
        <v/>
      </c>
      <c r="W31" s="2388"/>
      <c r="X31" s="2388"/>
      <c r="Y31" s="2388"/>
      <c r="Z31" s="2388"/>
      <c r="AA31" s="2388"/>
      <c r="AB31" s="2388"/>
      <c r="AC31" s="1759"/>
      <c r="AD31" s="2388" t="str">
        <f>IF(TITLE_NUMBER_PR_CHANGE="",IF(TITLE_NUMBER_PR="","",TITLE_NUMBER_PR),TITLE_NUMBER_PR_CHANGE)</f>
        <v/>
      </c>
      <c r="AE31" s="2388"/>
      <c r="AF31" s="2388"/>
      <c r="AG31" s="2388"/>
      <c r="AH31" s="2388"/>
      <c r="AI31" s="2388"/>
      <c r="AJ31" s="2388"/>
      <c r="AK31" s="1759"/>
      <c r="AL31" s="1759"/>
      <c r="AM31" s="404"/>
      <c r="AN31" s="492"/>
      <c r="AO31" s="492"/>
      <c r="AP31" s="492"/>
      <c r="AQ31" s="492"/>
      <c r="AR31" s="492"/>
      <c r="AS31" s="542">
        <v>0</v>
      </c>
    </row>
    <row s="7787" customFormat="1" customHeight="1" ht="18.75" hidden="1">
      <c r="A32" s="1372"/>
      <c r="B32" s="1372"/>
      <c r="C32" s="1372"/>
      <c r="D32" s="1372"/>
      <c r="E32" s="1372"/>
      <c r="F32" s="1372"/>
      <c r="G32" s="1372"/>
      <c r="H32" s="1372"/>
      <c r="I32" s="1372"/>
      <c r="J32" s="1372"/>
      <c r="K32" s="1372"/>
      <c r="L32" s="1504"/>
      <c r="M32" s="1372"/>
      <c r="N32" s="1372"/>
      <c r="O32" s="1372"/>
      <c r="S32" s="2387" t="s">
        <v>42</v>
      </c>
      <c r="T32" s="2387"/>
      <c r="U32" s="1496"/>
      <c r="V32" s="2388" t="str">
        <f>IF(TITLE_IST_PUB_CHANGE="",IF(TITLE_IST_PUB="","",TITLE_IST_PUB),TITLE_IST_PUB_CHANGE)</f>
        <v/>
      </c>
      <c r="W32" s="2388"/>
      <c r="X32" s="2388"/>
      <c r="Y32" s="2388"/>
      <c r="Z32" s="2388"/>
      <c r="AA32" s="2388"/>
      <c r="AB32" s="2388"/>
      <c r="AC32" s="1759"/>
      <c r="AD32" s="2388" t="str">
        <f>IF(TITLE_IST_PUB_CHANGE="",IF(TITLE_IST_PUB="","",TITLE_IST_PUB),TITLE_IST_PUB_CHANGE)</f>
        <v/>
      </c>
      <c r="AE32" s="2388"/>
      <c r="AF32" s="2388"/>
      <c r="AG32" s="2388"/>
      <c r="AH32" s="2388"/>
      <c r="AI32" s="2388"/>
      <c r="AJ32" s="2388"/>
      <c r="AK32" s="1759"/>
      <c r="AL32" s="1759"/>
      <c r="AM32" s="404"/>
      <c r="AN32" s="492"/>
      <c r="AO32" s="492"/>
      <c r="AP32" s="492"/>
      <c r="AQ32" s="492"/>
      <c r="AR32" s="492"/>
      <c r="AS32" s="542">
        <v>0</v>
      </c>
    </row>
    <row customHeight="1" ht="14.25" hidden="1">
      <c r="Q33" s="500"/>
      <c r="R33" s="500"/>
      <c r="S33" s="1399"/>
      <c r="T33" s="581"/>
      <c r="U33" s="581"/>
      <c r="V33" s="446"/>
      <c r="W33" s="446"/>
      <c r="X33" s="446"/>
      <c r="Y33" s="446"/>
      <c r="Z33" s="446"/>
      <c r="AA33" s="446"/>
      <c r="AB33" s="446"/>
      <c r="AC33" s="446"/>
      <c r="AD33" s="446"/>
      <c r="AE33" s="446"/>
      <c r="AF33" s="446"/>
      <c r="AG33" s="446"/>
      <c r="AH33" s="446"/>
      <c r="AI33" s="446"/>
      <c r="AJ33" s="446"/>
      <c r="AK33" s="446"/>
      <c r="AL33" s="1759"/>
      <c r="AS33" s="1755">
        <v>0</v>
      </c>
    </row>
    <row s="7787" customFormat="1" customHeight="1" ht="18.75" hidden="1">
      <c r="A34" s="1372"/>
      <c r="B34" s="1372"/>
      <c r="C34" s="1372"/>
      <c r="D34" s="1372"/>
      <c r="E34" s="1372"/>
      <c r="F34" s="1372"/>
      <c r="G34" s="1372"/>
      <c r="H34" s="1372"/>
      <c r="I34" s="1372"/>
      <c r="J34" s="1372"/>
      <c r="K34" s="1372"/>
      <c r="L34" s="1504"/>
      <c r="M34" s="1372"/>
      <c r="N34" s="1372"/>
      <c r="O34" s="1372"/>
      <c r="S34" s="2387" t="s">
        <v>537</v>
      </c>
      <c r="T34" s="2387"/>
      <c r="U34" s="1496"/>
      <c r="V34" s="2401" t="str">
        <f>IF(TITLE_DATE_PR_CHANGE="",IF(TITLE_DATE_PR="","",TITLE_DATE_PR),TITLE_DATE_PR_CHANGE)</f>
        <v/>
      </c>
      <c r="W34" s="2401"/>
      <c r="X34" s="2401"/>
      <c r="Y34" s="2401"/>
      <c r="Z34" s="2401"/>
      <c r="AA34" s="2401"/>
      <c r="AB34" s="2401"/>
      <c r="AC34" s="1759"/>
      <c r="AD34" s="2401" t="str">
        <f>IF(TITLE_DATE_PR_CHANGE="",IF(TITLE_DATE_PR="","",TITLE_DATE_PR),TITLE_DATE_PR_CHANGE)</f>
        <v/>
      </c>
      <c r="AE34" s="2401"/>
      <c r="AF34" s="2401"/>
      <c r="AG34" s="2401"/>
      <c r="AH34" s="2401"/>
      <c r="AI34" s="2401"/>
      <c r="AJ34" s="2401"/>
      <c r="AK34" s="1759"/>
      <c r="AL34" s="1759"/>
      <c r="AM34" s="404"/>
      <c r="AN34" s="492"/>
      <c r="AO34" s="492"/>
      <c r="AP34" s="492"/>
      <c r="AQ34" s="492"/>
      <c r="AR34" s="492"/>
      <c r="AS34" s="542">
        <v>0</v>
      </c>
    </row>
    <row s="7787" customFormat="1" customHeight="1" ht="18.75" hidden="1">
      <c r="A35" s="1372"/>
      <c r="B35" s="1372"/>
      <c r="C35" s="1372"/>
      <c r="D35" s="1372"/>
      <c r="E35" s="1372"/>
      <c r="F35" s="1372"/>
      <c r="G35" s="1372"/>
      <c r="H35" s="1372"/>
      <c r="I35" s="1372"/>
      <c r="J35" s="1372"/>
      <c r="K35" s="1372"/>
      <c r="L35" s="1504"/>
      <c r="M35" s="1372"/>
      <c r="N35" s="1372"/>
      <c r="O35" s="1372"/>
      <c r="S35" s="2387" t="s">
        <v>538</v>
      </c>
      <c r="T35" s="2387"/>
      <c r="U35" s="1496"/>
      <c r="V35" s="2388" t="str">
        <f>IF(TITLE_NUMBER_PR_CHANGE="",IF(TITLE_NUMBER_PR="","",TITLE_NUMBER_PR),TITLE_NUMBER_PR_CHANGE)</f>
        <v/>
      </c>
      <c r="W35" s="2388"/>
      <c r="X35" s="2388"/>
      <c r="Y35" s="2388"/>
      <c r="Z35" s="2388"/>
      <c r="AA35" s="2388"/>
      <c r="AB35" s="2388"/>
      <c r="AC35" s="1759"/>
      <c r="AD35" s="2388" t="str">
        <f>IF(TITLE_NUMBER_PR_CHANGE="",IF(TITLE_NUMBER_PR="","",TITLE_NUMBER_PR),TITLE_NUMBER_PR_CHANGE)</f>
        <v/>
      </c>
      <c r="AE35" s="2388"/>
      <c r="AF35" s="2388"/>
      <c r="AG35" s="2388"/>
      <c r="AH35" s="2388"/>
      <c r="AI35" s="2388"/>
      <c r="AJ35" s="2388"/>
      <c r="AK35" s="1759"/>
      <c r="AL35" s="1759"/>
      <c r="AM35" s="404"/>
      <c r="AN35" s="492"/>
      <c r="AO35" s="492"/>
      <c r="AP35" s="492"/>
      <c r="AQ35" s="492"/>
      <c r="AR35" s="492"/>
      <c r="AS35" s="542">
        <v>0</v>
      </c>
    </row>
    <row s="7787" customFormat="1" customHeight="1" ht="0">
      <c r="A36" s="1372"/>
      <c r="B36" s="1372"/>
      <c r="C36" s="1372"/>
      <c r="D36" s="1372"/>
      <c r="E36" s="1372"/>
      <c r="F36" s="1372"/>
      <c r="G36" s="1372"/>
      <c r="H36" s="1372"/>
      <c r="I36" s="1372"/>
      <c r="J36" s="1372"/>
      <c r="K36" s="1372"/>
      <c r="L36" s="1504"/>
      <c r="M36" s="1372"/>
      <c r="N36" s="1372"/>
      <c r="O36" s="1372"/>
      <c r="S36" s="1759"/>
      <c r="T36" s="1759"/>
      <c r="U36" s="2091"/>
      <c r="V36" s="1759"/>
      <c r="W36" s="1759"/>
      <c r="X36" s="1759"/>
      <c r="Y36" s="1759"/>
      <c r="Z36" s="1759"/>
      <c r="AA36" s="1759"/>
      <c r="AB36" s="1759"/>
      <c r="AC36" s="1766" t="s">
        <v>539</v>
      </c>
      <c r="AD36" s="1759"/>
      <c r="AE36" s="1759"/>
      <c r="AF36" s="1759"/>
      <c r="AG36" s="1759"/>
      <c r="AH36" s="1759"/>
      <c r="AI36" s="1759"/>
      <c r="AJ36" s="1759"/>
      <c r="AK36" s="1766" t="s">
        <v>539</v>
      </c>
      <c r="AN36" s="492"/>
      <c r="AO36" s="492"/>
      <c r="AP36" s="492"/>
      <c r="AQ36" s="492"/>
      <c r="AR36" s="492"/>
      <c r="AS36" s="542">
        <v>0</v>
      </c>
    </row>
    <row customHeight="1" ht="14.699999999999998">
      <c r="Q37" s="500"/>
      <c r="R37" s="500"/>
      <c r="S37" s="1399"/>
      <c r="T37" s="581"/>
      <c r="U37" s="1368"/>
      <c r="V37" s="2389"/>
      <c r="W37" s="2389"/>
      <c r="X37" s="2389"/>
      <c r="Y37" s="2389"/>
      <c r="Z37" s="2389"/>
      <c r="AA37" s="2389"/>
      <c r="AB37" s="2389"/>
      <c r="AC37" s="2389"/>
      <c r="AD37" s="2389"/>
      <c r="AE37" s="2389"/>
      <c r="AF37" s="2389"/>
      <c r="AG37" s="2389"/>
      <c r="AH37" s="2389"/>
      <c r="AI37" s="2389"/>
      <c r="AJ37" s="2389"/>
      <c r="AK37" s="2389"/>
      <c r="AS37" s="1755">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755">
        <v>14</v>
      </c>
    </row>
    <row customHeight="1" ht="14.699999999999998">
      <c r="Q39" s="500"/>
      <c r="R39" s="500"/>
      <c r="S39" s="2410" t="s">
        <v>88</v>
      </c>
      <c r="T39" s="2346" t="s">
        <v>540</v>
      </c>
      <c r="U39" s="461"/>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755">
        <v>14</v>
      </c>
    </row>
    <row customHeight="1" ht="35.699999999999996">
      <c r="Q40" s="500"/>
      <c r="R40" s="500"/>
      <c r="S40" s="2410"/>
      <c r="T40" s="2346"/>
      <c r="U40" s="1155"/>
      <c r="V40" s="2397" t="s">
        <v>545</v>
      </c>
      <c r="W40" s="2420" t="s">
        <v>546</v>
      </c>
      <c r="X40" s="2399" t="s">
        <v>547</v>
      </c>
      <c r="Y40" s="2400"/>
      <c r="Z40" s="2399" t="s">
        <v>561</v>
      </c>
      <c r="AA40" s="2406"/>
      <c r="AB40" s="2400"/>
      <c r="AC40" s="2415"/>
      <c r="AD40" s="2397" t="s">
        <v>545</v>
      </c>
      <c r="AE40" s="2420" t="s">
        <v>546</v>
      </c>
      <c r="AF40" s="2399" t="s">
        <v>547</v>
      </c>
      <c r="AG40" s="2400"/>
      <c r="AH40" s="2399" t="s">
        <v>548</v>
      </c>
      <c r="AI40" s="2406"/>
      <c r="AJ40" s="2400"/>
      <c r="AK40" s="2415"/>
      <c r="AL40" s="2418"/>
      <c r="AM40" s="2264"/>
      <c r="AS40" s="1755">
        <v>34</v>
      </c>
    </row>
    <row customHeight="1" ht="35.699999999999996">
      <c r="A41" s="1390"/>
      <c r="B41" s="1390" t="s">
        <v>255</v>
      </c>
      <c r="C41" s="1390" t="s">
        <v>256</v>
      </c>
      <c r="D41" s="1390" t="s">
        <v>257</v>
      </c>
      <c r="E41" s="1434" t="s">
        <v>549</v>
      </c>
      <c r="F41" s="1434" t="s">
        <v>550</v>
      </c>
      <c r="G41" s="1434" t="s">
        <v>551</v>
      </c>
      <c r="H41" s="1434" t="s">
        <v>552</v>
      </c>
      <c r="I41" s="1434" t="s">
        <v>553</v>
      </c>
      <c r="J41" s="1434" t="s">
        <v>554</v>
      </c>
      <c r="K41" s="1434" t="s">
        <v>555</v>
      </c>
      <c r="L41" s="1434" t="s">
        <v>530</v>
      </c>
      <c r="Q41" s="500"/>
      <c r="R41" s="500"/>
      <c r="S41" s="2410"/>
      <c r="T41" s="2346"/>
      <c r="U41" s="426"/>
      <c r="V41" s="2398"/>
      <c r="W41" s="2421"/>
      <c r="X41" s="2059" t="s">
        <v>556</v>
      </c>
      <c r="Y41" s="2059" t="s">
        <v>557</v>
      </c>
      <c r="Z41" s="2059" t="s">
        <v>558</v>
      </c>
      <c r="AA41" s="2407" t="s">
        <v>559</v>
      </c>
      <c r="AB41" s="2408"/>
      <c r="AC41" s="2416"/>
      <c r="AD41" s="2398"/>
      <c r="AE41" s="2421"/>
      <c r="AF41" s="2059" t="s">
        <v>556</v>
      </c>
      <c r="AG41" s="2059" t="s">
        <v>557</v>
      </c>
      <c r="AH41" s="2059" t="s">
        <v>558</v>
      </c>
      <c r="AI41" s="2407" t="s">
        <v>559</v>
      </c>
      <c r="AJ41" s="2408"/>
      <c r="AK41" s="2416"/>
      <c r="AL41" s="2419"/>
      <c r="AM41" s="2264"/>
      <c r="AS41" s="1755">
        <v>34</v>
      </c>
    </row>
    <row s="6292" customFormat="1" customHeight="1" ht="11.25" hidden="1">
      <c r="A42" s="1390"/>
      <c r="B42" s="1390"/>
      <c r="C42" s="1390"/>
      <c r="D42" s="1390"/>
      <c r="E42" s="1390"/>
      <c r="F42" s="1390"/>
      <c r="G42" s="1390"/>
      <c r="H42" s="1390"/>
      <c r="I42" s="1390"/>
      <c r="J42" s="1390"/>
      <c r="K42" s="1390"/>
      <c r="L42" s="1434"/>
      <c r="M42" s="2086"/>
      <c r="N42" s="2086"/>
      <c r="O42" s="2086"/>
      <c r="P42" s="1370"/>
      <c r="Q42" s="1371"/>
      <c r="R42" s="1378">
        <v>1</v>
      </c>
      <c r="S42" s="1401" t="s">
        <v>210</v>
      </c>
      <c r="T42" s="1379" t="s">
        <v>102</v>
      </c>
      <c r="U42" s="1369" t="str">
        <f>OFFSET(U42,0,-1)</f>
        <v>2</v>
      </c>
      <c r="V42" s="2077">
        <f>OFFSET(V42,0,-1)+1</f>
        <v>3</v>
      </c>
      <c r="W42" s="2077"/>
      <c r="X42" s="2077">
        <f>OFFSET(X42,0,-1)+1</f>
        <v>1</v>
      </c>
      <c r="Y42" s="2077">
        <f>OFFSET(Y42,0,-1)+1</f>
        <v>2</v>
      </c>
      <c r="Z42" s="2077">
        <f>OFFSET(Z42,0,-1)+1</f>
        <v>3</v>
      </c>
      <c r="AA42" s="2409">
        <f>OFFSET(AA42,0,-1)+1</f>
        <v>4</v>
      </c>
      <c r="AB42" s="2409"/>
      <c r="AC42" s="2077">
        <f>OFFSET(AC42,0,-2)+1</f>
        <v>5</v>
      </c>
      <c r="AD42" s="2077">
        <f>OFFSET(AD42,0,-1)+1</f>
        <v>6</v>
      </c>
      <c r="AE42" s="2077"/>
      <c r="AF42" s="2077">
        <f>OFFSET(AF42,0,-1)+1</f>
        <v>1</v>
      </c>
      <c r="AG42" s="2077">
        <f>OFFSET(AG42,0,-1)+1</f>
        <v>2</v>
      </c>
      <c r="AH42" s="2077">
        <f>OFFSET(AH42,0,-1)+1</f>
        <v>3</v>
      </c>
      <c r="AI42" s="2409">
        <f>OFFSET(AI42,0,-1)+1</f>
        <v>4</v>
      </c>
      <c r="AJ42" s="2409"/>
      <c r="AK42" s="2077">
        <f>OFFSET(AK42,0,-2)+1</f>
        <v>5</v>
      </c>
      <c r="AL42" s="1369">
        <f>OFFSET(AL42,0,-1)</f>
        <v>5</v>
      </c>
      <c r="AM42" s="2077">
        <f>OFFSET(AM42,0,-1)+1</f>
        <v>6</v>
      </c>
      <c r="AN42" s="1760"/>
      <c r="AO42" s="1760"/>
      <c r="AP42" s="1760"/>
      <c r="AQ42" s="1760"/>
      <c r="AR42" s="1760"/>
      <c r="AS42" s="1765">
        <v>0</v>
      </c>
    </row>
    <row customHeight="1" ht="22.049999999999997">
      <c r="A43" s="1391" t="s">
        <v>324</v>
      </c>
      <c r="B43" s="1391"/>
      <c r="C43" s="1391"/>
      <c r="D43" s="1391"/>
      <c r="E43" s="2426">
        <v>1</v>
      </c>
      <c r="F43" s="1391"/>
      <c r="G43" s="1391"/>
      <c r="H43" s="1391"/>
      <c r="I43" s="1391"/>
      <c r="J43" s="1391"/>
      <c r="K43" s="1391"/>
      <c r="L43" s="1434"/>
      <c r="M43" s="1734"/>
      <c r="N43" s="1734"/>
      <c r="O43" s="1734"/>
      <c r="P43" s="1714"/>
      <c r="Q43" s="484"/>
      <c r="R43" s="479"/>
      <c r="S43" s="2079">
        <f>INDEX(PT_DIFFERENTIATION_NUM_NTAR,MATCH(A43,PT_DIFFERENTIATION_NTAR_ID,0))</f>
        <v>0</v>
      </c>
      <c r="T43" s="1649"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48"/>
      <c r="AP43" s="1748" t="str">
        <f>IF(T43="","",T43)</f>
        <v>Наименование тарифа</v>
      </c>
      <c r="AQ43" s="1748"/>
      <c r="AR43" s="1748"/>
      <c r="AS43" s="1755">
        <v>21</v>
      </c>
    </row>
    <row customHeight="1" ht="22.049999999999997">
      <c r="A44" s="1391" t="s">
        <v>324</v>
      </c>
      <c r="B44" s="1391" t="s">
        <v>325</v>
      </c>
      <c r="C44" s="1391"/>
      <c r="D44" s="1391"/>
      <c r="E44" s="2427"/>
      <c r="F44" s="2426">
        <v>1</v>
      </c>
      <c r="G44" s="1391"/>
      <c r="H44" s="1391"/>
      <c r="I44" s="1391"/>
      <c r="J44" s="1391"/>
      <c r="K44" s="1391"/>
      <c r="L44" s="1434"/>
      <c r="M44" s="1734"/>
      <c r="N44" s="1734"/>
      <c r="O44" s="1734"/>
      <c r="P44" s="2061"/>
      <c r="Q44" s="476"/>
      <c r="R44" s="477"/>
      <c r="S44" s="2079" t="str">
        <f>INDEX(PT_DIFFERENTIATION_NUM_TER,MATCH(B44,PT_DIFFERENTIATION_TER_ID,0))</f>
        <v>.</v>
      </c>
      <c r="T44" s="1646"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1748"/>
      <c r="AP44" s="1748" t="str">
        <f>IF(T44="","",T44)</f>
        <v>Территория действия тарифа</v>
      </c>
      <c r="AQ44" s="1748"/>
      <c r="AR44" s="1748"/>
      <c r="AS44" s="1755">
        <v>21</v>
      </c>
    </row>
    <row customHeight="1" ht="24">
      <c r="A45" s="1391" t="s">
        <v>324</v>
      </c>
      <c r="B45" s="1391" t="s">
        <v>325</v>
      </c>
      <c r="C45" s="1391" t="s">
        <v>326</v>
      </c>
      <c r="D45" s="1391"/>
      <c r="E45" s="2427"/>
      <c r="F45" s="2427"/>
      <c r="G45" s="2426">
        <v>1</v>
      </c>
      <c r="H45" s="1391"/>
      <c r="I45" s="1391"/>
      <c r="J45" s="1391"/>
      <c r="K45" s="1391"/>
      <c r="L45" s="1434"/>
      <c r="M45" s="1734"/>
      <c r="N45" s="1734"/>
      <c r="O45" s="1734"/>
      <c r="P45" s="478"/>
      <c r="Q45" s="476"/>
      <c r="R45" s="477"/>
      <c r="S45" s="2079"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1748"/>
      <c r="AP45" s="1748" t="str">
        <f>IF(T45="","",T45)</f>
        <v>Наименование системы теплоснабжения </v>
      </c>
      <c r="AQ45" s="1748"/>
      <c r="AR45" s="1748"/>
      <c r="AS45" s="1755">
        <v>23</v>
      </c>
    </row>
    <row customHeight="1" ht="22.049999999999997">
      <c r="A46" s="1391" t="s">
        <v>324</v>
      </c>
      <c r="B46" s="1391" t="s">
        <v>325</v>
      </c>
      <c r="C46" s="1391" t="s">
        <v>326</v>
      </c>
      <c r="D46" s="1391" t="s">
        <v>327</v>
      </c>
      <c r="E46" s="2427"/>
      <c r="F46" s="2427"/>
      <c r="G46" s="2427"/>
      <c r="H46" s="2426">
        <v>1</v>
      </c>
      <c r="I46" s="1391"/>
      <c r="J46" s="1391"/>
      <c r="K46" s="1391"/>
      <c r="L46" s="1434"/>
      <c r="M46" s="1734"/>
      <c r="N46" s="1734"/>
      <c r="O46" s="1734"/>
      <c r="P46" s="478"/>
      <c r="Q46" s="476"/>
      <c r="R46" s="477"/>
      <c r="S46" s="2079"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1748"/>
      <c r="AP46" s="1748" t="str">
        <f>IF(T46="","",T46)</f>
        <v>Источник тепловой энергии  </v>
      </c>
      <c r="AQ46" s="1748"/>
      <c r="AR46" s="1748"/>
      <c r="AS46" s="1755">
        <v>21</v>
      </c>
    </row>
    <row customHeight="1" ht="49.5">
      <c r="A47" s="1391" t="s">
        <v>324</v>
      </c>
      <c r="B47" s="1391" t="s">
        <v>325</v>
      </c>
      <c r="C47" s="1391" t="s">
        <v>326</v>
      </c>
      <c r="D47" s="1391" t="s">
        <v>327</v>
      </c>
      <c r="E47" s="2427"/>
      <c r="F47" s="2427"/>
      <c r="G47" s="2427"/>
      <c r="H47" s="2427"/>
      <c r="I47" s="2264" t="str">
        <f>S46&amp;".1"</f>
        <v>....1</v>
      </c>
      <c r="J47" s="1391"/>
      <c r="K47" s="1391"/>
      <c r="L47" s="1434" t="s">
        <v>515</v>
      </c>
      <c r="P47" s="2394">
        <v>1</v>
      </c>
      <c r="Q47" s="2075"/>
      <c r="R47" s="480"/>
      <c r="S47" s="2079" t="str">
        <f>$I47</f>
        <v>....1</v>
      </c>
      <c r="T47" s="409" t="s">
        <v>516</v>
      </c>
      <c r="U47" s="424"/>
      <c r="V47" s="2382"/>
      <c r="W47" s="2383"/>
      <c r="X47" s="2383"/>
      <c r="Y47" s="2383"/>
      <c r="Z47" s="2383"/>
      <c r="AA47" s="2383"/>
      <c r="AB47" s="2383"/>
      <c r="AC47" s="2384"/>
      <c r="AD47" s="2382"/>
      <c r="AE47" s="2383"/>
      <c r="AF47" s="2383"/>
      <c r="AG47" s="2383"/>
      <c r="AH47" s="2383"/>
      <c r="AI47" s="2383"/>
      <c r="AJ47" s="2383"/>
      <c r="AK47" s="2383"/>
      <c r="AL47" s="2384"/>
      <c r="AM47" s="1382" t="s">
        <v>517</v>
      </c>
      <c r="AO47" s="1748"/>
      <c r="AP47" s="1748" t="str">
        <f>IF(T47="","",T47)</f>
        <v>Схема подключения теплопотребляющей установки к коллектору источника тепловой энергии</v>
      </c>
      <c r="AQ47" s="1748"/>
      <c r="AR47" s="1748"/>
      <c r="AS47" s="1755">
        <v>47</v>
      </c>
    </row>
    <row customHeight="1" ht="22.049999999999997">
      <c r="A48" s="1391" t="s">
        <v>324</v>
      </c>
      <c r="B48" s="1391" t="s">
        <v>325</v>
      </c>
      <c r="C48" s="1391" t="s">
        <v>326</v>
      </c>
      <c r="D48" s="1391" t="s">
        <v>327</v>
      </c>
      <c r="E48" s="2427"/>
      <c r="F48" s="2427"/>
      <c r="G48" s="2427"/>
      <c r="H48" s="2427"/>
      <c r="I48" s="2238"/>
      <c r="J48" s="2264" t="str">
        <f>I47&amp;".1"</f>
        <v>....1.1</v>
      </c>
      <c r="K48" s="1391"/>
      <c r="L48" s="1434" t="s">
        <v>518</v>
      </c>
      <c r="P48" s="2394"/>
      <c r="Q48" s="2394">
        <v>1</v>
      </c>
      <c r="R48" s="481"/>
      <c r="S48" s="2079" t="str">
        <f>$J48</f>
        <v>....1.1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1748"/>
      <c r="AP48" s="1748" t="str">
        <f>IF(T48="","",T48)</f>
        <v>Группа потребителей</v>
      </c>
      <c r="AQ48" s="1748"/>
      <c r="AR48" s="1748"/>
      <c r="AS48" s="1755">
        <v>21</v>
      </c>
    </row>
    <row customHeight="1" ht="22.049999999999997">
      <c r="A49" s="1391" t="s">
        <v>324</v>
      </c>
      <c r="B49" s="1391" t="s">
        <v>325</v>
      </c>
      <c r="C49" s="1391" t="s">
        <v>326</v>
      </c>
      <c r="D49" s="1391" t="s">
        <v>327</v>
      </c>
      <c r="E49" s="2427"/>
      <c r="F49" s="2427"/>
      <c r="G49" s="2427"/>
      <c r="H49" s="2427"/>
      <c r="I49" s="2238"/>
      <c r="J49" s="2238"/>
      <c r="K49" s="2264" t="str">
        <f>J48&amp;".1"</f>
        <v>....1.1.1</v>
      </c>
      <c r="L49" s="1434" t="s">
        <v>521</v>
      </c>
      <c r="P49" s="2394"/>
      <c r="Q49" s="2394"/>
      <c r="R49" s="481">
        <v>1</v>
      </c>
      <c r="S49" s="2079" t="str">
        <f>$K49</f>
        <v>....1.1.1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522</v>
      </c>
      <c r="AN49" s="1760">
        <f>STRCHECKDATE(V50:AL50)</f>
      </c>
      <c r="AO49" s="1748"/>
      <c r="AP49" s="1748" t="str">
        <f>IF(T49="","",T49)</f>
        <v/>
      </c>
      <c r="AQ49" s="1748"/>
      <c r="AR49" s="1748"/>
      <c r="AS49" s="1755">
        <v>21</v>
      </c>
    </row>
    <row customHeight="1" ht="1.05">
      <c r="A50" s="1391" t="s">
        <v>324</v>
      </c>
      <c r="B50" s="1391" t="s">
        <v>325</v>
      </c>
      <c r="C50" s="1391" t="s">
        <v>326</v>
      </c>
      <c r="D50" s="1391" t="s">
        <v>327</v>
      </c>
      <c r="E50" s="2427"/>
      <c r="F50" s="2427"/>
      <c r="G50" s="2427"/>
      <c r="H50" s="2427"/>
      <c r="I50" s="2238"/>
      <c r="J50" s="2238"/>
      <c r="K50" s="2264"/>
      <c r="L50" s="1434"/>
      <c r="P50" s="2394"/>
      <c r="Q50" s="2394"/>
      <c r="R50" s="481"/>
      <c r="S50" s="2088"/>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1748"/>
      <c r="AP50" s="1748" t="str">
        <f>IF(T50="","",T50)</f>
        <v/>
      </c>
      <c r="AQ50" s="1748"/>
      <c r="AR50" s="1748"/>
      <c r="AS50" s="1755">
        <v>1</v>
      </c>
    </row>
    <row customHeight="1" ht="11.549999999999999">
      <c r="A51" s="1391" t="s">
        <v>324</v>
      </c>
      <c r="B51" s="1391" t="s">
        <v>325</v>
      </c>
      <c r="C51" s="1391" t="s">
        <v>326</v>
      </c>
      <c r="D51" s="1391" t="s">
        <v>327</v>
      </c>
      <c r="E51" s="2427"/>
      <c r="F51" s="2427"/>
      <c r="G51" s="2427"/>
      <c r="H51" s="2427"/>
      <c r="I51" s="2238"/>
      <c r="J51" s="2264"/>
      <c r="K51" s="1391"/>
      <c r="L51" s="1434"/>
      <c r="P51" s="2394"/>
      <c r="Q51" s="2394"/>
      <c r="R51" s="480"/>
      <c r="S51" s="1402"/>
      <c r="T51" s="412" t="s">
        <v>523</v>
      </c>
      <c r="U51" s="724"/>
      <c r="V51" s="724"/>
      <c r="W51" s="724"/>
      <c r="X51" s="724"/>
      <c r="Y51" s="724"/>
      <c r="Z51" s="724"/>
      <c r="AA51" s="724"/>
      <c r="AB51" s="724"/>
      <c r="AC51" s="724"/>
      <c r="AD51" s="724"/>
      <c r="AE51" s="724"/>
      <c r="AF51" s="724"/>
      <c r="AG51" s="724"/>
      <c r="AH51" s="724"/>
      <c r="AI51" s="724"/>
      <c r="AJ51" s="724"/>
      <c r="AK51" s="724"/>
      <c r="AL51" s="448"/>
      <c r="AM51" s="2392"/>
      <c r="AO51" s="1748"/>
      <c r="AP51" s="1748" t="str">
        <f>IF(T51="","",T51)</f>
        <v>Добавить вид теплоносителя (параметры теплоносителя)</v>
      </c>
      <c r="AQ51" s="1748"/>
      <c r="AR51" s="1748"/>
      <c r="AS51" s="1755">
        <v>11</v>
      </c>
    </row>
    <row customHeight="1" ht="11.549999999999999">
      <c r="A52" s="1391" t="s">
        <v>324</v>
      </c>
      <c r="B52" s="1391" t="s">
        <v>325</v>
      </c>
      <c r="C52" s="1391" t="s">
        <v>326</v>
      </c>
      <c r="D52" s="1391" t="s">
        <v>327</v>
      </c>
      <c r="E52" s="2427"/>
      <c r="F52" s="2427"/>
      <c r="G52" s="2427"/>
      <c r="H52" s="2427"/>
      <c r="I52" s="2264"/>
      <c r="J52" s="1391"/>
      <c r="K52" s="1391"/>
      <c r="L52" s="1434"/>
      <c r="P52" s="2394"/>
      <c r="Q52" s="2075"/>
      <c r="R52" s="480"/>
      <c r="S52" s="1402"/>
      <c r="T52" s="411" t="s">
        <v>524</v>
      </c>
      <c r="U52" s="724"/>
      <c r="V52" s="724"/>
      <c r="W52" s="724"/>
      <c r="X52" s="724"/>
      <c r="Y52" s="724"/>
      <c r="Z52" s="724"/>
      <c r="AA52" s="724"/>
      <c r="AB52" s="724"/>
      <c r="AC52" s="490"/>
      <c r="AD52" s="724"/>
      <c r="AE52" s="724"/>
      <c r="AF52" s="724"/>
      <c r="AG52" s="724"/>
      <c r="AH52" s="724"/>
      <c r="AI52" s="724"/>
      <c r="AJ52" s="724"/>
      <c r="AK52" s="490"/>
      <c r="AL52" s="724"/>
      <c r="AM52" s="427"/>
      <c r="AO52" s="1748"/>
      <c r="AP52" s="1748" t="str">
        <f>IF(T52="","",T52)</f>
        <v>Добавить группу потребителей</v>
      </c>
      <c r="AQ52" s="1748"/>
      <c r="AR52" s="1748"/>
      <c r="AS52" s="1755">
        <v>11</v>
      </c>
    </row>
    <row customHeight="1" ht="14.699999999999998">
      <c r="A53" s="1391" t="s">
        <v>324</v>
      </c>
      <c r="B53" s="1391" t="s">
        <v>325</v>
      </c>
      <c r="C53" s="1391" t="s">
        <v>326</v>
      </c>
      <c r="D53" s="1391" t="s">
        <v>327</v>
      </c>
      <c r="E53" s="2427"/>
      <c r="F53" s="2427"/>
      <c r="G53" s="2427"/>
      <c r="H53" s="2426"/>
      <c r="I53" s="1391"/>
      <c r="J53" s="1391"/>
      <c r="K53" s="1391"/>
      <c r="L53" s="1434"/>
      <c r="M53" s="1734"/>
      <c r="N53" s="1734"/>
      <c r="O53" s="1759"/>
      <c r="P53" s="484"/>
      <c r="Q53" s="499"/>
      <c r="R53" s="479"/>
      <c r="S53" s="1402"/>
      <c r="T53" s="489" t="s">
        <v>525</v>
      </c>
      <c r="U53" s="724"/>
      <c r="V53" s="724"/>
      <c r="W53" s="724"/>
      <c r="X53" s="724"/>
      <c r="Y53" s="724"/>
      <c r="Z53" s="724"/>
      <c r="AA53" s="724"/>
      <c r="AB53" s="724"/>
      <c r="AC53" s="490"/>
      <c r="AD53" s="724"/>
      <c r="AE53" s="724"/>
      <c r="AF53" s="724"/>
      <c r="AG53" s="724"/>
      <c r="AH53" s="724"/>
      <c r="AI53" s="724"/>
      <c r="AJ53" s="724"/>
      <c r="AK53" s="490"/>
      <c r="AL53" s="724"/>
      <c r="AM53" s="427"/>
      <c r="AO53" s="1748"/>
      <c r="AP53" s="1748" t="str">
        <f>IF(T53="","",T53)</f>
        <v>Добавить схему подключения</v>
      </c>
      <c r="AQ53" s="1748"/>
      <c r="AR53" s="1748"/>
      <c r="AS53" s="1755">
        <v>14</v>
      </c>
    </row>
    <row s="6698" customFormat="1" customHeight="1" ht="1.05">
      <c r="A54" s="1391" t="s">
        <v>324</v>
      </c>
      <c r="B54" s="1391" t="s">
        <v>325</v>
      </c>
      <c r="C54" s="1391" t="s">
        <v>326</v>
      </c>
      <c r="D54" s="2095"/>
      <c r="E54" s="2427"/>
      <c r="F54" s="2427"/>
      <c r="G54" s="2426"/>
      <c r="H54" s="2095"/>
      <c r="I54" s="2095"/>
      <c r="J54" s="2095"/>
      <c r="K54" s="2095"/>
      <c r="L54" s="1504"/>
      <c r="M54" s="1734"/>
      <c r="N54" s="1734"/>
      <c r="O54" s="175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1375"/>
      <c r="AP54" s="1375" t="str">
        <f>IF(T54="","",T54)</f>
        <v>Добавить источник для дифференциации</v>
      </c>
      <c r="AQ54" s="1375"/>
      <c r="AR54" s="1375"/>
      <c r="AS54" s="1766">
        <v>1</v>
      </c>
    </row>
    <row s="6698" customFormat="1" customHeight="1" ht="1.05">
      <c r="A55" s="1391" t="s">
        <v>324</v>
      </c>
      <c r="B55" s="1391" t="s">
        <v>325</v>
      </c>
      <c r="C55" s="2095"/>
      <c r="D55" s="2095"/>
      <c r="E55" s="2427"/>
      <c r="F55" s="2426"/>
      <c r="G55" s="2095"/>
      <c r="H55" s="2095"/>
      <c r="I55" s="2095"/>
      <c r="J55" s="2095"/>
      <c r="K55" s="2095"/>
      <c r="L55" s="1504"/>
      <c r="M55" s="2096"/>
      <c r="N55" s="2096"/>
      <c r="O55" s="1759"/>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1375"/>
      <c r="AP55" s="1375" t="str">
        <f>IF(T55="","",T55)</f>
        <v>Добавить централизованную систему для дифференциации</v>
      </c>
      <c r="AQ55" s="1375"/>
      <c r="AR55" s="1375"/>
      <c r="AS55" s="1766">
        <v>1</v>
      </c>
    </row>
    <row s="6698" customFormat="1" customHeight="1" ht="1.05">
      <c r="A56" s="1391" t="s">
        <v>324</v>
      </c>
      <c r="B56" s="1391"/>
      <c r="C56" s="1391"/>
      <c r="D56" s="1391"/>
      <c r="E56" s="2426"/>
      <c r="F56" s="1391"/>
      <c r="G56" s="1391"/>
      <c r="H56" s="1391"/>
      <c r="I56" s="1391"/>
      <c r="J56" s="1391"/>
      <c r="K56" s="1391"/>
      <c r="L56" s="1434"/>
      <c r="M56" s="2096"/>
      <c r="N56" s="2096"/>
      <c r="O56" s="1759"/>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1748"/>
      <c r="AP56" s="1748" t="str">
        <f>IF(T56="","",T56)</f>
        <v>Добавить территорию для дифференциации</v>
      </c>
      <c r="AQ56" s="1748"/>
      <c r="AR56" s="1748"/>
      <c r="AS56" s="1760">
        <v>1</v>
      </c>
    </row>
    <row s="6698" customFormat="1" customHeight="1" ht="1.05">
      <c r="A57" s="2095"/>
      <c r="B57" s="2095"/>
      <c r="C57" s="2095"/>
      <c r="D57" s="2095"/>
      <c r="E57" s="1391"/>
      <c r="F57" s="2095"/>
      <c r="G57" s="2095"/>
      <c r="H57" s="2095"/>
      <c r="I57" s="2095"/>
      <c r="J57" s="2095"/>
      <c r="K57" s="2095"/>
      <c r="L57" s="1504"/>
      <c r="M57" s="2096"/>
      <c r="N57" s="2096"/>
      <c r="O57" s="1759"/>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1375"/>
      <c r="AP57" s="1375" t="str">
        <f>IF(T57="","",T57)</f>
        <v>Добавить наименование тарифа</v>
      </c>
      <c r="AQ57" s="1375"/>
      <c r="AR57" s="1375"/>
      <c r="AS57" s="1766">
        <v>1</v>
      </c>
    </row>
    <row customHeight="1" ht="11.549999999999999">
      <c r="M58" s="1755"/>
      <c r="N58" s="1755"/>
      <c r="O58" s="1759"/>
      <c r="P58" s="1755"/>
      <c r="Q58" s="1755"/>
      <c r="R58" s="1755"/>
      <c r="S58" s="1755"/>
      <c r="AN58" s="1755"/>
      <c r="AO58" s="1755"/>
      <c r="AP58" s="1755"/>
      <c r="AQ58" s="1755"/>
      <c r="AR58" s="1755"/>
      <c r="AS58" s="1755">
        <v>11</v>
      </c>
    </row>
    <row customHeight="1" ht="28.5">
      <c r="O59" s="1759"/>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755">
        <v>27</v>
      </c>
    </row>
    <row customHeight="1" ht="65.25">
      <c r="O60" s="1759"/>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755">
        <v>62</v>
      </c>
    </row>
    <row customHeight="1" ht="14.699999999999998">
      <c r="O61" s="1759"/>
      <c r="AS61" s="1755">
        <v>14</v>
      </c>
    </row>
    <row customHeight="1" ht="18.75">
      <c r="O62" s="1759"/>
      <c r="S62" s="1377"/>
      <c r="T62" s="2422"/>
      <c r="U62" s="2422"/>
      <c r="V62" s="2422"/>
      <c r="W62" s="2422"/>
      <c r="X62" s="2422"/>
      <c r="Y62" s="2422"/>
      <c r="Z62" s="2422"/>
      <c r="AA62" s="2422"/>
      <c r="AB62" s="2422"/>
      <c r="AC62" s="2422"/>
      <c r="AD62" s="2422"/>
      <c r="AE62" s="2422"/>
      <c r="AF62" s="2422"/>
      <c r="AG62" s="2422"/>
      <c r="AH62" s="2422"/>
      <c r="AI62" s="2422"/>
      <c r="AJ62" s="2422"/>
      <c r="AK62" s="2422"/>
      <c r="AL62" s="2422"/>
      <c r="AM62" s="2422"/>
      <c r="AS62" s="1755">
        <v>18</v>
      </c>
    </row>
    <row customHeight="1" ht="18.75">
      <c r="O63" s="1759"/>
      <c r="T63" s="2422"/>
      <c r="U63" s="2422"/>
      <c r="V63" s="2422"/>
      <c r="W63" s="2422"/>
      <c r="X63" s="2422"/>
      <c r="Y63" s="2422"/>
      <c r="Z63" s="2422"/>
      <c r="AA63" s="2422"/>
      <c r="AB63" s="2422"/>
      <c r="AC63" s="2422"/>
      <c r="AD63" s="2422"/>
      <c r="AE63" s="2422"/>
      <c r="AF63" s="2422"/>
      <c r="AG63" s="2422"/>
      <c r="AH63" s="2422"/>
      <c r="AI63" s="2422"/>
      <c r="AJ63" s="2422"/>
      <c r="AK63" s="2422"/>
      <c r="AL63" s="2422"/>
      <c r="AM63" s="2422"/>
      <c r="AS63" s="1755">
        <v>18</v>
      </c>
    </row>
    <row customHeight="1" ht="29.25">
      <c r="O64" s="1759"/>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755">
        <v>28</v>
      </c>
    </row>
    <row customHeight="1" ht="22.5" hidden="1">
      <c r="A65" s="1755" t="s">
        <v>82</v>
      </c>
      <c r="B65" s="1755">
        <v>0</v>
      </c>
      <c r="C65" s="1755">
        <v>0</v>
      </c>
      <c r="D65" s="1755">
        <v>0</v>
      </c>
      <c r="E65" s="1755">
        <v>0</v>
      </c>
      <c r="F65" s="1755">
        <v>0</v>
      </c>
      <c r="G65" s="1755">
        <v>0</v>
      </c>
      <c r="H65" s="1755">
        <v>0</v>
      </c>
      <c r="I65" s="1755">
        <v>0</v>
      </c>
      <c r="J65" s="1755">
        <v>0</v>
      </c>
      <c r="K65" s="1755">
        <v>0</v>
      </c>
      <c r="L65" s="2060">
        <v>0</v>
      </c>
      <c r="M65" s="2086">
        <v>0</v>
      </c>
      <c r="N65" s="2086">
        <v>0</v>
      </c>
      <c r="O65" s="2086">
        <v>0</v>
      </c>
      <c r="P65" s="2086">
        <v>3</v>
      </c>
      <c r="Q65" s="468">
        <v>3</v>
      </c>
      <c r="R65" s="468">
        <v>3</v>
      </c>
      <c r="S65" s="705">
        <v>12</v>
      </c>
      <c r="T65" s="1755">
        <v>31</v>
      </c>
      <c r="U65" s="1755">
        <v>0</v>
      </c>
      <c r="V65" s="1755">
        <v>0</v>
      </c>
      <c r="W65" s="1755">
        <v>0</v>
      </c>
      <c r="X65" s="1755">
        <v>0</v>
      </c>
      <c r="Y65" s="1755">
        <v>0</v>
      </c>
      <c r="Z65" s="1755">
        <v>0</v>
      </c>
      <c r="AA65" s="1755">
        <v>0</v>
      </c>
      <c r="AB65" s="1755">
        <v>0</v>
      </c>
      <c r="AC65" s="1755">
        <v>0</v>
      </c>
      <c r="AD65" s="1755">
        <v>24</v>
      </c>
      <c r="AE65" s="1755">
        <v>0</v>
      </c>
      <c r="AF65" s="1755">
        <v>24</v>
      </c>
      <c r="AG65" s="1755">
        <v>24</v>
      </c>
      <c r="AH65" s="1755">
        <v>11</v>
      </c>
      <c r="AI65" s="1755">
        <v>3</v>
      </c>
      <c r="AJ65" s="1755">
        <v>11</v>
      </c>
      <c r="AK65" s="1755">
        <v>0</v>
      </c>
      <c r="AL65" s="1755">
        <v>4</v>
      </c>
      <c r="AM65" s="1755">
        <v>115</v>
      </c>
      <c r="AN65" s="1760">
        <v>10</v>
      </c>
      <c r="AO65" s="1760">
        <v>10</v>
      </c>
      <c r="AP65" s="1760">
        <v>10</v>
      </c>
      <c r="AQ65" s="1760">
        <v>10</v>
      </c>
      <c r="AR65" s="1760">
        <v>10</v>
      </c>
      <c r="AS65" s="175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DEEBB5-5D82-9AC3-FE48-7783651B991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1.00390625" customWidth="1"/>
    <col min="21" max="21" style="7213" width="0.7109375" hidden="1" customWidth="1"/>
    <col min="22" max="22" style="7213" width="1.7109375" hidden="1" customWidth="1"/>
    <col min="23" max="23" style="7213" width="24.7109375" hidden="1" customWidth="1"/>
    <col min="24" max="25" style="7213" width="0.14062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0.140625" customWidth="1"/>
    <col min="31" max="31" style="7213" width="24.00390625" customWidth="1"/>
    <col min="32" max="33" style="7213" width="0.14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60">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56"/>
      <c r="Q3" s="476"/>
      <c r="R3" s="477"/>
      <c r="S3" s="1460">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1460">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477"/>
      <c r="S5" s="1460">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624"/>
      <c r="AP5" s="624" t="str">
        <f>IF(T5="","",T5)</f>
        <v>Источник тепловой энергии  </v>
      </c>
      <c r="AQ5" s="624"/>
      <c r="AR5" s="624"/>
      <c r="AS5" s="1279">
        <v>0</v>
      </c>
    </row>
    <row customHeight="1" ht="47.25" hidden="1">
      <c r="A6" s="1487"/>
      <c r="B6" s="1487"/>
      <c r="C6" s="1487"/>
      <c r="D6" s="1487"/>
      <c r="E6" s="2396"/>
      <c r="F6" s="2396"/>
      <c r="G6" s="2396"/>
      <c r="H6" s="2396"/>
      <c r="I6" s="2393">
        <f>S5&amp;".1"</f>
      </c>
      <c r="J6" s="1487"/>
      <c r="K6" s="1487"/>
      <c r="L6" s="1488" t="s">
        <v>515</v>
      </c>
      <c r="M6" s="661"/>
      <c r="P6" s="2394">
        <v>1</v>
      </c>
      <c r="Q6" s="1455"/>
      <c r="R6" s="480"/>
      <c r="S6" s="1460">
        <f>$I6</f>
      </c>
      <c r="T6" s="409" t="s">
        <v>516</v>
      </c>
      <c r="U6" s="424"/>
      <c r="V6" s="2382"/>
      <c r="W6" s="2383"/>
      <c r="X6" s="2383"/>
      <c r="Y6" s="2383"/>
      <c r="Z6" s="2383"/>
      <c r="AA6" s="2383"/>
      <c r="AB6" s="2383"/>
      <c r="AC6" s="2384"/>
      <c r="AD6" s="2382"/>
      <c r="AE6" s="2383"/>
      <c r="AF6" s="2383"/>
      <c r="AG6" s="2383"/>
      <c r="AH6" s="2383"/>
      <c r="AI6" s="2383"/>
      <c r="AJ6" s="2383"/>
      <c r="AK6" s="2383"/>
      <c r="AL6" s="2384"/>
      <c r="AM6" s="1382" t="s">
        <v>517</v>
      </c>
      <c r="AO6" s="624"/>
      <c r="AP6" s="624" t="str">
        <f>IF(T6="","",T6)</f>
        <v>Схема подключения теплопотребляющей установки к коллектору источника тепловой энергии</v>
      </c>
      <c r="AQ6" s="624"/>
      <c r="AR6" s="624"/>
      <c r="AS6" s="1279">
        <v>0</v>
      </c>
    </row>
    <row customHeight="1" ht="21" hidden="1">
      <c r="A7" s="1487"/>
      <c r="B7" s="1487"/>
      <c r="C7" s="1487"/>
      <c r="D7" s="1487"/>
      <c r="E7" s="2396"/>
      <c r="F7" s="2396"/>
      <c r="G7" s="2396"/>
      <c r="H7" s="2396"/>
      <c r="I7" s="2423"/>
      <c r="J7" s="2393">
        <f>I6&amp;".1"</f>
      </c>
      <c r="K7" s="1487"/>
      <c r="L7" s="1488" t="s">
        <v>518</v>
      </c>
      <c r="M7" s="661"/>
      <c r="N7" s="1490"/>
      <c r="P7" s="2394"/>
      <c r="Q7" s="2394">
        <v>1</v>
      </c>
      <c r="R7" s="481"/>
      <c r="S7" s="1460">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624"/>
      <c r="AP7" s="624" t="str">
        <f>IF(T7="","",T7)</f>
        <v>Группа потребителей</v>
      </c>
      <c r="AQ7" s="624"/>
      <c r="AR7" s="624"/>
      <c r="AS7" s="1279">
        <v>0</v>
      </c>
    </row>
    <row customHeight="1" ht="21" hidden="1">
      <c r="A8" s="1487"/>
      <c r="B8" s="1487"/>
      <c r="C8" s="1487"/>
      <c r="D8" s="1487"/>
      <c r="E8" s="2396"/>
      <c r="F8" s="2396"/>
      <c r="G8" s="2396"/>
      <c r="H8" s="2396"/>
      <c r="I8" s="2423"/>
      <c r="J8" s="2423"/>
      <c r="K8" s="2393">
        <f>J7&amp;".1"</f>
      </c>
      <c r="L8" s="1488" t="s">
        <v>521</v>
      </c>
      <c r="M8" s="661"/>
      <c r="N8" s="1490"/>
      <c r="O8" s="1490"/>
      <c r="P8" s="2394"/>
      <c r="Q8" s="2394"/>
      <c r="R8" s="481">
        <v>1</v>
      </c>
      <c r="S8" s="1460">
        <f>$K8</f>
      </c>
      <c r="T8" s="1471"/>
      <c r="U8" s="424"/>
      <c r="V8" s="449"/>
      <c r="W8" s="875"/>
      <c r="X8" s="449"/>
      <c r="Y8" s="508"/>
      <c r="Z8" s="2402"/>
      <c r="AA8" s="2244" t="s">
        <v>62</v>
      </c>
      <c r="AB8" s="2402"/>
      <c r="AC8" s="2244" t="s">
        <v>62</v>
      </c>
      <c r="AD8" s="449"/>
      <c r="AE8" s="875"/>
      <c r="AF8" s="449"/>
      <c r="AG8" s="508"/>
      <c r="AH8" s="2402"/>
      <c r="AI8" s="2244" t="s">
        <v>62</v>
      </c>
      <c r="AJ8" s="2402"/>
      <c r="AK8" s="2244" t="s">
        <v>62</v>
      </c>
      <c r="AL8" s="449"/>
      <c r="AM8" s="2390" t="s">
        <v>522</v>
      </c>
      <c r="AN8" s="635">
        <f>STRCHECKDATE(V9:AL9)</f>
      </c>
      <c r="AO8" s="624"/>
      <c r="AP8" s="624" t="str">
        <f>IF(T8="","",T8)</f>
        <v/>
      </c>
      <c r="AQ8" s="624"/>
      <c r="AR8" s="624"/>
      <c r="AS8" s="1279">
        <v>0</v>
      </c>
    </row>
    <row customHeight="1" ht="0.75" hidden="1">
      <c r="A9" s="1487"/>
      <c r="B9" s="1487"/>
      <c r="C9" s="1487"/>
      <c r="D9" s="1487"/>
      <c r="E9" s="2396"/>
      <c r="F9" s="2396"/>
      <c r="G9" s="2396"/>
      <c r="H9" s="2396"/>
      <c r="I9" s="2423"/>
      <c r="J9" s="2423"/>
      <c r="K9" s="2393"/>
      <c r="L9" s="1488"/>
      <c r="M9" s="661"/>
      <c r="N9" s="1490"/>
      <c r="O9" s="1490"/>
      <c r="P9" s="2394"/>
      <c r="Q9" s="2394"/>
      <c r="R9" s="481"/>
      <c r="S9" s="1466"/>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5" hidden="1">
      <c r="A10" s="1487"/>
      <c r="B10" s="1487"/>
      <c r="C10" s="1487"/>
      <c r="D10" s="1487"/>
      <c r="E10" s="2396"/>
      <c r="F10" s="2396"/>
      <c r="G10" s="2396"/>
      <c r="H10" s="2396"/>
      <c r="I10" s="2423"/>
      <c r="J10" s="2393"/>
      <c r="K10" s="1487"/>
      <c r="L10" s="1488"/>
      <c r="M10" s="661"/>
      <c r="N10" s="1490"/>
      <c r="P10" s="2394"/>
      <c r="Q10" s="2394"/>
      <c r="R10" s="480"/>
      <c r="S10" s="1402"/>
      <c r="T10" s="412"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5" hidden="1">
      <c r="A11" s="1487"/>
      <c r="B11" s="1487"/>
      <c r="C11" s="1487"/>
      <c r="D11" s="1487"/>
      <c r="E11" s="2396"/>
      <c r="F11" s="2396"/>
      <c r="G11" s="2396"/>
      <c r="H11" s="2396"/>
      <c r="I11" s="2393"/>
      <c r="J11" s="1487"/>
      <c r="K11" s="1487"/>
      <c r="L11" s="1488"/>
      <c r="M11" s="661"/>
      <c r="P11" s="2394"/>
      <c r="Q11" s="1455"/>
      <c r="R11" s="480"/>
      <c r="S11" s="1402"/>
      <c r="T11" s="411"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14.25" hidden="1">
      <c r="A12" s="1487"/>
      <c r="B12" s="1487"/>
      <c r="C12" s="1487"/>
      <c r="D12" s="1487"/>
      <c r="E12" s="2396"/>
      <c r="F12" s="2396"/>
      <c r="G12" s="2396"/>
      <c r="H12" s="2395"/>
      <c r="I12" s="1487"/>
      <c r="J12" s="1487"/>
      <c r="K12" s="1487"/>
      <c r="L12" s="1488"/>
      <c r="M12" s="1489"/>
      <c r="N12" s="1489"/>
      <c r="O12" s="661"/>
      <c r="P12" s="484"/>
      <c r="Q12" s="499"/>
      <c r="R12" s="479"/>
      <c r="S12" s="1402"/>
      <c r="T12" s="489" t="s">
        <v>525</v>
      </c>
      <c r="U12" s="491"/>
      <c r="V12" s="491"/>
      <c r="W12" s="491"/>
      <c r="X12" s="491"/>
      <c r="Y12" s="491"/>
      <c r="Z12" s="491"/>
      <c r="AA12" s="491"/>
      <c r="AB12" s="491"/>
      <c r="AC12" s="490"/>
      <c r="AD12" s="491"/>
      <c r="AE12" s="491"/>
      <c r="AF12" s="491"/>
      <c r="AG12" s="491"/>
      <c r="AH12" s="491"/>
      <c r="AI12" s="491"/>
      <c r="AJ12" s="491"/>
      <c r="AK12" s="490"/>
      <c r="AL12" s="491"/>
      <c r="AM12" s="427"/>
      <c r="AO12" s="624"/>
      <c r="AP12" s="624" t="str">
        <f>IF(T12="","",T12)</f>
        <v>Добавить схему подключения</v>
      </c>
      <c r="AQ12" s="624"/>
      <c r="AR12" s="624"/>
      <c r="AS12" s="1279">
        <v>0</v>
      </c>
    </row>
    <row s="6698" customFormat="1" customHeight="1" ht="0.7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0.7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0.7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AD17" s="1484"/>
      <c r="AE17" s="1484"/>
      <c r="AF17" s="1484"/>
      <c r="AG17" s="1485"/>
      <c r="AH17" s="2404"/>
      <c r="AI17" s="2405" t="s">
        <v>62</v>
      </c>
      <c r="AJ17" s="2404"/>
      <c r="AK17" s="2405" t="s">
        <v>62</v>
      </c>
      <c r="AS17" s="1279">
        <v>0</v>
      </c>
    </row>
    <row customHeight="1" ht="14.25" hidden="1">
      <c r="AD18" s="1484"/>
      <c r="AE18" s="1484"/>
      <c r="AF18" s="1484"/>
      <c r="AG18" s="452" t="str">
        <f>AH17&amp;"-"&amp;AJ17</f>
        <v>-</v>
      </c>
      <c r="AH18" s="2405"/>
      <c r="AI18" s="2405"/>
      <c r="AJ18" s="2405"/>
      <c r="AK18" s="2405"/>
      <c r="AS18" s="1279">
        <v>0</v>
      </c>
    </row>
    <row customHeight="1" ht="14.25" hidden="1">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33.7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AS23" s="1279">
        <v>0</v>
      </c>
    </row>
    <row customHeight="1" ht="14.25" hidden="1">
      <c r="O24" s="1488"/>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29.25">
      <c r="Q26" s="500"/>
      <c r="R26" s="500"/>
      <c r="S26" s="238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85"/>
      <c r="U26" s="2385"/>
      <c r="V26" s="2385"/>
      <c r="W26" s="2385"/>
      <c r="X26" s="2385"/>
      <c r="Y26" s="2385"/>
      <c r="Z26" s="2385"/>
      <c r="AA26" s="2385"/>
      <c r="AB26" s="2385"/>
      <c r="AC26" s="2385"/>
      <c r="AD26" s="2385"/>
      <c r="AE26" s="2385"/>
      <c r="AF26" s="2385"/>
      <c r="AG26" s="2385"/>
      <c r="AH26" s="2385"/>
      <c r="AI26" s="2385"/>
      <c r="AJ26" s="2385"/>
      <c r="AK26" s="1367"/>
      <c r="AS26" s="1279">
        <v>28</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18.7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464"/>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28"/>
      <c r="Y39" s="2428"/>
      <c r="Z39" s="2412"/>
      <c r="AA39" s="2412"/>
      <c r="AB39" s="2413"/>
      <c r="AC39" s="2414" t="s">
        <v>542</v>
      </c>
      <c r="AD39" s="2411" t="s">
        <v>541</v>
      </c>
      <c r="AE39" s="2412"/>
      <c r="AF39" s="2428"/>
      <c r="AG39" s="2428"/>
      <c r="AH39" s="2412"/>
      <c r="AI39" s="2412"/>
      <c r="AJ39" s="2413"/>
      <c r="AK39" s="2414" t="s">
        <v>543</v>
      </c>
      <c r="AL39" s="2417" t="s">
        <v>544</v>
      </c>
      <c r="AM39" s="2264"/>
      <c r="AS39" s="1279">
        <v>14</v>
      </c>
    </row>
    <row customHeight="1" ht="24">
      <c r="Q40" s="500"/>
      <c r="R40" s="500"/>
      <c r="S40" s="2410"/>
      <c r="T40" s="2346"/>
      <c r="U40" s="1155"/>
      <c r="V40" s="2429" t="s">
        <v>545</v>
      </c>
      <c r="W40" s="2431" t="s">
        <v>546</v>
      </c>
      <c r="X40" s="1500" t="s">
        <v>547</v>
      </c>
      <c r="Y40" s="1500"/>
      <c r="Z40" s="2406" t="s">
        <v>548</v>
      </c>
      <c r="AA40" s="2406"/>
      <c r="AB40" s="2400"/>
      <c r="AC40" s="2415"/>
      <c r="AD40" s="2429" t="s">
        <v>545</v>
      </c>
      <c r="AE40" s="2431" t="s">
        <v>546</v>
      </c>
      <c r="AF40" s="1500" t="s">
        <v>547</v>
      </c>
      <c r="AG40" s="1500"/>
      <c r="AH40" s="2406" t="s">
        <v>548</v>
      </c>
      <c r="AI40" s="2406"/>
      <c r="AJ40" s="2400"/>
      <c r="AK40" s="2415"/>
      <c r="AL40" s="2418"/>
      <c r="AM40" s="2264"/>
      <c r="AS40" s="1279">
        <v>23</v>
      </c>
    </row>
    <row s="7293" customFormat="1" customHeight="1" ht="24">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M41" s="1486"/>
      <c r="N41" s="1486"/>
      <c r="O41" s="1486"/>
      <c r="P41" s="1452"/>
      <c r="Q41" s="500"/>
      <c r="R41" s="500"/>
      <c r="S41" s="2410"/>
      <c r="T41" s="2346"/>
      <c r="U41" s="426"/>
      <c r="V41" s="2430"/>
      <c r="W41" s="2432"/>
      <c r="X41" s="1497" t="s">
        <v>556</v>
      </c>
      <c r="Y41" s="1497" t="s">
        <v>557</v>
      </c>
      <c r="Z41" s="1458" t="s">
        <v>558</v>
      </c>
      <c r="AA41" s="2407" t="s">
        <v>559</v>
      </c>
      <c r="AB41" s="2408"/>
      <c r="AC41" s="2416"/>
      <c r="AD41" s="2430"/>
      <c r="AE41" s="2432"/>
      <c r="AF41" s="1497" t="s">
        <v>556</v>
      </c>
      <c r="AG41" s="1497" t="s">
        <v>557</v>
      </c>
      <c r="AH41" s="1458" t="s">
        <v>558</v>
      </c>
      <c r="AI41" s="2407" t="s">
        <v>559</v>
      </c>
      <c r="AJ41" s="2408"/>
      <c r="AK41" s="2416"/>
      <c r="AL41" s="2419"/>
      <c r="AM41" s="2264"/>
      <c r="AN41" s="635"/>
      <c r="AO41" s="624"/>
      <c r="AP41" s="624"/>
      <c r="AQ41" s="624"/>
      <c r="AR41" s="624"/>
      <c r="AS41" s="706">
        <v>23</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459">
        <f>OFFSET(V42,0,-1)+1</f>
        <v>3</v>
      </c>
      <c r="W42" s="1459"/>
      <c r="X42" s="1465">
        <f>OFFSET(X42,0,-1)+1</f>
        <v>1</v>
      </c>
      <c r="Y42" s="1465">
        <f>OFFSET(Y42,0,-1)+1</f>
        <v>2</v>
      </c>
      <c r="Z42" s="1459">
        <f>OFFSET(Z42,0,-1)+1</f>
        <v>3</v>
      </c>
      <c r="AA42" s="2409">
        <f>OFFSET(AA42,0,-1)+1</f>
        <v>4</v>
      </c>
      <c r="AB42" s="2409"/>
      <c r="AC42" s="1459">
        <f>OFFSET(AC42,0,-2)+1</f>
        <v>5</v>
      </c>
      <c r="AD42" s="1459">
        <f>OFFSET(AD42,0,-1)+1</f>
        <v>6</v>
      </c>
      <c r="AE42" s="1459"/>
      <c r="AF42" s="1465">
        <f>OFFSET(AF42,0,-1)+1</f>
        <v>1</v>
      </c>
      <c r="AG42" s="1465">
        <f>OFFSET(AG42,0,-1)+1</f>
        <v>2</v>
      </c>
      <c r="AH42" s="1459">
        <f>OFFSET(AH42,0,-1)+1</f>
        <v>3</v>
      </c>
      <c r="AI42" s="2409">
        <f>OFFSET(AI42,0,-1)+1</f>
        <v>4</v>
      </c>
      <c r="AJ42" s="2409"/>
      <c r="AK42" s="1459">
        <f>OFFSET(AK42,0,-2)+1</f>
        <v>5</v>
      </c>
      <c r="AL42" s="1369">
        <f>OFFSET(AL42,0,-1)</f>
        <v>5</v>
      </c>
      <c r="AM42" s="1459">
        <f>OFFSET(AM42,0,-1)+1</f>
        <v>6</v>
      </c>
      <c r="AN42" s="635"/>
      <c r="AO42" s="635"/>
      <c r="AP42" s="635"/>
      <c r="AQ42" s="635"/>
      <c r="AR42" s="635"/>
      <c r="AS42" s="620">
        <v>0</v>
      </c>
    </row>
    <row customHeight="1" ht="22.049999999999997">
      <c r="A43" s="1487" t="s">
        <v>306</v>
      </c>
      <c r="B43" s="1487"/>
      <c r="C43" s="1487"/>
      <c r="D43" s="1487"/>
      <c r="E43" s="2395">
        <v>1</v>
      </c>
      <c r="F43" s="1487"/>
      <c r="G43" s="1487"/>
      <c r="H43" s="1487"/>
      <c r="I43" s="1487"/>
      <c r="J43" s="1487"/>
      <c r="K43" s="1487"/>
      <c r="L43" s="1488"/>
      <c r="M43" s="1489"/>
      <c r="N43" s="1489"/>
      <c r="O43" s="1489"/>
      <c r="P43" s="485"/>
      <c r="Q43" s="484"/>
      <c r="R43" s="479"/>
      <c r="S43" s="1460">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21</v>
      </c>
    </row>
    <row customHeight="1" ht="22.049999999999997">
      <c r="A44" s="1487" t="s">
        <v>306</v>
      </c>
      <c r="B44" s="1487" t="s">
        <v>307</v>
      </c>
      <c r="C44" s="1487"/>
      <c r="D44" s="1487"/>
      <c r="E44" s="2396"/>
      <c r="F44" s="2395">
        <v>1</v>
      </c>
      <c r="G44" s="1487"/>
      <c r="H44" s="1487"/>
      <c r="I44" s="1487"/>
      <c r="J44" s="1487"/>
      <c r="K44" s="1487"/>
      <c r="L44" s="1488"/>
      <c r="M44" s="1489"/>
      <c r="N44" s="1489"/>
      <c r="O44" s="1489"/>
      <c r="P44" s="1456"/>
      <c r="Q44" s="476"/>
      <c r="R44" s="477"/>
      <c r="S44" s="1460"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21</v>
      </c>
    </row>
    <row customHeight="1" ht="24">
      <c r="A45" s="1487" t="s">
        <v>306</v>
      </c>
      <c r="B45" s="1487" t="s">
        <v>307</v>
      </c>
      <c r="C45" s="1487" t="s">
        <v>308</v>
      </c>
      <c r="D45" s="1487"/>
      <c r="E45" s="2396"/>
      <c r="F45" s="2396"/>
      <c r="G45" s="2395">
        <v>1</v>
      </c>
      <c r="H45" s="1487"/>
      <c r="I45" s="1487"/>
      <c r="J45" s="1487"/>
      <c r="K45" s="1487"/>
      <c r="L45" s="1488"/>
      <c r="M45" s="1489"/>
      <c r="N45" s="1489"/>
      <c r="O45" s="1489"/>
      <c r="P45" s="478"/>
      <c r="Q45" s="476"/>
      <c r="R45" s="477"/>
      <c r="S45" s="1460"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2.049999999999997">
      <c r="A46" s="1487" t="s">
        <v>306</v>
      </c>
      <c r="B46" s="1487" t="s">
        <v>307</v>
      </c>
      <c r="C46" s="1487" t="s">
        <v>308</v>
      </c>
      <c r="D46" s="1487" t="s">
        <v>309</v>
      </c>
      <c r="E46" s="2396"/>
      <c r="F46" s="2396"/>
      <c r="G46" s="2396"/>
      <c r="H46" s="2395">
        <v>1</v>
      </c>
      <c r="I46" s="1487"/>
      <c r="J46" s="1487"/>
      <c r="K46" s="1487"/>
      <c r="L46" s="1488"/>
      <c r="M46" s="1489"/>
      <c r="N46" s="1489"/>
      <c r="O46" s="1489"/>
      <c r="P46" s="478"/>
      <c r="Q46" s="476"/>
      <c r="R46" s="477"/>
      <c r="S46" s="1460"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21</v>
      </c>
    </row>
    <row customHeight="1" ht="49.5">
      <c r="A47" s="1487" t="s">
        <v>306</v>
      </c>
      <c r="B47" s="1487" t="s">
        <v>307</v>
      </c>
      <c r="C47" s="1487" t="s">
        <v>308</v>
      </c>
      <c r="D47" s="1487" t="s">
        <v>309</v>
      </c>
      <c r="E47" s="2396"/>
      <c r="F47" s="2396"/>
      <c r="G47" s="2396"/>
      <c r="H47" s="2396"/>
      <c r="I47" s="2393" t="str">
        <f>S46&amp;".1"</f>
        <v>....1</v>
      </c>
      <c r="J47" s="1487"/>
      <c r="K47" s="1487"/>
      <c r="L47" s="1488" t="s">
        <v>515</v>
      </c>
      <c r="P47" s="2394">
        <v>1</v>
      </c>
      <c r="Q47" s="1455"/>
      <c r="R47" s="480"/>
      <c r="S47" s="1460" t="str">
        <f>$I47</f>
        <v>....1</v>
      </c>
      <c r="T47" s="409" t="s">
        <v>516</v>
      </c>
      <c r="U47" s="424"/>
      <c r="V47" s="2382"/>
      <c r="W47" s="2383"/>
      <c r="X47" s="2383"/>
      <c r="Y47" s="2383"/>
      <c r="Z47" s="2383"/>
      <c r="AA47" s="2383"/>
      <c r="AB47" s="2383"/>
      <c r="AC47" s="2384"/>
      <c r="AD47" s="2382"/>
      <c r="AE47" s="2383"/>
      <c r="AF47" s="2383"/>
      <c r="AG47" s="2383"/>
      <c r="AH47" s="2383"/>
      <c r="AI47" s="2383"/>
      <c r="AJ47" s="2383"/>
      <c r="AK47" s="2383"/>
      <c r="AL47" s="2384"/>
      <c r="AM47" s="1382" t="s">
        <v>517</v>
      </c>
      <c r="AO47" s="624"/>
      <c r="AP47" s="624" t="str">
        <f>IF(T47="","",T47)</f>
        <v>Схема подключения теплопотребляющей установки к коллектору источника тепловой энергии</v>
      </c>
      <c r="AQ47" s="624"/>
      <c r="AR47" s="624"/>
      <c r="AS47" s="1279">
        <v>47</v>
      </c>
    </row>
    <row customHeight="1" ht="22.049999999999997">
      <c r="A48" s="1487" t="s">
        <v>306</v>
      </c>
      <c r="B48" s="1487" t="s">
        <v>307</v>
      </c>
      <c r="C48" s="1487" t="s">
        <v>308</v>
      </c>
      <c r="D48" s="1487" t="s">
        <v>309</v>
      </c>
      <c r="E48" s="2396"/>
      <c r="F48" s="2396"/>
      <c r="G48" s="2396"/>
      <c r="H48" s="2396"/>
      <c r="I48" s="2423"/>
      <c r="J48" s="2393" t="str">
        <f>I47&amp;".1"</f>
        <v>....1.1</v>
      </c>
      <c r="K48" s="1487"/>
      <c r="L48" s="1488" t="s">
        <v>518</v>
      </c>
      <c r="P48" s="2394"/>
      <c r="Q48" s="2394">
        <v>1</v>
      </c>
      <c r="R48" s="481"/>
      <c r="S48" s="1460" t="str">
        <f>$J48</f>
        <v>....1.1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21</v>
      </c>
    </row>
    <row customHeight="1" ht="22.049999999999997">
      <c r="A49" s="1487" t="s">
        <v>306</v>
      </c>
      <c r="B49" s="1487" t="s">
        <v>307</v>
      </c>
      <c r="C49" s="1487" t="s">
        <v>308</v>
      </c>
      <c r="D49" s="1487" t="s">
        <v>309</v>
      </c>
      <c r="E49" s="2396"/>
      <c r="F49" s="2396"/>
      <c r="G49" s="2396"/>
      <c r="H49" s="2396"/>
      <c r="I49" s="2423"/>
      <c r="J49" s="2423"/>
      <c r="K49" s="2393" t="str">
        <f>J48&amp;".1"</f>
        <v>....1.1.1</v>
      </c>
      <c r="L49" s="1488" t="s">
        <v>521</v>
      </c>
      <c r="P49" s="2394"/>
      <c r="Q49" s="2394"/>
      <c r="R49" s="481">
        <v>1</v>
      </c>
      <c r="S49" s="1460" t="str">
        <f>$K49</f>
        <v>....1.1.1</v>
      </c>
      <c r="T49" s="1471"/>
      <c r="U49" s="424"/>
      <c r="V49" s="449"/>
      <c r="W49" s="875"/>
      <c r="X49" s="449"/>
      <c r="Y49" s="508"/>
      <c r="Z49" s="2402"/>
      <c r="AA49" s="2244" t="s">
        <v>62</v>
      </c>
      <c r="AB49" s="2402"/>
      <c r="AC49" s="2244" t="s">
        <v>62</v>
      </c>
      <c r="AD49" s="449"/>
      <c r="AE49" s="875"/>
      <c r="AF49" s="449"/>
      <c r="AG49" s="508"/>
      <c r="AH49" s="2402"/>
      <c r="AI49" s="2244" t="s">
        <v>62</v>
      </c>
      <c r="AJ49" s="2424"/>
      <c r="AK49" s="2244" t="s">
        <v>62</v>
      </c>
      <c r="AL49" s="1472"/>
      <c r="AM49" s="2390" t="s">
        <v>522</v>
      </c>
      <c r="AN49" s="635">
        <f>STRCHECKDATE(V50:AL50)</f>
      </c>
      <c r="AO49" s="624"/>
      <c r="AP49" s="624" t="str">
        <f>IF(T49="","",T49)</f>
        <v/>
      </c>
      <c r="AQ49" s="624"/>
      <c r="AR49" s="624"/>
      <c r="AS49" s="1279">
        <v>21</v>
      </c>
    </row>
    <row customHeight="1" ht="1.05">
      <c r="A50" s="1487" t="s">
        <v>306</v>
      </c>
      <c r="B50" s="1487" t="s">
        <v>307</v>
      </c>
      <c r="C50" s="1487" t="s">
        <v>308</v>
      </c>
      <c r="D50" s="1487" t="s">
        <v>309</v>
      </c>
      <c r="E50" s="2396"/>
      <c r="F50" s="2396"/>
      <c r="G50" s="2396"/>
      <c r="H50" s="2396"/>
      <c r="I50" s="2423"/>
      <c r="J50" s="2423"/>
      <c r="K50" s="2393"/>
      <c r="L50" s="1488"/>
      <c r="P50" s="2394"/>
      <c r="Q50" s="2394"/>
      <c r="R50" s="481"/>
      <c r="S50" s="1466"/>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1</v>
      </c>
    </row>
    <row customHeight="1" ht="11.549999999999999">
      <c r="A51" s="1487" t="s">
        <v>306</v>
      </c>
      <c r="B51" s="1487" t="s">
        <v>307</v>
      </c>
      <c r="C51" s="1487" t="s">
        <v>308</v>
      </c>
      <c r="D51" s="1487" t="s">
        <v>309</v>
      </c>
      <c r="E51" s="2396"/>
      <c r="F51" s="2396"/>
      <c r="G51" s="2396"/>
      <c r="H51" s="2396"/>
      <c r="I51" s="2423"/>
      <c r="J51" s="2393"/>
      <c r="K51" s="1487"/>
      <c r="L51" s="1488"/>
      <c r="P51" s="2394"/>
      <c r="Q51" s="2394"/>
      <c r="R51" s="480"/>
      <c r="S51" s="1402"/>
      <c r="T51" s="412"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306</v>
      </c>
      <c r="B52" s="1487" t="s">
        <v>307</v>
      </c>
      <c r="C52" s="1487" t="s">
        <v>308</v>
      </c>
      <c r="D52" s="1487" t="s">
        <v>309</v>
      </c>
      <c r="E52" s="2396"/>
      <c r="F52" s="2396"/>
      <c r="G52" s="2396"/>
      <c r="H52" s="2396"/>
      <c r="I52" s="2393"/>
      <c r="J52" s="1487"/>
      <c r="K52" s="1487"/>
      <c r="L52" s="1488"/>
      <c r="P52" s="2394"/>
      <c r="Q52" s="1455"/>
      <c r="R52" s="480"/>
      <c r="S52" s="1402"/>
      <c r="T52" s="411"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14.699999999999998">
      <c r="A53" s="1487" t="s">
        <v>306</v>
      </c>
      <c r="B53" s="1487" t="s">
        <v>307</v>
      </c>
      <c r="C53" s="1487" t="s">
        <v>308</v>
      </c>
      <c r="D53" s="1487" t="s">
        <v>309</v>
      </c>
      <c r="E53" s="2396"/>
      <c r="F53" s="2396"/>
      <c r="G53" s="2396"/>
      <c r="H53" s="2395"/>
      <c r="I53" s="1487"/>
      <c r="J53" s="1487"/>
      <c r="K53" s="1487"/>
      <c r="L53" s="1488"/>
      <c r="M53" s="1489"/>
      <c r="N53" s="1489"/>
      <c r="O53" s="661"/>
      <c r="P53" s="484"/>
      <c r="Q53" s="499"/>
      <c r="R53" s="479"/>
      <c r="S53" s="1402"/>
      <c r="T53" s="489" t="s">
        <v>525</v>
      </c>
      <c r="U53" s="491"/>
      <c r="V53" s="491"/>
      <c r="W53" s="491"/>
      <c r="X53" s="491"/>
      <c r="Y53" s="491"/>
      <c r="Z53" s="491"/>
      <c r="AA53" s="491"/>
      <c r="AB53" s="491"/>
      <c r="AC53" s="490"/>
      <c r="AD53" s="491"/>
      <c r="AE53" s="491"/>
      <c r="AF53" s="491"/>
      <c r="AG53" s="491"/>
      <c r="AH53" s="491"/>
      <c r="AI53" s="491"/>
      <c r="AJ53" s="491"/>
      <c r="AK53" s="490"/>
      <c r="AL53" s="491"/>
      <c r="AM53" s="427"/>
      <c r="AO53" s="624"/>
      <c r="AP53" s="624" t="str">
        <f>IF(T53="","",T53)</f>
        <v>Добавить схему подключения</v>
      </c>
      <c r="AQ53" s="624"/>
      <c r="AR53" s="624"/>
      <c r="AS53" s="1279">
        <v>14</v>
      </c>
    </row>
    <row s="6698" customFormat="1" customHeight="1" ht="1.05">
      <c r="A54" s="1467" t="s">
        <v>306</v>
      </c>
      <c r="B54" s="1467" t="s">
        <v>307</v>
      </c>
      <c r="C54" s="1467" t="s">
        <v>308</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1</v>
      </c>
    </row>
    <row s="6698" customFormat="1" customHeight="1" ht="1.05">
      <c r="A55" s="1467" t="s">
        <v>306</v>
      </c>
      <c r="B55" s="1467" t="s">
        <v>307</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1</v>
      </c>
    </row>
    <row s="6698" customFormat="1" customHeight="1" ht="1.05">
      <c r="A56" s="1467" t="s">
        <v>306</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1</v>
      </c>
    </row>
    <row s="6698" customFormat="1" customHeight="1" ht="1.05">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1</v>
      </c>
    </row>
    <row customHeight="1" ht="11.549999999999999">
      <c r="M58" s="1284"/>
      <c r="N58" s="1284"/>
      <c r="O58" s="661"/>
      <c r="P58" s="1279"/>
      <c r="Q58" s="1279"/>
      <c r="R58" s="1279"/>
      <c r="S58" s="1279"/>
      <c r="AN58" s="1279"/>
      <c r="AO58" s="1279"/>
      <c r="AP58" s="1279"/>
      <c r="AQ58" s="1279"/>
      <c r="AR58" s="1279"/>
      <c r="AS58" s="1279">
        <v>11</v>
      </c>
    </row>
    <row customHeight="1" ht="28.5">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27</v>
      </c>
    </row>
    <row customHeight="1" ht="78.75">
      <c r="O60" s="661"/>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75</v>
      </c>
    </row>
    <row customHeight="1" ht="14.699999999999998">
      <c r="O61" s="661"/>
      <c r="AS61" s="1279">
        <v>14</v>
      </c>
    </row>
    <row customHeight="1" ht="18.75">
      <c r="O62" s="661"/>
      <c r="S62" s="1377"/>
      <c r="T62" s="2422"/>
      <c r="U62" s="2422"/>
      <c r="V62" s="2422"/>
      <c r="W62" s="2422"/>
      <c r="X62" s="2422"/>
      <c r="Y62" s="2422"/>
      <c r="Z62" s="2422"/>
      <c r="AA62" s="2422"/>
      <c r="AB62" s="2422"/>
      <c r="AC62" s="2422"/>
      <c r="AD62" s="2422"/>
      <c r="AE62" s="2422"/>
      <c r="AF62" s="2422"/>
      <c r="AG62" s="2422"/>
      <c r="AH62" s="2422"/>
      <c r="AI62" s="2422"/>
      <c r="AJ62" s="2422"/>
      <c r="AK62" s="2422"/>
      <c r="AL62" s="2422"/>
      <c r="AM62" s="2422"/>
      <c r="AS62" s="1279">
        <v>18</v>
      </c>
    </row>
    <row customHeight="1" ht="18.75">
      <c r="O63" s="661"/>
      <c r="T63" s="2422"/>
      <c r="U63" s="2422"/>
      <c r="V63" s="2422"/>
      <c r="W63" s="2422"/>
      <c r="X63" s="2422"/>
      <c r="Y63" s="2422"/>
      <c r="Z63" s="2422"/>
      <c r="AA63" s="2422"/>
      <c r="AB63" s="2422"/>
      <c r="AC63" s="2422"/>
      <c r="AD63" s="2422"/>
      <c r="AE63" s="2422"/>
      <c r="AF63" s="2422"/>
      <c r="AG63" s="2422"/>
      <c r="AH63" s="2422"/>
      <c r="AI63" s="2422"/>
      <c r="AJ63" s="2422"/>
      <c r="AK63" s="2422"/>
      <c r="AL63" s="2422"/>
      <c r="AM63" s="2422"/>
      <c r="AS63" s="1279">
        <v>18</v>
      </c>
    </row>
    <row customHeight="1" ht="39.75">
      <c r="O64" s="661"/>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38</v>
      </c>
    </row>
    <row customHeight="1" ht="22.5" hidden="1">
      <c r="A65" s="1284" t="s">
        <v>82</v>
      </c>
      <c r="B65" s="1284">
        <v>0</v>
      </c>
      <c r="C65" s="1284">
        <v>0</v>
      </c>
      <c r="D65" s="1284">
        <v>0</v>
      </c>
      <c r="E65" s="1284">
        <v>0</v>
      </c>
      <c r="F65" s="1284">
        <v>0</v>
      </c>
      <c r="G65" s="1284">
        <v>0</v>
      </c>
      <c r="H65" s="1284">
        <v>0</v>
      </c>
      <c r="I65" s="1284">
        <v>0</v>
      </c>
      <c r="J65" s="1284">
        <v>0</v>
      </c>
      <c r="K65" s="1284">
        <v>0</v>
      </c>
      <c r="L65" s="1453">
        <v>0</v>
      </c>
      <c r="M65" s="1486">
        <v>0</v>
      </c>
      <c r="N65" s="1486">
        <v>0</v>
      </c>
      <c r="O65" s="1486">
        <v>0</v>
      </c>
      <c r="P65" s="1452">
        <v>3</v>
      </c>
      <c r="Q65" s="468">
        <v>3</v>
      </c>
      <c r="R65" s="468">
        <v>3</v>
      </c>
      <c r="S65" s="705">
        <v>12</v>
      </c>
      <c r="T65" s="1279">
        <v>31</v>
      </c>
      <c r="U65" s="1279">
        <v>0</v>
      </c>
      <c r="V65" s="1279">
        <v>0</v>
      </c>
      <c r="W65" s="1279">
        <v>0</v>
      </c>
      <c r="X65" s="1279">
        <v>0</v>
      </c>
      <c r="Y65" s="1279">
        <v>0</v>
      </c>
      <c r="Z65" s="1279">
        <v>0</v>
      </c>
      <c r="AA65" s="1279">
        <v>0</v>
      </c>
      <c r="AB65" s="1279">
        <v>0</v>
      </c>
      <c r="AC65" s="1279">
        <v>0</v>
      </c>
      <c r="AD65" s="1279">
        <v>0</v>
      </c>
      <c r="AE65" s="1279">
        <v>24</v>
      </c>
      <c r="AF65" s="1279">
        <v>0</v>
      </c>
      <c r="AG65" s="1279">
        <v>0</v>
      </c>
      <c r="AH65" s="1279">
        <v>11</v>
      </c>
      <c r="AI65" s="1279">
        <v>3</v>
      </c>
      <c r="AJ65" s="1279">
        <v>11</v>
      </c>
      <c r="AK65" s="1279">
        <v>0</v>
      </c>
      <c r="AL65" s="1279">
        <v>4</v>
      </c>
      <c r="AM65" s="1279">
        <v>115</v>
      </c>
      <c r="AN65" s="635">
        <v>10</v>
      </c>
      <c r="AO65" s="635">
        <v>10</v>
      </c>
      <c r="AP65" s="635">
        <v>10</v>
      </c>
      <c r="AQ65" s="635">
        <v>10</v>
      </c>
      <c r="AR65" s="635">
        <v>10</v>
      </c>
      <c r="AS65" s="127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B83C32-5CCC-EA84-5F38-D2728FA165D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7109375" hidden="1"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8.421875" hidden="1" customWidth="1"/>
  </cols>
  <sheetData>
    <row customHeight="1" ht="22.5" hidden="1">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60">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56"/>
      <c r="Q3" s="476"/>
      <c r="R3" s="477"/>
      <c r="S3" s="1460">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1460">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477"/>
      <c r="S5" s="1460">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624"/>
      <c r="AP5" s="624" t="str">
        <f>IF(T5="","",T5)</f>
        <v>Источник тепловой энергии  </v>
      </c>
      <c r="AQ5" s="624"/>
      <c r="AR5" s="624"/>
      <c r="AS5" s="1279">
        <v>0</v>
      </c>
    </row>
    <row customHeight="1" ht="14.25" hidden="1">
      <c r="A6" s="1487"/>
      <c r="B6" s="1487"/>
      <c r="C6" s="1487"/>
      <c r="D6" s="1487"/>
      <c r="E6" s="2396"/>
      <c r="F6" s="2396"/>
      <c r="G6" s="2396"/>
      <c r="H6" s="2396"/>
      <c r="I6" s="2393">
        <f>S5&amp;".1"</f>
      </c>
      <c r="J6" s="1487"/>
      <c r="K6" s="1487"/>
      <c r="L6" s="1488" t="s">
        <v>515</v>
      </c>
      <c r="M6" s="661"/>
      <c r="P6" s="2394">
        <v>1</v>
      </c>
      <c r="Q6" s="1455"/>
      <c r="R6" s="480"/>
      <c r="S6" s="1166"/>
      <c r="T6" s="1507"/>
      <c r="U6" s="1508"/>
      <c r="V6" s="2433"/>
      <c r="W6" s="2434"/>
      <c r="X6" s="2434"/>
      <c r="Y6" s="2434"/>
      <c r="Z6" s="2434"/>
      <c r="AA6" s="2434"/>
      <c r="AB6" s="2434"/>
      <c r="AC6" s="2435"/>
      <c r="AD6" s="2433"/>
      <c r="AE6" s="2434"/>
      <c r="AF6" s="2434"/>
      <c r="AG6" s="2434"/>
      <c r="AH6" s="2434"/>
      <c r="AI6" s="2434"/>
      <c r="AJ6" s="2434"/>
      <c r="AK6" s="2434"/>
      <c r="AL6" s="2435"/>
      <c r="AM6" s="1509"/>
      <c r="AO6" s="624"/>
      <c r="AP6" s="624" t="str">
        <f>IF(T6="","",T6)</f>
        <v/>
      </c>
      <c r="AQ6" s="624"/>
      <c r="AR6" s="624"/>
      <c r="AS6" s="1279">
        <v>0</v>
      </c>
    </row>
    <row customHeight="1" ht="21" hidden="1">
      <c r="A7" s="1487"/>
      <c r="B7" s="1487"/>
      <c r="C7" s="1487"/>
      <c r="D7" s="1487"/>
      <c r="E7" s="2396"/>
      <c r="F7" s="2396"/>
      <c r="G7" s="2396"/>
      <c r="H7" s="2396"/>
      <c r="I7" s="2423"/>
      <c r="J7" s="2393">
        <f>I6&amp;".1"</f>
      </c>
      <c r="K7" s="1487"/>
      <c r="L7" s="1488" t="s">
        <v>518</v>
      </c>
      <c r="M7" s="661"/>
      <c r="N7" s="1490"/>
      <c r="P7" s="2394"/>
      <c r="Q7" s="2394">
        <v>1</v>
      </c>
      <c r="R7" s="481"/>
      <c r="S7" s="1460">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624"/>
      <c r="AP7" s="624" t="str">
        <f>IF(T7="","",T7)</f>
        <v>Группа потребителей</v>
      </c>
      <c r="AQ7" s="624"/>
      <c r="AR7" s="624"/>
      <c r="AS7" s="1279">
        <v>0</v>
      </c>
    </row>
    <row customHeight="1" ht="21" hidden="1">
      <c r="A8" s="1487"/>
      <c r="B8" s="1487"/>
      <c r="C8" s="1487"/>
      <c r="D8" s="1487"/>
      <c r="E8" s="2396"/>
      <c r="F8" s="2396"/>
      <c r="G8" s="2396"/>
      <c r="H8" s="2396"/>
      <c r="I8" s="2423"/>
      <c r="J8" s="2423"/>
      <c r="K8" s="2393">
        <f>J7&amp;".1"</f>
      </c>
      <c r="L8" s="1488" t="s">
        <v>521</v>
      </c>
      <c r="M8" s="661"/>
      <c r="N8" s="1490"/>
      <c r="O8" s="1490"/>
      <c r="P8" s="2394"/>
      <c r="Q8" s="2394"/>
      <c r="R8" s="481">
        <v>1</v>
      </c>
      <c r="S8" s="1460">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635">
        <f>STRCHECKDATE(V9:AL9)</f>
      </c>
      <c r="AO8" s="624"/>
      <c r="AP8" s="624" t="str">
        <f>IF(T8="","",T8)</f>
        <v/>
      </c>
      <c r="AQ8" s="624"/>
      <c r="AR8" s="624"/>
      <c r="AS8" s="1279">
        <v>0</v>
      </c>
    </row>
    <row customHeight="1" ht="0.75" hidden="1">
      <c r="A9" s="1487"/>
      <c r="B9" s="1487"/>
      <c r="C9" s="1487"/>
      <c r="D9" s="1487"/>
      <c r="E9" s="2396"/>
      <c r="F9" s="2396"/>
      <c r="G9" s="2396"/>
      <c r="H9" s="2396"/>
      <c r="I9" s="2423"/>
      <c r="J9" s="2423"/>
      <c r="K9" s="2393"/>
      <c r="L9" s="1488"/>
      <c r="M9" s="661"/>
      <c r="N9" s="1490"/>
      <c r="O9" s="1490"/>
      <c r="P9" s="2394"/>
      <c r="Q9" s="2394"/>
      <c r="R9" s="481"/>
      <c r="S9" s="1466"/>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5" hidden="1">
      <c r="A10" s="1487"/>
      <c r="B10" s="1487"/>
      <c r="C10" s="1487"/>
      <c r="D10" s="1487"/>
      <c r="E10" s="2396"/>
      <c r="F10" s="2396"/>
      <c r="G10" s="2396"/>
      <c r="H10" s="2396"/>
      <c r="I10" s="2423"/>
      <c r="J10" s="2393"/>
      <c r="K10" s="1487"/>
      <c r="L10" s="1488"/>
      <c r="M10" s="661"/>
      <c r="N10" s="1490"/>
      <c r="P10" s="2394"/>
      <c r="Q10" s="2394"/>
      <c r="R10" s="480"/>
      <c r="S10" s="1402"/>
      <c r="T10" s="411"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5" hidden="1">
      <c r="A11" s="1487"/>
      <c r="B11" s="1487"/>
      <c r="C11" s="1487"/>
      <c r="D11" s="1487"/>
      <c r="E11" s="2396"/>
      <c r="F11" s="2396"/>
      <c r="G11" s="2396"/>
      <c r="H11" s="2396"/>
      <c r="I11" s="2393"/>
      <c r="J11" s="1487"/>
      <c r="K11" s="1487"/>
      <c r="L11" s="1488"/>
      <c r="M11" s="661"/>
      <c r="P11" s="2394"/>
      <c r="Q11" s="1455"/>
      <c r="R11" s="480"/>
      <c r="S11" s="1402"/>
      <c r="T11" s="489"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14.25" hidden="1">
      <c r="A12" s="1487"/>
      <c r="B12" s="1487"/>
      <c r="C12" s="1487"/>
      <c r="D12" s="1487"/>
      <c r="E12" s="2396"/>
      <c r="F12" s="2396"/>
      <c r="G12" s="2396"/>
      <c r="H12" s="2395"/>
      <c r="I12" s="1487"/>
      <c r="J12" s="1487"/>
      <c r="K12" s="1487"/>
      <c r="L12" s="1488"/>
      <c r="M12" s="1489"/>
      <c r="N12" s="1489"/>
      <c r="O12" s="661"/>
      <c r="P12" s="484"/>
      <c r="Q12" s="499"/>
      <c r="R12" s="479"/>
      <c r="S12" s="1510"/>
      <c r="T12" s="1511"/>
      <c r="U12" s="1512"/>
      <c r="V12" s="1512"/>
      <c r="W12" s="1512"/>
      <c r="X12" s="1512"/>
      <c r="Y12" s="1512"/>
      <c r="Z12" s="1512"/>
      <c r="AA12" s="1512"/>
      <c r="AB12" s="1512"/>
      <c r="AC12" s="1512"/>
      <c r="AD12" s="1512"/>
      <c r="AE12" s="1512"/>
      <c r="AF12" s="1512"/>
      <c r="AG12" s="1512"/>
      <c r="AH12" s="1512"/>
      <c r="AI12" s="1512"/>
      <c r="AJ12" s="1512"/>
      <c r="AK12" s="1512"/>
      <c r="AL12" s="1512"/>
      <c r="AM12" s="1513"/>
      <c r="AO12" s="624"/>
      <c r="AP12" s="624" t="str">
        <f>IF(T12="","",T12)</f>
        <v/>
      </c>
      <c r="AQ12" s="624"/>
      <c r="AR12" s="624"/>
      <c r="AS12" s="1279">
        <v>0</v>
      </c>
    </row>
    <row s="6698" customFormat="1" customHeight="1" ht="0.7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0.7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0.7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AD17" s="1484"/>
      <c r="AE17" s="1484"/>
      <c r="AF17" s="1484"/>
      <c r="AG17" s="1485"/>
      <c r="AH17" s="2404"/>
      <c r="AI17" s="2405" t="s">
        <v>62</v>
      </c>
      <c r="AJ17" s="2404"/>
      <c r="AK17" s="2405" t="s">
        <v>62</v>
      </c>
      <c r="AS17" s="1279">
        <v>0</v>
      </c>
    </row>
    <row customHeight="1" ht="14.25" hidden="1">
      <c r="AD18" s="1484"/>
      <c r="AE18" s="1484"/>
      <c r="AF18" s="1484"/>
      <c r="AG18" s="452" t="str">
        <f>AH17&amp;"-"&amp;AJ17</f>
        <v>-</v>
      </c>
      <c r="AH18" s="2405"/>
      <c r="AI18" s="2405"/>
      <c r="AJ18" s="2405"/>
      <c r="AK18" s="2405"/>
      <c r="AS18" s="1279">
        <v>0</v>
      </c>
    </row>
    <row customHeight="1" ht="14.25" hidden="1">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14.2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AS23" s="1279">
        <v>0</v>
      </c>
    </row>
    <row customHeight="1" ht="14.25" hidden="1">
      <c r="O24" s="1488"/>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63">
      <c r="Q26" s="500"/>
      <c r="R26" s="500"/>
      <c r="S26" s="238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5"/>
      <c r="U26" s="2385"/>
      <c r="V26" s="2385"/>
      <c r="W26" s="2385"/>
      <c r="X26" s="2385"/>
      <c r="Y26" s="2385"/>
      <c r="Z26" s="2385"/>
      <c r="AA26" s="2385"/>
      <c r="AB26" s="2385"/>
      <c r="AC26" s="2385"/>
      <c r="AD26" s="2385"/>
      <c r="AE26" s="2385"/>
      <c r="AF26" s="2385"/>
      <c r="AG26" s="2385"/>
      <c r="AH26" s="2385"/>
      <c r="AI26" s="2385"/>
      <c r="AJ26" s="2385"/>
      <c r="AK26" s="1367"/>
      <c r="AS26" s="1279">
        <v>60</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18.7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464"/>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279">
        <v>14</v>
      </c>
    </row>
    <row customHeight="1" ht="35.699999999999996">
      <c r="Q40" s="500"/>
      <c r="R40" s="500"/>
      <c r="S40" s="2410"/>
      <c r="T40" s="2346"/>
      <c r="U40" s="1155"/>
      <c r="V40" s="2397" t="s">
        <v>545</v>
      </c>
      <c r="W40" s="2420"/>
      <c r="X40" s="2399" t="s">
        <v>547</v>
      </c>
      <c r="Y40" s="2400"/>
      <c r="Z40" s="2399" t="s">
        <v>548</v>
      </c>
      <c r="AA40" s="2406"/>
      <c r="AB40" s="2400"/>
      <c r="AC40" s="2415"/>
      <c r="AD40" s="2397" t="s">
        <v>562</v>
      </c>
      <c r="AE40" s="2420"/>
      <c r="AF40" s="2399" t="s">
        <v>547</v>
      </c>
      <c r="AG40" s="2400"/>
      <c r="AH40" s="2399" t="s">
        <v>548</v>
      </c>
      <c r="AI40" s="2406"/>
      <c r="AJ40" s="2400"/>
      <c r="AK40" s="2415"/>
      <c r="AL40" s="2418"/>
      <c r="AM40" s="2264"/>
      <c r="AS40" s="1279">
        <v>34</v>
      </c>
    </row>
    <row customHeight="1" ht="35.699999999999996">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Q41" s="500"/>
      <c r="R41" s="500"/>
      <c r="S41" s="2410"/>
      <c r="T41" s="2346"/>
      <c r="U41" s="426"/>
      <c r="V41" s="2398"/>
      <c r="W41" s="2421"/>
      <c r="X41" s="1346" t="s">
        <v>556</v>
      </c>
      <c r="Y41" s="1346" t="s">
        <v>557</v>
      </c>
      <c r="Z41" s="1462" t="s">
        <v>558</v>
      </c>
      <c r="AA41" s="2407" t="s">
        <v>559</v>
      </c>
      <c r="AB41" s="2408"/>
      <c r="AC41" s="2416"/>
      <c r="AD41" s="2398"/>
      <c r="AE41" s="2421"/>
      <c r="AF41" s="1346" t="s">
        <v>556</v>
      </c>
      <c r="AG41" s="1346" t="s">
        <v>557</v>
      </c>
      <c r="AH41" s="1462" t="s">
        <v>558</v>
      </c>
      <c r="AI41" s="2407" t="s">
        <v>559</v>
      </c>
      <c r="AJ41" s="2408"/>
      <c r="AK41" s="2416"/>
      <c r="AL41" s="2419"/>
      <c r="AM41" s="2264"/>
      <c r="AS41" s="1279">
        <v>34</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459">
        <f>OFFSET(V42,0,-1)+1</f>
        <v>3</v>
      </c>
      <c r="W42" s="1459"/>
      <c r="X42" s="1459">
        <f>OFFSET(X42,0,-1)+1</f>
        <v>1</v>
      </c>
      <c r="Y42" s="1459">
        <f>OFFSET(Y42,0,-1)+1</f>
        <v>2</v>
      </c>
      <c r="Z42" s="1459">
        <f>OFFSET(Z42,0,-1)+1</f>
        <v>3</v>
      </c>
      <c r="AA42" s="2409">
        <f>OFFSET(AA42,0,-1)+1</f>
        <v>4</v>
      </c>
      <c r="AB42" s="2409"/>
      <c r="AC42" s="1459">
        <f>OFFSET(AC42,0,-2)+1</f>
        <v>5</v>
      </c>
      <c r="AD42" s="1459">
        <f>OFFSET(AD42,0,-1)+1</f>
        <v>6</v>
      </c>
      <c r="AE42" s="1459"/>
      <c r="AF42" s="1459">
        <f>OFFSET(AF42,0,-1)+1</f>
        <v>1</v>
      </c>
      <c r="AG42" s="1459">
        <f>OFFSET(AG42,0,-1)+1</f>
        <v>2</v>
      </c>
      <c r="AH42" s="1459">
        <f>OFFSET(AH42,0,-1)+1</f>
        <v>3</v>
      </c>
      <c r="AI42" s="2409">
        <f>OFFSET(AI42,0,-1)+1</f>
        <v>4</v>
      </c>
      <c r="AJ42" s="2409"/>
      <c r="AK42" s="1459">
        <f>OFFSET(AK42,0,-2)+1</f>
        <v>5</v>
      </c>
      <c r="AL42" s="1369">
        <f>OFFSET(AL42,0,-1)</f>
        <v>5</v>
      </c>
      <c r="AM42" s="1459">
        <f>OFFSET(AM42,0,-1)+1</f>
        <v>6</v>
      </c>
      <c r="AN42" s="635"/>
      <c r="AO42" s="635"/>
      <c r="AP42" s="635"/>
      <c r="AQ42" s="635"/>
      <c r="AR42" s="635"/>
      <c r="AS42" s="620">
        <v>0</v>
      </c>
    </row>
    <row customHeight="1" ht="22.049999999999997">
      <c r="A43" s="1487" t="s">
        <v>282</v>
      </c>
      <c r="B43" s="1487"/>
      <c r="C43" s="1487"/>
      <c r="D43" s="1487"/>
      <c r="E43" s="2395">
        <v>1</v>
      </c>
      <c r="F43" s="1487"/>
      <c r="G43" s="1487"/>
      <c r="H43" s="1487"/>
      <c r="I43" s="1487"/>
      <c r="J43" s="1487"/>
      <c r="K43" s="1487"/>
      <c r="L43" s="1488"/>
      <c r="M43" s="1489"/>
      <c r="N43" s="1489"/>
      <c r="O43" s="1489"/>
      <c r="P43" s="485"/>
      <c r="Q43" s="484"/>
      <c r="R43" s="479"/>
      <c r="S43" s="1460">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21</v>
      </c>
    </row>
    <row customHeight="1" ht="22.049999999999997">
      <c r="A44" s="1487" t="s">
        <v>282</v>
      </c>
      <c r="B44" s="1487" t="s">
        <v>283</v>
      </c>
      <c r="C44" s="1487"/>
      <c r="D44" s="1487"/>
      <c r="E44" s="2396"/>
      <c r="F44" s="2395">
        <v>1</v>
      </c>
      <c r="G44" s="1487"/>
      <c r="H44" s="1487"/>
      <c r="I44" s="1487"/>
      <c r="J44" s="1487"/>
      <c r="K44" s="1487"/>
      <c r="L44" s="1488"/>
      <c r="M44" s="1489"/>
      <c r="N44" s="1489"/>
      <c r="O44" s="1489"/>
      <c r="P44" s="1456"/>
      <c r="Q44" s="476"/>
      <c r="R44" s="477"/>
      <c r="S44" s="1460"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21</v>
      </c>
    </row>
    <row customHeight="1" ht="24">
      <c r="A45" s="1487" t="s">
        <v>282</v>
      </c>
      <c r="B45" s="1487" t="s">
        <v>283</v>
      </c>
      <c r="C45" s="1487" t="s">
        <v>284</v>
      </c>
      <c r="D45" s="1487"/>
      <c r="E45" s="2396"/>
      <c r="F45" s="2396"/>
      <c r="G45" s="2395">
        <v>1</v>
      </c>
      <c r="H45" s="1487"/>
      <c r="I45" s="1487"/>
      <c r="J45" s="1487"/>
      <c r="K45" s="1487"/>
      <c r="L45" s="1488"/>
      <c r="M45" s="1489"/>
      <c r="N45" s="1489"/>
      <c r="O45" s="1489"/>
      <c r="P45" s="478"/>
      <c r="Q45" s="476"/>
      <c r="R45" s="477"/>
      <c r="S45" s="1460"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2.049999999999997">
      <c r="A46" s="1487" t="s">
        <v>282</v>
      </c>
      <c r="B46" s="1487" t="s">
        <v>283</v>
      </c>
      <c r="C46" s="1487" t="s">
        <v>284</v>
      </c>
      <c r="D46" s="1487" t="s">
        <v>285</v>
      </c>
      <c r="E46" s="2396"/>
      <c r="F46" s="2396"/>
      <c r="G46" s="2396"/>
      <c r="H46" s="2395">
        <v>1</v>
      </c>
      <c r="I46" s="1487"/>
      <c r="J46" s="1487"/>
      <c r="K46" s="1487"/>
      <c r="L46" s="1488"/>
      <c r="M46" s="1489"/>
      <c r="N46" s="1489"/>
      <c r="O46" s="1489"/>
      <c r="P46" s="478"/>
      <c r="Q46" s="476"/>
      <c r="R46" s="477"/>
      <c r="S46" s="1460"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21</v>
      </c>
    </row>
    <row s="6698" customFormat="1" customHeight="1" ht="0">
      <c r="A47" s="1467" t="s">
        <v>282</v>
      </c>
      <c r="B47" s="1467" t="s">
        <v>283</v>
      </c>
      <c r="C47" s="1467" t="s">
        <v>284</v>
      </c>
      <c r="D47" s="1467" t="s">
        <v>285</v>
      </c>
      <c r="E47" s="2396"/>
      <c r="F47" s="2396"/>
      <c r="G47" s="2396"/>
      <c r="H47" s="2396"/>
      <c r="I47" s="2393" t="str">
        <f>S46&amp;".1"</f>
        <v>....1</v>
      </c>
      <c r="J47" s="1467"/>
      <c r="K47" s="1467"/>
      <c r="L47" s="1470" t="s">
        <v>515</v>
      </c>
      <c r="M47" s="634"/>
      <c r="N47" s="634"/>
      <c r="O47" s="634"/>
      <c r="P47" s="2394">
        <v>1</v>
      </c>
      <c r="Q47" s="1455"/>
      <c r="R47" s="480"/>
      <c r="S47" s="1166"/>
      <c r="T47" s="1507"/>
      <c r="U47" s="1508"/>
      <c r="V47" s="2433"/>
      <c r="W47" s="2434"/>
      <c r="X47" s="2434"/>
      <c r="Y47" s="2434"/>
      <c r="Z47" s="2434"/>
      <c r="AA47" s="2434"/>
      <c r="AB47" s="2434"/>
      <c r="AC47" s="2435"/>
      <c r="AD47" s="2433"/>
      <c r="AE47" s="2434"/>
      <c r="AF47" s="2434"/>
      <c r="AG47" s="2434"/>
      <c r="AH47" s="2434"/>
      <c r="AI47" s="2434"/>
      <c r="AJ47" s="2434"/>
      <c r="AK47" s="2434"/>
      <c r="AL47" s="2435"/>
      <c r="AM47" s="1509"/>
      <c r="AO47" s="624"/>
      <c r="AP47" s="624" t="str">
        <f>IF(T47="","",T47)</f>
        <v/>
      </c>
      <c r="AQ47" s="624"/>
      <c r="AR47" s="624"/>
      <c r="AS47" s="635">
        <v>0</v>
      </c>
    </row>
    <row customHeight="1" ht="22.049999999999997">
      <c r="A48" s="1487" t="s">
        <v>282</v>
      </c>
      <c r="B48" s="1487" t="s">
        <v>283</v>
      </c>
      <c r="C48" s="1487" t="s">
        <v>284</v>
      </c>
      <c r="D48" s="1487" t="s">
        <v>285</v>
      </c>
      <c r="E48" s="2396"/>
      <c r="F48" s="2396"/>
      <c r="G48" s="2396"/>
      <c r="H48" s="2396"/>
      <c r="I48" s="2423"/>
      <c r="J48" s="2393" t="str">
        <f>S46&amp;".1"</f>
        <v>....1</v>
      </c>
      <c r="K48" s="1487"/>
      <c r="L48" s="1488" t="s">
        <v>518</v>
      </c>
      <c r="P48" s="2394"/>
      <c r="Q48" s="2394">
        <v>1</v>
      </c>
      <c r="R48" s="481"/>
      <c r="S48" s="1460" t="str">
        <f>$J48</f>
        <v>....1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21</v>
      </c>
    </row>
    <row customHeight="1" ht="22.049999999999997">
      <c r="A49" s="1487" t="s">
        <v>282</v>
      </c>
      <c r="B49" s="1487" t="s">
        <v>283</v>
      </c>
      <c r="C49" s="1487" t="s">
        <v>284</v>
      </c>
      <c r="D49" s="1487" t="s">
        <v>285</v>
      </c>
      <c r="E49" s="2396"/>
      <c r="F49" s="2396"/>
      <c r="G49" s="2396"/>
      <c r="H49" s="2396"/>
      <c r="I49" s="2423"/>
      <c r="J49" s="2423"/>
      <c r="K49" s="2393" t="str">
        <f>J48&amp;".1"</f>
        <v>....1.1</v>
      </c>
      <c r="L49" s="1488" t="s">
        <v>521</v>
      </c>
      <c r="P49" s="2394"/>
      <c r="Q49" s="2394"/>
      <c r="R49" s="481">
        <v>1</v>
      </c>
      <c r="S49" s="1460" t="str">
        <f>$K49</f>
        <v>....1.1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563</v>
      </c>
      <c r="AN49" s="635">
        <f>STRCHECKDATE(V50:AL50)</f>
      </c>
      <c r="AO49" s="624"/>
      <c r="AP49" s="624" t="str">
        <f>IF(T49="","",T49)</f>
        <v/>
      </c>
      <c r="AQ49" s="624"/>
      <c r="AR49" s="624"/>
      <c r="AS49" s="1279">
        <v>21</v>
      </c>
    </row>
    <row customHeight="1" ht="1.05">
      <c r="A50" s="1487" t="s">
        <v>282</v>
      </c>
      <c r="B50" s="1487" t="s">
        <v>283</v>
      </c>
      <c r="C50" s="1487" t="s">
        <v>284</v>
      </c>
      <c r="D50" s="1487" t="s">
        <v>285</v>
      </c>
      <c r="E50" s="2396"/>
      <c r="F50" s="2396"/>
      <c r="G50" s="2396"/>
      <c r="H50" s="2396"/>
      <c r="I50" s="2423"/>
      <c r="J50" s="2423"/>
      <c r="K50" s="2393"/>
      <c r="L50" s="1488"/>
      <c r="P50" s="2394"/>
      <c r="Q50" s="2394"/>
      <c r="R50" s="481"/>
      <c r="S50" s="1466"/>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1</v>
      </c>
    </row>
    <row customHeight="1" ht="11.549999999999999">
      <c r="A51" s="1487" t="s">
        <v>282</v>
      </c>
      <c r="B51" s="1487" t="s">
        <v>283</v>
      </c>
      <c r="C51" s="1487" t="s">
        <v>284</v>
      </c>
      <c r="D51" s="1487" t="s">
        <v>285</v>
      </c>
      <c r="E51" s="2396"/>
      <c r="F51" s="2396"/>
      <c r="G51" s="2396"/>
      <c r="H51" s="2396"/>
      <c r="I51" s="2423"/>
      <c r="J51" s="2393"/>
      <c r="K51" s="1487"/>
      <c r="L51" s="1488"/>
      <c r="P51" s="2394"/>
      <c r="Q51" s="2394"/>
      <c r="R51" s="480"/>
      <c r="S51" s="1402"/>
      <c r="T51" s="411"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282</v>
      </c>
      <c r="B52" s="1487" t="s">
        <v>283</v>
      </c>
      <c r="C52" s="1487" t="s">
        <v>284</v>
      </c>
      <c r="D52" s="1487" t="s">
        <v>285</v>
      </c>
      <c r="E52" s="2396"/>
      <c r="F52" s="2396"/>
      <c r="G52" s="2396"/>
      <c r="H52" s="2396"/>
      <c r="I52" s="2393"/>
      <c r="J52" s="1487"/>
      <c r="K52" s="1487"/>
      <c r="L52" s="1488"/>
      <c r="P52" s="2394"/>
      <c r="Q52" s="1455"/>
      <c r="R52" s="480"/>
      <c r="S52" s="1402"/>
      <c r="T52" s="489"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0">
      <c r="A53" s="1487" t="s">
        <v>282</v>
      </c>
      <c r="B53" s="1487" t="s">
        <v>283</v>
      </c>
      <c r="C53" s="1487" t="s">
        <v>284</v>
      </c>
      <c r="D53" s="1487" t="s">
        <v>285</v>
      </c>
      <c r="E53" s="2396"/>
      <c r="F53" s="2396"/>
      <c r="G53" s="2396"/>
      <c r="H53" s="2395"/>
      <c r="I53" s="1487"/>
      <c r="J53" s="1487"/>
      <c r="K53" s="1487"/>
      <c r="L53" s="1488"/>
      <c r="M53" s="1489"/>
      <c r="N53" s="1489"/>
      <c r="O53" s="661"/>
      <c r="P53" s="484"/>
      <c r="Q53" s="499"/>
      <c r="R53" s="479"/>
      <c r="S53" s="1510"/>
      <c r="T53" s="1511"/>
      <c r="U53" s="1512"/>
      <c r="V53" s="1512"/>
      <c r="W53" s="1512"/>
      <c r="X53" s="1512"/>
      <c r="Y53" s="1512"/>
      <c r="Z53" s="1512"/>
      <c r="AA53" s="1512"/>
      <c r="AB53" s="1512"/>
      <c r="AC53" s="1512"/>
      <c r="AD53" s="1512"/>
      <c r="AE53" s="1512"/>
      <c r="AF53" s="1512"/>
      <c r="AG53" s="1512"/>
      <c r="AH53" s="1512"/>
      <c r="AI53" s="1512"/>
      <c r="AJ53" s="1512"/>
      <c r="AK53" s="1512"/>
      <c r="AL53" s="1512"/>
      <c r="AM53" s="1513"/>
      <c r="AO53" s="624"/>
      <c r="AP53" s="624" t="str">
        <f>IF(T53="","",T53)</f>
        <v/>
      </c>
      <c r="AQ53" s="624"/>
      <c r="AR53" s="624"/>
      <c r="AS53" s="1279">
        <v>0</v>
      </c>
    </row>
    <row s="6698" customFormat="1" customHeight="1" ht="1.05">
      <c r="A54" s="1467" t="s">
        <v>282</v>
      </c>
      <c r="B54" s="1467" t="s">
        <v>283</v>
      </c>
      <c r="C54" s="1467" t="s">
        <v>284</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1</v>
      </c>
    </row>
    <row s="6698" customFormat="1" customHeight="1" ht="1.05">
      <c r="A55" s="1467" t="s">
        <v>282</v>
      </c>
      <c r="B55" s="1467" t="s">
        <v>283</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1</v>
      </c>
    </row>
    <row s="6698" customFormat="1" customHeight="1" ht="1.05">
      <c r="A56" s="1467" t="s">
        <v>282</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1</v>
      </c>
    </row>
    <row s="6698" customFormat="1" customHeight="1" ht="1.05">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1</v>
      </c>
    </row>
    <row customHeight="1" ht="11.549999999999999">
      <c r="M58" s="1284"/>
      <c r="N58" s="1284"/>
      <c r="O58" s="661"/>
      <c r="P58" s="1279"/>
      <c r="Q58" s="1279"/>
      <c r="R58" s="1279"/>
      <c r="S58" s="1279"/>
      <c r="AN58" s="1279"/>
      <c r="AO58" s="1279"/>
      <c r="AP58" s="1279"/>
      <c r="AQ58" s="1279"/>
      <c r="AR58" s="1279"/>
      <c r="AS58" s="1279">
        <v>11</v>
      </c>
    </row>
    <row customHeight="1" ht="19.95">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19</v>
      </c>
    </row>
    <row customHeight="1" ht="29.25">
      <c r="O60" s="661"/>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28</v>
      </c>
    </row>
    <row customHeight="1" ht="42">
      <c r="O61" s="661"/>
      <c r="T61" s="2422"/>
      <c r="U61" s="2422"/>
      <c r="V61" s="2422"/>
      <c r="W61" s="2422"/>
      <c r="X61" s="2422"/>
      <c r="Y61" s="2422"/>
      <c r="Z61" s="2422"/>
      <c r="AA61" s="2422"/>
      <c r="AB61" s="2422"/>
      <c r="AC61" s="2422"/>
      <c r="AD61" s="2422"/>
      <c r="AE61" s="2422"/>
      <c r="AF61" s="2422"/>
      <c r="AG61" s="2422"/>
      <c r="AH61" s="2422"/>
      <c r="AI61" s="2422"/>
      <c r="AJ61" s="2422"/>
      <c r="AK61" s="2422"/>
      <c r="AL61" s="2422"/>
      <c r="AM61" s="2422"/>
      <c r="AS61" s="1279">
        <v>40</v>
      </c>
    </row>
    <row customHeight="1" ht="14.699999999999998">
      <c r="O62" s="661"/>
      <c r="AS62" s="1279">
        <v>14</v>
      </c>
    </row>
    <row customHeight="1" ht="21">
      <c r="O63" s="661"/>
      <c r="S63" s="1377"/>
      <c r="T63" s="2436"/>
      <c r="U63" s="2422"/>
      <c r="V63" s="2422"/>
      <c r="W63" s="2422"/>
      <c r="X63" s="2422"/>
      <c r="Y63" s="2422"/>
      <c r="Z63" s="2422"/>
      <c r="AA63" s="2422"/>
      <c r="AB63" s="2422"/>
      <c r="AC63" s="2422"/>
      <c r="AD63" s="2422"/>
      <c r="AE63" s="2422"/>
      <c r="AF63" s="2422"/>
      <c r="AG63" s="2422"/>
      <c r="AH63" s="2422"/>
      <c r="AI63" s="2422"/>
      <c r="AJ63" s="2422"/>
      <c r="AK63" s="2422"/>
      <c r="AL63" s="2422"/>
      <c r="AM63" s="2422"/>
      <c r="AS63" s="1279">
        <v>20</v>
      </c>
    </row>
    <row customHeight="1" ht="29.25">
      <c r="O64" s="661"/>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28</v>
      </c>
    </row>
    <row customHeight="1" ht="35.699999999999996">
      <c r="T65" s="2422"/>
      <c r="U65" s="2422"/>
      <c r="V65" s="2422"/>
      <c r="W65" s="2422"/>
      <c r="X65" s="2422"/>
      <c r="Y65" s="2422"/>
      <c r="Z65" s="2422"/>
      <c r="AA65" s="2422"/>
      <c r="AB65" s="2422"/>
      <c r="AC65" s="2422"/>
      <c r="AD65" s="2422"/>
      <c r="AE65" s="2422"/>
      <c r="AF65" s="2422"/>
      <c r="AG65" s="2422"/>
      <c r="AH65" s="2422"/>
      <c r="AI65" s="2422"/>
      <c r="AJ65" s="2422"/>
      <c r="AK65" s="2422"/>
      <c r="AL65" s="2422"/>
      <c r="AM65" s="2422"/>
      <c r="AS65" s="1279">
        <v>34</v>
      </c>
    </row>
    <row customHeight="1" ht="22.5" hidden="1">
      <c r="A66" s="1284" t="s">
        <v>82</v>
      </c>
      <c r="B66" s="1284">
        <v>0</v>
      </c>
      <c r="C66" s="1284">
        <v>0</v>
      </c>
      <c r="D66" s="1284">
        <v>0</v>
      </c>
      <c r="E66" s="1284">
        <v>0</v>
      </c>
      <c r="F66" s="1284">
        <v>0</v>
      </c>
      <c r="G66" s="1284">
        <v>0</v>
      </c>
      <c r="H66" s="1284">
        <v>0</v>
      </c>
      <c r="I66" s="1284">
        <v>0</v>
      </c>
      <c r="J66" s="1284">
        <v>0</v>
      </c>
      <c r="K66" s="1284">
        <v>0</v>
      </c>
      <c r="L66" s="1453">
        <v>0</v>
      </c>
      <c r="M66" s="1486">
        <v>0</v>
      </c>
      <c r="N66" s="1486">
        <v>0</v>
      </c>
      <c r="O66" s="1486">
        <v>0</v>
      </c>
      <c r="P66" s="1452">
        <v>0</v>
      </c>
      <c r="Q66" s="468">
        <v>3</v>
      </c>
      <c r="R66" s="468">
        <v>3</v>
      </c>
      <c r="S66" s="705">
        <v>12</v>
      </c>
      <c r="T66" s="1279">
        <v>31</v>
      </c>
      <c r="U66" s="1279">
        <v>0</v>
      </c>
      <c r="V66" s="1279">
        <v>0</v>
      </c>
      <c r="W66" s="1279">
        <v>0</v>
      </c>
      <c r="X66" s="1279">
        <v>0</v>
      </c>
      <c r="Y66" s="1279">
        <v>0</v>
      </c>
      <c r="Z66" s="1279">
        <v>0</v>
      </c>
      <c r="AA66" s="1279">
        <v>0</v>
      </c>
      <c r="AB66" s="1279">
        <v>0</v>
      </c>
      <c r="AC66" s="1279">
        <v>0</v>
      </c>
      <c r="AD66" s="1279">
        <v>24</v>
      </c>
      <c r="AE66" s="1279">
        <v>0</v>
      </c>
      <c r="AF66" s="1279">
        <v>24</v>
      </c>
      <c r="AG66" s="1279">
        <v>24</v>
      </c>
      <c r="AH66" s="1279">
        <v>11</v>
      </c>
      <c r="AI66" s="1279">
        <v>3</v>
      </c>
      <c r="AJ66" s="1279">
        <v>11</v>
      </c>
      <c r="AK66" s="1279">
        <v>0</v>
      </c>
      <c r="AL66" s="1279">
        <v>4</v>
      </c>
      <c r="AM66" s="1279">
        <v>115</v>
      </c>
      <c r="AN66" s="635">
        <v>10</v>
      </c>
      <c r="AO66" s="635">
        <v>10</v>
      </c>
      <c r="AP66" s="635">
        <v>10</v>
      </c>
      <c r="AQ66" s="635">
        <v>10</v>
      </c>
      <c r="AR66" s="635">
        <v>10</v>
      </c>
      <c r="AS66" s="127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C488E-4528-6786-90EA-6AF8B2A00A1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7109375" hidden="1"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A1" s="1992"/>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60">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56"/>
      <c r="Q3" s="476"/>
      <c r="R3" s="477"/>
      <c r="S3" s="1460">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2129">
        <f>INDEX(PT_DIFFERENTIATION_NUM_CS,MATCH(C4,PT_DIFFERENTIATION_CS_ID,0))</f>
      </c>
      <c r="T4" s="2133" t="s">
        <v>511</v>
      </c>
      <c r="U4" s="2134"/>
      <c r="V4" s="2437"/>
      <c r="W4" s="2438"/>
      <c r="X4" s="2438"/>
      <c r="Y4" s="2438"/>
      <c r="Z4" s="2438"/>
      <c r="AA4" s="2438"/>
      <c r="AB4" s="2438"/>
      <c r="AC4" s="2439"/>
      <c r="AD4" s="2437">
        <f>INDEX(PT_DIFFERENTIATION_CS,MATCH(C4,PT_DIFFERENTIATION_CS_ID,0))</f>
      </c>
      <c r="AE4" s="2438"/>
      <c r="AF4" s="2438"/>
      <c r="AG4" s="2438"/>
      <c r="AH4" s="2438"/>
      <c r="AI4" s="2438"/>
      <c r="AJ4" s="2438"/>
      <c r="AK4" s="2438"/>
      <c r="AL4" s="2439"/>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1759"/>
      <c r="S5" s="2128">
        <f>INDEX(PT_DIFFERENTIATION_NUM_IST_TE,MATCH(D5,PT_DIFFERENTIATION_IST_TE_ID,0))</f>
      </c>
      <c r="T5" s="434" t="s">
        <v>513</v>
      </c>
      <c r="U5" s="424"/>
      <c r="V5" s="2440"/>
      <c r="W5" s="2440"/>
      <c r="X5" s="2440"/>
      <c r="Y5" s="2440"/>
      <c r="Z5" s="2440"/>
      <c r="AA5" s="2440"/>
      <c r="AB5" s="2440"/>
      <c r="AC5" s="2440"/>
      <c r="AD5" s="2440">
        <f>INDEX(PT_DIFFERENTIATION_IST_TE,MATCH(D5,PT_DIFFERENTIATION_IST_TE_ID,0))</f>
      </c>
      <c r="AE5" s="2440"/>
      <c r="AF5" s="2440"/>
      <c r="AG5" s="2440"/>
      <c r="AH5" s="2440"/>
      <c r="AI5" s="2440"/>
      <c r="AJ5" s="2440"/>
      <c r="AK5" s="2440"/>
      <c r="AL5" s="2440"/>
      <c r="AM5" s="2131" t="s">
        <v>514</v>
      </c>
      <c r="AO5" s="624"/>
      <c r="AP5" s="624" t="str">
        <f>IF(T5="","",T5)</f>
        <v>Источник тепловой энергии  </v>
      </c>
      <c r="AQ5" s="624"/>
      <c r="AR5" s="624"/>
      <c r="AS5" s="1279">
        <v>0</v>
      </c>
    </row>
    <row customHeight="1" ht="0.75" hidden="1">
      <c r="A6" s="1487"/>
      <c r="B6" s="1487"/>
      <c r="C6" s="1487"/>
      <c r="D6" s="1487"/>
      <c r="E6" s="2396"/>
      <c r="F6" s="2396"/>
      <c r="G6" s="2396"/>
      <c r="H6" s="2396"/>
      <c r="I6" s="2393">
        <f>S5&amp;".1"</f>
      </c>
      <c r="J6" s="1487"/>
      <c r="K6" s="1487"/>
      <c r="L6" s="1488" t="s">
        <v>515</v>
      </c>
      <c r="M6" s="661"/>
      <c r="P6" s="2394">
        <v>1</v>
      </c>
      <c r="Q6" s="1455"/>
      <c r="R6" s="2127"/>
      <c r="S6" s="1166"/>
      <c r="T6" s="1507"/>
      <c r="U6" s="1508"/>
      <c r="V6" s="2441"/>
      <c r="W6" s="2441"/>
      <c r="X6" s="2441"/>
      <c r="Y6" s="2441"/>
      <c r="Z6" s="2441"/>
      <c r="AA6" s="2441"/>
      <c r="AB6" s="2441"/>
      <c r="AC6" s="2441"/>
      <c r="AD6" s="2441"/>
      <c r="AE6" s="2441"/>
      <c r="AF6" s="2441"/>
      <c r="AG6" s="2441"/>
      <c r="AH6" s="2441"/>
      <c r="AI6" s="2441"/>
      <c r="AJ6" s="2441"/>
      <c r="AK6" s="2441"/>
      <c r="AL6" s="2441"/>
      <c r="AM6" s="2132"/>
      <c r="AO6" s="624"/>
      <c r="AP6" s="624" t="str">
        <f>IF(T6="","",T6)</f>
        <v/>
      </c>
      <c r="AQ6" s="624"/>
      <c r="AR6" s="624"/>
      <c r="AS6" s="1279">
        <v>0</v>
      </c>
    </row>
    <row customHeight="1" ht="84" hidden="1">
      <c r="A7" s="1487"/>
      <c r="B7" s="1487"/>
      <c r="C7" s="1487"/>
      <c r="D7" s="1487"/>
      <c r="E7" s="2396"/>
      <c r="F7" s="2396"/>
      <c r="G7" s="2396"/>
      <c r="H7" s="2396"/>
      <c r="I7" s="2423"/>
      <c r="J7" s="2393">
        <f>I6&amp;".1"</f>
      </c>
      <c r="K7" s="1487"/>
      <c r="L7" s="1488" t="s">
        <v>518</v>
      </c>
      <c r="M7" s="661"/>
      <c r="N7" s="1490"/>
      <c r="P7" s="2394"/>
      <c r="Q7" s="2394">
        <v>1</v>
      </c>
      <c r="R7" s="1766"/>
      <c r="S7" s="2128">
        <f>$J7</f>
      </c>
      <c r="T7" s="410" t="s">
        <v>519</v>
      </c>
      <c r="U7" s="424"/>
      <c r="V7" s="2442"/>
      <c r="W7" s="2442"/>
      <c r="X7" s="2442"/>
      <c r="Y7" s="2442"/>
      <c r="Z7" s="2442"/>
      <c r="AA7" s="2442"/>
      <c r="AB7" s="2442"/>
      <c r="AC7" s="2442"/>
      <c r="AD7" s="2442"/>
      <c r="AE7" s="2442"/>
      <c r="AF7" s="2442"/>
      <c r="AG7" s="2442"/>
      <c r="AH7" s="2442"/>
      <c r="AI7" s="2442"/>
      <c r="AJ7" s="2442"/>
      <c r="AK7" s="2442"/>
      <c r="AL7" s="2442"/>
      <c r="AM7" s="2131" t="s">
        <v>520</v>
      </c>
      <c r="AO7" s="624"/>
      <c r="AP7" s="624" t="str">
        <f>IF(T7="","",T7)</f>
        <v>Группа потребителей</v>
      </c>
      <c r="AQ7" s="624"/>
      <c r="AR7" s="624"/>
      <c r="AS7" s="1279">
        <v>0</v>
      </c>
    </row>
    <row customHeight="1" ht="11.25" hidden="1">
      <c r="A8" s="1487"/>
      <c r="B8" s="1487"/>
      <c r="C8" s="1487"/>
      <c r="D8" s="1487"/>
      <c r="E8" s="2396"/>
      <c r="F8" s="2396"/>
      <c r="G8" s="2396"/>
      <c r="H8" s="2396"/>
      <c r="I8" s="2423"/>
      <c r="J8" s="2423"/>
      <c r="K8" s="2393">
        <f>J7&amp;".1"</f>
      </c>
      <c r="L8" s="1488" t="s">
        <v>521</v>
      </c>
      <c r="M8" s="661"/>
      <c r="N8" s="1490"/>
      <c r="O8" s="1490"/>
      <c r="P8" s="2394"/>
      <c r="Q8" s="2394"/>
      <c r="R8" s="481">
        <v>1</v>
      </c>
      <c r="S8" s="2130">
        <f>$K8</f>
      </c>
      <c r="T8" s="2135"/>
      <c r="U8" s="2136"/>
      <c r="V8" s="2137"/>
      <c r="W8" s="1473"/>
      <c r="X8" s="2137"/>
      <c r="Y8" s="2138"/>
      <c r="Z8" s="2443"/>
      <c r="AA8" s="2249" t="s">
        <v>62</v>
      </c>
      <c r="AB8" s="2443"/>
      <c r="AC8" s="2249" t="s">
        <v>62</v>
      </c>
      <c r="AD8" s="2137"/>
      <c r="AE8" s="1473"/>
      <c r="AF8" s="2137"/>
      <c r="AG8" s="2138"/>
      <c r="AH8" s="2443"/>
      <c r="AI8" s="2249" t="s">
        <v>62</v>
      </c>
      <c r="AJ8" s="2443"/>
      <c r="AK8" s="2249" t="s">
        <v>62</v>
      </c>
      <c r="AL8" s="1473"/>
      <c r="AM8" s="2390" t="s">
        <v>522</v>
      </c>
      <c r="AN8" s="635">
        <f>STRCHECKDATE(V9:AL9)</f>
      </c>
      <c r="AO8" s="624"/>
      <c r="AP8" s="624" t="str">
        <f>IF(T8="","",T8)</f>
        <v/>
      </c>
      <c r="AQ8" s="624"/>
      <c r="AR8" s="624"/>
      <c r="AS8" s="1279">
        <v>0</v>
      </c>
    </row>
    <row customHeight="1" ht="0.75" hidden="1">
      <c r="A9" s="1487"/>
      <c r="B9" s="1487"/>
      <c r="C9" s="1487"/>
      <c r="D9" s="1487"/>
      <c r="E9" s="2396"/>
      <c r="F9" s="2396"/>
      <c r="G9" s="2396"/>
      <c r="H9" s="2396"/>
      <c r="I9" s="2423"/>
      <c r="J9" s="2423"/>
      <c r="K9" s="2393"/>
      <c r="L9" s="1488"/>
      <c r="M9" s="661"/>
      <c r="N9" s="1490"/>
      <c r="O9" s="1490"/>
      <c r="P9" s="2394"/>
      <c r="Q9" s="2394"/>
      <c r="R9" s="481"/>
      <c r="S9" s="1466"/>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1.25" hidden="1">
      <c r="A10" s="1487"/>
      <c r="B10" s="1487"/>
      <c r="C10" s="1487"/>
      <c r="D10" s="1487"/>
      <c r="E10" s="2396"/>
      <c r="F10" s="2396"/>
      <c r="G10" s="2396"/>
      <c r="H10" s="2396"/>
      <c r="I10" s="2423"/>
      <c r="J10" s="2393"/>
      <c r="K10" s="1487"/>
      <c r="L10" s="1488"/>
      <c r="M10" s="661"/>
      <c r="N10" s="1490"/>
      <c r="P10" s="2394"/>
      <c r="Q10" s="2394"/>
      <c r="R10" s="480"/>
      <c r="S10" s="1402"/>
      <c r="T10" s="411"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1.25" hidden="1">
      <c r="A11" s="1487"/>
      <c r="B11" s="1487"/>
      <c r="C11" s="1487"/>
      <c r="D11" s="1487"/>
      <c r="E11" s="2396"/>
      <c r="F11" s="2396"/>
      <c r="G11" s="2396"/>
      <c r="H11" s="2396"/>
      <c r="I11" s="2393"/>
      <c r="J11" s="1487"/>
      <c r="K11" s="1487"/>
      <c r="L11" s="1488"/>
      <c r="M11" s="661"/>
      <c r="P11" s="2394"/>
      <c r="Q11" s="1455"/>
      <c r="R11" s="480"/>
      <c r="S11" s="1402"/>
      <c r="T11" s="489"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0.75" hidden="1">
      <c r="A12" s="1487"/>
      <c r="B12" s="1487"/>
      <c r="C12" s="1487"/>
      <c r="D12" s="1487"/>
      <c r="E12" s="2396"/>
      <c r="F12" s="2396"/>
      <c r="G12" s="2396"/>
      <c r="H12" s="2395"/>
      <c r="I12" s="1487"/>
      <c r="J12" s="1487"/>
      <c r="K12" s="1487"/>
      <c r="L12" s="1488"/>
      <c r="M12" s="1489"/>
      <c r="N12" s="1489"/>
      <c r="O12" s="661"/>
      <c r="P12" s="484"/>
      <c r="Q12" s="499"/>
      <c r="R12" s="479"/>
      <c r="S12" s="1510"/>
      <c r="T12" s="1511"/>
      <c r="U12" s="1512"/>
      <c r="V12" s="1512"/>
      <c r="W12" s="1512"/>
      <c r="X12" s="1512"/>
      <c r="Y12" s="1512"/>
      <c r="Z12" s="1512"/>
      <c r="AA12" s="1512"/>
      <c r="AB12" s="1512"/>
      <c r="AC12" s="1512"/>
      <c r="AD12" s="1512"/>
      <c r="AE12" s="1512"/>
      <c r="AF12" s="1512"/>
      <c r="AG12" s="1512"/>
      <c r="AH12" s="1512"/>
      <c r="AI12" s="1512"/>
      <c r="AJ12" s="1512"/>
      <c r="AK12" s="1512"/>
      <c r="AL12" s="1512"/>
      <c r="AM12" s="1513"/>
      <c r="AO12" s="624"/>
      <c r="AP12" s="624" t="str">
        <f>IF(T12="","",T12)</f>
        <v/>
      </c>
      <c r="AQ12" s="624"/>
      <c r="AR12" s="624"/>
      <c r="AS12" s="1279">
        <v>0</v>
      </c>
    </row>
    <row s="6698" customFormat="1" customHeight="1" ht="0.7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0.7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0.7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AD17" s="1484"/>
      <c r="AE17" s="1484"/>
      <c r="AF17" s="1484"/>
      <c r="AG17" s="1485"/>
      <c r="AH17" s="2404"/>
      <c r="AI17" s="2405" t="s">
        <v>62</v>
      </c>
      <c r="AJ17" s="2404"/>
      <c r="AK17" s="2405" t="s">
        <v>62</v>
      </c>
      <c r="AS17" s="1279">
        <v>0</v>
      </c>
    </row>
    <row customHeight="1" ht="14.25" hidden="1">
      <c r="AD18" s="1484"/>
      <c r="AE18" s="1484"/>
      <c r="AF18" s="1484"/>
      <c r="AG18" s="452" t="str">
        <f>AH17&amp;"-"&amp;AJ17</f>
        <v>-</v>
      </c>
      <c r="AH18" s="2405"/>
      <c r="AI18" s="2405"/>
      <c r="AJ18" s="2405"/>
      <c r="AK18" s="2405"/>
      <c r="AS18" s="1279">
        <v>0</v>
      </c>
    </row>
    <row customHeight="1" ht="14.25" hidden="1">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14.2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AS23" s="1279">
        <v>0</v>
      </c>
    </row>
    <row customHeight="1" ht="14.25" hidden="1">
      <c r="O24" s="1488"/>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54.75">
      <c r="Q26" s="500"/>
      <c r="R26" s="500"/>
      <c r="S26" s="24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44"/>
      <c r="U26" s="2444"/>
      <c r="V26" s="2444"/>
      <c r="W26" s="2444"/>
      <c r="X26" s="2444"/>
      <c r="Y26" s="2444"/>
      <c r="Z26" s="2444"/>
      <c r="AA26" s="2444"/>
      <c r="AB26" s="2444"/>
      <c r="AC26" s="2444"/>
      <c r="AD26" s="2444"/>
      <c r="AE26" s="2444"/>
      <c r="AF26" s="2444"/>
      <c r="AG26" s="2444"/>
      <c r="AH26" s="2444"/>
      <c r="AI26" s="2444"/>
      <c r="AJ26" s="2444"/>
      <c r="AK26" s="1367"/>
      <c r="AS26" s="1279">
        <v>52</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18.7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464"/>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279">
        <v>14</v>
      </c>
    </row>
    <row customHeight="1" ht="35.699999999999996">
      <c r="Q40" s="500"/>
      <c r="R40" s="500"/>
      <c r="S40" s="2410"/>
      <c r="T40" s="2346"/>
      <c r="U40" s="1155"/>
      <c r="V40" s="2397" t="s">
        <v>545</v>
      </c>
      <c r="W40" s="2420"/>
      <c r="X40" s="2399" t="s">
        <v>547</v>
      </c>
      <c r="Y40" s="2400"/>
      <c r="Z40" s="2399" t="s">
        <v>548</v>
      </c>
      <c r="AA40" s="2406"/>
      <c r="AB40" s="2400"/>
      <c r="AC40" s="2415"/>
      <c r="AD40" s="2397" t="s">
        <v>562</v>
      </c>
      <c r="AE40" s="2420"/>
      <c r="AF40" s="2399" t="s">
        <v>547</v>
      </c>
      <c r="AG40" s="2400"/>
      <c r="AH40" s="2399" t="s">
        <v>548</v>
      </c>
      <c r="AI40" s="2406"/>
      <c r="AJ40" s="2400"/>
      <c r="AK40" s="2415"/>
      <c r="AL40" s="2418"/>
      <c r="AM40" s="2264"/>
      <c r="AS40" s="1279">
        <v>34</v>
      </c>
    </row>
    <row customHeight="1" ht="35.699999999999996">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Q41" s="500"/>
      <c r="R41" s="500"/>
      <c r="S41" s="2410"/>
      <c r="T41" s="2346"/>
      <c r="U41" s="426"/>
      <c r="V41" s="2398"/>
      <c r="W41" s="2421"/>
      <c r="X41" s="1346" t="s">
        <v>556</v>
      </c>
      <c r="Y41" s="1346" t="s">
        <v>557</v>
      </c>
      <c r="Z41" s="1462" t="s">
        <v>558</v>
      </c>
      <c r="AA41" s="2407" t="s">
        <v>559</v>
      </c>
      <c r="AB41" s="2408"/>
      <c r="AC41" s="2416"/>
      <c r="AD41" s="2398"/>
      <c r="AE41" s="2421"/>
      <c r="AF41" s="1346" t="s">
        <v>556</v>
      </c>
      <c r="AG41" s="1346" t="s">
        <v>557</v>
      </c>
      <c r="AH41" s="1462" t="s">
        <v>558</v>
      </c>
      <c r="AI41" s="2407" t="s">
        <v>559</v>
      </c>
      <c r="AJ41" s="2408"/>
      <c r="AK41" s="2416"/>
      <c r="AL41" s="2419"/>
      <c r="AM41" s="2264"/>
      <c r="AS41" s="1279">
        <v>34</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459">
        <f>OFFSET(V42,0,-1)+1</f>
        <v>3</v>
      </c>
      <c r="W42" s="1459"/>
      <c r="X42" s="1459">
        <f>OFFSET(X42,0,-1)+1</f>
        <v>1</v>
      </c>
      <c r="Y42" s="1459">
        <f>OFFSET(Y42,0,-1)+1</f>
        <v>2</v>
      </c>
      <c r="Z42" s="1459">
        <f>OFFSET(Z42,0,-1)+1</f>
        <v>3</v>
      </c>
      <c r="AA42" s="2409">
        <f>OFFSET(AA42,0,-1)+1</f>
        <v>4</v>
      </c>
      <c r="AB42" s="2409"/>
      <c r="AC42" s="1459">
        <f>OFFSET(AC42,0,-2)+1</f>
        <v>5</v>
      </c>
      <c r="AD42" s="1459">
        <f>OFFSET(AD42,0,-1)+1</f>
        <v>6</v>
      </c>
      <c r="AE42" s="1459"/>
      <c r="AF42" s="1459">
        <f>OFFSET(AF42,0,-1)+1</f>
        <v>1</v>
      </c>
      <c r="AG42" s="1459">
        <f>OFFSET(AG42,0,-1)+1</f>
        <v>2</v>
      </c>
      <c r="AH42" s="1459">
        <f>OFFSET(AH42,0,-1)+1</f>
        <v>3</v>
      </c>
      <c r="AI42" s="2409">
        <f>OFFSET(AI42,0,-1)+1</f>
        <v>4</v>
      </c>
      <c r="AJ42" s="2409"/>
      <c r="AK42" s="1459">
        <f>OFFSET(AK42,0,-2)+1</f>
        <v>5</v>
      </c>
      <c r="AL42" s="1369">
        <f>OFFSET(AL42,0,-1)</f>
        <v>5</v>
      </c>
      <c r="AM42" s="1459">
        <f>OFFSET(AM42,0,-1)+1</f>
        <v>6</v>
      </c>
      <c r="AN42" s="635"/>
      <c r="AO42" s="635"/>
      <c r="AP42" s="635"/>
      <c r="AQ42" s="635"/>
      <c r="AR42" s="635"/>
      <c r="AS42" s="620">
        <v>0</v>
      </c>
    </row>
    <row customHeight="1" ht="22.049999999999997">
      <c r="A43" s="1487" t="s">
        <v>294</v>
      </c>
      <c r="B43" s="1487"/>
      <c r="C43" s="1487"/>
      <c r="D43" s="1487"/>
      <c r="E43" s="2395">
        <v>1</v>
      </c>
      <c r="F43" s="1487"/>
      <c r="G43" s="1487"/>
      <c r="H43" s="1487"/>
      <c r="I43" s="1487"/>
      <c r="J43" s="1487"/>
      <c r="K43" s="1487"/>
      <c r="L43" s="1488"/>
      <c r="M43" s="1489"/>
      <c r="N43" s="1489"/>
      <c r="O43" s="1489"/>
      <c r="P43" s="485"/>
      <c r="Q43" s="484"/>
      <c r="R43" s="479"/>
      <c r="S43" s="1460">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21</v>
      </c>
    </row>
    <row customHeight="1" ht="22.049999999999997">
      <c r="A44" s="1487" t="s">
        <v>294</v>
      </c>
      <c r="B44" s="1487" t="s">
        <v>295</v>
      </c>
      <c r="C44" s="1487"/>
      <c r="D44" s="1487"/>
      <c r="E44" s="2396"/>
      <c r="F44" s="2395">
        <v>1</v>
      </c>
      <c r="G44" s="1487"/>
      <c r="H44" s="1487"/>
      <c r="I44" s="1487"/>
      <c r="J44" s="1487"/>
      <c r="K44" s="1487"/>
      <c r="L44" s="1488"/>
      <c r="M44" s="1489"/>
      <c r="N44" s="1489"/>
      <c r="O44" s="1489"/>
      <c r="P44" s="1456"/>
      <c r="Q44" s="476"/>
      <c r="R44" s="477"/>
      <c r="S44" s="1460"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21</v>
      </c>
    </row>
    <row customHeight="1" ht="24">
      <c r="A45" s="1487" t="s">
        <v>294</v>
      </c>
      <c r="B45" s="1487" t="s">
        <v>295</v>
      </c>
      <c r="C45" s="1487" t="s">
        <v>296</v>
      </c>
      <c r="D45" s="1487"/>
      <c r="E45" s="2396"/>
      <c r="F45" s="2396"/>
      <c r="G45" s="2395">
        <v>1</v>
      </c>
      <c r="H45" s="1487"/>
      <c r="I45" s="1487"/>
      <c r="J45" s="1487"/>
      <c r="K45" s="1487"/>
      <c r="L45" s="1488"/>
      <c r="M45" s="1489"/>
      <c r="N45" s="1489"/>
      <c r="O45" s="1489"/>
      <c r="P45" s="478"/>
      <c r="Q45" s="476"/>
      <c r="R45" s="477"/>
      <c r="S45" s="1460"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2.049999999999997">
      <c r="A46" s="1487" t="s">
        <v>294</v>
      </c>
      <c r="B46" s="1487" t="s">
        <v>295</v>
      </c>
      <c r="C46" s="1487" t="s">
        <v>296</v>
      </c>
      <c r="D46" s="1487" t="s">
        <v>297</v>
      </c>
      <c r="E46" s="2396"/>
      <c r="F46" s="2396"/>
      <c r="G46" s="2396"/>
      <c r="H46" s="2395">
        <v>1</v>
      </c>
      <c r="I46" s="1487"/>
      <c r="J46" s="1487"/>
      <c r="K46" s="1487"/>
      <c r="L46" s="1488"/>
      <c r="M46" s="1489"/>
      <c r="N46" s="1489"/>
      <c r="O46" s="1489"/>
      <c r="P46" s="478"/>
      <c r="Q46" s="476"/>
      <c r="R46" s="477"/>
      <c r="S46" s="1460"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21</v>
      </c>
    </row>
    <row s="6698" customFormat="1" customHeight="1" ht="0">
      <c r="A47" s="1467" t="s">
        <v>294</v>
      </c>
      <c r="B47" s="1467" t="s">
        <v>295</v>
      </c>
      <c r="C47" s="1467" t="s">
        <v>296</v>
      </c>
      <c r="D47" s="1467" t="s">
        <v>297</v>
      </c>
      <c r="E47" s="2396"/>
      <c r="F47" s="2396"/>
      <c r="G47" s="2396"/>
      <c r="H47" s="2396"/>
      <c r="I47" s="2393" t="str">
        <f>S46&amp;".1"</f>
        <v>....1</v>
      </c>
      <c r="J47" s="1467"/>
      <c r="K47" s="1467"/>
      <c r="L47" s="1470" t="s">
        <v>515</v>
      </c>
      <c r="M47" s="634"/>
      <c r="N47" s="634"/>
      <c r="O47" s="634"/>
      <c r="P47" s="2394">
        <v>1</v>
      </c>
      <c r="Q47" s="1455"/>
      <c r="R47" s="480"/>
      <c r="S47" s="1166"/>
      <c r="T47" s="1507"/>
      <c r="U47" s="1508"/>
      <c r="V47" s="2433"/>
      <c r="W47" s="2434"/>
      <c r="X47" s="2434"/>
      <c r="Y47" s="2434"/>
      <c r="Z47" s="2434"/>
      <c r="AA47" s="2434"/>
      <c r="AB47" s="2434"/>
      <c r="AC47" s="2435"/>
      <c r="AD47" s="2433"/>
      <c r="AE47" s="2434"/>
      <c r="AF47" s="2434"/>
      <c r="AG47" s="2434"/>
      <c r="AH47" s="2434"/>
      <c r="AI47" s="2434"/>
      <c r="AJ47" s="2434"/>
      <c r="AK47" s="2434"/>
      <c r="AL47" s="2435"/>
      <c r="AM47" s="1509"/>
      <c r="AO47" s="624"/>
      <c r="AP47" s="624" t="str">
        <f>IF(T47="","",T47)</f>
        <v/>
      </c>
      <c r="AQ47" s="624"/>
      <c r="AR47" s="624"/>
      <c r="AS47" s="635">
        <v>0</v>
      </c>
    </row>
    <row customHeight="1" ht="22.049999999999997">
      <c r="A48" s="1487" t="s">
        <v>294</v>
      </c>
      <c r="B48" s="1487" t="s">
        <v>295</v>
      </c>
      <c r="C48" s="1487" t="s">
        <v>296</v>
      </c>
      <c r="D48" s="1487" t="s">
        <v>297</v>
      </c>
      <c r="E48" s="2396"/>
      <c r="F48" s="2396"/>
      <c r="G48" s="2396"/>
      <c r="H48" s="2396"/>
      <c r="I48" s="2423"/>
      <c r="J48" s="2393" t="str">
        <f>S46&amp;".1"</f>
        <v>....1</v>
      </c>
      <c r="K48" s="1487"/>
      <c r="L48" s="1488" t="s">
        <v>518</v>
      </c>
      <c r="P48" s="2394"/>
      <c r="Q48" s="2394">
        <v>1</v>
      </c>
      <c r="R48" s="481"/>
      <c r="S48" s="1460" t="str">
        <f>$J48</f>
        <v>....1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21</v>
      </c>
    </row>
    <row customHeight="1" ht="22.049999999999997">
      <c r="A49" s="1487" t="s">
        <v>294</v>
      </c>
      <c r="B49" s="1487" t="s">
        <v>295</v>
      </c>
      <c r="C49" s="1487" t="s">
        <v>296</v>
      </c>
      <c r="D49" s="1487" t="s">
        <v>297</v>
      </c>
      <c r="E49" s="2396"/>
      <c r="F49" s="2396"/>
      <c r="G49" s="2396"/>
      <c r="H49" s="2396"/>
      <c r="I49" s="2423"/>
      <c r="J49" s="2423"/>
      <c r="K49" s="2393" t="str">
        <f>J48&amp;".1"</f>
        <v>....1.1</v>
      </c>
      <c r="L49" s="1488" t="s">
        <v>521</v>
      </c>
      <c r="P49" s="2394"/>
      <c r="Q49" s="2394"/>
      <c r="R49" s="481">
        <v>1</v>
      </c>
      <c r="S49" s="1460" t="str">
        <f>$K49</f>
        <v>....1.1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563</v>
      </c>
      <c r="AN49" s="635">
        <f>STRCHECKDATE(V50:AL50)</f>
      </c>
      <c r="AO49" s="624"/>
      <c r="AP49" s="624" t="str">
        <f>IF(T49="","",T49)</f>
        <v/>
      </c>
      <c r="AQ49" s="624"/>
      <c r="AR49" s="624"/>
      <c r="AS49" s="1279">
        <v>21</v>
      </c>
    </row>
    <row customHeight="1" ht="1.05">
      <c r="A50" s="1487" t="s">
        <v>294</v>
      </c>
      <c r="B50" s="1487" t="s">
        <v>295</v>
      </c>
      <c r="C50" s="1487" t="s">
        <v>296</v>
      </c>
      <c r="D50" s="1487" t="s">
        <v>297</v>
      </c>
      <c r="E50" s="2396"/>
      <c r="F50" s="2396"/>
      <c r="G50" s="2396"/>
      <c r="H50" s="2396"/>
      <c r="I50" s="2423"/>
      <c r="J50" s="2423"/>
      <c r="K50" s="2393"/>
      <c r="L50" s="1488"/>
      <c r="P50" s="2394"/>
      <c r="Q50" s="2394"/>
      <c r="R50" s="481"/>
      <c r="S50" s="1466"/>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1</v>
      </c>
    </row>
    <row customHeight="1" ht="11.549999999999999">
      <c r="A51" s="1487" t="s">
        <v>294</v>
      </c>
      <c r="B51" s="1487" t="s">
        <v>295</v>
      </c>
      <c r="C51" s="1487" t="s">
        <v>296</v>
      </c>
      <c r="D51" s="1487" t="s">
        <v>297</v>
      </c>
      <c r="E51" s="2396"/>
      <c r="F51" s="2396"/>
      <c r="G51" s="2396"/>
      <c r="H51" s="2396"/>
      <c r="I51" s="2423"/>
      <c r="J51" s="2393"/>
      <c r="K51" s="1487"/>
      <c r="L51" s="1488"/>
      <c r="P51" s="2394"/>
      <c r="Q51" s="2394"/>
      <c r="R51" s="480"/>
      <c r="S51" s="1402"/>
      <c r="T51" s="411"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294</v>
      </c>
      <c r="B52" s="1487" t="s">
        <v>295</v>
      </c>
      <c r="C52" s="1487" t="s">
        <v>296</v>
      </c>
      <c r="D52" s="1487" t="s">
        <v>297</v>
      </c>
      <c r="E52" s="2396"/>
      <c r="F52" s="2396"/>
      <c r="G52" s="2396"/>
      <c r="H52" s="2396"/>
      <c r="I52" s="2393"/>
      <c r="J52" s="1487"/>
      <c r="K52" s="1487"/>
      <c r="L52" s="1488"/>
      <c r="P52" s="2394"/>
      <c r="Q52" s="1455"/>
      <c r="R52" s="480"/>
      <c r="S52" s="1402"/>
      <c r="T52" s="489"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0">
      <c r="A53" s="1487" t="s">
        <v>294</v>
      </c>
      <c r="B53" s="1487" t="s">
        <v>295</v>
      </c>
      <c r="C53" s="1487" t="s">
        <v>296</v>
      </c>
      <c r="D53" s="1487" t="s">
        <v>297</v>
      </c>
      <c r="E53" s="2396"/>
      <c r="F53" s="2396"/>
      <c r="G53" s="2396"/>
      <c r="H53" s="2395"/>
      <c r="I53" s="1487"/>
      <c r="J53" s="1487"/>
      <c r="K53" s="1487"/>
      <c r="L53" s="1488"/>
      <c r="M53" s="1489"/>
      <c r="N53" s="1489"/>
      <c r="O53" s="661"/>
      <c r="P53" s="484"/>
      <c r="Q53" s="499"/>
      <c r="R53" s="479"/>
      <c r="S53" s="1510"/>
      <c r="T53" s="1511"/>
      <c r="U53" s="1512"/>
      <c r="V53" s="1512"/>
      <c r="W53" s="1512"/>
      <c r="X53" s="1512"/>
      <c r="Y53" s="1512"/>
      <c r="Z53" s="1512"/>
      <c r="AA53" s="1512"/>
      <c r="AB53" s="1512"/>
      <c r="AC53" s="1512"/>
      <c r="AD53" s="1512"/>
      <c r="AE53" s="1512"/>
      <c r="AF53" s="1512"/>
      <c r="AG53" s="1512"/>
      <c r="AH53" s="1512"/>
      <c r="AI53" s="1512"/>
      <c r="AJ53" s="1512"/>
      <c r="AK53" s="1512"/>
      <c r="AL53" s="1512"/>
      <c r="AM53" s="1513"/>
      <c r="AO53" s="624"/>
      <c r="AP53" s="624" t="str">
        <f>IF(T53="","",T53)</f>
        <v/>
      </c>
      <c r="AQ53" s="624"/>
      <c r="AR53" s="624"/>
      <c r="AS53" s="1279">
        <v>0</v>
      </c>
    </row>
    <row s="6698" customFormat="1" customHeight="1" ht="1.05">
      <c r="A54" s="1467" t="s">
        <v>294</v>
      </c>
      <c r="B54" s="1467" t="s">
        <v>295</v>
      </c>
      <c r="C54" s="1467" t="s">
        <v>296</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1</v>
      </c>
    </row>
    <row s="6698" customFormat="1" customHeight="1" ht="1.05">
      <c r="A55" s="1467" t="s">
        <v>294</v>
      </c>
      <c r="B55" s="1467" t="s">
        <v>295</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1</v>
      </c>
    </row>
    <row s="6698" customFormat="1" customHeight="1" ht="1.05">
      <c r="A56" s="1467" t="s">
        <v>294</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1</v>
      </c>
    </row>
    <row s="6698" customFormat="1" customHeight="1" ht="1.05">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1</v>
      </c>
    </row>
    <row customHeight="1" ht="11.549999999999999">
      <c r="M58" s="1284"/>
      <c r="N58" s="1284"/>
      <c r="O58" s="661"/>
      <c r="P58" s="1279"/>
      <c r="Q58" s="1279"/>
      <c r="R58" s="1279"/>
      <c r="S58" s="1279"/>
      <c r="AN58" s="1279"/>
      <c r="AO58" s="1279"/>
      <c r="AP58" s="1279"/>
      <c r="AQ58" s="1279"/>
      <c r="AR58" s="1279"/>
      <c r="AS58" s="1279">
        <v>11</v>
      </c>
    </row>
    <row customHeight="1" ht="23.25">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22</v>
      </c>
    </row>
    <row customHeight="1" ht="30.45">
      <c r="O60" s="661"/>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29</v>
      </c>
    </row>
    <row customHeight="1" ht="42">
      <c r="O61" s="661"/>
      <c r="T61" s="2422"/>
      <c r="U61" s="2422"/>
      <c r="V61" s="2422"/>
      <c r="W61" s="2422"/>
      <c r="X61" s="2422"/>
      <c r="Y61" s="2422"/>
      <c r="Z61" s="2422"/>
      <c r="AA61" s="2422"/>
      <c r="AB61" s="2422"/>
      <c r="AC61" s="2422"/>
      <c r="AD61" s="2422"/>
      <c r="AE61" s="2422"/>
      <c r="AF61" s="2422"/>
      <c r="AG61" s="2422"/>
      <c r="AH61" s="2422"/>
      <c r="AI61" s="2422"/>
      <c r="AJ61" s="2422"/>
      <c r="AK61" s="2422"/>
      <c r="AL61" s="2422"/>
      <c r="AM61" s="2422"/>
      <c r="AS61" s="1279">
        <v>40</v>
      </c>
    </row>
    <row customHeight="1" ht="14.699999999999998">
      <c r="O62" s="661"/>
      <c r="AS62" s="1279">
        <v>14</v>
      </c>
    </row>
    <row customHeight="1" ht="21">
      <c r="O63" s="661"/>
      <c r="S63" s="1377"/>
      <c r="T63" s="2436"/>
      <c r="U63" s="2422"/>
      <c r="V63" s="2422"/>
      <c r="W63" s="2422"/>
      <c r="X63" s="2422"/>
      <c r="Y63" s="2422"/>
      <c r="Z63" s="2422"/>
      <c r="AA63" s="2422"/>
      <c r="AB63" s="2422"/>
      <c r="AC63" s="2422"/>
      <c r="AD63" s="2422"/>
      <c r="AE63" s="2422"/>
      <c r="AF63" s="2422"/>
      <c r="AG63" s="2422"/>
      <c r="AH63" s="2422"/>
      <c r="AI63" s="2422"/>
      <c r="AJ63" s="2422"/>
      <c r="AK63" s="2422"/>
      <c r="AL63" s="2422"/>
      <c r="AM63" s="2422"/>
      <c r="AS63" s="1279">
        <v>20</v>
      </c>
    </row>
    <row customHeight="1" ht="29.25">
      <c r="O64" s="661"/>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28</v>
      </c>
    </row>
    <row customHeight="1" ht="35.699999999999996">
      <c r="T65" s="2422"/>
      <c r="U65" s="2422"/>
      <c r="V65" s="2422"/>
      <c r="W65" s="2422"/>
      <c r="X65" s="2422"/>
      <c r="Y65" s="2422"/>
      <c r="Z65" s="2422"/>
      <c r="AA65" s="2422"/>
      <c r="AB65" s="2422"/>
      <c r="AC65" s="2422"/>
      <c r="AD65" s="2422"/>
      <c r="AE65" s="2422"/>
      <c r="AF65" s="2422"/>
      <c r="AG65" s="2422"/>
      <c r="AH65" s="2422"/>
      <c r="AI65" s="2422"/>
      <c r="AJ65" s="2422"/>
      <c r="AK65" s="2422"/>
      <c r="AL65" s="2422"/>
      <c r="AM65" s="2422"/>
      <c r="AS65" s="1279">
        <v>34</v>
      </c>
    </row>
    <row customHeight="1" ht="22.5" hidden="1">
      <c r="A66" s="1284" t="s">
        <v>82</v>
      </c>
      <c r="B66" s="1284">
        <v>0</v>
      </c>
      <c r="C66" s="1284">
        <v>0</v>
      </c>
      <c r="D66" s="1284">
        <v>0</v>
      </c>
      <c r="E66" s="1284">
        <v>0</v>
      </c>
      <c r="F66" s="1284">
        <v>0</v>
      </c>
      <c r="G66" s="1284">
        <v>0</v>
      </c>
      <c r="H66" s="1284">
        <v>0</v>
      </c>
      <c r="I66" s="1284">
        <v>0</v>
      </c>
      <c r="J66" s="1284">
        <v>0</v>
      </c>
      <c r="K66" s="1284">
        <v>0</v>
      </c>
      <c r="L66" s="1453">
        <v>0</v>
      </c>
      <c r="M66" s="1486">
        <v>0</v>
      </c>
      <c r="N66" s="1486">
        <v>0</v>
      </c>
      <c r="O66" s="1486">
        <v>0</v>
      </c>
      <c r="P66" s="1452">
        <v>0</v>
      </c>
      <c r="Q66" s="468">
        <v>3</v>
      </c>
      <c r="R66" s="468">
        <v>3</v>
      </c>
      <c r="S66" s="705">
        <v>12</v>
      </c>
      <c r="T66" s="1279">
        <v>31</v>
      </c>
      <c r="U66" s="1279">
        <v>0</v>
      </c>
      <c r="V66" s="1279">
        <v>0</v>
      </c>
      <c r="W66" s="1279">
        <v>0</v>
      </c>
      <c r="X66" s="1279">
        <v>0</v>
      </c>
      <c r="Y66" s="1279">
        <v>0</v>
      </c>
      <c r="Z66" s="1279">
        <v>0</v>
      </c>
      <c r="AA66" s="1279">
        <v>0</v>
      </c>
      <c r="AB66" s="1279">
        <v>0</v>
      </c>
      <c r="AC66" s="1279">
        <v>0</v>
      </c>
      <c r="AD66" s="1279">
        <v>24</v>
      </c>
      <c r="AE66" s="1279">
        <v>0</v>
      </c>
      <c r="AF66" s="1279">
        <v>24</v>
      </c>
      <c r="AG66" s="1279">
        <v>24</v>
      </c>
      <c r="AH66" s="1279">
        <v>11</v>
      </c>
      <c r="AI66" s="1279">
        <v>3</v>
      </c>
      <c r="AJ66" s="1279">
        <v>11</v>
      </c>
      <c r="AK66" s="1279">
        <v>0</v>
      </c>
      <c r="AL66" s="1279">
        <v>4</v>
      </c>
      <c r="AM66" s="1279">
        <v>115</v>
      </c>
      <c r="AN66" s="635">
        <v>10</v>
      </c>
      <c r="AO66" s="635">
        <v>10</v>
      </c>
      <c r="AP66" s="635">
        <v>10</v>
      </c>
      <c r="AQ66" s="635">
        <v>10</v>
      </c>
      <c r="AR66" s="635">
        <v>10</v>
      </c>
      <c r="AS66" s="127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680648-3918-6F1A-A074-5A79AF23124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7916" width="3.7109375" hidden="1" customWidth="1"/>
    <col min="17" max="18" style="7183" width="3.00390625" customWidth="1"/>
    <col min="19" max="19" style="7888" width="12.00390625" customWidth="1"/>
    <col min="20" max="20" style="7213" width="31.00390625" customWidth="1"/>
    <col min="21" max="21" style="7213" width="0.140625" customWidth="1"/>
    <col min="22" max="22" style="7213" width="24.7109375" hidden="1" customWidth="1"/>
    <col min="23" max="23" style="7213" width="0.140625" hidden="1" customWidth="1"/>
    <col min="24" max="25" style="7213" width="24.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24.7109375" customWidth="1"/>
    <col min="31" max="31" style="7213" width="0.140625" customWidth="1"/>
    <col min="32" max="33" style="7213" width="24.00390625" customWidth="1"/>
    <col min="34" max="34" style="7213" width="11.00390625" customWidth="1"/>
    <col min="35" max="35" style="7213" width="3.7109375" customWidth="1"/>
    <col min="36" max="36" style="7213" width="11.00390625" customWidth="1"/>
    <col min="37" max="37" style="7213" width="8.57421875" hidden="1" customWidth="1"/>
    <col min="38" max="38" style="7213" width="4.00390625" customWidth="1"/>
    <col min="39" max="39" style="7213" width="115.00390625" customWidth="1"/>
    <col min="40" max="44" style="6698" width="10.00390625" customWidth="1"/>
    <col min="45" max="45" style="7213" width="10.57421875" hidden="1"/>
  </cols>
  <sheetData>
    <row customHeight="1" ht="22.5" hidden="1">
      <c r="Y1" s="451"/>
      <c r="Z1" s="451"/>
      <c r="AG1" s="451"/>
      <c r="AH1" s="451"/>
      <c r="AS1" s="1279" t="s">
        <v>14</v>
      </c>
    </row>
    <row customHeight="1" ht="21" hidden="1">
      <c r="A2" s="1487"/>
      <c r="B2" s="1487"/>
      <c r="C2" s="1487"/>
      <c r="D2" s="1487"/>
      <c r="E2" s="2395">
        <v>1</v>
      </c>
      <c r="F2" s="1487"/>
      <c r="G2" s="1487"/>
      <c r="H2" s="1487"/>
      <c r="I2" s="1487"/>
      <c r="J2" s="1487"/>
      <c r="K2" s="1487"/>
      <c r="L2" s="1488"/>
      <c r="M2" s="1489"/>
      <c r="N2" s="1489"/>
      <c r="O2" s="1489"/>
      <c r="P2" s="485"/>
      <c r="Q2" s="484"/>
      <c r="R2" s="479"/>
      <c r="S2" s="1460">
        <f>INDEX(PT_DIFFERENTIATION_NUM_NTAR,MATCH(A2,PT_DIFFERENTIATION_NTAR_ID,0))</f>
      </c>
      <c r="T2" s="422" t="s">
        <v>243</v>
      </c>
      <c r="U2" s="424"/>
      <c r="V2" s="2379"/>
      <c r="W2" s="2380"/>
      <c r="X2" s="2380"/>
      <c r="Y2" s="2380"/>
      <c r="Z2" s="2380"/>
      <c r="AA2" s="2380"/>
      <c r="AB2" s="2380"/>
      <c r="AC2" s="2381"/>
      <c r="AD2" s="2379">
        <f>INDEX(PT_DIFFERENTIATION_NTAR,MATCH(A2,PT_DIFFERENTIATION_NTAR_ID,0))</f>
      </c>
      <c r="AE2" s="2380"/>
      <c r="AF2" s="2380"/>
      <c r="AG2" s="2380"/>
      <c r="AH2" s="2380"/>
      <c r="AI2" s="2380"/>
      <c r="AJ2" s="2380"/>
      <c r="AK2" s="2380"/>
      <c r="AL2" s="2381"/>
      <c r="AM2" s="1382" t="s">
        <v>508</v>
      </c>
      <c r="AO2" s="624"/>
      <c r="AP2" s="624" t="str">
        <f>IF(T2="","",T2)</f>
        <v>Наименование тарифа</v>
      </c>
      <c r="AQ2" s="624"/>
      <c r="AR2" s="624"/>
      <c r="AS2" s="1279">
        <v>0</v>
      </c>
    </row>
    <row customHeight="1" ht="21" hidden="1">
      <c r="A3" s="1487"/>
      <c r="B3" s="1487"/>
      <c r="C3" s="1487"/>
      <c r="D3" s="1487"/>
      <c r="E3" s="2396"/>
      <c r="F3" s="2395">
        <v>1</v>
      </c>
      <c r="G3" s="1487"/>
      <c r="H3" s="1487"/>
      <c r="I3" s="1487"/>
      <c r="J3" s="1487"/>
      <c r="K3" s="1487"/>
      <c r="L3" s="1488"/>
      <c r="M3" s="1489"/>
      <c r="N3" s="1489"/>
      <c r="O3" s="1489"/>
      <c r="P3" s="1456"/>
      <c r="Q3" s="476"/>
      <c r="R3" s="477"/>
      <c r="S3" s="1460">
        <f>INDEX(PT_DIFFERENTIATION_NUM_TER,MATCH(B3,PT_DIFFERENTIATION_TER_ID,0))</f>
      </c>
      <c r="T3" s="432" t="s">
        <v>509</v>
      </c>
      <c r="U3" s="424"/>
      <c r="V3" s="2379"/>
      <c r="W3" s="2380"/>
      <c r="X3" s="2380"/>
      <c r="Y3" s="2380"/>
      <c r="Z3" s="2380"/>
      <c r="AA3" s="2380"/>
      <c r="AB3" s="2380"/>
      <c r="AC3" s="2381"/>
      <c r="AD3" s="2379">
        <f>INDEX(PT_DIFFERENTIATION_TER,MATCH(B3,PT_DIFFERENTIATION_TER_ID,0))</f>
      </c>
      <c r="AE3" s="2380"/>
      <c r="AF3" s="2380"/>
      <c r="AG3" s="2380"/>
      <c r="AH3" s="2380"/>
      <c r="AI3" s="2380"/>
      <c r="AJ3" s="2380"/>
      <c r="AK3" s="2380"/>
      <c r="AL3" s="2381"/>
      <c r="AM3" s="1382" t="s">
        <v>510</v>
      </c>
      <c r="AO3" s="624"/>
      <c r="AP3" s="624" t="str">
        <f>IF(T3="","",T3)</f>
        <v>Территория действия тарифа</v>
      </c>
      <c r="AQ3" s="624"/>
      <c r="AR3" s="624"/>
      <c r="AS3" s="1279">
        <v>0</v>
      </c>
    </row>
    <row customHeight="1" ht="23.25" hidden="1">
      <c r="A4" s="1487"/>
      <c r="B4" s="1487"/>
      <c r="C4" s="1487"/>
      <c r="D4" s="1487"/>
      <c r="E4" s="2396"/>
      <c r="F4" s="2396"/>
      <c r="G4" s="2395">
        <v>1</v>
      </c>
      <c r="H4" s="1487"/>
      <c r="I4" s="1487"/>
      <c r="J4" s="1487"/>
      <c r="K4" s="1487"/>
      <c r="L4" s="1488"/>
      <c r="M4" s="1489"/>
      <c r="N4" s="1489"/>
      <c r="O4" s="1489"/>
      <c r="P4" s="478"/>
      <c r="Q4" s="476"/>
      <c r="R4" s="477"/>
      <c r="S4" s="1460">
        <f>INDEX(PT_DIFFERENTIATION_NUM_CS,MATCH(C4,PT_DIFFERENTIATION_CS_ID,0))</f>
      </c>
      <c r="T4" s="433" t="s">
        <v>511</v>
      </c>
      <c r="U4" s="424"/>
      <c r="V4" s="2379"/>
      <c r="W4" s="2380"/>
      <c r="X4" s="2380"/>
      <c r="Y4" s="2380"/>
      <c r="Z4" s="2380"/>
      <c r="AA4" s="2380"/>
      <c r="AB4" s="2380"/>
      <c r="AC4" s="2381"/>
      <c r="AD4" s="2379">
        <f>INDEX(PT_DIFFERENTIATION_CS,MATCH(C4,PT_DIFFERENTIATION_CS_ID,0))</f>
      </c>
      <c r="AE4" s="2380"/>
      <c r="AF4" s="2380"/>
      <c r="AG4" s="2380"/>
      <c r="AH4" s="2380"/>
      <c r="AI4" s="2380"/>
      <c r="AJ4" s="2380"/>
      <c r="AK4" s="2380"/>
      <c r="AL4" s="2381"/>
      <c r="AM4" s="1382" t="s">
        <v>512</v>
      </c>
      <c r="AO4" s="624"/>
      <c r="AP4" s="624" t="str">
        <f>IF(T4="","",T4)</f>
        <v>Наименование системы теплоснабжения </v>
      </c>
      <c r="AQ4" s="624"/>
      <c r="AR4" s="624"/>
      <c r="AS4" s="1279">
        <v>0</v>
      </c>
    </row>
    <row customHeight="1" ht="21" hidden="1">
      <c r="A5" s="1487"/>
      <c r="B5" s="1487"/>
      <c r="C5" s="1487"/>
      <c r="D5" s="1487"/>
      <c r="E5" s="2396"/>
      <c r="F5" s="2396"/>
      <c r="G5" s="2396"/>
      <c r="H5" s="2395">
        <v>1</v>
      </c>
      <c r="I5" s="1487"/>
      <c r="J5" s="1487"/>
      <c r="K5" s="1487"/>
      <c r="L5" s="1488"/>
      <c r="M5" s="1489"/>
      <c r="N5" s="1489"/>
      <c r="O5" s="1489"/>
      <c r="P5" s="478"/>
      <c r="Q5" s="476"/>
      <c r="R5" s="477"/>
      <c r="S5" s="1460">
        <f>INDEX(PT_DIFFERENTIATION_NUM_IST_TE,MATCH(D5,PT_DIFFERENTIATION_IST_TE_ID,0))</f>
      </c>
      <c r="T5" s="434" t="s">
        <v>513</v>
      </c>
      <c r="U5" s="424"/>
      <c r="V5" s="2379"/>
      <c r="W5" s="2380"/>
      <c r="X5" s="2380"/>
      <c r="Y5" s="2380"/>
      <c r="Z5" s="2380"/>
      <c r="AA5" s="2380"/>
      <c r="AB5" s="2380"/>
      <c r="AC5" s="2381"/>
      <c r="AD5" s="2379">
        <f>INDEX(PT_DIFFERENTIATION_IST_TE,MATCH(D5,PT_DIFFERENTIATION_IST_TE_ID,0))</f>
      </c>
      <c r="AE5" s="2380"/>
      <c r="AF5" s="2380"/>
      <c r="AG5" s="2380"/>
      <c r="AH5" s="2380"/>
      <c r="AI5" s="2380"/>
      <c r="AJ5" s="2380"/>
      <c r="AK5" s="2380"/>
      <c r="AL5" s="2381"/>
      <c r="AM5" s="1382" t="s">
        <v>514</v>
      </c>
      <c r="AO5" s="624"/>
      <c r="AP5" s="624" t="str">
        <f>IF(T5="","",T5)</f>
        <v>Источник тепловой энергии  </v>
      </c>
      <c r="AQ5" s="624"/>
      <c r="AR5" s="624"/>
      <c r="AS5" s="1279">
        <v>0</v>
      </c>
    </row>
    <row customHeight="1" ht="14.25" hidden="1">
      <c r="A6" s="1487"/>
      <c r="B6" s="1487"/>
      <c r="C6" s="1487"/>
      <c r="D6" s="1487"/>
      <c r="E6" s="2396"/>
      <c r="F6" s="2396"/>
      <c r="G6" s="2396"/>
      <c r="H6" s="2396"/>
      <c r="I6" s="2393">
        <f>S5&amp;".1"</f>
      </c>
      <c r="J6" s="1487"/>
      <c r="K6" s="1487"/>
      <c r="L6" s="1488" t="s">
        <v>515</v>
      </c>
      <c r="M6" s="661"/>
      <c r="P6" s="2394">
        <v>1</v>
      </c>
      <c r="Q6" s="1455"/>
      <c r="R6" s="480"/>
      <c r="S6" s="1166"/>
      <c r="T6" s="1507"/>
      <c r="U6" s="1508"/>
      <c r="V6" s="2433"/>
      <c r="W6" s="2434"/>
      <c r="X6" s="2434"/>
      <c r="Y6" s="2434"/>
      <c r="Z6" s="2434"/>
      <c r="AA6" s="2434"/>
      <c r="AB6" s="2434"/>
      <c r="AC6" s="2435"/>
      <c r="AD6" s="2433"/>
      <c r="AE6" s="2434"/>
      <c r="AF6" s="2434"/>
      <c r="AG6" s="2434"/>
      <c r="AH6" s="2434"/>
      <c r="AI6" s="2434"/>
      <c r="AJ6" s="2434"/>
      <c r="AK6" s="2434"/>
      <c r="AL6" s="2435"/>
      <c r="AM6" s="1509"/>
      <c r="AO6" s="624"/>
      <c r="AP6" s="624" t="str">
        <f>IF(T6="","",T6)</f>
        <v/>
      </c>
      <c r="AQ6" s="624"/>
      <c r="AR6" s="624"/>
      <c r="AS6" s="1279">
        <v>0</v>
      </c>
    </row>
    <row customHeight="1" ht="21" hidden="1">
      <c r="A7" s="1487"/>
      <c r="B7" s="1487"/>
      <c r="C7" s="1487"/>
      <c r="D7" s="1487"/>
      <c r="E7" s="2396"/>
      <c r="F7" s="2396"/>
      <c r="G7" s="2396"/>
      <c r="H7" s="2396"/>
      <c r="I7" s="2423"/>
      <c r="J7" s="2393">
        <f>I6&amp;".1"</f>
      </c>
      <c r="K7" s="1487"/>
      <c r="L7" s="1488" t="s">
        <v>518</v>
      </c>
      <c r="M7" s="661"/>
      <c r="N7" s="1490"/>
      <c r="P7" s="2394"/>
      <c r="Q7" s="2394">
        <v>1</v>
      </c>
      <c r="R7" s="481"/>
      <c r="S7" s="1460">
        <f>$J7</f>
      </c>
      <c r="T7" s="410" t="s">
        <v>519</v>
      </c>
      <c r="U7" s="424"/>
      <c r="V7" s="2382"/>
      <c r="W7" s="2383"/>
      <c r="X7" s="2383"/>
      <c r="Y7" s="2383"/>
      <c r="Z7" s="2383"/>
      <c r="AA7" s="2383"/>
      <c r="AB7" s="2383"/>
      <c r="AC7" s="2384"/>
      <c r="AD7" s="2382"/>
      <c r="AE7" s="2383"/>
      <c r="AF7" s="2383"/>
      <c r="AG7" s="2383"/>
      <c r="AH7" s="2383"/>
      <c r="AI7" s="2383"/>
      <c r="AJ7" s="2383"/>
      <c r="AK7" s="2383"/>
      <c r="AL7" s="2384"/>
      <c r="AM7" s="1382" t="s">
        <v>520</v>
      </c>
      <c r="AO7" s="624"/>
      <c r="AP7" s="624" t="str">
        <f>IF(T7="","",T7)</f>
        <v>Группа потребителей</v>
      </c>
      <c r="AQ7" s="624"/>
      <c r="AR7" s="624"/>
      <c r="AS7" s="1279">
        <v>0</v>
      </c>
    </row>
    <row customHeight="1" ht="21" hidden="1">
      <c r="A8" s="1487"/>
      <c r="B8" s="1487"/>
      <c r="C8" s="1487"/>
      <c r="D8" s="1487"/>
      <c r="E8" s="2396"/>
      <c r="F8" s="2396"/>
      <c r="G8" s="2396"/>
      <c r="H8" s="2396"/>
      <c r="I8" s="2423"/>
      <c r="J8" s="2423"/>
      <c r="K8" s="2393">
        <f>J7&amp;".1"</f>
      </c>
      <c r="L8" s="1488" t="s">
        <v>521</v>
      </c>
      <c r="M8" s="661"/>
      <c r="N8" s="1490"/>
      <c r="O8" s="1490"/>
      <c r="P8" s="2394"/>
      <c r="Q8" s="2394"/>
      <c r="R8" s="481">
        <v>1</v>
      </c>
      <c r="S8" s="1460">
        <f>$K8</f>
      </c>
      <c r="T8" s="1471"/>
      <c r="U8" s="424"/>
      <c r="V8" s="875"/>
      <c r="W8" s="449"/>
      <c r="X8" s="875"/>
      <c r="Y8" s="1381"/>
      <c r="Z8" s="2402"/>
      <c r="AA8" s="2244" t="s">
        <v>62</v>
      </c>
      <c r="AB8" s="2402"/>
      <c r="AC8" s="2244" t="s">
        <v>62</v>
      </c>
      <c r="AD8" s="875"/>
      <c r="AE8" s="449"/>
      <c r="AF8" s="875"/>
      <c r="AG8" s="1381"/>
      <c r="AH8" s="2402"/>
      <c r="AI8" s="2244" t="s">
        <v>62</v>
      </c>
      <c r="AJ8" s="2402"/>
      <c r="AK8" s="2244" t="s">
        <v>62</v>
      </c>
      <c r="AL8" s="449"/>
      <c r="AM8" s="2390" t="s">
        <v>522</v>
      </c>
      <c r="AN8" s="635">
        <f>STRCHECKDATE(V9:AL9)</f>
      </c>
      <c r="AO8" s="624"/>
      <c r="AP8" s="624" t="str">
        <f>IF(T8="","",T8)</f>
        <v/>
      </c>
      <c r="AQ8" s="624"/>
      <c r="AR8" s="624"/>
      <c r="AS8" s="1279">
        <v>0</v>
      </c>
    </row>
    <row customHeight="1" ht="14.25" hidden="1">
      <c r="A9" s="1487"/>
      <c r="B9" s="1487"/>
      <c r="C9" s="1487"/>
      <c r="D9" s="1487"/>
      <c r="E9" s="2396"/>
      <c r="F9" s="2396"/>
      <c r="G9" s="2396"/>
      <c r="H9" s="2396"/>
      <c r="I9" s="2423"/>
      <c r="J9" s="2423"/>
      <c r="K9" s="2393"/>
      <c r="L9" s="1488"/>
      <c r="M9" s="661"/>
      <c r="N9" s="1490"/>
      <c r="O9" s="1490"/>
      <c r="P9" s="2394"/>
      <c r="Q9" s="2394"/>
      <c r="R9" s="481"/>
      <c r="S9" s="1466"/>
      <c r="T9" s="424"/>
      <c r="U9" s="424"/>
      <c r="V9" s="449"/>
      <c r="W9" s="449"/>
      <c r="X9" s="449"/>
      <c r="Y9" s="452" t="str">
        <f>Z8&amp;"-"&amp;AB8</f>
        <v>-</v>
      </c>
      <c r="Z9" s="2403"/>
      <c r="AA9" s="2244"/>
      <c r="AB9" s="2403"/>
      <c r="AC9" s="2244"/>
      <c r="AD9" s="449"/>
      <c r="AE9" s="449"/>
      <c r="AF9" s="449"/>
      <c r="AG9" s="452" t="str">
        <f>AH8&amp;"-"&amp;AJ8</f>
        <v>-</v>
      </c>
      <c r="AH9" s="2403"/>
      <c r="AI9" s="2244"/>
      <c r="AJ9" s="2403"/>
      <c r="AK9" s="2244"/>
      <c r="AL9" s="449"/>
      <c r="AM9" s="2391"/>
      <c r="AO9" s="624"/>
      <c r="AP9" s="624" t="str">
        <f>IF(T9="","",T9)</f>
        <v/>
      </c>
      <c r="AQ9" s="624"/>
      <c r="AR9" s="624"/>
      <c r="AS9" s="1279">
        <v>0</v>
      </c>
    </row>
    <row customHeight="1" ht="15" hidden="1">
      <c r="A10" s="1487"/>
      <c r="B10" s="1487"/>
      <c r="C10" s="1487"/>
      <c r="D10" s="1487"/>
      <c r="E10" s="2396"/>
      <c r="F10" s="2396"/>
      <c r="G10" s="2396"/>
      <c r="H10" s="2396"/>
      <c r="I10" s="2423"/>
      <c r="J10" s="2393"/>
      <c r="K10" s="1487"/>
      <c r="L10" s="1488"/>
      <c r="M10" s="661"/>
      <c r="N10" s="1490"/>
      <c r="P10" s="2394"/>
      <c r="Q10" s="2394"/>
      <c r="R10" s="480"/>
      <c r="S10" s="1402"/>
      <c r="T10" s="411" t="s">
        <v>523</v>
      </c>
      <c r="U10" s="491"/>
      <c r="V10" s="491"/>
      <c r="W10" s="491"/>
      <c r="X10" s="491"/>
      <c r="Y10" s="491"/>
      <c r="Z10" s="491"/>
      <c r="AA10" s="491"/>
      <c r="AB10" s="491"/>
      <c r="AC10" s="491"/>
      <c r="AD10" s="491"/>
      <c r="AE10" s="491"/>
      <c r="AF10" s="491"/>
      <c r="AG10" s="491"/>
      <c r="AH10" s="491"/>
      <c r="AI10" s="491"/>
      <c r="AJ10" s="491"/>
      <c r="AK10" s="491"/>
      <c r="AL10" s="448"/>
      <c r="AM10" s="2392"/>
      <c r="AO10" s="624"/>
      <c r="AP10" s="624" t="str">
        <f>IF(T10="","",T10)</f>
        <v>Добавить вид теплоносителя (параметры теплоносителя)</v>
      </c>
      <c r="AQ10" s="624"/>
      <c r="AR10" s="624"/>
      <c r="AS10" s="1279">
        <v>0</v>
      </c>
    </row>
    <row customHeight="1" ht="11.25" hidden="1">
      <c r="A11" s="1487"/>
      <c r="B11" s="1487"/>
      <c r="C11" s="1487"/>
      <c r="D11" s="1487"/>
      <c r="E11" s="2396"/>
      <c r="F11" s="2396"/>
      <c r="G11" s="2396"/>
      <c r="H11" s="2396"/>
      <c r="I11" s="2393"/>
      <c r="J11" s="1487"/>
      <c r="K11" s="1487"/>
      <c r="L11" s="1488"/>
      <c r="M11" s="661"/>
      <c r="P11" s="2394"/>
      <c r="Q11" s="1455"/>
      <c r="R11" s="480"/>
      <c r="S11" s="1402"/>
      <c r="T11" s="489" t="s">
        <v>524</v>
      </c>
      <c r="U11" s="491"/>
      <c r="V11" s="491"/>
      <c r="W11" s="491"/>
      <c r="X11" s="491"/>
      <c r="Y11" s="491"/>
      <c r="Z11" s="491"/>
      <c r="AA11" s="491"/>
      <c r="AB11" s="491"/>
      <c r="AC11" s="490"/>
      <c r="AD11" s="491"/>
      <c r="AE11" s="491"/>
      <c r="AF11" s="491"/>
      <c r="AG11" s="491"/>
      <c r="AH11" s="491"/>
      <c r="AI11" s="491"/>
      <c r="AJ11" s="491"/>
      <c r="AK11" s="490"/>
      <c r="AL11" s="491"/>
      <c r="AM11" s="427"/>
      <c r="AO11" s="624"/>
      <c r="AP11" s="624" t="str">
        <f>IF(T11="","",T11)</f>
        <v>Добавить группу потребителей</v>
      </c>
      <c r="AQ11" s="624"/>
      <c r="AR11" s="624"/>
      <c r="AS11" s="1279">
        <v>0</v>
      </c>
    </row>
    <row customHeight="1" ht="14.25" hidden="1">
      <c r="A12" s="1487"/>
      <c r="B12" s="1487"/>
      <c r="C12" s="1487"/>
      <c r="D12" s="1487"/>
      <c r="E12" s="2396"/>
      <c r="F12" s="2396"/>
      <c r="G12" s="2396"/>
      <c r="H12" s="2395"/>
      <c r="I12" s="1487"/>
      <c r="J12" s="1487"/>
      <c r="K12" s="1487"/>
      <c r="L12" s="1488"/>
      <c r="M12" s="1489"/>
      <c r="N12" s="1489"/>
      <c r="O12" s="661"/>
      <c r="P12" s="484"/>
      <c r="Q12" s="499"/>
      <c r="R12" s="479"/>
      <c r="S12" s="1510"/>
      <c r="T12" s="1511"/>
      <c r="U12" s="1512"/>
      <c r="V12" s="1512"/>
      <c r="W12" s="1512"/>
      <c r="X12" s="1512"/>
      <c r="Y12" s="1512"/>
      <c r="Z12" s="1512"/>
      <c r="AA12" s="1512"/>
      <c r="AB12" s="1512"/>
      <c r="AC12" s="1512"/>
      <c r="AD12" s="1512"/>
      <c r="AE12" s="1512"/>
      <c r="AF12" s="1512"/>
      <c r="AG12" s="1512"/>
      <c r="AH12" s="1512"/>
      <c r="AI12" s="1512"/>
      <c r="AJ12" s="1512"/>
      <c r="AK12" s="1512"/>
      <c r="AL12" s="1512"/>
      <c r="AM12" s="1513"/>
      <c r="AO12" s="624"/>
      <c r="AP12" s="624" t="str">
        <f>IF(T12="","",T12)</f>
        <v/>
      </c>
      <c r="AQ12" s="624"/>
      <c r="AR12" s="624"/>
      <c r="AS12" s="1279">
        <v>0</v>
      </c>
    </row>
    <row s="6698" customFormat="1" customHeight="1" ht="14.25" hidden="1">
      <c r="A13" s="1438"/>
      <c r="B13" s="1438"/>
      <c r="C13" s="1438"/>
      <c r="D13" s="1438"/>
      <c r="E13" s="2396"/>
      <c r="F13" s="2396"/>
      <c r="G13" s="2395"/>
      <c r="H13" s="1438"/>
      <c r="I13" s="1438"/>
      <c r="J13" s="1438"/>
      <c r="K13" s="1438"/>
      <c r="L13" s="1463"/>
      <c r="M13" s="1439"/>
      <c r="N13" s="1439"/>
      <c r="P13" s="1440"/>
      <c r="Q13" s="1441"/>
      <c r="R13" s="1440"/>
      <c r="S13" s="1442"/>
      <c r="T13" s="1443" t="s">
        <v>526</v>
      </c>
      <c r="U13" s="1444"/>
      <c r="V13" s="1444"/>
      <c r="W13" s="1444"/>
      <c r="X13" s="1444"/>
      <c r="Y13" s="1444"/>
      <c r="Z13" s="1444"/>
      <c r="AA13" s="1444"/>
      <c r="AB13" s="1444"/>
      <c r="AC13" s="1444"/>
      <c r="AD13" s="1444"/>
      <c r="AE13" s="1444"/>
      <c r="AF13" s="1444"/>
      <c r="AG13" s="1444"/>
      <c r="AH13" s="1444"/>
      <c r="AI13" s="1444"/>
      <c r="AJ13" s="1444"/>
      <c r="AK13" s="1444"/>
      <c r="AL13" s="1444"/>
      <c r="AM13" s="1444"/>
      <c r="AO13" s="913"/>
      <c r="AP13" s="913" t="str">
        <f>IF(T13="","",T13)</f>
        <v>Добавить источник для дифференциации</v>
      </c>
      <c r="AQ13" s="913"/>
      <c r="AR13" s="913"/>
      <c r="AS13" s="642">
        <v>0</v>
      </c>
    </row>
    <row s="6698" customFormat="1" customHeight="1" ht="14.25" hidden="1">
      <c r="A14" s="1438"/>
      <c r="B14" s="1438"/>
      <c r="C14" s="1438"/>
      <c r="D14" s="1438"/>
      <c r="E14" s="2396"/>
      <c r="F14" s="2395"/>
      <c r="G14" s="1438"/>
      <c r="H14" s="1438"/>
      <c r="I14" s="1438"/>
      <c r="J14" s="1438"/>
      <c r="K14" s="1438"/>
      <c r="L14" s="1463"/>
      <c r="M14" s="1445"/>
      <c r="N14" s="1445"/>
      <c r="P14" s="1440"/>
      <c r="Q14" s="1441"/>
      <c r="R14" s="1440"/>
      <c r="S14" s="1446"/>
      <c r="T14" s="1447" t="s">
        <v>527</v>
      </c>
      <c r="U14" s="1448"/>
      <c r="V14" s="1448"/>
      <c r="W14" s="1448"/>
      <c r="X14" s="1448"/>
      <c r="Y14" s="1448"/>
      <c r="Z14" s="1448"/>
      <c r="AA14" s="1448"/>
      <c r="AB14" s="1448"/>
      <c r="AC14" s="1448"/>
      <c r="AD14" s="1448"/>
      <c r="AE14" s="1448"/>
      <c r="AF14" s="1448"/>
      <c r="AG14" s="1448"/>
      <c r="AH14" s="1448"/>
      <c r="AI14" s="1448"/>
      <c r="AJ14" s="1448"/>
      <c r="AK14" s="1448"/>
      <c r="AL14" s="1448"/>
      <c r="AM14" s="1448"/>
      <c r="AO14" s="913"/>
      <c r="AP14" s="913" t="str">
        <f>IF(T14="","",T14)</f>
        <v>Добавить централизованную систему для дифференциации</v>
      </c>
      <c r="AQ14" s="913"/>
      <c r="AR14" s="913"/>
      <c r="AS14" s="642">
        <v>0</v>
      </c>
    </row>
    <row s="6698" customFormat="1" customHeight="1" ht="14.25" hidden="1">
      <c r="A15" s="1438"/>
      <c r="B15" s="1438"/>
      <c r="C15" s="1438"/>
      <c r="D15" s="1438"/>
      <c r="E15" s="2395"/>
      <c r="F15" s="1438"/>
      <c r="G15" s="1438"/>
      <c r="H15" s="1438"/>
      <c r="I15" s="1438"/>
      <c r="J15" s="1438"/>
      <c r="K15" s="1438"/>
      <c r="L15" s="1463"/>
      <c r="M15" s="1445"/>
      <c r="N15" s="1445"/>
      <c r="P15" s="1440"/>
      <c r="Q15" s="1441"/>
      <c r="R15" s="1440"/>
      <c r="S15" s="1446"/>
      <c r="T15" s="1449" t="s">
        <v>528</v>
      </c>
      <c r="U15" s="1448"/>
      <c r="V15" s="1448"/>
      <c r="W15" s="1448"/>
      <c r="X15" s="1448"/>
      <c r="Y15" s="1448"/>
      <c r="Z15" s="1448"/>
      <c r="AA15" s="1448"/>
      <c r="AB15" s="1448"/>
      <c r="AC15" s="1448"/>
      <c r="AD15" s="1448"/>
      <c r="AE15" s="1448"/>
      <c r="AF15" s="1448"/>
      <c r="AG15" s="1448"/>
      <c r="AH15" s="1448"/>
      <c r="AI15" s="1448"/>
      <c r="AJ15" s="1448"/>
      <c r="AK15" s="1448"/>
      <c r="AL15" s="1448"/>
      <c r="AM15" s="1448"/>
      <c r="AO15" s="913"/>
      <c r="AP15" s="913" t="str">
        <f>IF(T15="","",T15)</f>
        <v>Добавить территорию для дифференциации</v>
      </c>
      <c r="AQ15" s="913"/>
      <c r="AR15" s="913"/>
      <c r="AS15" s="642">
        <v>0</v>
      </c>
    </row>
    <row customHeight="1" ht="14.25" hidden="1">
      <c r="AC16" s="451"/>
      <c r="AK16" s="451"/>
      <c r="AS16" s="1279">
        <v>0</v>
      </c>
    </row>
    <row customHeight="1" ht="14.25" hidden="1">
      <c r="AD17" s="1484"/>
      <c r="AE17" s="1484"/>
      <c r="AF17" s="1484"/>
      <c r="AG17" s="1485"/>
      <c r="AH17" s="2404"/>
      <c r="AI17" s="2405" t="s">
        <v>62</v>
      </c>
      <c r="AJ17" s="2404"/>
      <c r="AK17" s="2405" t="s">
        <v>62</v>
      </c>
      <c r="AS17" s="1279">
        <v>0</v>
      </c>
    </row>
    <row customHeight="1" ht="14.25" hidden="1">
      <c r="AD18" s="1484"/>
      <c r="AE18" s="1484"/>
      <c r="AF18" s="1484"/>
      <c r="AG18" s="452" t="str">
        <f>AH17&amp;"-"&amp;AJ17</f>
        <v>-</v>
      </c>
      <c r="AH18" s="2405"/>
      <c r="AI18" s="2405"/>
      <c r="AJ18" s="2405"/>
      <c r="AK18" s="2405"/>
      <c r="AS18" s="1279">
        <v>0</v>
      </c>
    </row>
    <row customHeight="1" ht="14.25" hidden="1">
      <c r="AK19" s="451"/>
      <c r="AS19" s="1279">
        <v>0</v>
      </c>
    </row>
    <row s="7158" customFormat="1" customHeight="1" ht="22.5" hidden="1">
      <c r="L20" s="1453"/>
      <c r="M20" s="1486"/>
      <c r="N20" s="1486"/>
      <c r="O20" s="1491" t="s">
        <v>529</v>
      </c>
      <c r="P20" s="1486"/>
      <c r="Q20" s="1495"/>
      <c r="R20" s="1495"/>
      <c r="S20" s="853"/>
      <c r="Z20" s="1491"/>
      <c r="AB20" s="1491"/>
      <c r="AC20" s="1490"/>
      <c r="AH20" s="1491"/>
      <c r="AJ20" s="1491"/>
      <c r="AK20" s="1490"/>
      <c r="AN20" s="635"/>
      <c r="AO20" s="635"/>
      <c r="AP20" s="635"/>
      <c r="AQ20" s="635"/>
      <c r="AR20" s="635"/>
      <c r="AS20" s="1284">
        <v>0</v>
      </c>
    </row>
    <row s="7158" customFormat="1" customHeight="1" ht="14.25" hidden="1">
      <c r="L21" s="1453"/>
      <c r="M21" s="1486"/>
      <c r="N21" s="1486"/>
      <c r="O21" s="1486"/>
      <c r="P21" s="1486"/>
      <c r="Q21" s="1495"/>
      <c r="R21" s="1495"/>
      <c r="S21" s="853"/>
      <c r="AC21" s="1490"/>
      <c r="AK21" s="1490"/>
      <c r="AN21" s="635"/>
      <c r="AO21" s="635"/>
      <c r="AP21" s="635"/>
      <c r="AQ21" s="635"/>
      <c r="AR21" s="635"/>
      <c r="AS21" s="1284">
        <v>0</v>
      </c>
    </row>
    <row s="7158" customFormat="1" customHeight="1" ht="14.25" hidden="1">
      <c r="L22" s="1453"/>
      <c r="M22" s="1486"/>
      <c r="N22" s="1486"/>
      <c r="O22" s="1488" t="s">
        <v>530</v>
      </c>
      <c r="P22" s="1486"/>
      <c r="Q22" s="1495"/>
      <c r="R22" s="1495"/>
      <c r="S22" s="853"/>
      <c r="T22" s="1284" t="s">
        <v>531</v>
      </c>
      <c r="AA22" s="310" t="s">
        <v>532</v>
      </c>
      <c r="AC22" s="310" t="s">
        <v>533</v>
      </c>
      <c r="AD22" s="1284" t="s">
        <v>531</v>
      </c>
      <c r="AI22" s="310" t="s">
        <v>534</v>
      </c>
      <c r="AK22" s="310" t="s">
        <v>533</v>
      </c>
      <c r="AN22" s="635"/>
      <c r="AO22" s="635"/>
      <c r="AP22" s="635"/>
      <c r="AQ22" s="635"/>
      <c r="AR22" s="635"/>
      <c r="AS22" s="1284">
        <v>0</v>
      </c>
    </row>
    <row customHeight="1" ht="14.25" hidden="1">
      <c r="O23" s="1488"/>
      <c r="AS23" s="1279">
        <v>0</v>
      </c>
    </row>
    <row customHeight="1" ht="14.25" hidden="1">
      <c r="O24" s="1488"/>
      <c r="AS24" s="1279">
        <v>0</v>
      </c>
    </row>
    <row customHeight="1" ht="14.699999999999998">
      <c r="Q25" s="500"/>
      <c r="R25" s="500"/>
      <c r="S25" s="1399"/>
      <c r="T25" s="487"/>
      <c r="U25" s="487"/>
      <c r="V25" s="633"/>
      <c r="W25" s="633"/>
      <c r="X25" s="633"/>
      <c r="Y25" s="633"/>
      <c r="Z25" s="633"/>
      <c r="AA25" s="633"/>
      <c r="AB25" s="633"/>
      <c r="AC25" s="633"/>
      <c r="AD25" s="633"/>
      <c r="AE25" s="633"/>
      <c r="AF25" s="633"/>
      <c r="AG25" s="633"/>
      <c r="AH25" s="633"/>
      <c r="AI25" s="633"/>
      <c r="AJ25" s="633"/>
      <c r="AK25" s="633"/>
      <c r="AS25" s="1279">
        <v>14</v>
      </c>
    </row>
    <row customHeight="1" ht="53.54999999999999">
      <c r="Q26" s="500"/>
      <c r="R26" s="500"/>
      <c r="S26" s="238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5"/>
      <c r="U26" s="2385"/>
      <c r="V26" s="2385"/>
      <c r="W26" s="2385"/>
      <c r="X26" s="2385"/>
      <c r="Y26" s="2385"/>
      <c r="Z26" s="2385"/>
      <c r="AA26" s="2385"/>
      <c r="AB26" s="2385"/>
      <c r="AC26" s="2385"/>
      <c r="AD26" s="2385"/>
      <c r="AE26" s="2385"/>
      <c r="AF26" s="2385"/>
      <c r="AG26" s="2385"/>
      <c r="AH26" s="2385"/>
      <c r="AI26" s="2385"/>
      <c r="AJ26" s="2385"/>
      <c r="AK26" s="1367"/>
      <c r="AS26" s="1279">
        <v>51</v>
      </c>
    </row>
    <row customHeight="1" ht="14.699999999999998">
      <c r="Q27" s="500"/>
      <c r="R27" s="500"/>
      <c r="S27" s="2386" t="str">
        <f>IF(org=0,"Не определено",org)</f>
        <v>ООО "СамРЭК-Эксплуатация"</v>
      </c>
      <c r="T27" s="2386"/>
      <c r="U27" s="2386"/>
      <c r="V27" s="2386"/>
      <c r="W27" s="2386"/>
      <c r="X27" s="2386"/>
      <c r="Y27" s="2386"/>
      <c r="Z27" s="2386"/>
      <c r="AA27" s="2386"/>
      <c r="AB27" s="2386"/>
      <c r="AC27" s="2386"/>
      <c r="AD27" s="2386"/>
      <c r="AE27" s="2386"/>
      <c r="AF27" s="2386"/>
      <c r="AG27" s="2386"/>
      <c r="AH27" s="2386"/>
      <c r="AI27" s="2386"/>
      <c r="AJ27" s="2386"/>
      <c r="AK27" s="1367"/>
      <c r="AS27" s="1279">
        <v>14</v>
      </c>
    </row>
    <row customHeight="1" ht="14.25" hidden="1">
      <c r="Q28" s="500"/>
      <c r="R28" s="500"/>
      <c r="S28" s="1399"/>
      <c r="T28" s="487"/>
      <c r="U28" s="487"/>
      <c r="V28" s="446"/>
      <c r="W28" s="446"/>
      <c r="X28" s="446"/>
      <c r="Y28" s="446"/>
      <c r="Z28" s="446"/>
      <c r="AA28" s="446"/>
      <c r="AB28" s="446"/>
      <c r="AC28" s="446"/>
      <c r="AD28" s="446"/>
      <c r="AE28" s="446"/>
      <c r="AF28" s="446"/>
      <c r="AG28" s="446"/>
      <c r="AH28" s="446"/>
      <c r="AI28" s="446"/>
      <c r="AJ28" s="446"/>
      <c r="AK28" s="446"/>
      <c r="AL28" s="633"/>
      <c r="AS28" s="1279">
        <v>0</v>
      </c>
    </row>
    <row s="7787" customFormat="1" customHeight="1" ht="25.5" hidden="1">
      <c r="A29" s="1492"/>
      <c r="B29" s="1492"/>
      <c r="C29" s="1492"/>
      <c r="D29" s="1492"/>
      <c r="E29" s="1492"/>
      <c r="F29" s="1492"/>
      <c r="G29" s="1492"/>
      <c r="H29" s="1492"/>
      <c r="I29" s="1492"/>
      <c r="J29" s="1492"/>
      <c r="K29" s="1492"/>
      <c r="L29" s="1493"/>
      <c r="M29" s="1492"/>
      <c r="N29" s="1492"/>
      <c r="O29" s="1492"/>
      <c r="S29" s="2387" t="s">
        <v>41</v>
      </c>
      <c r="T29" s="2387"/>
      <c r="U29" s="1496"/>
      <c r="V29" s="2388" t="str">
        <f>IF(TITLE_NAME_OR_PR_CHANGE="",IF(TITLE_NAME_OR_PR="","",TITLE_NAME_OR_PR),TITLE_NAME_OR_PR_CHANGE)</f>
        <v/>
      </c>
      <c r="W29" s="2388"/>
      <c r="X29" s="2388"/>
      <c r="Y29" s="2388"/>
      <c r="Z29" s="2388"/>
      <c r="AA29" s="2388"/>
      <c r="AB29" s="2388"/>
      <c r="AC29" s="450"/>
      <c r="AD29" s="2388" t="str">
        <f>IF(TITLE_NAME_OR_PR_CHANGE="",IF(TITLE_NAME_OR_PR="","",TITLE_NAME_OR_PR),TITLE_NAME_OR_PR_CHANGE)</f>
        <v/>
      </c>
      <c r="AE29" s="2388"/>
      <c r="AF29" s="2388"/>
      <c r="AG29" s="2388"/>
      <c r="AH29" s="2388"/>
      <c r="AI29" s="2388"/>
      <c r="AJ29" s="2388"/>
      <c r="AK29" s="450"/>
      <c r="AL29" s="450"/>
      <c r="AM29" s="404"/>
      <c r="AN29" s="492"/>
      <c r="AO29" s="492"/>
      <c r="AP29" s="492"/>
      <c r="AQ29" s="492"/>
      <c r="AR29" s="492"/>
      <c r="AS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535</v>
      </c>
      <c r="T30" s="2387"/>
      <c r="U30" s="1496"/>
      <c r="V30" s="2401" t="str">
        <f>IF(TITLE_DATE_PR_CHANGE="",IF(TITLE_DATE_PR="","",TITLE_DATE_PR),TITLE_DATE_PR_CHANGE)</f>
        <v/>
      </c>
      <c r="W30" s="2401"/>
      <c r="X30" s="2401"/>
      <c r="Y30" s="2401"/>
      <c r="Z30" s="2401"/>
      <c r="AA30" s="2401"/>
      <c r="AB30" s="2401"/>
      <c r="AC30" s="450"/>
      <c r="AD30" s="2401" t="str">
        <f>IF(TITLE_DATE_PR_CHANGE="",IF(TITLE_DATE_PR="","",TITLE_DATE_PR),TITLE_DATE_PR_CHANGE)</f>
        <v/>
      </c>
      <c r="AE30" s="2401"/>
      <c r="AF30" s="2401"/>
      <c r="AG30" s="2401"/>
      <c r="AH30" s="2401"/>
      <c r="AI30" s="2401"/>
      <c r="AJ30" s="2401"/>
      <c r="AK30" s="450"/>
      <c r="AL30" s="450"/>
      <c r="AM30" s="404"/>
      <c r="AN30" s="492"/>
      <c r="AO30" s="492"/>
      <c r="AP30" s="492"/>
      <c r="AQ30" s="492"/>
      <c r="AR30" s="492"/>
      <c r="AS30" s="542">
        <v>0</v>
      </c>
    </row>
    <row s="7787" customFormat="1" customHeight="1" ht="18.75" hidden="1">
      <c r="A31" s="1492"/>
      <c r="B31" s="1492"/>
      <c r="C31" s="1492"/>
      <c r="D31" s="1492"/>
      <c r="E31" s="1492"/>
      <c r="F31" s="1492"/>
      <c r="G31" s="1492"/>
      <c r="H31" s="1492"/>
      <c r="I31" s="1492"/>
      <c r="J31" s="1492"/>
      <c r="K31" s="1492"/>
      <c r="L31" s="1493"/>
      <c r="M31" s="1492"/>
      <c r="N31" s="1492"/>
      <c r="O31" s="1492"/>
      <c r="S31" s="2387" t="s">
        <v>536</v>
      </c>
      <c r="T31" s="2387"/>
      <c r="U31" s="1496"/>
      <c r="V31" s="2388" t="str">
        <f>IF(TITLE_NUMBER_PR_CHANGE="",IF(TITLE_NUMBER_PR="","",TITLE_NUMBER_PR),TITLE_NUMBER_PR_CHANGE)</f>
        <v/>
      </c>
      <c r="W31" s="2388"/>
      <c r="X31" s="2388"/>
      <c r="Y31" s="2388"/>
      <c r="Z31" s="2388"/>
      <c r="AA31" s="2388"/>
      <c r="AB31" s="2388"/>
      <c r="AC31" s="450"/>
      <c r="AD31" s="2388" t="str">
        <f>IF(TITLE_NUMBER_PR_CHANGE="",IF(TITLE_NUMBER_PR="","",TITLE_NUMBER_PR),TITLE_NUMBER_PR_CHANGE)</f>
        <v/>
      </c>
      <c r="AE31" s="2388"/>
      <c r="AF31" s="2388"/>
      <c r="AG31" s="2388"/>
      <c r="AH31" s="2388"/>
      <c r="AI31" s="2388"/>
      <c r="AJ31" s="2388"/>
      <c r="AK31" s="450"/>
      <c r="AL31" s="450"/>
      <c r="AM31" s="404"/>
      <c r="AN31" s="492"/>
      <c r="AO31" s="492"/>
      <c r="AP31" s="492"/>
      <c r="AQ31" s="492"/>
      <c r="AR31" s="492"/>
      <c r="AS31" s="542">
        <v>0</v>
      </c>
    </row>
    <row s="7787" customFormat="1" customHeight="1" ht="18.75" hidden="1">
      <c r="A32" s="1492"/>
      <c r="B32" s="1492"/>
      <c r="C32" s="1492"/>
      <c r="D32" s="1492"/>
      <c r="E32" s="1492"/>
      <c r="F32" s="1492"/>
      <c r="G32" s="1492"/>
      <c r="H32" s="1492"/>
      <c r="I32" s="1492"/>
      <c r="J32" s="1492"/>
      <c r="K32" s="1492"/>
      <c r="L32" s="1493"/>
      <c r="M32" s="1492"/>
      <c r="N32" s="1492"/>
      <c r="O32" s="1492"/>
      <c r="S32" s="2387" t="s">
        <v>42</v>
      </c>
      <c r="T32" s="2387"/>
      <c r="U32" s="1496"/>
      <c r="V32" s="2388" t="str">
        <f>IF(TITLE_IST_PUB_CHANGE="",IF(TITLE_IST_PUB="","",TITLE_IST_PUB),TITLE_IST_PUB_CHANGE)</f>
        <v/>
      </c>
      <c r="W32" s="2388"/>
      <c r="X32" s="2388"/>
      <c r="Y32" s="2388"/>
      <c r="Z32" s="2388"/>
      <c r="AA32" s="2388"/>
      <c r="AB32" s="2388"/>
      <c r="AC32" s="450"/>
      <c r="AD32" s="2388" t="str">
        <f>IF(TITLE_IST_PUB_CHANGE="",IF(TITLE_IST_PUB="","",TITLE_IST_PUB),TITLE_IST_PUB_CHANGE)</f>
        <v/>
      </c>
      <c r="AE32" s="2388"/>
      <c r="AF32" s="2388"/>
      <c r="AG32" s="2388"/>
      <c r="AH32" s="2388"/>
      <c r="AI32" s="2388"/>
      <c r="AJ32" s="2388"/>
      <c r="AK32" s="450"/>
      <c r="AL32" s="450"/>
      <c r="AM32" s="404"/>
      <c r="AN32" s="492"/>
      <c r="AO32" s="492"/>
      <c r="AP32" s="492"/>
      <c r="AQ32" s="492"/>
      <c r="AR32" s="492"/>
      <c r="AS32" s="542">
        <v>0</v>
      </c>
    </row>
    <row customHeight="1" ht="14.25" hidden="1">
      <c r="Q33" s="500"/>
      <c r="R33" s="500"/>
      <c r="S33" s="1399"/>
      <c r="T33" s="487"/>
      <c r="U33" s="487"/>
      <c r="V33" s="446"/>
      <c r="W33" s="446"/>
      <c r="X33" s="446"/>
      <c r="Y33" s="446"/>
      <c r="Z33" s="446"/>
      <c r="AA33" s="446"/>
      <c r="AB33" s="446"/>
      <c r="AC33" s="446"/>
      <c r="AD33" s="446"/>
      <c r="AE33" s="446"/>
      <c r="AF33" s="446"/>
      <c r="AG33" s="446"/>
      <c r="AH33" s="446"/>
      <c r="AI33" s="446"/>
      <c r="AJ33" s="446"/>
      <c r="AK33" s="446"/>
      <c r="AL33" s="633"/>
      <c r="AS33" s="1279">
        <v>0</v>
      </c>
    </row>
    <row s="7787" customFormat="1" customHeight="1" ht="18.75" hidden="1">
      <c r="A34" s="1492"/>
      <c r="B34" s="1492"/>
      <c r="C34" s="1492"/>
      <c r="D34" s="1492"/>
      <c r="E34" s="1492"/>
      <c r="F34" s="1492"/>
      <c r="G34" s="1492"/>
      <c r="H34" s="1492"/>
      <c r="I34" s="1492"/>
      <c r="J34" s="1492"/>
      <c r="K34" s="1492"/>
      <c r="L34" s="1493"/>
      <c r="M34" s="1492"/>
      <c r="N34" s="1492"/>
      <c r="O34" s="1492"/>
      <c r="S34" s="2387" t="s">
        <v>537</v>
      </c>
      <c r="T34" s="2387"/>
      <c r="U34" s="1496"/>
      <c r="V34" s="2401" t="str">
        <f>IF(TITLE_DATE_PR_CHANGE="",IF(TITLE_DATE_PR="","",TITLE_DATE_PR),TITLE_DATE_PR_CHANGE)</f>
        <v/>
      </c>
      <c r="W34" s="2401"/>
      <c r="X34" s="2401"/>
      <c r="Y34" s="2401"/>
      <c r="Z34" s="2401"/>
      <c r="AA34" s="2401"/>
      <c r="AB34" s="2401"/>
      <c r="AC34" s="450"/>
      <c r="AD34" s="2401" t="str">
        <f>IF(TITLE_DATE_PR_CHANGE="",IF(TITLE_DATE_PR="","",TITLE_DATE_PR),TITLE_DATE_PR_CHANGE)</f>
        <v/>
      </c>
      <c r="AE34" s="2401"/>
      <c r="AF34" s="2401"/>
      <c r="AG34" s="2401"/>
      <c r="AH34" s="2401"/>
      <c r="AI34" s="2401"/>
      <c r="AJ34" s="2401"/>
      <c r="AK34" s="450"/>
      <c r="AL34" s="450"/>
      <c r="AM34" s="404"/>
      <c r="AN34" s="492"/>
      <c r="AO34" s="492"/>
      <c r="AP34" s="492"/>
      <c r="AQ34" s="492"/>
      <c r="AR34" s="492"/>
      <c r="AS34" s="542">
        <v>0</v>
      </c>
    </row>
    <row s="7787" customFormat="1" customHeight="1" ht="25.5" hidden="1">
      <c r="A35" s="1492"/>
      <c r="B35" s="1492"/>
      <c r="C35" s="1492"/>
      <c r="D35" s="1492"/>
      <c r="E35" s="1492"/>
      <c r="F35" s="1492"/>
      <c r="G35" s="1492"/>
      <c r="H35" s="1492"/>
      <c r="I35" s="1492"/>
      <c r="J35" s="1492"/>
      <c r="K35" s="1492"/>
      <c r="L35" s="1493"/>
      <c r="M35" s="1492"/>
      <c r="N35" s="1492"/>
      <c r="O35" s="1492"/>
      <c r="S35" s="2387" t="s">
        <v>538</v>
      </c>
      <c r="T35" s="2387"/>
      <c r="U35" s="1496"/>
      <c r="V35" s="2388" t="str">
        <f>IF(TITLE_NUMBER_PR_CHANGE="",IF(TITLE_NUMBER_PR="","",TITLE_NUMBER_PR),TITLE_NUMBER_PR_CHANGE)</f>
        <v/>
      </c>
      <c r="W35" s="2388"/>
      <c r="X35" s="2388"/>
      <c r="Y35" s="2388"/>
      <c r="Z35" s="2388"/>
      <c r="AA35" s="2388"/>
      <c r="AB35" s="2388"/>
      <c r="AC35" s="450"/>
      <c r="AD35" s="2388" t="str">
        <f>IF(TITLE_NUMBER_PR_CHANGE="",IF(TITLE_NUMBER_PR="","",TITLE_NUMBER_PR),TITLE_NUMBER_PR_CHANGE)</f>
        <v/>
      </c>
      <c r="AE35" s="2388"/>
      <c r="AF35" s="2388"/>
      <c r="AG35" s="2388"/>
      <c r="AH35" s="2388"/>
      <c r="AI35" s="2388"/>
      <c r="AJ35" s="2388"/>
      <c r="AK35" s="450"/>
      <c r="AL35" s="450"/>
      <c r="AM35" s="404"/>
      <c r="AN35" s="492"/>
      <c r="AO35" s="492"/>
      <c r="AP35" s="492"/>
      <c r="AQ35" s="492"/>
      <c r="AR35" s="492"/>
      <c r="AS35" s="542">
        <v>0</v>
      </c>
    </row>
    <row s="7787" customFormat="1" customHeight="1" ht="0">
      <c r="A36" s="1492"/>
      <c r="B36" s="1492"/>
      <c r="C36" s="1492"/>
      <c r="D36" s="1492"/>
      <c r="E36" s="1492"/>
      <c r="F36" s="1492"/>
      <c r="G36" s="1492"/>
      <c r="H36" s="1492"/>
      <c r="I36" s="1492"/>
      <c r="J36" s="1492"/>
      <c r="K36" s="1492"/>
      <c r="L36" s="1493"/>
      <c r="M36" s="1492"/>
      <c r="N36" s="1492"/>
      <c r="O36" s="1492"/>
      <c r="S36" s="447"/>
      <c r="T36" s="447"/>
      <c r="U36" s="1464"/>
      <c r="V36" s="450"/>
      <c r="W36" s="450"/>
      <c r="X36" s="450"/>
      <c r="Y36" s="450"/>
      <c r="Z36" s="450"/>
      <c r="AA36" s="450"/>
      <c r="AB36" s="450"/>
      <c r="AC36" s="402" t="s">
        <v>539</v>
      </c>
      <c r="AD36" s="450"/>
      <c r="AE36" s="450"/>
      <c r="AF36" s="450"/>
      <c r="AG36" s="450"/>
      <c r="AH36" s="450"/>
      <c r="AI36" s="450"/>
      <c r="AJ36" s="450"/>
      <c r="AK36" s="402" t="s">
        <v>539</v>
      </c>
      <c r="AN36" s="492"/>
      <c r="AO36" s="492"/>
      <c r="AP36" s="492"/>
      <c r="AQ36" s="492"/>
      <c r="AR36" s="492"/>
      <c r="AS36" s="542">
        <v>0</v>
      </c>
    </row>
    <row customHeight="1" ht="14.699999999999998">
      <c r="Q37" s="500"/>
      <c r="R37" s="500"/>
      <c r="S37" s="1399"/>
      <c r="T37" s="487"/>
      <c r="U37" s="1368"/>
      <c r="V37" s="2389"/>
      <c r="W37" s="2389"/>
      <c r="X37" s="2389"/>
      <c r="Y37" s="2389"/>
      <c r="Z37" s="2389"/>
      <c r="AA37" s="2389"/>
      <c r="AB37" s="2389"/>
      <c r="AC37" s="2389"/>
      <c r="AD37" s="2389"/>
      <c r="AE37" s="2389"/>
      <c r="AF37" s="2389"/>
      <c r="AG37" s="2389"/>
      <c r="AH37" s="2389"/>
      <c r="AI37" s="2389"/>
      <c r="AJ37" s="2389"/>
      <c r="AK37" s="2389"/>
      <c r="AS37" s="1279">
        <v>14</v>
      </c>
    </row>
    <row customHeight="1" ht="14.699999999999998">
      <c r="Q38" s="500"/>
      <c r="R38" s="500"/>
      <c r="S38" s="2264" t="s">
        <v>412</v>
      </c>
      <c r="T38" s="2264"/>
      <c r="U38" s="2264"/>
      <c r="V38" s="2264"/>
      <c r="W38" s="2264"/>
      <c r="X38" s="2264"/>
      <c r="Y38" s="2264"/>
      <c r="Z38" s="2264"/>
      <c r="AA38" s="2264"/>
      <c r="AB38" s="2264"/>
      <c r="AC38" s="2264"/>
      <c r="AD38" s="2264"/>
      <c r="AE38" s="2264"/>
      <c r="AF38" s="2264"/>
      <c r="AG38" s="2264"/>
      <c r="AH38" s="2264"/>
      <c r="AI38" s="2264"/>
      <c r="AJ38" s="2264"/>
      <c r="AK38" s="2264"/>
      <c r="AL38" s="2264"/>
      <c r="AM38" s="2264" t="s">
        <v>413</v>
      </c>
      <c r="AS38" s="1279">
        <v>14</v>
      </c>
    </row>
    <row customHeight="1" ht="14.699999999999998">
      <c r="Q39" s="500"/>
      <c r="R39" s="500"/>
      <c r="S39" s="2410" t="s">
        <v>88</v>
      </c>
      <c r="T39" s="2346" t="s">
        <v>540</v>
      </c>
      <c r="U39" s="425"/>
      <c r="V39" s="2411" t="s">
        <v>541</v>
      </c>
      <c r="W39" s="2412"/>
      <c r="X39" s="2412"/>
      <c r="Y39" s="2412"/>
      <c r="Z39" s="2412"/>
      <c r="AA39" s="2412"/>
      <c r="AB39" s="2413"/>
      <c r="AC39" s="2414" t="s">
        <v>542</v>
      </c>
      <c r="AD39" s="2411" t="s">
        <v>541</v>
      </c>
      <c r="AE39" s="2412"/>
      <c r="AF39" s="2412"/>
      <c r="AG39" s="2412"/>
      <c r="AH39" s="2412"/>
      <c r="AI39" s="2412"/>
      <c r="AJ39" s="2413"/>
      <c r="AK39" s="2414" t="s">
        <v>543</v>
      </c>
      <c r="AL39" s="2417" t="s">
        <v>544</v>
      </c>
      <c r="AM39" s="2264"/>
      <c r="AS39" s="1279">
        <v>14</v>
      </c>
    </row>
    <row customHeight="1" ht="35.699999999999996">
      <c r="Q40" s="500"/>
      <c r="R40" s="500"/>
      <c r="S40" s="2410"/>
      <c r="T40" s="2346"/>
      <c r="U40" s="1155"/>
      <c r="V40" s="2397" t="s">
        <v>545</v>
      </c>
      <c r="W40" s="2420"/>
      <c r="X40" s="2399" t="s">
        <v>547</v>
      </c>
      <c r="Y40" s="2400"/>
      <c r="Z40" s="2399" t="s">
        <v>548</v>
      </c>
      <c r="AA40" s="2406"/>
      <c r="AB40" s="2400"/>
      <c r="AC40" s="2415"/>
      <c r="AD40" s="2397" t="s">
        <v>562</v>
      </c>
      <c r="AE40" s="2420"/>
      <c r="AF40" s="2399" t="s">
        <v>547</v>
      </c>
      <c r="AG40" s="2400"/>
      <c r="AH40" s="2399" t="s">
        <v>548</v>
      </c>
      <c r="AI40" s="2406"/>
      <c r="AJ40" s="2400"/>
      <c r="AK40" s="2415"/>
      <c r="AL40" s="2418"/>
      <c r="AM40" s="2264"/>
      <c r="AS40" s="1279">
        <v>34</v>
      </c>
    </row>
    <row customHeight="1" ht="35.699999999999996">
      <c r="A41" s="1494"/>
      <c r="B41" s="1494" t="s">
        <v>255</v>
      </c>
      <c r="C41" s="1494" t="s">
        <v>256</v>
      </c>
      <c r="D41" s="1494" t="s">
        <v>257</v>
      </c>
      <c r="E41" s="1488" t="s">
        <v>549</v>
      </c>
      <c r="F41" s="1488" t="s">
        <v>550</v>
      </c>
      <c r="G41" s="1488" t="s">
        <v>551</v>
      </c>
      <c r="H41" s="1488" t="s">
        <v>552</v>
      </c>
      <c r="I41" s="1488" t="s">
        <v>553</v>
      </c>
      <c r="J41" s="1488" t="s">
        <v>554</v>
      </c>
      <c r="K41" s="1488" t="s">
        <v>555</v>
      </c>
      <c r="L41" s="1488" t="s">
        <v>530</v>
      </c>
      <c r="Q41" s="500"/>
      <c r="R41" s="500"/>
      <c r="S41" s="2410"/>
      <c r="T41" s="2346"/>
      <c r="U41" s="426"/>
      <c r="V41" s="2398"/>
      <c r="W41" s="2421"/>
      <c r="X41" s="1346" t="s">
        <v>556</v>
      </c>
      <c r="Y41" s="1346" t="s">
        <v>557</v>
      </c>
      <c r="Z41" s="1462" t="s">
        <v>558</v>
      </c>
      <c r="AA41" s="2407" t="s">
        <v>559</v>
      </c>
      <c r="AB41" s="2408"/>
      <c r="AC41" s="2416"/>
      <c r="AD41" s="2398"/>
      <c r="AE41" s="2421"/>
      <c r="AF41" s="1346" t="s">
        <v>556</v>
      </c>
      <c r="AG41" s="1346" t="s">
        <v>557</v>
      </c>
      <c r="AH41" s="1462" t="s">
        <v>558</v>
      </c>
      <c r="AI41" s="2407" t="s">
        <v>559</v>
      </c>
      <c r="AJ41" s="2408"/>
      <c r="AK41" s="2416"/>
      <c r="AL41" s="2419"/>
      <c r="AM41" s="2264"/>
      <c r="AS41" s="1279">
        <v>34</v>
      </c>
    </row>
    <row s="6292" customFormat="1" customHeight="1" ht="11.25" hidden="1">
      <c r="A42" s="1494"/>
      <c r="B42" s="1494"/>
      <c r="C42" s="1494"/>
      <c r="D42" s="1494"/>
      <c r="E42" s="1494"/>
      <c r="F42" s="1494"/>
      <c r="G42" s="1494"/>
      <c r="H42" s="1494"/>
      <c r="I42" s="1494"/>
      <c r="J42" s="1494"/>
      <c r="K42" s="1494"/>
      <c r="L42" s="1488"/>
      <c r="M42" s="1486"/>
      <c r="N42" s="1486"/>
      <c r="O42" s="1486"/>
      <c r="P42" s="1370"/>
      <c r="Q42" s="1371"/>
      <c r="R42" s="1378">
        <v>1</v>
      </c>
      <c r="S42" s="1401" t="s">
        <v>210</v>
      </c>
      <c r="T42" s="1379" t="s">
        <v>102</v>
      </c>
      <c r="U42" s="1369" t="str">
        <f>OFFSET(U42,0,-1)</f>
        <v>2</v>
      </c>
      <c r="V42" s="1459">
        <f>OFFSET(V42,0,-1)+1</f>
        <v>3</v>
      </c>
      <c r="W42" s="1459"/>
      <c r="X42" s="1459">
        <f>OFFSET(X42,0,-1)+1</f>
        <v>1</v>
      </c>
      <c r="Y42" s="1459">
        <f>OFFSET(Y42,0,-1)+1</f>
        <v>2</v>
      </c>
      <c r="Z42" s="1459">
        <f>OFFSET(Z42,0,-1)+1</f>
        <v>3</v>
      </c>
      <c r="AA42" s="2409">
        <f>OFFSET(AA42,0,-1)+1</f>
        <v>4</v>
      </c>
      <c r="AB42" s="2409"/>
      <c r="AC42" s="1459">
        <f>OFFSET(AC42,0,-2)+1</f>
        <v>5</v>
      </c>
      <c r="AD42" s="1459">
        <f>OFFSET(AD42,0,-1)+1</f>
        <v>6</v>
      </c>
      <c r="AE42" s="1459"/>
      <c r="AF42" s="1459">
        <f>OFFSET(AF42,0,-1)+1</f>
        <v>1</v>
      </c>
      <c r="AG42" s="1459">
        <f>OFFSET(AG42,0,-1)+1</f>
        <v>2</v>
      </c>
      <c r="AH42" s="1459">
        <f>OFFSET(AH42,0,-1)+1</f>
        <v>3</v>
      </c>
      <c r="AI42" s="2409">
        <f>OFFSET(AI42,0,-1)+1</f>
        <v>4</v>
      </c>
      <c r="AJ42" s="2409"/>
      <c r="AK42" s="1459">
        <f>OFFSET(AK42,0,-2)+1</f>
        <v>5</v>
      </c>
      <c r="AL42" s="1369">
        <f>OFFSET(AL42,0,-1)</f>
        <v>5</v>
      </c>
      <c r="AM42" s="1459">
        <f>OFFSET(AM42,0,-1)+1</f>
        <v>6</v>
      </c>
      <c r="AN42" s="635"/>
      <c r="AO42" s="635"/>
      <c r="AP42" s="635"/>
      <c r="AQ42" s="635"/>
      <c r="AR42" s="635"/>
      <c r="AS42" s="620">
        <v>0</v>
      </c>
    </row>
    <row customHeight="1" ht="22.049999999999997">
      <c r="A43" s="1487" t="s">
        <v>300</v>
      </c>
      <c r="B43" s="1487"/>
      <c r="C43" s="1487"/>
      <c r="D43" s="1487"/>
      <c r="E43" s="2395">
        <v>1</v>
      </c>
      <c r="F43" s="1487"/>
      <c r="G43" s="1487"/>
      <c r="H43" s="1487"/>
      <c r="I43" s="1487"/>
      <c r="J43" s="1487"/>
      <c r="K43" s="1487"/>
      <c r="L43" s="1488"/>
      <c r="M43" s="1489"/>
      <c r="N43" s="1489"/>
      <c r="O43" s="1489"/>
      <c r="P43" s="485"/>
      <c r="Q43" s="484"/>
      <c r="R43" s="479"/>
      <c r="S43" s="1460">
        <f>INDEX(PT_DIFFERENTIATION_NUM_NTAR,MATCH(A43,PT_DIFFERENTIATION_NTAR_ID,0))</f>
        <v>0</v>
      </c>
      <c r="T43" s="422" t="s">
        <v>243</v>
      </c>
      <c r="U43" s="424"/>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3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24"/>
      <c r="AP43" s="624" t="str">
        <f>IF(T43="","",T43)</f>
        <v>Наименование тарифа</v>
      </c>
      <c r="AQ43" s="624"/>
      <c r="AR43" s="624"/>
      <c r="AS43" s="1279">
        <v>21</v>
      </c>
    </row>
    <row customHeight="1" ht="22.049999999999997">
      <c r="A44" s="1487" t="s">
        <v>300</v>
      </c>
      <c r="B44" s="1487" t="s">
        <v>301</v>
      </c>
      <c r="C44" s="1487"/>
      <c r="D44" s="1487"/>
      <c r="E44" s="2396"/>
      <c r="F44" s="2395">
        <v>1</v>
      </c>
      <c r="G44" s="1487"/>
      <c r="H44" s="1487"/>
      <c r="I44" s="1487"/>
      <c r="J44" s="1487"/>
      <c r="K44" s="1487"/>
      <c r="L44" s="1488"/>
      <c r="M44" s="1489"/>
      <c r="N44" s="1489"/>
      <c r="O44" s="1489"/>
      <c r="P44" s="1456"/>
      <c r="Q44" s="476"/>
      <c r="R44" s="477"/>
      <c r="S44" s="1460" t="str">
        <f>INDEX(PT_DIFFERENTIATION_NUM_TER,MATCH(B44,PT_DIFFERENTIATION_TER_ID,0))</f>
        <v>.</v>
      </c>
      <c r="T44" s="432" t="s">
        <v>509</v>
      </c>
      <c r="U44" s="424"/>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382" t="s">
        <v>510</v>
      </c>
      <c r="AO44" s="624"/>
      <c r="AP44" s="624" t="str">
        <f>IF(T44="","",T44)</f>
        <v>Территория действия тарифа</v>
      </c>
      <c r="AQ44" s="624"/>
      <c r="AR44" s="624"/>
      <c r="AS44" s="1279">
        <v>21</v>
      </c>
    </row>
    <row customHeight="1" ht="24">
      <c r="A45" s="1487" t="s">
        <v>300</v>
      </c>
      <c r="B45" s="1487" t="s">
        <v>301</v>
      </c>
      <c r="C45" s="1487" t="s">
        <v>302</v>
      </c>
      <c r="D45" s="1487"/>
      <c r="E45" s="2396"/>
      <c r="F45" s="2396"/>
      <c r="G45" s="2395">
        <v>1</v>
      </c>
      <c r="H45" s="1487"/>
      <c r="I45" s="1487"/>
      <c r="J45" s="1487"/>
      <c r="K45" s="1487"/>
      <c r="L45" s="1488"/>
      <c r="M45" s="1489"/>
      <c r="N45" s="1489"/>
      <c r="O45" s="1489"/>
      <c r="P45" s="478"/>
      <c r="Q45" s="476"/>
      <c r="R45" s="477"/>
      <c r="S45" s="1460" t="str">
        <f>INDEX(PT_DIFFERENTIATION_NUM_CS,MATCH(C45,PT_DIFFERENTIATION_CS_ID,0))</f>
        <v>..</v>
      </c>
      <c r="T45" s="433" t="s">
        <v>511</v>
      </c>
      <c r="U45" s="424"/>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382" t="s">
        <v>512</v>
      </c>
      <c r="AO45" s="624"/>
      <c r="AP45" s="624" t="str">
        <f>IF(T45="","",T45)</f>
        <v>Наименование системы теплоснабжения </v>
      </c>
      <c r="AQ45" s="624"/>
      <c r="AR45" s="624"/>
      <c r="AS45" s="1279">
        <v>23</v>
      </c>
    </row>
    <row customHeight="1" ht="22.049999999999997">
      <c r="A46" s="1487" t="s">
        <v>300</v>
      </c>
      <c r="B46" s="1487" t="s">
        <v>301</v>
      </c>
      <c r="C46" s="1487" t="s">
        <v>302</v>
      </c>
      <c r="D46" s="1487" t="s">
        <v>303</v>
      </c>
      <c r="E46" s="2396"/>
      <c r="F46" s="2396"/>
      <c r="G46" s="2396"/>
      <c r="H46" s="2395">
        <v>1</v>
      </c>
      <c r="I46" s="1487"/>
      <c r="J46" s="1487"/>
      <c r="K46" s="1487"/>
      <c r="L46" s="1488"/>
      <c r="M46" s="1489"/>
      <c r="N46" s="1489"/>
      <c r="O46" s="1489"/>
      <c r="P46" s="478"/>
      <c r="Q46" s="476"/>
      <c r="R46" s="477"/>
      <c r="S46" s="1460" t="str">
        <f>INDEX(PT_DIFFERENTIATION_NUM_IST_TE,MATCH(D46,PT_DIFFERENTIATION_IST_TE_ID,0))</f>
        <v>...</v>
      </c>
      <c r="T46" s="434" t="s">
        <v>513</v>
      </c>
      <c r="U46" s="424"/>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382" t="s">
        <v>514</v>
      </c>
      <c r="AO46" s="624"/>
      <c r="AP46" s="624" t="str">
        <f>IF(T46="","",T46)</f>
        <v>Источник тепловой энергии  </v>
      </c>
      <c r="AQ46" s="624"/>
      <c r="AR46" s="624"/>
      <c r="AS46" s="1279">
        <v>21</v>
      </c>
    </row>
    <row s="6698" customFormat="1" customHeight="1" ht="0">
      <c r="A47" s="1467" t="s">
        <v>300</v>
      </c>
      <c r="B47" s="1467" t="s">
        <v>301</v>
      </c>
      <c r="C47" s="1467" t="s">
        <v>302</v>
      </c>
      <c r="D47" s="1467" t="s">
        <v>303</v>
      </c>
      <c r="E47" s="2396"/>
      <c r="F47" s="2396"/>
      <c r="G47" s="2396"/>
      <c r="H47" s="2396"/>
      <c r="I47" s="2393" t="str">
        <f>S46&amp;".1"</f>
        <v>....1</v>
      </c>
      <c r="J47" s="1467"/>
      <c r="K47" s="1467"/>
      <c r="L47" s="1470" t="s">
        <v>515</v>
      </c>
      <c r="M47" s="634"/>
      <c r="N47" s="634"/>
      <c r="O47" s="634"/>
      <c r="P47" s="2394">
        <v>1</v>
      </c>
      <c r="Q47" s="1455"/>
      <c r="R47" s="480"/>
      <c r="S47" s="1166"/>
      <c r="T47" s="1507"/>
      <c r="U47" s="1508"/>
      <c r="V47" s="2433"/>
      <c r="W47" s="2434"/>
      <c r="X47" s="2434"/>
      <c r="Y47" s="2434"/>
      <c r="Z47" s="2434"/>
      <c r="AA47" s="2434"/>
      <c r="AB47" s="2434"/>
      <c r="AC47" s="2435"/>
      <c r="AD47" s="2433"/>
      <c r="AE47" s="2434"/>
      <c r="AF47" s="2434"/>
      <c r="AG47" s="2434"/>
      <c r="AH47" s="2434"/>
      <c r="AI47" s="2434"/>
      <c r="AJ47" s="2434"/>
      <c r="AK47" s="2434"/>
      <c r="AL47" s="2435"/>
      <c r="AM47" s="1509"/>
      <c r="AO47" s="624"/>
      <c r="AP47" s="624" t="str">
        <f>IF(T47="","",T47)</f>
        <v/>
      </c>
      <c r="AQ47" s="624"/>
      <c r="AR47" s="624"/>
      <c r="AS47" s="635">
        <v>0</v>
      </c>
    </row>
    <row customHeight="1" ht="22.049999999999997">
      <c r="A48" s="1487" t="s">
        <v>300</v>
      </c>
      <c r="B48" s="1487" t="s">
        <v>301</v>
      </c>
      <c r="C48" s="1487" t="s">
        <v>302</v>
      </c>
      <c r="D48" s="1487" t="s">
        <v>303</v>
      </c>
      <c r="E48" s="2396"/>
      <c r="F48" s="2396"/>
      <c r="G48" s="2396"/>
      <c r="H48" s="2396"/>
      <c r="I48" s="2423"/>
      <c r="J48" s="2393" t="str">
        <f>S46&amp;".1"</f>
        <v>....1</v>
      </c>
      <c r="K48" s="1487"/>
      <c r="L48" s="1488" t="s">
        <v>518</v>
      </c>
      <c r="P48" s="2394"/>
      <c r="Q48" s="2394">
        <v>1</v>
      </c>
      <c r="R48" s="481"/>
      <c r="S48" s="1460" t="str">
        <f>$J48</f>
        <v>....1</v>
      </c>
      <c r="T48" s="410" t="s">
        <v>519</v>
      </c>
      <c r="U48" s="424"/>
      <c r="V48" s="2382"/>
      <c r="W48" s="2383"/>
      <c r="X48" s="2383"/>
      <c r="Y48" s="2383"/>
      <c r="Z48" s="2383"/>
      <c r="AA48" s="2383"/>
      <c r="AB48" s="2383"/>
      <c r="AC48" s="2384"/>
      <c r="AD48" s="2382"/>
      <c r="AE48" s="2383"/>
      <c r="AF48" s="2383"/>
      <c r="AG48" s="2383"/>
      <c r="AH48" s="2383"/>
      <c r="AI48" s="2383"/>
      <c r="AJ48" s="2383"/>
      <c r="AK48" s="2383"/>
      <c r="AL48" s="2384"/>
      <c r="AM48" s="1382" t="s">
        <v>520</v>
      </c>
      <c r="AO48" s="624"/>
      <c r="AP48" s="624" t="str">
        <f>IF(T48="","",T48)</f>
        <v>Группа потребителей</v>
      </c>
      <c r="AQ48" s="624"/>
      <c r="AR48" s="624"/>
      <c r="AS48" s="1279">
        <v>21</v>
      </c>
    </row>
    <row customHeight="1" ht="22.049999999999997">
      <c r="A49" s="1487" t="s">
        <v>300</v>
      </c>
      <c r="B49" s="1487" t="s">
        <v>301</v>
      </c>
      <c r="C49" s="1487" t="s">
        <v>302</v>
      </c>
      <c r="D49" s="1487" t="s">
        <v>303</v>
      </c>
      <c r="E49" s="2396"/>
      <c r="F49" s="2396"/>
      <c r="G49" s="2396"/>
      <c r="H49" s="2396"/>
      <c r="I49" s="2423"/>
      <c r="J49" s="2423"/>
      <c r="K49" s="2393" t="str">
        <f>J48&amp;".1"</f>
        <v>....1.1</v>
      </c>
      <c r="L49" s="1488" t="s">
        <v>521</v>
      </c>
      <c r="P49" s="2394"/>
      <c r="Q49" s="2394"/>
      <c r="R49" s="481">
        <v>1</v>
      </c>
      <c r="S49" s="1460" t="str">
        <f>$K49</f>
        <v>....1.1</v>
      </c>
      <c r="T49" s="1471"/>
      <c r="U49" s="424"/>
      <c r="V49" s="875"/>
      <c r="W49" s="449"/>
      <c r="X49" s="875"/>
      <c r="Y49" s="1381"/>
      <c r="Z49" s="2402"/>
      <c r="AA49" s="2244" t="s">
        <v>62</v>
      </c>
      <c r="AB49" s="2402"/>
      <c r="AC49" s="2244" t="s">
        <v>62</v>
      </c>
      <c r="AD49" s="875"/>
      <c r="AE49" s="449"/>
      <c r="AF49" s="875"/>
      <c r="AG49" s="1381"/>
      <c r="AH49" s="2402"/>
      <c r="AI49" s="2244" t="s">
        <v>62</v>
      </c>
      <c r="AJ49" s="2424"/>
      <c r="AK49" s="2244" t="s">
        <v>62</v>
      </c>
      <c r="AL49" s="1472"/>
      <c r="AM49" s="2390" t="s">
        <v>563</v>
      </c>
      <c r="AN49" s="635">
        <f>STRCHECKDATE(V50:AL50)</f>
      </c>
      <c r="AO49" s="624"/>
      <c r="AP49" s="624" t="str">
        <f>IF(T49="","",T49)</f>
        <v/>
      </c>
      <c r="AQ49" s="624"/>
      <c r="AR49" s="624"/>
      <c r="AS49" s="1279">
        <v>21</v>
      </c>
    </row>
    <row customHeight="1" ht="0">
      <c r="A50" s="1487" t="s">
        <v>300</v>
      </c>
      <c r="B50" s="1487" t="s">
        <v>301</v>
      </c>
      <c r="C50" s="1487" t="s">
        <v>302</v>
      </c>
      <c r="D50" s="1487" t="s">
        <v>303</v>
      </c>
      <c r="E50" s="2396"/>
      <c r="F50" s="2396"/>
      <c r="G50" s="2396"/>
      <c r="H50" s="2396"/>
      <c r="I50" s="2423"/>
      <c r="J50" s="2423"/>
      <c r="K50" s="2393"/>
      <c r="L50" s="1488"/>
      <c r="P50" s="2394"/>
      <c r="Q50" s="2394"/>
      <c r="R50" s="481"/>
      <c r="S50" s="1466"/>
      <c r="T50" s="424"/>
      <c r="U50" s="424"/>
      <c r="V50" s="449"/>
      <c r="W50" s="449"/>
      <c r="X50" s="449"/>
      <c r="Y50" s="452" t="str">
        <f>Z49&amp;"-"&amp;AB49</f>
        <v>-</v>
      </c>
      <c r="Z50" s="2403"/>
      <c r="AA50" s="2244"/>
      <c r="AB50" s="2403"/>
      <c r="AC50" s="2244"/>
      <c r="AD50" s="449"/>
      <c r="AE50" s="449"/>
      <c r="AF50" s="449"/>
      <c r="AG50" s="452" t="str">
        <f>AH49&amp;"-"&amp;AJ49</f>
        <v>-</v>
      </c>
      <c r="AH50" s="2403"/>
      <c r="AI50" s="2244"/>
      <c r="AJ50" s="2425"/>
      <c r="AK50" s="2244"/>
      <c r="AL50" s="1473"/>
      <c r="AM50" s="2391"/>
      <c r="AO50" s="624"/>
      <c r="AP50" s="624" t="str">
        <f>IF(T50="","",T50)</f>
        <v/>
      </c>
      <c r="AQ50" s="624"/>
      <c r="AR50" s="624"/>
      <c r="AS50" s="1279">
        <v>0</v>
      </c>
    </row>
    <row customHeight="1" ht="11.549999999999999">
      <c r="A51" s="1487" t="s">
        <v>300</v>
      </c>
      <c r="B51" s="1487" t="s">
        <v>301</v>
      </c>
      <c r="C51" s="1487" t="s">
        <v>302</v>
      </c>
      <c r="D51" s="1487" t="s">
        <v>303</v>
      </c>
      <c r="E51" s="2396"/>
      <c r="F51" s="2396"/>
      <c r="G51" s="2396"/>
      <c r="H51" s="2396"/>
      <c r="I51" s="2423"/>
      <c r="J51" s="2393"/>
      <c r="K51" s="1487"/>
      <c r="L51" s="1488"/>
      <c r="P51" s="2394"/>
      <c r="Q51" s="2394"/>
      <c r="R51" s="480"/>
      <c r="S51" s="1402"/>
      <c r="T51" s="411" t="s">
        <v>523</v>
      </c>
      <c r="U51" s="491"/>
      <c r="V51" s="491"/>
      <c r="W51" s="491"/>
      <c r="X51" s="491"/>
      <c r="Y51" s="491"/>
      <c r="Z51" s="491"/>
      <c r="AA51" s="491"/>
      <c r="AB51" s="491"/>
      <c r="AC51" s="491"/>
      <c r="AD51" s="491"/>
      <c r="AE51" s="491"/>
      <c r="AF51" s="491"/>
      <c r="AG51" s="491"/>
      <c r="AH51" s="491"/>
      <c r="AI51" s="491"/>
      <c r="AJ51" s="491"/>
      <c r="AK51" s="491"/>
      <c r="AL51" s="448"/>
      <c r="AM51" s="2392"/>
      <c r="AO51" s="624"/>
      <c r="AP51" s="624" t="str">
        <f>IF(T51="","",T51)</f>
        <v>Добавить вид теплоносителя (параметры теплоносителя)</v>
      </c>
      <c r="AQ51" s="624"/>
      <c r="AR51" s="624"/>
      <c r="AS51" s="1279">
        <v>11</v>
      </c>
    </row>
    <row customHeight="1" ht="11.549999999999999">
      <c r="A52" s="1487" t="s">
        <v>300</v>
      </c>
      <c r="B52" s="1487" t="s">
        <v>301</v>
      </c>
      <c r="C52" s="1487" t="s">
        <v>302</v>
      </c>
      <c r="D52" s="1487" t="s">
        <v>303</v>
      </c>
      <c r="E52" s="2396"/>
      <c r="F52" s="2396"/>
      <c r="G52" s="2396"/>
      <c r="H52" s="2396"/>
      <c r="I52" s="2393"/>
      <c r="J52" s="1487"/>
      <c r="K52" s="1487"/>
      <c r="L52" s="1488"/>
      <c r="P52" s="2394"/>
      <c r="Q52" s="1455"/>
      <c r="R52" s="480"/>
      <c r="S52" s="1402"/>
      <c r="T52" s="489" t="s">
        <v>524</v>
      </c>
      <c r="U52" s="491"/>
      <c r="V52" s="491"/>
      <c r="W52" s="491"/>
      <c r="X52" s="491"/>
      <c r="Y52" s="491"/>
      <c r="Z52" s="491"/>
      <c r="AA52" s="491"/>
      <c r="AB52" s="491"/>
      <c r="AC52" s="490"/>
      <c r="AD52" s="491"/>
      <c r="AE52" s="491"/>
      <c r="AF52" s="491"/>
      <c r="AG52" s="491"/>
      <c r="AH52" s="491"/>
      <c r="AI52" s="491"/>
      <c r="AJ52" s="491"/>
      <c r="AK52" s="490"/>
      <c r="AL52" s="491"/>
      <c r="AM52" s="427"/>
      <c r="AO52" s="624"/>
      <c r="AP52" s="624" t="str">
        <f>IF(T52="","",T52)</f>
        <v>Добавить группу потребителей</v>
      </c>
      <c r="AQ52" s="624"/>
      <c r="AR52" s="624"/>
      <c r="AS52" s="1279">
        <v>11</v>
      </c>
    </row>
    <row customHeight="1" ht="0">
      <c r="A53" s="1487" t="s">
        <v>300</v>
      </c>
      <c r="B53" s="1487" t="s">
        <v>301</v>
      </c>
      <c r="C53" s="1487" t="s">
        <v>302</v>
      </c>
      <c r="D53" s="1487" t="s">
        <v>303</v>
      </c>
      <c r="E53" s="2396"/>
      <c r="F53" s="2396"/>
      <c r="G53" s="2396"/>
      <c r="H53" s="2395"/>
      <c r="I53" s="1487"/>
      <c r="J53" s="1487"/>
      <c r="K53" s="1487"/>
      <c r="L53" s="1488"/>
      <c r="M53" s="1489"/>
      <c r="N53" s="1489"/>
      <c r="O53" s="661"/>
      <c r="P53" s="484"/>
      <c r="Q53" s="499"/>
      <c r="R53" s="479"/>
      <c r="S53" s="1510"/>
      <c r="T53" s="1511"/>
      <c r="U53" s="1512"/>
      <c r="V53" s="1512"/>
      <c r="W53" s="1512"/>
      <c r="X53" s="1512"/>
      <c r="Y53" s="1512"/>
      <c r="Z53" s="1512"/>
      <c r="AA53" s="1512"/>
      <c r="AB53" s="1512"/>
      <c r="AC53" s="1512"/>
      <c r="AD53" s="1512"/>
      <c r="AE53" s="1512"/>
      <c r="AF53" s="1512"/>
      <c r="AG53" s="1512"/>
      <c r="AH53" s="1512"/>
      <c r="AI53" s="1512"/>
      <c r="AJ53" s="1512"/>
      <c r="AK53" s="1512"/>
      <c r="AL53" s="1512"/>
      <c r="AM53" s="1513"/>
      <c r="AO53" s="624"/>
      <c r="AP53" s="624" t="str">
        <f>IF(T53="","",T53)</f>
        <v/>
      </c>
      <c r="AQ53" s="624"/>
      <c r="AR53" s="624"/>
      <c r="AS53" s="1279">
        <v>0</v>
      </c>
    </row>
    <row s="6698" customFormat="1" customHeight="1" ht="0">
      <c r="A54" s="1467" t="s">
        <v>300</v>
      </c>
      <c r="B54" s="1467" t="s">
        <v>301</v>
      </c>
      <c r="C54" s="1467" t="s">
        <v>302</v>
      </c>
      <c r="D54" s="1438"/>
      <c r="E54" s="2396"/>
      <c r="F54" s="2396"/>
      <c r="G54" s="2395"/>
      <c r="H54" s="1438"/>
      <c r="I54" s="1438"/>
      <c r="J54" s="1438"/>
      <c r="K54" s="1438"/>
      <c r="L54" s="1463"/>
      <c r="M54" s="1439"/>
      <c r="N54" s="1439"/>
      <c r="P54" s="1440"/>
      <c r="Q54" s="1441"/>
      <c r="R54" s="1440"/>
      <c r="S54" s="1446"/>
      <c r="T54" s="1449" t="s">
        <v>526</v>
      </c>
      <c r="U54" s="1448"/>
      <c r="V54" s="1448"/>
      <c r="W54" s="1448"/>
      <c r="X54" s="1448"/>
      <c r="Y54" s="1448"/>
      <c r="Z54" s="1448"/>
      <c r="AA54" s="1448"/>
      <c r="AB54" s="1448"/>
      <c r="AC54" s="1448"/>
      <c r="AD54" s="1448"/>
      <c r="AE54" s="1448"/>
      <c r="AF54" s="1448"/>
      <c r="AG54" s="1448"/>
      <c r="AH54" s="1448"/>
      <c r="AI54" s="1448"/>
      <c r="AJ54" s="1448"/>
      <c r="AK54" s="1448"/>
      <c r="AL54" s="1448"/>
      <c r="AM54" s="1448"/>
      <c r="AO54" s="913"/>
      <c r="AP54" s="913" t="str">
        <f>IF(T54="","",T54)</f>
        <v>Добавить источник для дифференциации</v>
      </c>
      <c r="AQ54" s="913"/>
      <c r="AR54" s="913"/>
      <c r="AS54" s="642">
        <v>0</v>
      </c>
    </row>
    <row s="6698" customFormat="1" customHeight="1" ht="0">
      <c r="A55" s="1467" t="s">
        <v>300</v>
      </c>
      <c r="B55" s="1467" t="s">
        <v>301</v>
      </c>
      <c r="C55" s="1438"/>
      <c r="D55" s="1438"/>
      <c r="E55" s="2396"/>
      <c r="F55" s="2395"/>
      <c r="G55" s="1438"/>
      <c r="H55" s="1438"/>
      <c r="I55" s="1438"/>
      <c r="J55" s="1438"/>
      <c r="K55" s="1438"/>
      <c r="L55" s="1463"/>
      <c r="M55" s="1445"/>
      <c r="N55" s="1445"/>
      <c r="P55" s="1440"/>
      <c r="Q55" s="1441"/>
      <c r="R55" s="1440"/>
      <c r="S55" s="1446"/>
      <c r="T55" s="1449" t="s">
        <v>527</v>
      </c>
      <c r="U55" s="1448"/>
      <c r="V55" s="1448"/>
      <c r="W55" s="1448"/>
      <c r="X55" s="1448"/>
      <c r="Y55" s="1448"/>
      <c r="Z55" s="1448"/>
      <c r="AA55" s="1448"/>
      <c r="AB55" s="1448"/>
      <c r="AC55" s="1448"/>
      <c r="AD55" s="1448"/>
      <c r="AE55" s="1448"/>
      <c r="AF55" s="1448"/>
      <c r="AG55" s="1448"/>
      <c r="AH55" s="1448"/>
      <c r="AI55" s="1448"/>
      <c r="AJ55" s="1448"/>
      <c r="AK55" s="1448"/>
      <c r="AL55" s="1448"/>
      <c r="AM55" s="1448"/>
      <c r="AO55" s="913"/>
      <c r="AP55" s="913" t="str">
        <f>IF(T55="","",T55)</f>
        <v>Добавить централизованную систему для дифференциации</v>
      </c>
      <c r="AQ55" s="913"/>
      <c r="AR55" s="913"/>
      <c r="AS55" s="642">
        <v>0</v>
      </c>
    </row>
    <row s="6698" customFormat="1" customHeight="1" ht="0">
      <c r="A56" s="1467" t="s">
        <v>300</v>
      </c>
      <c r="B56" s="1467"/>
      <c r="C56" s="1467"/>
      <c r="D56" s="1467"/>
      <c r="E56" s="2395"/>
      <c r="F56" s="1467"/>
      <c r="G56" s="1467"/>
      <c r="H56" s="1467"/>
      <c r="I56" s="1467"/>
      <c r="J56" s="1467"/>
      <c r="K56" s="1467"/>
      <c r="L56" s="1470"/>
      <c r="M56" s="1445"/>
      <c r="N56" s="1445"/>
      <c r="O56" s="642"/>
      <c r="P56" s="504"/>
      <c r="Q56" s="1468"/>
      <c r="R56" s="504"/>
      <c r="S56" s="1446"/>
      <c r="T56" s="1449" t="s">
        <v>528</v>
      </c>
      <c r="U56" s="1448"/>
      <c r="V56" s="1448"/>
      <c r="W56" s="1448"/>
      <c r="X56" s="1448"/>
      <c r="Y56" s="1448"/>
      <c r="Z56" s="1448"/>
      <c r="AA56" s="1448"/>
      <c r="AB56" s="1448"/>
      <c r="AC56" s="1448"/>
      <c r="AD56" s="1448"/>
      <c r="AE56" s="1448"/>
      <c r="AF56" s="1448"/>
      <c r="AG56" s="1448"/>
      <c r="AH56" s="1448"/>
      <c r="AI56" s="1448"/>
      <c r="AJ56" s="1448"/>
      <c r="AK56" s="1448"/>
      <c r="AL56" s="1448"/>
      <c r="AM56" s="1448"/>
      <c r="AO56" s="624"/>
      <c r="AP56" s="624" t="str">
        <f>IF(T56="","",T56)</f>
        <v>Добавить территорию для дифференциации</v>
      </c>
      <c r="AQ56" s="624"/>
      <c r="AR56" s="624"/>
      <c r="AS56" s="635">
        <v>0</v>
      </c>
    </row>
    <row s="6698" customFormat="1" customHeight="1" ht="4.2">
      <c r="A57" s="1438"/>
      <c r="B57" s="1438"/>
      <c r="C57" s="1438"/>
      <c r="D57" s="1438"/>
      <c r="E57" s="1467"/>
      <c r="F57" s="1438"/>
      <c r="G57" s="1438"/>
      <c r="H57" s="1438"/>
      <c r="I57" s="1438"/>
      <c r="J57" s="1438"/>
      <c r="K57" s="1438"/>
      <c r="L57" s="1463"/>
      <c r="M57" s="1445"/>
      <c r="N57" s="1445"/>
      <c r="P57" s="1440"/>
      <c r="Q57" s="1441"/>
      <c r="R57" s="1440"/>
      <c r="S57" s="1446"/>
      <c r="T57" s="1449" t="s">
        <v>560</v>
      </c>
      <c r="U57" s="1448"/>
      <c r="V57" s="1448"/>
      <c r="W57" s="1448"/>
      <c r="X57" s="1448"/>
      <c r="Y57" s="1448"/>
      <c r="Z57" s="1448"/>
      <c r="AA57" s="1448"/>
      <c r="AB57" s="1448"/>
      <c r="AC57" s="1448"/>
      <c r="AD57" s="1448"/>
      <c r="AE57" s="1448"/>
      <c r="AF57" s="1448"/>
      <c r="AG57" s="1448"/>
      <c r="AH57" s="1448"/>
      <c r="AI57" s="1448"/>
      <c r="AJ57" s="1448"/>
      <c r="AK57" s="1448"/>
      <c r="AL57" s="1448"/>
      <c r="AM57" s="1448"/>
      <c r="AO57" s="913"/>
      <c r="AP57" s="913" t="str">
        <f>IF(T57="","",T57)</f>
        <v>Добавить наименование тарифа</v>
      </c>
      <c r="AQ57" s="913"/>
      <c r="AR57" s="913"/>
      <c r="AS57" s="642">
        <v>4</v>
      </c>
    </row>
    <row customHeight="1" ht="11.549999999999999">
      <c r="M58" s="1284"/>
      <c r="N58" s="1284"/>
      <c r="O58" s="661"/>
      <c r="P58" s="1279"/>
      <c r="Q58" s="1279"/>
      <c r="R58" s="1279"/>
      <c r="S58" s="1279"/>
      <c r="AN58" s="1279"/>
      <c r="AO58" s="1279"/>
      <c r="AP58" s="1279"/>
      <c r="AQ58" s="1279"/>
      <c r="AR58" s="1279"/>
      <c r="AS58" s="1279">
        <v>11</v>
      </c>
    </row>
    <row customHeight="1" ht="14.699999999999998">
      <c r="O59" s="661"/>
      <c r="S59" s="1377"/>
      <c r="T59" s="2422"/>
      <c r="U59" s="2422"/>
      <c r="V59" s="2422"/>
      <c r="W59" s="2422"/>
      <c r="X59" s="2422"/>
      <c r="Y59" s="2422"/>
      <c r="Z59" s="2422"/>
      <c r="AA59" s="2422"/>
      <c r="AB59" s="2422"/>
      <c r="AC59" s="2422"/>
      <c r="AD59" s="2422"/>
      <c r="AE59" s="2422"/>
      <c r="AF59" s="2422"/>
      <c r="AG59" s="2422"/>
      <c r="AH59" s="2422"/>
      <c r="AI59" s="2422"/>
      <c r="AJ59" s="2422"/>
      <c r="AK59" s="2422"/>
      <c r="AL59" s="2422"/>
      <c r="AM59" s="2422"/>
      <c r="AS59" s="1279">
        <v>14</v>
      </c>
    </row>
    <row customHeight="1" ht="14.699999999999998">
      <c r="O60" s="661"/>
      <c r="T60" s="2422"/>
      <c r="U60" s="2422"/>
      <c r="V60" s="2422"/>
      <c r="W60" s="2422"/>
      <c r="X60" s="2422"/>
      <c r="Y60" s="2422"/>
      <c r="Z60" s="2422"/>
      <c r="AA60" s="2422"/>
      <c r="AB60" s="2422"/>
      <c r="AC60" s="2422"/>
      <c r="AD60" s="2422"/>
      <c r="AE60" s="2422"/>
      <c r="AF60" s="2422"/>
      <c r="AG60" s="2422"/>
      <c r="AH60" s="2422"/>
      <c r="AI60" s="2422"/>
      <c r="AJ60" s="2422"/>
      <c r="AK60" s="2422"/>
      <c r="AL60" s="2422"/>
      <c r="AM60" s="2422"/>
      <c r="AS60" s="1279">
        <v>14</v>
      </c>
    </row>
    <row customHeight="1" ht="14.699999999999998">
      <c r="O61" s="661"/>
      <c r="T61" s="2422"/>
      <c r="U61" s="2422"/>
      <c r="V61" s="2422"/>
      <c r="W61" s="2422"/>
      <c r="X61" s="2422"/>
      <c r="Y61" s="2422"/>
      <c r="Z61" s="2422"/>
      <c r="AA61" s="2422"/>
      <c r="AB61" s="2422"/>
      <c r="AC61" s="2422"/>
      <c r="AD61" s="2422"/>
      <c r="AE61" s="2422"/>
      <c r="AF61" s="2422"/>
      <c r="AG61" s="2422"/>
      <c r="AH61" s="2422"/>
      <c r="AI61" s="2422"/>
      <c r="AJ61" s="2422"/>
      <c r="AK61" s="2422"/>
      <c r="AL61" s="2422"/>
      <c r="AM61" s="2422"/>
      <c r="AS61" s="1279">
        <v>14</v>
      </c>
    </row>
    <row customHeight="1" ht="14.699999999999998">
      <c r="O62" s="661"/>
      <c r="AS62" s="1279">
        <v>14</v>
      </c>
    </row>
    <row customHeight="1" ht="14.699999999999998">
      <c r="O63" s="661"/>
      <c r="S63" s="1377"/>
      <c r="T63" s="2436"/>
      <c r="U63" s="2422"/>
      <c r="V63" s="2422"/>
      <c r="W63" s="2422"/>
      <c r="X63" s="2422"/>
      <c r="Y63" s="2422"/>
      <c r="Z63" s="2422"/>
      <c r="AA63" s="2422"/>
      <c r="AB63" s="2422"/>
      <c r="AC63" s="2422"/>
      <c r="AD63" s="2422"/>
      <c r="AE63" s="2422"/>
      <c r="AF63" s="2422"/>
      <c r="AG63" s="2422"/>
      <c r="AH63" s="2422"/>
      <c r="AI63" s="2422"/>
      <c r="AJ63" s="2422"/>
      <c r="AK63" s="2422"/>
      <c r="AL63" s="2422"/>
      <c r="AM63" s="2422"/>
      <c r="AS63" s="1279">
        <v>14</v>
      </c>
    </row>
    <row customHeight="1" ht="14.699999999999998">
      <c r="O64" s="661"/>
      <c r="T64" s="2422"/>
      <c r="U64" s="2422"/>
      <c r="V64" s="2422"/>
      <c r="W64" s="2422"/>
      <c r="X64" s="2422"/>
      <c r="Y64" s="2422"/>
      <c r="Z64" s="2422"/>
      <c r="AA64" s="2422"/>
      <c r="AB64" s="2422"/>
      <c r="AC64" s="2422"/>
      <c r="AD64" s="2422"/>
      <c r="AE64" s="2422"/>
      <c r="AF64" s="2422"/>
      <c r="AG64" s="2422"/>
      <c r="AH64" s="2422"/>
      <c r="AI64" s="2422"/>
      <c r="AJ64" s="2422"/>
      <c r="AK64" s="2422"/>
      <c r="AL64" s="2422"/>
      <c r="AM64" s="2422"/>
      <c r="AS64" s="1279">
        <v>14</v>
      </c>
    </row>
    <row customHeight="1" ht="14.699999999999998">
      <c r="T65" s="2422"/>
      <c r="U65" s="2422"/>
      <c r="V65" s="2422"/>
      <c r="W65" s="2422"/>
      <c r="X65" s="2422"/>
      <c r="Y65" s="2422"/>
      <c r="Z65" s="2422"/>
      <c r="AA65" s="2422"/>
      <c r="AB65" s="2422"/>
      <c r="AC65" s="2422"/>
      <c r="AD65" s="2422"/>
      <c r="AE65" s="2422"/>
      <c r="AF65" s="2422"/>
      <c r="AG65" s="2422"/>
      <c r="AH65" s="2422"/>
      <c r="AI65" s="2422"/>
      <c r="AJ65" s="2422"/>
      <c r="AK65" s="2422"/>
      <c r="AL65" s="2422"/>
      <c r="AM65" s="2422"/>
      <c r="AS65" s="1279">
        <v>14</v>
      </c>
    </row>
    <row customHeight="1" ht="22.5" hidden="1">
      <c r="A66" s="1284" t="s">
        <v>82</v>
      </c>
      <c r="B66" s="1284">
        <v>0</v>
      </c>
      <c r="C66" s="1284">
        <v>0</v>
      </c>
      <c r="D66" s="1284">
        <v>0</v>
      </c>
      <c r="E66" s="1284">
        <v>0</v>
      </c>
      <c r="F66" s="1284">
        <v>0</v>
      </c>
      <c r="G66" s="1284">
        <v>0</v>
      </c>
      <c r="H66" s="1284">
        <v>0</v>
      </c>
      <c r="I66" s="1284">
        <v>0</v>
      </c>
      <c r="J66" s="1284">
        <v>0</v>
      </c>
      <c r="K66" s="1284">
        <v>0</v>
      </c>
      <c r="L66" s="1453">
        <v>0</v>
      </c>
      <c r="M66" s="1486">
        <v>0</v>
      </c>
      <c r="N66" s="1486">
        <v>0</v>
      </c>
      <c r="O66" s="1486">
        <v>0</v>
      </c>
      <c r="P66" s="1452">
        <v>0</v>
      </c>
      <c r="Q66" s="468">
        <v>3</v>
      </c>
      <c r="R66" s="468">
        <v>3</v>
      </c>
      <c r="S66" s="705">
        <v>12</v>
      </c>
      <c r="T66" s="1279">
        <v>31</v>
      </c>
      <c r="U66" s="1279">
        <v>0</v>
      </c>
      <c r="V66" s="1279">
        <v>0</v>
      </c>
      <c r="W66" s="1279">
        <v>0</v>
      </c>
      <c r="X66" s="1279">
        <v>0</v>
      </c>
      <c r="Y66" s="1279">
        <v>0</v>
      </c>
      <c r="Z66" s="1279">
        <v>0</v>
      </c>
      <c r="AA66" s="1279">
        <v>0</v>
      </c>
      <c r="AB66" s="1279">
        <v>0</v>
      </c>
      <c r="AC66" s="1279">
        <v>0</v>
      </c>
      <c r="AD66" s="1279">
        <v>24</v>
      </c>
      <c r="AE66" s="1279">
        <v>0</v>
      </c>
      <c r="AF66" s="1279">
        <v>24</v>
      </c>
      <c r="AG66" s="1279">
        <v>24</v>
      </c>
      <c r="AH66" s="1279">
        <v>11</v>
      </c>
      <c r="AI66" s="1279">
        <v>3</v>
      </c>
      <c r="AJ66" s="1279">
        <v>11</v>
      </c>
      <c r="AK66" s="1279">
        <v>0</v>
      </c>
      <c r="AL66" s="1279">
        <v>4</v>
      </c>
      <c r="AM66" s="1279">
        <v>115</v>
      </c>
      <c r="AN66" s="635">
        <v>10</v>
      </c>
      <c r="AO66" s="635">
        <v>10</v>
      </c>
      <c r="AP66" s="635">
        <v>10</v>
      </c>
      <c r="AQ66" s="635">
        <v>10</v>
      </c>
      <c r="AR66" s="635">
        <v>10</v>
      </c>
      <c r="AS66" s="127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D15F18-2D7C-7F18-E657-32F3E029E1C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7213" width="10.57421875" hidden="1"/>
    <col min="2" max="2" style="7213" width="11.00390625" hidden="1" customWidth="1"/>
    <col min="3" max="3" style="7213" width="10.57421875" hidden="1"/>
    <col min="4" max="4" style="7213" width="11.8515625" hidden="1" customWidth="1"/>
    <col min="5" max="5" style="7213" width="10.00390625" hidden="1" customWidth="1"/>
    <col min="6" max="6" style="7213" width="8.7109375" hidden="1" customWidth="1"/>
    <col min="7" max="7" style="7213" width="7.57421875" hidden="1" customWidth="1"/>
    <col min="8" max="8" style="7213" width="11.421875" hidden="1" customWidth="1"/>
    <col min="9" max="9" style="7213" width="12.00390625" hidden="1" customWidth="1"/>
    <col min="10" max="10" style="7213" width="9.8515625" hidden="1" customWidth="1"/>
    <col min="11" max="12" style="7213" width="11.421875" hidden="1" customWidth="1"/>
    <col min="13" max="13" style="7895" width="19.140625" hidden="1" customWidth="1"/>
    <col min="14" max="15" style="7916" width="12.28125" hidden="1" customWidth="1"/>
    <col min="16" max="16" style="7916" width="23.421875" hidden="1" customWidth="1"/>
    <col min="17" max="17" style="7916" width="3.7109375" hidden="1" customWidth="1"/>
    <col min="18" max="20" style="7183" width="3.00390625" customWidth="1"/>
    <col min="21" max="21" style="7888" width="12.00390625" customWidth="1"/>
    <col min="22" max="22" style="7213" width="31.00390625" customWidth="1"/>
    <col min="23" max="23" style="7213" width="0.140625" customWidth="1"/>
    <col min="24" max="28" style="7213" width="21.7109375" hidden="1" customWidth="1"/>
    <col min="29" max="29" style="7213" width="11.7109375" hidden="1" customWidth="1"/>
    <col min="30" max="30" style="7213" width="3.7109375" hidden="1" customWidth="1"/>
    <col min="31" max="31" style="7213" width="11.7109375" hidden="1" customWidth="1"/>
    <col min="32" max="32" style="7213" width="8.57421875" hidden="1" customWidth="1"/>
    <col min="33" max="33" style="7213" width="21.7109375" customWidth="1"/>
    <col min="34" max="37" style="7213" width="21.00390625" customWidth="1"/>
    <col min="38" max="38" style="7213" width="11.00390625" customWidth="1"/>
    <col min="39" max="39" style="7213" width="3.7109375" customWidth="1"/>
    <col min="40" max="40" style="7213" width="11.00390625" customWidth="1"/>
    <col min="41" max="41" style="7213" width="8.57421875" hidden="1" customWidth="1"/>
    <col min="42" max="42" style="7213" width="4.00390625" customWidth="1"/>
    <col min="43" max="43" style="7213" width="115.00390625" customWidth="1"/>
    <col min="44" max="48" style="6698" width="10.00390625" customWidth="1"/>
    <col min="49" max="49" style="7213" width="10.57421875" hidden="1"/>
  </cols>
  <sheetData>
    <row customHeight="1" ht="22.5" hidden="1">
      <c r="AB1" s="451"/>
      <c r="AC1" s="451"/>
      <c r="AK1" s="451"/>
      <c r="AL1" s="451"/>
      <c r="AW1" s="1279" t="s">
        <v>14</v>
      </c>
    </row>
    <row customHeight="1" ht="21" hidden="1">
      <c r="A2" s="1391"/>
      <c r="B2" s="1391"/>
      <c r="C2" s="1391"/>
      <c r="D2" s="1391"/>
      <c r="E2" s="2426">
        <v>1</v>
      </c>
      <c r="F2" s="1391"/>
      <c r="G2" s="1391"/>
      <c r="H2" s="1391"/>
      <c r="I2" s="1391"/>
      <c r="J2" s="1391"/>
      <c r="K2" s="1391"/>
      <c r="L2" s="1391"/>
      <c r="M2" s="1434"/>
      <c r="N2" s="812"/>
      <c r="O2" s="812"/>
      <c r="P2" s="812"/>
      <c r="Q2" s="485"/>
      <c r="R2" s="484"/>
      <c r="S2" s="484"/>
      <c r="T2" s="479"/>
      <c r="U2" s="1460">
        <f>INDEX(PT_DIFFERENTIATION_NUM_NTAR,MATCH(A2,PT_DIFFERENTIATION_NTAR_ID,0))</f>
      </c>
      <c r="V2" s="422" t="s">
        <v>243</v>
      </c>
      <c r="W2" s="424"/>
      <c r="X2" s="2379"/>
      <c r="Y2" s="2380"/>
      <c r="Z2" s="2380"/>
      <c r="AA2" s="2380"/>
      <c r="AB2" s="2380"/>
      <c r="AC2" s="2380"/>
      <c r="AD2" s="2380"/>
      <c r="AE2" s="2380"/>
      <c r="AF2" s="2381"/>
      <c r="AG2" s="2379">
        <f>INDEX(PT_DIFFERENTIATION_NTAR,MATCH(A2,PT_DIFFERENTIATION_NTAR_ID,0))</f>
      </c>
      <c r="AH2" s="2380"/>
      <c r="AI2" s="2380"/>
      <c r="AJ2" s="2380"/>
      <c r="AK2" s="2380"/>
      <c r="AL2" s="2380"/>
      <c r="AM2" s="2380"/>
      <c r="AN2" s="2380"/>
      <c r="AO2" s="2380"/>
      <c r="AP2" s="2381"/>
      <c r="AQ2" s="1382" t="s">
        <v>508</v>
      </c>
      <c r="AS2" s="624"/>
      <c r="AT2" s="624" t="str">
        <f>IF(V2="","",V2)</f>
        <v>Наименование тарифа</v>
      </c>
      <c r="AU2" s="624"/>
      <c r="AV2" s="624"/>
      <c r="AW2" s="1279">
        <v>0</v>
      </c>
    </row>
    <row customHeight="1" ht="21" hidden="1">
      <c r="A3" s="1391"/>
      <c r="B3" s="1391"/>
      <c r="C3" s="1391"/>
      <c r="D3" s="1391"/>
      <c r="E3" s="2427"/>
      <c r="F3" s="2426">
        <v>1</v>
      </c>
      <c r="G3" s="1391"/>
      <c r="H3" s="1391"/>
      <c r="I3" s="1391"/>
      <c r="J3" s="1391"/>
      <c r="K3" s="1391"/>
      <c r="L3" s="1391"/>
      <c r="M3" s="1434"/>
      <c r="N3" s="812"/>
      <c r="O3" s="812"/>
      <c r="P3" s="812"/>
      <c r="Q3" s="1456"/>
      <c r="R3" s="476"/>
      <c r="S3" s="633"/>
      <c r="T3" s="477"/>
      <c r="U3" s="1460">
        <f>INDEX(PT_DIFFERENTIATION_NUM_TER,MATCH(B3,PT_DIFFERENTIATION_TER_ID,0))</f>
      </c>
      <c r="V3" s="432" t="s">
        <v>509</v>
      </c>
      <c r="W3" s="424"/>
      <c r="X3" s="2379"/>
      <c r="Y3" s="2380"/>
      <c r="Z3" s="2380"/>
      <c r="AA3" s="2380"/>
      <c r="AB3" s="2380"/>
      <c r="AC3" s="2380"/>
      <c r="AD3" s="2380"/>
      <c r="AE3" s="2380"/>
      <c r="AF3" s="2381"/>
      <c r="AG3" s="2379">
        <f>INDEX(PT_DIFFERENTIATION_TER,MATCH(B3,PT_DIFFERENTIATION_TER_ID,0))</f>
      </c>
      <c r="AH3" s="2380"/>
      <c r="AI3" s="2380"/>
      <c r="AJ3" s="2380"/>
      <c r="AK3" s="2380"/>
      <c r="AL3" s="2380"/>
      <c r="AM3" s="2380"/>
      <c r="AN3" s="2380"/>
      <c r="AO3" s="2380"/>
      <c r="AP3" s="2381"/>
      <c r="AQ3" s="1382" t="s">
        <v>510</v>
      </c>
      <c r="AS3" s="624"/>
      <c r="AT3" s="624" t="str">
        <f>IF(V3="","",V3)</f>
        <v>Территория действия тарифа</v>
      </c>
      <c r="AU3" s="624"/>
      <c r="AV3" s="624"/>
      <c r="AW3" s="1279">
        <v>0</v>
      </c>
    </row>
    <row customHeight="1" ht="22.5" hidden="1">
      <c r="A4" s="1391"/>
      <c r="B4" s="1391"/>
      <c r="C4" s="1391"/>
      <c r="D4" s="1391"/>
      <c r="E4" s="2427"/>
      <c r="F4" s="2427"/>
      <c r="G4" s="2426">
        <v>1</v>
      </c>
      <c r="H4" s="1391"/>
      <c r="I4" s="1391"/>
      <c r="J4" s="1391"/>
      <c r="K4" s="1391"/>
      <c r="L4" s="1391"/>
      <c r="M4" s="1434"/>
      <c r="N4" s="812"/>
      <c r="O4" s="812"/>
      <c r="P4" s="812"/>
      <c r="Q4" s="478"/>
      <c r="R4" s="476"/>
      <c r="S4" s="633"/>
      <c r="T4" s="477"/>
      <c r="U4" s="1460">
        <f>INDEX(PT_DIFFERENTIATION_NUM_CS,MATCH(C4,PT_DIFFERENTIATION_CS_ID,0))</f>
      </c>
      <c r="V4" s="433" t="s">
        <v>511</v>
      </c>
      <c r="W4" s="424"/>
      <c r="X4" s="2379"/>
      <c r="Y4" s="2380"/>
      <c r="Z4" s="2380"/>
      <c r="AA4" s="2380"/>
      <c r="AB4" s="2380"/>
      <c r="AC4" s="2380"/>
      <c r="AD4" s="2380"/>
      <c r="AE4" s="2380"/>
      <c r="AF4" s="2381"/>
      <c r="AG4" s="2379">
        <f>INDEX(PT_DIFFERENTIATION_CS,MATCH(C4,PT_DIFFERENTIATION_CS_ID,0))</f>
      </c>
      <c r="AH4" s="2380"/>
      <c r="AI4" s="2380"/>
      <c r="AJ4" s="2380"/>
      <c r="AK4" s="2380"/>
      <c r="AL4" s="2380"/>
      <c r="AM4" s="2380"/>
      <c r="AN4" s="2380"/>
      <c r="AO4" s="2380"/>
      <c r="AP4" s="2381"/>
      <c r="AQ4" s="1382" t="s">
        <v>512</v>
      </c>
      <c r="AS4" s="624"/>
      <c r="AT4" s="624" t="str">
        <f>IF(V4="","",V4)</f>
        <v>Наименование системы теплоснабжения </v>
      </c>
      <c r="AU4" s="624"/>
      <c r="AV4" s="624"/>
      <c r="AW4" s="1279">
        <v>0</v>
      </c>
    </row>
    <row customHeight="1" ht="21" hidden="1">
      <c r="A5" s="1391"/>
      <c r="B5" s="1391"/>
      <c r="C5" s="1391"/>
      <c r="D5" s="1391"/>
      <c r="E5" s="2427"/>
      <c r="F5" s="2427"/>
      <c r="G5" s="2427"/>
      <c r="H5" s="2426">
        <v>1</v>
      </c>
      <c r="I5" s="1391"/>
      <c r="J5" s="1391"/>
      <c r="K5" s="1391"/>
      <c r="L5" s="1391"/>
      <c r="M5" s="1434"/>
      <c r="N5" s="812"/>
      <c r="O5" s="812"/>
      <c r="P5" s="812"/>
      <c r="Q5" s="478"/>
      <c r="R5" s="476"/>
      <c r="S5" s="633"/>
      <c r="T5" s="477"/>
      <c r="U5" s="1460">
        <f>INDEX(PT_DIFFERENTIATION_NUM_IST_TE,MATCH(D5,PT_DIFFERENTIATION_IST_TE_ID,0))</f>
      </c>
      <c r="V5" s="434" t="s">
        <v>513</v>
      </c>
      <c r="W5" s="424"/>
      <c r="X5" s="2379"/>
      <c r="Y5" s="2380"/>
      <c r="Z5" s="2380"/>
      <c r="AA5" s="2380"/>
      <c r="AB5" s="2380"/>
      <c r="AC5" s="2380"/>
      <c r="AD5" s="2380"/>
      <c r="AE5" s="2380"/>
      <c r="AF5" s="2381"/>
      <c r="AG5" s="2379">
        <f>INDEX(PT_DIFFERENTIATION_IST_TE,MATCH(D5,PT_DIFFERENTIATION_IST_TE_ID,0))</f>
      </c>
      <c r="AH5" s="2380"/>
      <c r="AI5" s="2380"/>
      <c r="AJ5" s="2380"/>
      <c r="AK5" s="2380"/>
      <c r="AL5" s="2380"/>
      <c r="AM5" s="2380"/>
      <c r="AN5" s="2380"/>
      <c r="AO5" s="2380"/>
      <c r="AP5" s="2381"/>
      <c r="AQ5" s="1382" t="s">
        <v>514</v>
      </c>
      <c r="AS5" s="624"/>
      <c r="AT5" s="624" t="str">
        <f>IF(V5="","",V5)</f>
        <v>Источник тепловой энергии  </v>
      </c>
      <c r="AU5" s="624"/>
      <c r="AV5" s="624"/>
      <c r="AW5" s="1279">
        <v>0</v>
      </c>
    </row>
    <row customHeight="1" ht="14.25" hidden="1">
      <c r="A6" s="1391"/>
      <c r="B6" s="1391"/>
      <c r="C6" s="1391"/>
      <c r="D6" s="1391"/>
      <c r="E6" s="2427"/>
      <c r="F6" s="2427"/>
      <c r="G6" s="2427"/>
      <c r="H6" s="2427"/>
      <c r="I6" s="2264">
        <f>U5&amp;".1"</f>
      </c>
      <c r="J6" s="1391"/>
      <c r="K6" s="1391"/>
      <c r="L6" s="1391"/>
      <c r="M6" s="1434" t="s">
        <v>515</v>
      </c>
      <c r="N6" s="633"/>
      <c r="Q6" s="2394">
        <v>1</v>
      </c>
      <c r="R6" s="1455"/>
      <c r="S6" s="1455"/>
      <c r="T6" s="480"/>
      <c r="U6" s="1166"/>
      <c r="V6" s="1507"/>
      <c r="W6" s="1508"/>
      <c r="X6" s="2433"/>
      <c r="Y6" s="2434"/>
      <c r="Z6" s="2434"/>
      <c r="AA6" s="2434"/>
      <c r="AB6" s="2434"/>
      <c r="AC6" s="2434"/>
      <c r="AD6" s="2434"/>
      <c r="AE6" s="2434"/>
      <c r="AF6" s="2435"/>
      <c r="AG6" s="2433"/>
      <c r="AH6" s="2434"/>
      <c r="AI6" s="2434"/>
      <c r="AJ6" s="2434"/>
      <c r="AK6" s="2434"/>
      <c r="AL6" s="2434"/>
      <c r="AM6" s="2434"/>
      <c r="AN6" s="2434"/>
      <c r="AO6" s="2434"/>
      <c r="AP6" s="2435"/>
      <c r="AQ6" s="1509"/>
      <c r="AS6" s="624"/>
      <c r="AT6" s="624" t="str">
        <f>IF(V6="","",V6)</f>
        <v/>
      </c>
      <c r="AU6" s="624"/>
      <c r="AV6" s="624"/>
      <c r="AW6" s="1279">
        <v>0</v>
      </c>
    </row>
    <row customHeight="1" ht="21" hidden="1">
      <c r="A7" s="1391"/>
      <c r="B7" s="1391"/>
      <c r="C7" s="1391"/>
      <c r="D7" s="1391"/>
      <c r="E7" s="2427"/>
      <c r="F7" s="2427"/>
      <c r="G7" s="2427"/>
      <c r="H7" s="2427"/>
      <c r="I7" s="2238"/>
      <c r="J7" s="2264">
        <f>I6&amp;".1"</f>
      </c>
      <c r="K7" s="1391"/>
      <c r="L7" s="1391"/>
      <c r="M7" s="1434" t="s">
        <v>518</v>
      </c>
      <c r="N7" s="633"/>
      <c r="O7" s="451"/>
      <c r="Q7" s="2394"/>
      <c r="R7" s="2394">
        <v>1</v>
      </c>
      <c r="S7" s="642"/>
      <c r="T7" s="481"/>
      <c r="U7" s="1460">
        <f>$J7</f>
      </c>
      <c r="V7" s="410" t="s">
        <v>519</v>
      </c>
      <c r="W7" s="424"/>
      <c r="X7" s="2382"/>
      <c r="Y7" s="2383"/>
      <c r="Z7" s="2383"/>
      <c r="AA7" s="2383"/>
      <c r="AB7" s="2383"/>
      <c r="AC7" s="2372"/>
      <c r="AD7" s="2372"/>
      <c r="AE7" s="2372"/>
      <c r="AF7" s="2445"/>
      <c r="AG7" s="2382"/>
      <c r="AH7" s="2383"/>
      <c r="AI7" s="2383"/>
      <c r="AJ7" s="2383"/>
      <c r="AK7" s="2383"/>
      <c r="AL7" s="2383"/>
      <c r="AM7" s="2383"/>
      <c r="AN7" s="2383"/>
      <c r="AO7" s="2383"/>
      <c r="AP7" s="2384"/>
      <c r="AQ7" s="1382" t="s">
        <v>520</v>
      </c>
      <c r="AS7" s="624"/>
      <c r="AT7" s="624" t="str">
        <f>IF(V7="","",V7)</f>
        <v>Группа потребителей</v>
      </c>
      <c r="AU7" s="624"/>
      <c r="AV7" s="624"/>
      <c r="AW7" s="1279">
        <v>0</v>
      </c>
    </row>
    <row customHeight="1" ht="21" hidden="1">
      <c r="A8" s="1391"/>
      <c r="B8" s="1391"/>
      <c r="C8" s="1391"/>
      <c r="D8" s="1391"/>
      <c r="E8" s="2427"/>
      <c r="F8" s="2427"/>
      <c r="G8" s="2427"/>
      <c r="H8" s="2427"/>
      <c r="I8" s="2238"/>
      <c r="J8" s="2238"/>
      <c r="K8" s="2264">
        <f>J7&amp;".1"</f>
      </c>
      <c r="L8" s="263"/>
      <c r="M8" s="1434" t="s">
        <v>521</v>
      </c>
      <c r="N8" s="633"/>
      <c r="O8" s="451"/>
      <c r="P8" s="451"/>
      <c r="Q8" s="2394"/>
      <c r="R8" s="2394"/>
      <c r="S8" s="2394">
        <v>1</v>
      </c>
      <c r="T8" s="481"/>
      <c r="U8" s="1460">
        <f>$K8</f>
      </c>
      <c r="V8" s="1471"/>
      <c r="W8" s="424"/>
      <c r="X8" s="875"/>
      <c r="Y8" s="875"/>
      <c r="Z8" s="875"/>
      <c r="AA8" s="875"/>
      <c r="AB8" s="1529"/>
      <c r="AC8" s="2402"/>
      <c r="AD8" s="2244" t="s">
        <v>62</v>
      </c>
      <c r="AE8" s="2402"/>
      <c r="AF8" s="2244" t="s">
        <v>62</v>
      </c>
      <c r="AG8" s="1531"/>
      <c r="AH8" s="875"/>
      <c r="AI8" s="875"/>
      <c r="AJ8" s="875"/>
      <c r="AK8" s="1381"/>
      <c r="AL8" s="2402"/>
      <c r="AM8" s="2244" t="s">
        <v>62</v>
      </c>
      <c r="AN8" s="2402"/>
      <c r="AO8" s="2244" t="s">
        <v>62</v>
      </c>
      <c r="AP8" s="449"/>
      <c r="AQ8" s="1431" t="s">
        <v>564</v>
      </c>
      <c r="AR8" s="635">
        <f>STRCHECKDATE(X10:AP10)</f>
      </c>
      <c r="AS8" s="624"/>
      <c r="AT8" s="624" t="str">
        <f>IF(V8="","",V8)</f>
        <v/>
      </c>
      <c r="AU8" s="624"/>
      <c r="AV8" s="624"/>
      <c r="AW8" s="1279">
        <v>0</v>
      </c>
    </row>
    <row customHeight="1" ht="21" hidden="1">
      <c r="A9" s="1391"/>
      <c r="B9" s="1391"/>
      <c r="C9" s="1391"/>
      <c r="D9" s="1391"/>
      <c r="E9" s="2427"/>
      <c r="F9" s="2427"/>
      <c r="G9" s="2427"/>
      <c r="H9" s="2427"/>
      <c r="I9" s="2238"/>
      <c r="J9" s="2238"/>
      <c r="K9" s="2238"/>
      <c r="L9" s="2264">
        <f>K8&amp;".1"</f>
      </c>
      <c r="M9" s="1434"/>
      <c r="N9" s="633"/>
      <c r="O9" s="451"/>
      <c r="P9" s="451"/>
      <c r="Q9" s="2394"/>
      <c r="R9" s="2394"/>
      <c r="S9" s="2394"/>
      <c r="T9" s="481"/>
      <c r="U9" s="1460">
        <f>$L9</f>
      </c>
      <c r="V9" s="1515"/>
      <c r="W9" s="424"/>
      <c r="X9" s="449"/>
      <c r="Y9" s="875"/>
      <c r="Z9" s="875"/>
      <c r="AA9" s="875"/>
      <c r="AB9" s="1529"/>
      <c r="AC9" s="2446"/>
      <c r="AD9" s="2244"/>
      <c r="AE9" s="2446"/>
      <c r="AF9" s="2244"/>
      <c r="AG9" s="1531"/>
      <c r="AH9" s="875"/>
      <c r="AI9" s="875"/>
      <c r="AJ9" s="875"/>
      <c r="AK9" s="1381"/>
      <c r="AL9" s="2446"/>
      <c r="AM9" s="2244"/>
      <c r="AN9" s="2446"/>
      <c r="AO9" s="2244"/>
      <c r="AP9" s="449"/>
      <c r="AQ9" s="2390" t="s">
        <v>565</v>
      </c>
      <c r="AS9" s="624"/>
      <c r="AT9" s="624"/>
      <c r="AU9" s="624"/>
      <c r="AV9" s="624"/>
      <c r="AW9" s="1279">
        <v>0</v>
      </c>
    </row>
    <row customHeight="1" ht="14.25" hidden="1">
      <c r="A10" s="1391"/>
      <c r="B10" s="1391"/>
      <c r="C10" s="1391"/>
      <c r="D10" s="1391"/>
      <c r="E10" s="2427"/>
      <c r="F10" s="2427"/>
      <c r="G10" s="2427"/>
      <c r="H10" s="2427"/>
      <c r="I10" s="2238"/>
      <c r="J10" s="2238"/>
      <c r="K10" s="2238"/>
      <c r="L10" s="2264"/>
      <c r="M10" s="1434"/>
      <c r="N10" s="633"/>
      <c r="O10" s="451"/>
      <c r="P10" s="451"/>
      <c r="Q10" s="2394"/>
      <c r="R10" s="2394"/>
      <c r="S10" s="2394"/>
      <c r="T10" s="481"/>
      <c r="U10" s="1466"/>
      <c r="V10" s="424"/>
      <c r="W10" s="424"/>
      <c r="X10" s="449"/>
      <c r="Y10" s="449"/>
      <c r="Z10" s="449"/>
      <c r="AA10" s="449"/>
      <c r="AB10" s="1530" t="str">
        <f>AC8&amp;"-"&amp;AE8</f>
        <v>-</v>
      </c>
      <c r="AC10" s="2446"/>
      <c r="AD10" s="2244"/>
      <c r="AE10" s="2446"/>
      <c r="AF10" s="2244"/>
      <c r="AG10" s="1506"/>
      <c r="AH10" s="449"/>
      <c r="AI10" s="449"/>
      <c r="AJ10" s="449"/>
      <c r="AK10" s="452" t="str">
        <f>AL8&amp;"-"&amp;AN8</f>
        <v>-</v>
      </c>
      <c r="AL10" s="2446"/>
      <c r="AM10" s="2244"/>
      <c r="AN10" s="2446"/>
      <c r="AO10" s="2244"/>
      <c r="AP10" s="449"/>
      <c r="AQ10" s="2391"/>
      <c r="AS10" s="624"/>
      <c r="AT10" s="624" t="str">
        <f>IF(V10="","",V10)</f>
        <v/>
      </c>
      <c r="AU10" s="624"/>
      <c r="AV10" s="624"/>
      <c r="AW10" s="1279">
        <v>0</v>
      </c>
    </row>
    <row customHeight="1" ht="11.25" hidden="1">
      <c r="A11" s="1391"/>
      <c r="B11" s="1391"/>
      <c r="C11" s="1391"/>
      <c r="D11" s="1391"/>
      <c r="E11" s="2427"/>
      <c r="F11" s="2427"/>
      <c r="G11" s="2427"/>
      <c r="H11" s="2427"/>
      <c r="I11" s="2238"/>
      <c r="J11" s="2238"/>
      <c r="K11" s="2264"/>
      <c r="L11" s="1391"/>
      <c r="M11" s="1434"/>
      <c r="N11" s="633"/>
      <c r="O11" s="451"/>
      <c r="P11" s="451"/>
      <c r="Q11" s="2394"/>
      <c r="R11" s="2394"/>
      <c r="S11" s="2394"/>
      <c r="T11" s="481"/>
      <c r="U11" s="1402"/>
      <c r="V11" s="412" t="s">
        <v>566</v>
      </c>
      <c r="W11" s="1516"/>
      <c r="X11" s="1517"/>
      <c r="Y11" s="1517"/>
      <c r="Z11" s="1517"/>
      <c r="AA11" s="1517"/>
      <c r="AB11" s="1518"/>
      <c r="AC11" s="2446"/>
      <c r="AD11" s="2244"/>
      <c r="AE11" s="2446"/>
      <c r="AF11" s="2244"/>
      <c r="AG11" s="1517"/>
      <c r="AH11" s="1517"/>
      <c r="AI11" s="1517"/>
      <c r="AJ11" s="1517"/>
      <c r="AK11" s="1518"/>
      <c r="AL11" s="2446"/>
      <c r="AM11" s="2244"/>
      <c r="AN11" s="2446"/>
      <c r="AO11" s="2244"/>
      <c r="AP11" s="1519"/>
      <c r="AQ11" s="2391"/>
      <c r="AS11" s="624"/>
      <c r="AT11" s="624"/>
      <c r="AU11" s="624"/>
      <c r="AV11" s="624"/>
      <c r="AW11" s="1279">
        <v>0</v>
      </c>
    </row>
    <row customHeight="1" ht="15" hidden="1">
      <c r="A12" s="1391"/>
      <c r="B12" s="1391"/>
      <c r="C12" s="1391"/>
      <c r="D12" s="1391"/>
      <c r="E12" s="2427"/>
      <c r="F12" s="2427"/>
      <c r="G12" s="2427"/>
      <c r="H12" s="2427"/>
      <c r="I12" s="2238"/>
      <c r="J12" s="2264"/>
      <c r="K12" s="1391"/>
      <c r="L12" s="1391"/>
      <c r="M12" s="1434"/>
      <c r="N12" s="633"/>
      <c r="O12" s="451"/>
      <c r="Q12" s="2394"/>
      <c r="R12" s="2394"/>
      <c r="S12" s="1455"/>
      <c r="T12" s="480"/>
      <c r="U12" s="1402"/>
      <c r="V12" s="411" t="s">
        <v>523</v>
      </c>
      <c r="W12" s="491"/>
      <c r="X12" s="491"/>
      <c r="Y12" s="491"/>
      <c r="Z12" s="491"/>
      <c r="AA12" s="491"/>
      <c r="AB12" s="491"/>
      <c r="AC12" s="1532"/>
      <c r="AD12" s="1532"/>
      <c r="AE12" s="1532"/>
      <c r="AF12" s="1532"/>
      <c r="AG12" s="491"/>
      <c r="AH12" s="491"/>
      <c r="AI12" s="491"/>
      <c r="AJ12" s="491"/>
      <c r="AK12" s="491"/>
      <c r="AL12" s="491"/>
      <c r="AM12" s="491"/>
      <c r="AN12" s="491"/>
      <c r="AO12" s="491"/>
      <c r="AP12" s="448"/>
      <c r="AQ12" s="2392"/>
      <c r="AS12" s="624"/>
      <c r="AT12" s="624" t="str">
        <f>IF(V12="","",V12)</f>
        <v>Добавить вид теплоносителя (параметры теплоносителя)</v>
      </c>
      <c r="AU12" s="624"/>
      <c r="AV12" s="624"/>
      <c r="AW12" s="1279">
        <v>0</v>
      </c>
    </row>
    <row customHeight="1" ht="11.25" hidden="1">
      <c r="A13" s="1391"/>
      <c r="B13" s="1391"/>
      <c r="C13" s="1391"/>
      <c r="D13" s="1391"/>
      <c r="E13" s="2427"/>
      <c r="F13" s="2427"/>
      <c r="G13" s="2427"/>
      <c r="H13" s="2427"/>
      <c r="I13" s="2264"/>
      <c r="J13" s="1391"/>
      <c r="K13" s="1391"/>
      <c r="L13" s="1391"/>
      <c r="M13" s="1434"/>
      <c r="N13" s="633"/>
      <c r="Q13" s="2394"/>
      <c r="R13" s="1455"/>
      <c r="S13" s="1455"/>
      <c r="T13" s="480"/>
      <c r="U13" s="1402"/>
      <c r="V13" s="489" t="s">
        <v>524</v>
      </c>
      <c r="W13" s="491"/>
      <c r="X13" s="491"/>
      <c r="Y13" s="491"/>
      <c r="Z13" s="491"/>
      <c r="AA13" s="491"/>
      <c r="AB13" s="491"/>
      <c r="AC13" s="491"/>
      <c r="AD13" s="491"/>
      <c r="AE13" s="491"/>
      <c r="AF13" s="490"/>
      <c r="AG13" s="491"/>
      <c r="AH13" s="491"/>
      <c r="AI13" s="491"/>
      <c r="AJ13" s="491"/>
      <c r="AK13" s="491"/>
      <c r="AL13" s="491"/>
      <c r="AM13" s="491"/>
      <c r="AN13" s="491"/>
      <c r="AO13" s="490"/>
      <c r="AP13" s="491"/>
      <c r="AQ13" s="427"/>
      <c r="AS13" s="624"/>
      <c r="AT13" s="624" t="str">
        <f>IF(V13="","",V13)</f>
        <v>Добавить группу потребителей</v>
      </c>
      <c r="AU13" s="624"/>
      <c r="AV13" s="624"/>
      <c r="AW13" s="1279">
        <v>0</v>
      </c>
    </row>
    <row customHeight="1" ht="14.25" hidden="1">
      <c r="A14" s="1391"/>
      <c r="B14" s="1391"/>
      <c r="C14" s="1391"/>
      <c r="D14" s="1391"/>
      <c r="E14" s="2427"/>
      <c r="F14" s="2427"/>
      <c r="G14" s="2427"/>
      <c r="H14" s="2426"/>
      <c r="I14" s="1391"/>
      <c r="J14" s="1391"/>
      <c r="K14" s="1391"/>
      <c r="L14" s="1391"/>
      <c r="M14" s="1434"/>
      <c r="N14" s="812"/>
      <c r="O14" s="812"/>
      <c r="P14" s="633"/>
      <c r="Q14" s="484"/>
      <c r="R14" s="499"/>
      <c r="S14" s="479"/>
      <c r="T14" s="484"/>
      <c r="U14" s="1510"/>
      <c r="V14" s="1511"/>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3"/>
      <c r="AS14" s="624"/>
      <c r="AT14" s="624" t="str">
        <f>IF(V14="","",V14)</f>
        <v/>
      </c>
      <c r="AU14" s="624"/>
      <c r="AV14" s="624"/>
      <c r="AW14" s="1279">
        <v>0</v>
      </c>
    </row>
    <row s="6698" customFormat="1" customHeight="1" ht="14.25" hidden="1">
      <c r="A15" s="1498"/>
      <c r="B15" s="1498"/>
      <c r="C15" s="1498"/>
      <c r="D15" s="1498"/>
      <c r="E15" s="2427"/>
      <c r="F15" s="2427"/>
      <c r="G15" s="2426"/>
      <c r="H15" s="1498"/>
      <c r="I15" s="1498"/>
      <c r="J15" s="1498"/>
      <c r="K15" s="1498"/>
      <c r="L15" s="1498"/>
      <c r="M15" s="1501"/>
      <c r="N15" s="1502"/>
      <c r="O15" s="1502"/>
      <c r="P15" s="475"/>
      <c r="Q15" s="1440"/>
      <c r="R15" s="1441"/>
      <c r="S15" s="1440"/>
      <c r="T15" s="1440"/>
      <c r="U15" s="1442"/>
      <c r="V15" s="1443" t="s">
        <v>526</v>
      </c>
      <c r="W15" s="1444"/>
      <c r="X15" s="1444"/>
      <c r="Y15" s="1444"/>
      <c r="Z15" s="1444"/>
      <c r="AA15" s="1444"/>
      <c r="AB15" s="1444"/>
      <c r="AC15" s="1444"/>
      <c r="AD15" s="1444"/>
      <c r="AE15" s="1444"/>
      <c r="AF15" s="1444"/>
      <c r="AG15" s="1444"/>
      <c r="AH15" s="1444"/>
      <c r="AI15" s="1444"/>
      <c r="AJ15" s="1444"/>
      <c r="AK15" s="1444"/>
      <c r="AL15" s="1444"/>
      <c r="AM15" s="1444"/>
      <c r="AN15" s="1444"/>
      <c r="AO15" s="1444"/>
      <c r="AP15" s="1444"/>
      <c r="AQ15" s="1444"/>
      <c r="AS15" s="913"/>
      <c r="AT15" s="913" t="str">
        <f>IF(V15="","",V15)</f>
        <v>Добавить источник для дифференциации</v>
      </c>
      <c r="AU15" s="913"/>
      <c r="AV15" s="913"/>
      <c r="AW15" s="642">
        <v>0</v>
      </c>
    </row>
    <row s="6698" customFormat="1" customHeight="1" ht="14.25" hidden="1">
      <c r="A16" s="1498"/>
      <c r="B16" s="1498"/>
      <c r="C16" s="1498"/>
      <c r="D16" s="1498"/>
      <c r="E16" s="2427"/>
      <c r="F16" s="2426"/>
      <c r="G16" s="1498"/>
      <c r="H16" s="1498"/>
      <c r="I16" s="1498"/>
      <c r="J16" s="1498"/>
      <c r="K16" s="1498"/>
      <c r="L16" s="1498"/>
      <c r="M16" s="1501"/>
      <c r="N16" s="1503"/>
      <c r="O16" s="1503"/>
      <c r="P16" s="475"/>
      <c r="Q16" s="1440"/>
      <c r="R16" s="1441"/>
      <c r="S16" s="1440"/>
      <c r="T16" s="1440"/>
      <c r="U16" s="1446"/>
      <c r="V16" s="1447" t="s">
        <v>527</v>
      </c>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S16" s="913"/>
      <c r="AT16" s="913" t="str">
        <f>IF(V16="","",V16)</f>
        <v>Добавить централизованную систему для дифференциации</v>
      </c>
      <c r="AU16" s="913"/>
      <c r="AV16" s="913"/>
      <c r="AW16" s="642">
        <v>0</v>
      </c>
    </row>
    <row s="6698" customFormat="1" customHeight="1" ht="14.25" hidden="1">
      <c r="A17" s="1498"/>
      <c r="B17" s="1498"/>
      <c r="C17" s="1498"/>
      <c r="D17" s="1498"/>
      <c r="E17" s="2426"/>
      <c r="F17" s="1498"/>
      <c r="G17" s="1498"/>
      <c r="H17" s="1498"/>
      <c r="I17" s="1498"/>
      <c r="J17" s="1498"/>
      <c r="K17" s="1498"/>
      <c r="L17" s="1498"/>
      <c r="M17" s="1501"/>
      <c r="N17" s="1503"/>
      <c r="O17" s="1503"/>
      <c r="P17" s="475"/>
      <c r="Q17" s="1440"/>
      <c r="R17" s="1441"/>
      <c r="S17" s="1440"/>
      <c r="T17" s="1440"/>
      <c r="U17" s="1446"/>
      <c r="V17" s="1449" t="s">
        <v>528</v>
      </c>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S17" s="913"/>
      <c r="AT17" s="913" t="str">
        <f>IF(V17="","",V17)</f>
        <v>Добавить территорию для дифференциации</v>
      </c>
      <c r="AU17" s="913"/>
      <c r="AV17" s="913"/>
      <c r="AW17" s="642">
        <v>0</v>
      </c>
    </row>
    <row customHeight="1" ht="14.25" hidden="1">
      <c r="AF18" s="451"/>
      <c r="AO18" s="451"/>
      <c r="AW18" s="1279">
        <v>0</v>
      </c>
    </row>
    <row customHeight="1" ht="14.25" hidden="1">
      <c r="AG19" s="1484"/>
      <c r="AH19" s="1484"/>
      <c r="AI19" s="1484"/>
      <c r="AJ19" s="1484"/>
      <c r="AK19" s="1485"/>
      <c r="AL19" s="2404"/>
      <c r="AM19" s="2405" t="s">
        <v>62</v>
      </c>
      <c r="AN19" s="2404"/>
      <c r="AO19" s="2405" t="s">
        <v>62</v>
      </c>
      <c r="AW19" s="1279">
        <v>0</v>
      </c>
    </row>
    <row customHeight="1" ht="14.25" hidden="1">
      <c r="AG20" s="1484"/>
      <c r="AH20" s="1484"/>
      <c r="AI20" s="1484"/>
      <c r="AJ20" s="1484"/>
      <c r="AK20" s="1485"/>
      <c r="AL20" s="2404"/>
      <c r="AM20" s="2405"/>
      <c r="AN20" s="2404"/>
      <c r="AO20" s="2405"/>
      <c r="AW20" s="1279">
        <v>0</v>
      </c>
    </row>
    <row customHeight="1" ht="14.25" hidden="1">
      <c r="AG21" s="1484"/>
      <c r="AH21" s="1484"/>
      <c r="AI21" s="1484"/>
      <c r="AJ21" s="1484"/>
      <c r="AK21" s="1485"/>
      <c r="AL21" s="2404"/>
      <c r="AM21" s="2405"/>
      <c r="AN21" s="2404"/>
      <c r="AO21" s="2405"/>
      <c r="AW21" s="1279">
        <v>0</v>
      </c>
    </row>
    <row customHeight="1" ht="14.25" hidden="1">
      <c r="AG22" s="1484"/>
      <c r="AH22" s="1484"/>
      <c r="AI22" s="1484"/>
      <c r="AJ22" s="1484"/>
      <c r="AK22" s="452" t="str">
        <f>AL19&amp;"-"&amp;AN19</f>
        <v>-</v>
      </c>
      <c r="AL22" s="2405"/>
      <c r="AM22" s="2405"/>
      <c r="AN22" s="2405"/>
      <c r="AO22" s="2405"/>
      <c r="AW22" s="1279">
        <v>0</v>
      </c>
    </row>
    <row customHeight="1" ht="14.25" hidden="1">
      <c r="AO23" s="451"/>
      <c r="AW23" s="1279">
        <v>0</v>
      </c>
    </row>
    <row s="7158" customFormat="1" customHeight="1" ht="22.5" hidden="1">
      <c r="A24" s="1279"/>
      <c r="B24" s="1279"/>
      <c r="C24" s="1279"/>
      <c r="D24" s="1279"/>
      <c r="E24" s="1279"/>
      <c r="F24" s="1279"/>
      <c r="G24" s="1279"/>
      <c r="H24" s="1279"/>
      <c r="I24" s="1279"/>
      <c r="J24" s="1279"/>
      <c r="K24" s="1279"/>
      <c r="L24" s="1279"/>
      <c r="M24" s="1451"/>
      <c r="N24" s="1452"/>
      <c r="O24" s="1452"/>
      <c r="P24" s="1469" t="s">
        <v>529</v>
      </c>
      <c r="Q24" s="1486"/>
      <c r="R24" s="1495"/>
      <c r="S24" s="1495"/>
      <c r="T24" s="1495"/>
      <c r="U24" s="853"/>
      <c r="AC24" s="1491"/>
      <c r="AE24" s="1491"/>
      <c r="AF24" s="1490"/>
      <c r="AL24" s="1491"/>
      <c r="AN24" s="1491"/>
      <c r="AO24" s="1490"/>
      <c r="AR24" s="635"/>
      <c r="AS24" s="635"/>
      <c r="AT24" s="635"/>
      <c r="AU24" s="635"/>
      <c r="AV24" s="635"/>
      <c r="AW24" s="1284">
        <v>0</v>
      </c>
    </row>
    <row s="7158" customFormat="1" customHeight="1" ht="14.25" hidden="1">
      <c r="A25" s="1279"/>
      <c r="B25" s="1279"/>
      <c r="C25" s="1279"/>
      <c r="D25" s="1279"/>
      <c r="E25" s="1279"/>
      <c r="F25" s="1279"/>
      <c r="G25" s="1279"/>
      <c r="H25" s="1279"/>
      <c r="I25" s="1279"/>
      <c r="J25" s="1279"/>
      <c r="K25" s="1279"/>
      <c r="L25" s="1279"/>
      <c r="M25" s="1451"/>
      <c r="N25" s="1452"/>
      <c r="O25" s="1452"/>
      <c r="P25" s="1452"/>
      <c r="Q25" s="1486"/>
      <c r="R25" s="1495"/>
      <c r="S25" s="1495"/>
      <c r="T25" s="1495"/>
      <c r="U25" s="853"/>
      <c r="AF25" s="1490"/>
      <c r="AO25" s="1490"/>
      <c r="AR25" s="635"/>
      <c r="AS25" s="635"/>
      <c r="AT25" s="635"/>
      <c r="AU25" s="635"/>
      <c r="AV25" s="635"/>
      <c r="AW25" s="1284">
        <v>0</v>
      </c>
    </row>
    <row s="7158" customFormat="1" customHeight="1" ht="14.25" hidden="1">
      <c r="A26" s="1279"/>
      <c r="B26" s="1279"/>
      <c r="C26" s="1279"/>
      <c r="D26" s="1279"/>
      <c r="E26" s="1279"/>
      <c r="F26" s="1279"/>
      <c r="G26" s="1279"/>
      <c r="H26" s="1279"/>
      <c r="I26" s="1279"/>
      <c r="J26" s="1279"/>
      <c r="K26" s="1279"/>
      <c r="L26" s="1279"/>
      <c r="M26" s="1451"/>
      <c r="N26" s="1452"/>
      <c r="O26" s="1452"/>
      <c r="P26" s="1434" t="s">
        <v>530</v>
      </c>
      <c r="Q26" s="1486"/>
      <c r="R26" s="1495"/>
      <c r="S26" s="1495"/>
      <c r="T26" s="1495"/>
      <c r="U26" s="853"/>
      <c r="V26" s="1284" t="s">
        <v>531</v>
      </c>
      <c r="AD26" s="310" t="s">
        <v>532</v>
      </c>
      <c r="AF26" s="310" t="s">
        <v>533</v>
      </c>
      <c r="AG26" s="1284" t="s">
        <v>531</v>
      </c>
      <c r="AM26" s="310" t="s">
        <v>534</v>
      </c>
      <c r="AO26" s="310" t="s">
        <v>533</v>
      </c>
      <c r="AR26" s="635"/>
      <c r="AS26" s="635"/>
      <c r="AT26" s="635"/>
      <c r="AU26" s="635"/>
      <c r="AV26" s="635"/>
      <c r="AW26" s="1284">
        <v>0</v>
      </c>
    </row>
    <row customHeight="1" ht="14.25" hidden="1">
      <c r="P27" s="1434"/>
      <c r="AW27" s="1279">
        <v>0</v>
      </c>
    </row>
    <row customHeight="1" ht="14.25" hidden="1">
      <c r="P28" s="1434"/>
      <c r="AW28" s="1279">
        <v>0</v>
      </c>
    </row>
    <row customHeight="1" ht="14.699999999999998">
      <c r="R29" s="500"/>
      <c r="S29" s="500"/>
      <c r="T29" s="500"/>
      <c r="U29" s="1399"/>
      <c r="V29" s="487"/>
      <c r="W29" s="487"/>
      <c r="X29" s="633"/>
      <c r="Y29" s="633"/>
      <c r="Z29" s="633"/>
      <c r="AA29" s="633"/>
      <c r="AB29" s="633"/>
      <c r="AC29" s="633"/>
      <c r="AD29" s="633"/>
      <c r="AE29" s="633"/>
      <c r="AF29" s="633"/>
      <c r="AG29" s="633"/>
      <c r="AH29" s="633"/>
      <c r="AI29" s="633"/>
      <c r="AJ29" s="633"/>
      <c r="AK29" s="633"/>
      <c r="AL29" s="633"/>
      <c r="AM29" s="633"/>
      <c r="AN29" s="633"/>
      <c r="AO29" s="633"/>
      <c r="AW29" s="1279">
        <v>14</v>
      </c>
    </row>
    <row customHeight="1" ht="56.699999999999996">
      <c r="R30" s="500"/>
      <c r="S30" s="500"/>
      <c r="T30" s="500"/>
      <c r="U30" s="238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85"/>
      <c r="W30" s="2385"/>
      <c r="X30" s="2385"/>
      <c r="Y30" s="2385"/>
      <c r="Z30" s="2385"/>
      <c r="AA30" s="2385"/>
      <c r="AB30" s="2385"/>
      <c r="AC30" s="2385"/>
      <c r="AD30" s="2385"/>
      <c r="AE30" s="2385"/>
      <c r="AF30" s="2385"/>
      <c r="AG30" s="2385"/>
      <c r="AH30" s="2385"/>
      <c r="AI30" s="2385"/>
      <c r="AJ30" s="2385"/>
      <c r="AK30" s="2385"/>
      <c r="AL30" s="2385"/>
      <c r="AM30" s="2385"/>
      <c r="AN30" s="2385"/>
      <c r="AO30" s="1367"/>
      <c r="AW30" s="1279">
        <v>54</v>
      </c>
    </row>
    <row customHeight="1" ht="14.699999999999998">
      <c r="R31" s="500"/>
      <c r="S31" s="500"/>
      <c r="T31" s="500"/>
      <c r="U31" s="2386" t="str">
        <f>IF(org=0,"Не определено",org)</f>
        <v>ООО "СамРЭК-Эксплуатация"</v>
      </c>
      <c r="V31" s="2386"/>
      <c r="W31" s="2386"/>
      <c r="X31" s="2386"/>
      <c r="Y31" s="2386"/>
      <c r="Z31" s="2386"/>
      <c r="AA31" s="2386"/>
      <c r="AB31" s="2386"/>
      <c r="AC31" s="2386"/>
      <c r="AD31" s="2386"/>
      <c r="AE31" s="2386"/>
      <c r="AF31" s="2386"/>
      <c r="AG31" s="2386"/>
      <c r="AH31" s="2386"/>
      <c r="AI31" s="2386"/>
      <c r="AJ31" s="2386"/>
      <c r="AK31" s="2386"/>
      <c r="AL31" s="2386"/>
      <c r="AM31" s="2386"/>
      <c r="AN31" s="2386"/>
      <c r="AO31" s="1367"/>
      <c r="AW31" s="1279">
        <v>14</v>
      </c>
    </row>
    <row customHeight="1" ht="14.25" hidden="1">
      <c r="R32" s="500"/>
      <c r="S32" s="500"/>
      <c r="T32" s="500"/>
      <c r="U32" s="1399"/>
      <c r="V32" s="487"/>
      <c r="W32" s="487"/>
      <c r="X32" s="446"/>
      <c r="Y32" s="446"/>
      <c r="Z32" s="446"/>
      <c r="AA32" s="446"/>
      <c r="AB32" s="446"/>
      <c r="AC32" s="446"/>
      <c r="AD32" s="446"/>
      <c r="AE32" s="446"/>
      <c r="AF32" s="446"/>
      <c r="AG32" s="446"/>
      <c r="AH32" s="446"/>
      <c r="AI32" s="446"/>
      <c r="AJ32" s="446"/>
      <c r="AK32" s="446"/>
      <c r="AL32" s="446"/>
      <c r="AM32" s="446"/>
      <c r="AN32" s="446"/>
      <c r="AO32" s="446"/>
      <c r="AP32" s="633"/>
      <c r="AW32" s="1279">
        <v>0</v>
      </c>
    </row>
    <row s="7787" customFormat="1" customHeight="1" ht="25.5" hidden="1">
      <c r="A33" s="1372"/>
      <c r="B33" s="1372"/>
      <c r="C33" s="1372"/>
      <c r="D33" s="1372"/>
      <c r="E33" s="1372"/>
      <c r="F33" s="1372"/>
      <c r="G33" s="1372"/>
      <c r="H33" s="1372"/>
      <c r="I33" s="1372"/>
      <c r="J33" s="1372"/>
      <c r="K33" s="1372"/>
      <c r="L33" s="1372"/>
      <c r="M33" s="1504"/>
      <c r="N33" s="1372"/>
      <c r="O33" s="1372"/>
      <c r="P33" s="1372"/>
      <c r="U33" s="2387" t="s">
        <v>41</v>
      </c>
      <c r="V33" s="2387"/>
      <c r="W33" s="1496"/>
      <c r="X33" s="2388" t="str">
        <f>IF(TITLE_NAME_OR_PR_CHANGE="",IF(TITLE_NAME_OR_PR="","",TITLE_NAME_OR_PR),TITLE_NAME_OR_PR_CHANGE)</f>
        <v/>
      </c>
      <c r="Y33" s="2388"/>
      <c r="Z33" s="2388"/>
      <c r="AA33" s="2388"/>
      <c r="AB33" s="2388"/>
      <c r="AC33" s="2388"/>
      <c r="AD33" s="2388"/>
      <c r="AE33" s="2388"/>
      <c r="AF33" s="450"/>
      <c r="AG33" s="2388" t="str">
        <f>IF(TITLE_NAME_OR_PR_CHANGE="",IF(TITLE_NAME_OR_PR="","",TITLE_NAME_OR_PR),TITLE_NAME_OR_PR_CHANGE)</f>
        <v/>
      </c>
      <c r="AH33" s="2388"/>
      <c r="AI33" s="2388"/>
      <c r="AJ33" s="2388"/>
      <c r="AK33" s="2388"/>
      <c r="AL33" s="2388"/>
      <c r="AM33" s="2388"/>
      <c r="AN33" s="2388"/>
      <c r="AO33" s="450"/>
      <c r="AP33" s="450"/>
      <c r="AQ33" s="404"/>
      <c r="AR33" s="492"/>
      <c r="AS33" s="492"/>
      <c r="AT33" s="492"/>
      <c r="AU33" s="492"/>
      <c r="AV33" s="492"/>
      <c r="AW33" s="542">
        <v>0</v>
      </c>
    </row>
    <row s="7787" customFormat="1" customHeight="1" ht="18.75" hidden="1">
      <c r="A34" s="1372"/>
      <c r="B34" s="1372"/>
      <c r="C34" s="1372"/>
      <c r="D34" s="1372"/>
      <c r="E34" s="1372"/>
      <c r="F34" s="1372"/>
      <c r="G34" s="1372"/>
      <c r="H34" s="1372"/>
      <c r="I34" s="1372"/>
      <c r="J34" s="1372"/>
      <c r="K34" s="1372"/>
      <c r="L34" s="1372"/>
      <c r="M34" s="1504"/>
      <c r="N34" s="1372"/>
      <c r="O34" s="1372"/>
      <c r="P34" s="1372"/>
      <c r="U34" s="2387" t="s">
        <v>535</v>
      </c>
      <c r="V34" s="2387"/>
      <c r="W34" s="1496"/>
      <c r="X34" s="2401" t="str">
        <f>IF(TITLE_DATE_PR_CHANGE="",IF(TITLE_DATE_PR="","",TITLE_DATE_PR),TITLE_DATE_PR_CHANGE)</f>
        <v/>
      </c>
      <c r="Y34" s="2401"/>
      <c r="Z34" s="2401"/>
      <c r="AA34" s="2401"/>
      <c r="AB34" s="2401"/>
      <c r="AC34" s="2401"/>
      <c r="AD34" s="2401"/>
      <c r="AE34" s="2401"/>
      <c r="AF34" s="450"/>
      <c r="AG34" s="2401" t="str">
        <f>IF(TITLE_DATE_PR_CHANGE="",IF(TITLE_DATE_PR="","",TITLE_DATE_PR),TITLE_DATE_PR_CHANGE)</f>
        <v/>
      </c>
      <c r="AH34" s="2401"/>
      <c r="AI34" s="2401"/>
      <c r="AJ34" s="2401"/>
      <c r="AK34" s="2401"/>
      <c r="AL34" s="2401"/>
      <c r="AM34" s="2401"/>
      <c r="AN34" s="2401"/>
      <c r="AO34" s="450"/>
      <c r="AP34" s="450"/>
      <c r="AQ34" s="404"/>
      <c r="AR34" s="492"/>
      <c r="AS34" s="492"/>
      <c r="AT34" s="492"/>
      <c r="AU34" s="492"/>
      <c r="AV34" s="492"/>
      <c r="AW34" s="542">
        <v>0</v>
      </c>
    </row>
    <row s="7787" customFormat="1" customHeight="1" ht="18.75" hidden="1">
      <c r="A35" s="1372"/>
      <c r="B35" s="1372"/>
      <c r="C35" s="1372"/>
      <c r="D35" s="1372"/>
      <c r="E35" s="1372"/>
      <c r="F35" s="1372"/>
      <c r="G35" s="1372"/>
      <c r="H35" s="1372"/>
      <c r="I35" s="1372"/>
      <c r="J35" s="1372"/>
      <c r="K35" s="1372"/>
      <c r="L35" s="1372"/>
      <c r="M35" s="1504"/>
      <c r="N35" s="1372"/>
      <c r="O35" s="1372"/>
      <c r="P35" s="1372"/>
      <c r="U35" s="2387" t="s">
        <v>536</v>
      </c>
      <c r="V35" s="2387"/>
      <c r="W35" s="1496"/>
      <c r="X35" s="2388" t="str">
        <f>IF(TITLE_NUMBER_PR_CHANGE="",IF(TITLE_NUMBER_PR="","",TITLE_NUMBER_PR),TITLE_NUMBER_PR_CHANGE)</f>
        <v/>
      </c>
      <c r="Y35" s="2388"/>
      <c r="Z35" s="2388"/>
      <c r="AA35" s="2388"/>
      <c r="AB35" s="2388"/>
      <c r="AC35" s="2388"/>
      <c r="AD35" s="2388"/>
      <c r="AE35" s="2388"/>
      <c r="AF35" s="450"/>
      <c r="AG35" s="2388" t="str">
        <f>IF(TITLE_NUMBER_PR_CHANGE="",IF(TITLE_NUMBER_PR="","",TITLE_NUMBER_PR),TITLE_NUMBER_PR_CHANGE)</f>
        <v/>
      </c>
      <c r="AH35" s="2388"/>
      <c r="AI35" s="2388"/>
      <c r="AJ35" s="2388"/>
      <c r="AK35" s="2388"/>
      <c r="AL35" s="2388"/>
      <c r="AM35" s="2388"/>
      <c r="AN35" s="2388"/>
      <c r="AO35" s="450"/>
      <c r="AP35" s="450"/>
      <c r="AQ35" s="404"/>
      <c r="AR35" s="492"/>
      <c r="AS35" s="492"/>
      <c r="AT35" s="492"/>
      <c r="AU35" s="492"/>
      <c r="AV35" s="492"/>
      <c r="AW35" s="542">
        <v>0</v>
      </c>
    </row>
    <row s="7787" customFormat="1" customHeight="1" ht="18.75" hidden="1">
      <c r="A36" s="1372"/>
      <c r="B36" s="1372"/>
      <c r="C36" s="1372"/>
      <c r="D36" s="1372"/>
      <c r="E36" s="1372"/>
      <c r="F36" s="1372"/>
      <c r="G36" s="1372"/>
      <c r="H36" s="1372"/>
      <c r="I36" s="1372"/>
      <c r="J36" s="1372"/>
      <c r="K36" s="1372"/>
      <c r="L36" s="1372"/>
      <c r="M36" s="1504"/>
      <c r="N36" s="1372"/>
      <c r="O36" s="1372"/>
      <c r="P36" s="1372"/>
      <c r="U36" s="2387" t="s">
        <v>42</v>
      </c>
      <c r="V36" s="2387"/>
      <c r="W36" s="1496"/>
      <c r="X36" s="2388" t="str">
        <f>IF(TITLE_IST_PUB_CHANGE="",IF(TITLE_IST_PUB="","",TITLE_IST_PUB),TITLE_IST_PUB_CHANGE)</f>
        <v/>
      </c>
      <c r="Y36" s="2388"/>
      <c r="Z36" s="2388"/>
      <c r="AA36" s="2388"/>
      <c r="AB36" s="2388"/>
      <c r="AC36" s="2388"/>
      <c r="AD36" s="2388"/>
      <c r="AE36" s="2388"/>
      <c r="AF36" s="450"/>
      <c r="AG36" s="2388" t="str">
        <f>IF(TITLE_IST_PUB_CHANGE="",IF(TITLE_IST_PUB="","",TITLE_IST_PUB),TITLE_IST_PUB_CHANGE)</f>
        <v/>
      </c>
      <c r="AH36" s="2388"/>
      <c r="AI36" s="2388"/>
      <c r="AJ36" s="2388"/>
      <c r="AK36" s="2388"/>
      <c r="AL36" s="2388"/>
      <c r="AM36" s="2388"/>
      <c r="AN36" s="2388"/>
      <c r="AO36" s="450"/>
      <c r="AP36" s="450"/>
      <c r="AQ36" s="404"/>
      <c r="AR36" s="492"/>
      <c r="AS36" s="492"/>
      <c r="AT36" s="492"/>
      <c r="AU36" s="492"/>
      <c r="AV36" s="492"/>
      <c r="AW36" s="542">
        <v>0</v>
      </c>
    </row>
    <row customHeight="1" ht="14.25" hidden="1">
      <c r="R37" s="500"/>
      <c r="S37" s="500"/>
      <c r="T37" s="500"/>
      <c r="U37" s="1399"/>
      <c r="V37" s="487"/>
      <c r="W37" s="487"/>
      <c r="X37" s="446"/>
      <c r="Y37" s="446"/>
      <c r="Z37" s="446"/>
      <c r="AA37" s="446"/>
      <c r="AB37" s="446"/>
      <c r="AC37" s="446"/>
      <c r="AD37" s="446"/>
      <c r="AE37" s="446"/>
      <c r="AF37" s="446"/>
      <c r="AG37" s="446"/>
      <c r="AH37" s="446"/>
      <c r="AI37" s="446"/>
      <c r="AJ37" s="446"/>
      <c r="AK37" s="446"/>
      <c r="AL37" s="446"/>
      <c r="AM37" s="446"/>
      <c r="AN37" s="446"/>
      <c r="AO37" s="446"/>
      <c r="AP37" s="633"/>
      <c r="AW37" s="1279">
        <v>0</v>
      </c>
    </row>
    <row s="7787" customFormat="1" customHeight="1" ht="18.75" hidden="1">
      <c r="A38" s="1372"/>
      <c r="B38" s="1372"/>
      <c r="C38" s="1372"/>
      <c r="D38" s="1372"/>
      <c r="E38" s="1372"/>
      <c r="F38" s="1372"/>
      <c r="G38" s="1372"/>
      <c r="H38" s="1372"/>
      <c r="I38" s="1372"/>
      <c r="J38" s="1372"/>
      <c r="K38" s="1372"/>
      <c r="L38" s="1372"/>
      <c r="M38" s="1504"/>
      <c r="N38" s="1372"/>
      <c r="O38" s="1372"/>
      <c r="P38" s="1372"/>
      <c r="U38" s="2387" t="s">
        <v>537</v>
      </c>
      <c r="V38" s="2387"/>
      <c r="W38" s="1496"/>
      <c r="X38" s="2401" t="str">
        <f>IF(TITLE_DATE_PR_CHANGE="",IF(TITLE_DATE_PR="","",TITLE_DATE_PR),TITLE_DATE_PR_CHANGE)</f>
        <v/>
      </c>
      <c r="Y38" s="2401"/>
      <c r="Z38" s="2401"/>
      <c r="AA38" s="2401"/>
      <c r="AB38" s="2401"/>
      <c r="AC38" s="2401"/>
      <c r="AD38" s="2401"/>
      <c r="AE38" s="2401"/>
      <c r="AF38" s="450"/>
      <c r="AG38" s="2401" t="str">
        <f>IF(TITLE_DATE_PR_CHANGE="",IF(TITLE_DATE_PR="","",TITLE_DATE_PR),TITLE_DATE_PR_CHANGE)</f>
        <v/>
      </c>
      <c r="AH38" s="2401"/>
      <c r="AI38" s="2401"/>
      <c r="AJ38" s="2401"/>
      <c r="AK38" s="2401"/>
      <c r="AL38" s="2401"/>
      <c r="AM38" s="2401"/>
      <c r="AN38" s="2401"/>
      <c r="AO38" s="450"/>
      <c r="AP38" s="450"/>
      <c r="AQ38" s="404"/>
      <c r="AR38" s="492"/>
      <c r="AS38" s="492"/>
      <c r="AT38" s="492"/>
      <c r="AU38" s="492"/>
      <c r="AV38" s="492"/>
      <c r="AW38" s="542">
        <v>0</v>
      </c>
    </row>
    <row s="7787" customFormat="1" customHeight="1" ht="18.75" hidden="1">
      <c r="A39" s="1372"/>
      <c r="B39" s="1372"/>
      <c r="C39" s="1372"/>
      <c r="D39" s="1372"/>
      <c r="E39" s="1372"/>
      <c r="F39" s="1372"/>
      <c r="G39" s="1372"/>
      <c r="H39" s="1372"/>
      <c r="I39" s="1372"/>
      <c r="J39" s="1372"/>
      <c r="K39" s="1372"/>
      <c r="L39" s="1372"/>
      <c r="M39" s="1504"/>
      <c r="N39" s="1372"/>
      <c r="O39" s="1372"/>
      <c r="P39" s="1372"/>
      <c r="U39" s="2387" t="s">
        <v>538</v>
      </c>
      <c r="V39" s="2387"/>
      <c r="W39" s="1496"/>
      <c r="X39" s="2388" t="str">
        <f>IF(TITLE_NUMBER_PR_CHANGE="",IF(TITLE_NUMBER_PR="","",TITLE_NUMBER_PR),TITLE_NUMBER_PR_CHANGE)</f>
        <v/>
      </c>
      <c r="Y39" s="2388"/>
      <c r="Z39" s="2388"/>
      <c r="AA39" s="2388"/>
      <c r="AB39" s="2388"/>
      <c r="AC39" s="2388"/>
      <c r="AD39" s="2388"/>
      <c r="AE39" s="2388"/>
      <c r="AF39" s="450"/>
      <c r="AG39" s="2388" t="str">
        <f>IF(TITLE_NUMBER_PR_CHANGE="",IF(TITLE_NUMBER_PR="","",TITLE_NUMBER_PR),TITLE_NUMBER_PR_CHANGE)</f>
        <v/>
      </c>
      <c r="AH39" s="2388"/>
      <c r="AI39" s="2388"/>
      <c r="AJ39" s="2388"/>
      <c r="AK39" s="2388"/>
      <c r="AL39" s="2388"/>
      <c r="AM39" s="2388"/>
      <c r="AN39" s="2388"/>
      <c r="AO39" s="450"/>
      <c r="AP39" s="450"/>
      <c r="AQ39" s="404"/>
      <c r="AR39" s="492"/>
      <c r="AS39" s="492"/>
      <c r="AT39" s="492"/>
      <c r="AU39" s="492"/>
      <c r="AV39" s="492"/>
      <c r="AW39" s="542">
        <v>0</v>
      </c>
    </row>
    <row s="7787" customFormat="1" customHeight="1" ht="0">
      <c r="A40" s="1372"/>
      <c r="B40" s="1372"/>
      <c r="C40" s="1372"/>
      <c r="D40" s="1372"/>
      <c r="E40" s="1372"/>
      <c r="F40" s="1372"/>
      <c r="G40" s="1372"/>
      <c r="H40" s="1372"/>
      <c r="I40" s="1372"/>
      <c r="J40" s="1372"/>
      <c r="K40" s="1372"/>
      <c r="L40" s="1372"/>
      <c r="M40" s="1504"/>
      <c r="N40" s="1372"/>
      <c r="O40" s="1372"/>
      <c r="P40" s="1372"/>
      <c r="U40" s="447"/>
      <c r="V40" s="447"/>
      <c r="W40" s="1464"/>
      <c r="X40" s="450"/>
      <c r="Y40" s="450"/>
      <c r="Z40" s="450"/>
      <c r="AA40" s="450"/>
      <c r="AB40" s="450"/>
      <c r="AC40" s="450"/>
      <c r="AD40" s="450"/>
      <c r="AE40" s="450"/>
      <c r="AF40" s="402" t="s">
        <v>539</v>
      </c>
      <c r="AG40" s="450"/>
      <c r="AH40" s="450"/>
      <c r="AI40" s="450"/>
      <c r="AJ40" s="450"/>
      <c r="AK40" s="450"/>
      <c r="AL40" s="450"/>
      <c r="AM40" s="450"/>
      <c r="AN40" s="450"/>
      <c r="AO40" s="402" t="s">
        <v>539</v>
      </c>
      <c r="AR40" s="492"/>
      <c r="AS40" s="492"/>
      <c r="AT40" s="492"/>
      <c r="AU40" s="492"/>
      <c r="AV40" s="492"/>
      <c r="AW40" s="542">
        <v>0</v>
      </c>
    </row>
    <row customHeight="1" ht="14.699999999999998">
      <c r="R41" s="500"/>
      <c r="S41" s="500"/>
      <c r="T41" s="500"/>
      <c r="U41" s="1399"/>
      <c r="V41" s="487"/>
      <c r="W41" s="1368"/>
      <c r="X41" s="2389"/>
      <c r="Y41" s="2389"/>
      <c r="Z41" s="2389"/>
      <c r="AA41" s="2389"/>
      <c r="AB41" s="2389"/>
      <c r="AC41" s="2389"/>
      <c r="AD41" s="2389"/>
      <c r="AE41" s="2389"/>
      <c r="AF41" s="2389"/>
      <c r="AG41" s="2389"/>
      <c r="AH41" s="2389"/>
      <c r="AI41" s="2389"/>
      <c r="AJ41" s="2389"/>
      <c r="AK41" s="2389"/>
      <c r="AL41" s="2389"/>
      <c r="AM41" s="2389"/>
      <c r="AN41" s="2389"/>
      <c r="AO41" s="2389"/>
      <c r="AW41" s="1279">
        <v>14</v>
      </c>
    </row>
    <row customHeight="1" ht="14.699999999999998">
      <c r="R42" s="500"/>
      <c r="S42" s="500"/>
      <c r="T42" s="500"/>
      <c r="U42" s="2264" t="s">
        <v>412</v>
      </c>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t="s">
        <v>413</v>
      </c>
      <c r="AW42" s="1279">
        <v>14</v>
      </c>
    </row>
    <row customHeight="1" ht="14.699999999999998">
      <c r="R43" s="500"/>
      <c r="S43" s="500"/>
      <c r="T43" s="500"/>
      <c r="U43" s="2410" t="s">
        <v>88</v>
      </c>
      <c r="V43" s="2346" t="s">
        <v>540</v>
      </c>
      <c r="W43" s="425"/>
      <c r="X43" s="2411" t="s">
        <v>541</v>
      </c>
      <c r="Y43" s="2428"/>
      <c r="Z43" s="2428"/>
      <c r="AA43" s="2428"/>
      <c r="AB43" s="2428"/>
      <c r="AC43" s="2412"/>
      <c r="AD43" s="2412"/>
      <c r="AE43" s="2413"/>
      <c r="AF43" s="2414" t="s">
        <v>542</v>
      </c>
      <c r="AG43" s="2411" t="s">
        <v>541</v>
      </c>
      <c r="AH43" s="2428"/>
      <c r="AI43" s="2428"/>
      <c r="AJ43" s="2428"/>
      <c r="AK43" s="2428"/>
      <c r="AL43" s="2412"/>
      <c r="AM43" s="2412"/>
      <c r="AN43" s="2413"/>
      <c r="AO43" s="2414" t="s">
        <v>543</v>
      </c>
      <c r="AP43" s="2417" t="s">
        <v>544</v>
      </c>
      <c r="AQ43" s="2264"/>
      <c r="AW43" s="1279">
        <v>14</v>
      </c>
    </row>
    <row customHeight="1" ht="35.699999999999996">
      <c r="R44" s="500"/>
      <c r="S44" s="500"/>
      <c r="T44" s="500"/>
      <c r="U44" s="2410"/>
      <c r="V44" s="2346"/>
      <c r="W44" s="1155"/>
      <c r="X44" s="2431" t="s">
        <v>567</v>
      </c>
      <c r="Y44" s="2449" t="s">
        <v>568</v>
      </c>
      <c r="Z44" s="2449"/>
      <c r="AA44" s="2449"/>
      <c r="AB44" s="2449"/>
      <c r="AC44" s="2431" t="s">
        <v>548</v>
      </c>
      <c r="AD44" s="2749"/>
      <c r="AE44" s="2451"/>
      <c r="AF44" s="2415"/>
      <c r="AG44" s="2431" t="s">
        <v>567</v>
      </c>
      <c r="AH44" s="2449" t="s">
        <v>568</v>
      </c>
      <c r="AI44" s="2449"/>
      <c r="AJ44" s="2449"/>
      <c r="AK44" s="2449"/>
      <c r="AL44" s="2431" t="s">
        <v>548</v>
      </c>
      <c r="AM44" s="2749"/>
      <c r="AN44" s="2451"/>
      <c r="AO44" s="2415"/>
      <c r="AP44" s="2418"/>
      <c r="AQ44" s="2264"/>
      <c r="AW44" s="1279">
        <v>34</v>
      </c>
    </row>
    <row customHeight="1" ht="14.699999999999998">
      <c r="R45" s="500"/>
      <c r="S45" s="500"/>
      <c r="T45" s="500"/>
      <c r="U45" s="2410"/>
      <c r="V45" s="2346"/>
      <c r="W45" s="1155"/>
      <c r="X45" s="2462"/>
      <c r="Y45" s="2454" t="s">
        <v>569</v>
      </c>
      <c r="Z45" s="2407" t="s">
        <v>570</v>
      </c>
      <c r="AA45" s="2457"/>
      <c r="AB45" s="2408"/>
      <c r="AC45" s="2432"/>
      <c r="AD45" s="2750"/>
      <c r="AE45" s="2453"/>
      <c r="AF45" s="2415"/>
      <c r="AG45" s="2462"/>
      <c r="AH45" s="2454" t="s">
        <v>569</v>
      </c>
      <c r="AI45" s="2407" t="s">
        <v>570</v>
      </c>
      <c r="AJ45" s="2457"/>
      <c r="AK45" s="2408"/>
      <c r="AL45" s="2432"/>
      <c r="AM45" s="2750"/>
      <c r="AN45" s="2453"/>
      <c r="AO45" s="2415"/>
      <c r="AP45" s="2418"/>
      <c r="AQ45" s="2264"/>
      <c r="AW45" s="1279">
        <v>14</v>
      </c>
    </row>
    <row customHeight="1" ht="27.299999999999997">
      <c r="R46" s="500"/>
      <c r="S46" s="500"/>
      <c r="T46" s="500"/>
      <c r="U46" s="2410"/>
      <c r="V46" s="2346"/>
      <c r="W46" s="1155"/>
      <c r="X46" s="2462"/>
      <c r="Y46" s="2455"/>
      <c r="Z46" s="2454" t="s">
        <v>571</v>
      </c>
      <c r="AA46" s="2407" t="s">
        <v>572</v>
      </c>
      <c r="AB46" s="2408"/>
      <c r="AC46" s="2454" t="s">
        <v>558</v>
      </c>
      <c r="AD46" s="2458" t="s">
        <v>559</v>
      </c>
      <c r="AE46" s="2459"/>
      <c r="AF46" s="2415"/>
      <c r="AG46" s="2462"/>
      <c r="AH46" s="2455"/>
      <c r="AI46" s="2454" t="s">
        <v>571</v>
      </c>
      <c r="AJ46" s="2407" t="s">
        <v>572</v>
      </c>
      <c r="AK46" s="2408"/>
      <c r="AL46" s="2454" t="s">
        <v>558</v>
      </c>
      <c r="AM46" s="2458" t="s">
        <v>559</v>
      </c>
      <c r="AN46" s="2459"/>
      <c r="AO46" s="2415"/>
      <c r="AP46" s="2418"/>
      <c r="AQ46" s="2264"/>
      <c r="AW46" s="1279">
        <v>26</v>
      </c>
    </row>
    <row customHeight="1" ht="65.25">
      <c r="A47" s="1383"/>
      <c r="B47" s="1383" t="s">
        <v>255</v>
      </c>
      <c r="C47" s="1383" t="s">
        <v>256</v>
      </c>
      <c r="D47" s="1383" t="s">
        <v>257</v>
      </c>
      <c r="E47" s="1434" t="s">
        <v>549</v>
      </c>
      <c r="F47" s="1434" t="s">
        <v>550</v>
      </c>
      <c r="G47" s="1434" t="s">
        <v>551</v>
      </c>
      <c r="H47" s="1434" t="s">
        <v>552</v>
      </c>
      <c r="I47" s="1434" t="s">
        <v>553</v>
      </c>
      <c r="J47" s="1434" t="s">
        <v>554</v>
      </c>
      <c r="K47" s="1434" t="s">
        <v>555</v>
      </c>
      <c r="L47" s="1434" t="s">
        <v>573</v>
      </c>
      <c r="M47" s="1434" t="s">
        <v>530</v>
      </c>
      <c r="R47" s="500"/>
      <c r="S47" s="500"/>
      <c r="T47" s="500"/>
      <c r="U47" s="2410"/>
      <c r="V47" s="2346"/>
      <c r="W47" s="426"/>
      <c r="X47" s="2432"/>
      <c r="Y47" s="2456"/>
      <c r="Z47" s="2456"/>
      <c r="AA47" s="1346" t="s">
        <v>574</v>
      </c>
      <c r="AB47" s="1346" t="s">
        <v>575</v>
      </c>
      <c r="AC47" s="2456"/>
      <c r="AD47" s="2460"/>
      <c r="AE47" s="2461"/>
      <c r="AF47" s="2416"/>
      <c r="AG47" s="2432"/>
      <c r="AH47" s="2456"/>
      <c r="AI47" s="2456"/>
      <c r="AJ47" s="1346" t="s">
        <v>574</v>
      </c>
      <c r="AK47" s="1346" t="s">
        <v>575</v>
      </c>
      <c r="AL47" s="2456"/>
      <c r="AM47" s="2460"/>
      <c r="AN47" s="2461"/>
      <c r="AO47" s="2416"/>
      <c r="AP47" s="2419"/>
      <c r="AQ47" s="2264"/>
      <c r="AW47" s="1279">
        <v>62</v>
      </c>
    </row>
    <row s="6292" customFormat="1" customHeight="1" ht="11.25" hidden="1">
      <c r="A48" s="1383"/>
      <c r="B48" s="1383"/>
      <c r="C48" s="1383"/>
      <c r="D48" s="1383"/>
      <c r="E48" s="1383"/>
      <c r="F48" s="1383"/>
      <c r="G48" s="1383"/>
      <c r="H48" s="1383"/>
      <c r="I48" s="1383"/>
      <c r="J48" s="1383"/>
      <c r="K48" s="1383"/>
      <c r="L48" s="1383"/>
      <c r="M48" s="1434"/>
      <c r="N48" s="1452"/>
      <c r="O48" s="1452"/>
      <c r="P48" s="1452"/>
      <c r="Q48" s="1370"/>
      <c r="R48" s="1371"/>
      <c r="S48" s="1378">
        <v>1</v>
      </c>
      <c r="T48" s="1378"/>
      <c r="U48" s="1401" t="s">
        <v>210</v>
      </c>
      <c r="V48" s="1379" t="s">
        <v>102</v>
      </c>
      <c r="W48" s="1369" t="str">
        <f>OFFSET(W48,0,-1)</f>
        <v>2</v>
      </c>
      <c r="X48" s="1459">
        <f>OFFSET(X48,0,-1)+1</f>
        <v>3</v>
      </c>
      <c r="Y48" s="1465"/>
      <c r="Z48" s="1465"/>
      <c r="AA48" s="1465">
        <f>OFFSET(AA48,0,-1)+1</f>
        <v>1</v>
      </c>
      <c r="AB48" s="1465">
        <f>OFFSET(AB48,0,-1)+1</f>
        <v>2</v>
      </c>
      <c r="AC48" s="1459">
        <f>OFFSET(AC48,0,-1)+1</f>
        <v>3</v>
      </c>
      <c r="AD48" s="2409">
        <f>OFFSET(AD48,0,-1)+1</f>
        <v>4</v>
      </c>
      <c r="AE48" s="2409"/>
      <c r="AF48" s="1459">
        <f>OFFSET(AF48,0,-2)+1</f>
        <v>5</v>
      </c>
      <c r="AG48" s="1459">
        <f>OFFSET(AG48,0,-1)+1</f>
        <v>6</v>
      </c>
      <c r="AH48" s="1459"/>
      <c r="AI48" s="1459"/>
      <c r="AJ48" s="1459">
        <f>OFFSET(AJ48,0,-1)+1</f>
        <v>1</v>
      </c>
      <c r="AK48" s="1459">
        <f>OFFSET(AK48,0,-1)+1</f>
        <v>2</v>
      </c>
      <c r="AL48" s="1459">
        <f>OFFSET(AL48,0,-1)+1</f>
        <v>3</v>
      </c>
      <c r="AM48" s="2409">
        <f>OFFSET(AM48,0,-1)+1</f>
        <v>4</v>
      </c>
      <c r="AN48" s="2409"/>
      <c r="AO48" s="1459">
        <f>OFFSET(AO48,0,-2)+1</f>
        <v>5</v>
      </c>
      <c r="AP48" s="1369">
        <f>OFFSET(AP48,0,-1)</f>
        <v>5</v>
      </c>
      <c r="AQ48" s="1459">
        <f>OFFSET(AQ48,0,-1)+1</f>
        <v>6</v>
      </c>
      <c r="AR48" s="635"/>
      <c r="AS48" s="635"/>
      <c r="AT48" s="635"/>
      <c r="AU48" s="635"/>
      <c r="AV48" s="635"/>
      <c r="AW48" s="620">
        <v>0</v>
      </c>
    </row>
    <row customHeight="1" ht="22.049999999999997">
      <c r="A49" s="1391" t="s">
        <v>288</v>
      </c>
      <c r="B49" s="1391"/>
      <c r="C49" s="1391"/>
      <c r="D49" s="1391"/>
      <c r="E49" s="2426">
        <v>1</v>
      </c>
      <c r="F49" s="1391"/>
      <c r="G49" s="1391"/>
      <c r="H49" s="1391"/>
      <c r="I49" s="1391"/>
      <c r="J49" s="1391"/>
      <c r="K49" s="1391"/>
      <c r="L49" s="1391"/>
      <c r="M49" s="1434"/>
      <c r="N49" s="812"/>
      <c r="O49" s="812"/>
      <c r="P49" s="812"/>
      <c r="Q49" s="485"/>
      <c r="R49" s="484"/>
      <c r="S49" s="484"/>
      <c r="T49" s="479"/>
      <c r="U49" s="1460">
        <f>INDEX(PT_DIFFERENTIATION_NUM_NTAR,MATCH(A49,PT_DIFFERENTIATION_NTAR_ID,0))</f>
        <v>0</v>
      </c>
      <c r="V49" s="422" t="s">
        <v>243</v>
      </c>
      <c r="W49" s="424"/>
      <c r="X49" s="2379"/>
      <c r="Y49" s="2380"/>
      <c r="Z49" s="2380"/>
      <c r="AA49" s="2380"/>
      <c r="AB49" s="2380"/>
      <c r="AC49" s="2380"/>
      <c r="AD49" s="2380"/>
      <c r="AE49" s="2380"/>
      <c r="AF49" s="2381"/>
      <c r="AG49" s="2379" t="str">
        <f>INDEX(PT_DIFFERENTIATION_NTAR,MATCH(A49,PT_DIFFERENTIATION_NTAR_ID,0))</f>
        <v/>
      </c>
      <c r="AH49" s="2380"/>
      <c r="AI49" s="2380"/>
      <c r="AJ49" s="2380"/>
      <c r="AK49" s="2380"/>
      <c r="AL49" s="2380"/>
      <c r="AM49" s="2380"/>
      <c r="AN49" s="2380"/>
      <c r="AO49" s="2380"/>
      <c r="AP49" s="2381"/>
      <c r="AQ49" s="13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24"/>
      <c r="AT49" s="624" t="str">
        <f>IF(V49="","",V49)</f>
        <v>Наименование тарифа</v>
      </c>
      <c r="AU49" s="624"/>
      <c r="AV49" s="624"/>
      <c r="AW49" s="1279">
        <v>21</v>
      </c>
    </row>
    <row customHeight="1" ht="22.049999999999997">
      <c r="A50" s="1391" t="s">
        <v>288</v>
      </c>
      <c r="B50" s="1391" t="s">
        <v>289</v>
      </c>
      <c r="C50" s="1391"/>
      <c r="D50" s="1391"/>
      <c r="E50" s="2427"/>
      <c r="F50" s="2426">
        <v>1</v>
      </c>
      <c r="G50" s="1391"/>
      <c r="H50" s="1391"/>
      <c r="I50" s="1391"/>
      <c r="J50" s="1391"/>
      <c r="K50" s="1391"/>
      <c r="L50" s="1391"/>
      <c r="M50" s="1434"/>
      <c r="N50" s="812"/>
      <c r="O50" s="812"/>
      <c r="P50" s="812"/>
      <c r="Q50" s="1456"/>
      <c r="R50" s="476"/>
      <c r="S50" s="633"/>
      <c r="T50" s="477"/>
      <c r="U50" s="1460" t="str">
        <f>INDEX(PT_DIFFERENTIATION_NUM_TER,MATCH(B50,PT_DIFFERENTIATION_TER_ID,0))</f>
        <v>.</v>
      </c>
      <c r="V50" s="432" t="s">
        <v>509</v>
      </c>
      <c r="W50" s="424"/>
      <c r="X50" s="2379"/>
      <c r="Y50" s="2380"/>
      <c r="Z50" s="2380"/>
      <c r="AA50" s="2380"/>
      <c r="AB50" s="2380"/>
      <c r="AC50" s="2380"/>
      <c r="AD50" s="2380"/>
      <c r="AE50" s="2380"/>
      <c r="AF50" s="2381"/>
      <c r="AG50" s="2379" t="str">
        <f>INDEX(PT_DIFFERENTIATION_TER,MATCH(B50,PT_DIFFERENTIATION_TER_ID,0))</f>
        <v/>
      </c>
      <c r="AH50" s="2380"/>
      <c r="AI50" s="2380"/>
      <c r="AJ50" s="2380"/>
      <c r="AK50" s="2380"/>
      <c r="AL50" s="2380"/>
      <c r="AM50" s="2380"/>
      <c r="AN50" s="2380"/>
      <c r="AO50" s="2380"/>
      <c r="AP50" s="2381"/>
      <c r="AQ50" s="1382" t="s">
        <v>510</v>
      </c>
      <c r="AS50" s="624"/>
      <c r="AT50" s="624" t="str">
        <f>IF(V50="","",V50)</f>
        <v>Территория действия тарифа</v>
      </c>
      <c r="AU50" s="624"/>
      <c r="AV50" s="624"/>
      <c r="AW50" s="1279">
        <v>21</v>
      </c>
    </row>
    <row customHeight="1" ht="24">
      <c r="A51" s="1391" t="s">
        <v>288</v>
      </c>
      <c r="B51" s="1391" t="s">
        <v>289</v>
      </c>
      <c r="C51" s="1391" t="s">
        <v>290</v>
      </c>
      <c r="D51" s="1391"/>
      <c r="E51" s="2427"/>
      <c r="F51" s="2427"/>
      <c r="G51" s="2426">
        <v>1</v>
      </c>
      <c r="H51" s="1391"/>
      <c r="I51" s="1391"/>
      <c r="J51" s="1391"/>
      <c r="K51" s="1391"/>
      <c r="L51" s="1391"/>
      <c r="M51" s="1434"/>
      <c r="N51" s="812"/>
      <c r="O51" s="812"/>
      <c r="P51" s="812"/>
      <c r="Q51" s="478"/>
      <c r="R51" s="476"/>
      <c r="S51" s="633"/>
      <c r="T51" s="477"/>
      <c r="U51" s="1460" t="str">
        <f>INDEX(PT_DIFFERENTIATION_NUM_CS,MATCH(C51,PT_DIFFERENTIATION_CS_ID,0))</f>
        <v>..</v>
      </c>
      <c r="V51" s="433" t="s">
        <v>511</v>
      </c>
      <c r="W51" s="424"/>
      <c r="X51" s="2379"/>
      <c r="Y51" s="2380"/>
      <c r="Z51" s="2380"/>
      <c r="AA51" s="2380"/>
      <c r="AB51" s="2380"/>
      <c r="AC51" s="2380"/>
      <c r="AD51" s="2380"/>
      <c r="AE51" s="2380"/>
      <c r="AF51" s="2381"/>
      <c r="AG51" s="2379" t="str">
        <f>INDEX(PT_DIFFERENTIATION_CS,MATCH(C51,PT_DIFFERENTIATION_CS_ID,0))</f>
        <v/>
      </c>
      <c r="AH51" s="2380"/>
      <c r="AI51" s="2380"/>
      <c r="AJ51" s="2380"/>
      <c r="AK51" s="2380"/>
      <c r="AL51" s="2380"/>
      <c r="AM51" s="2380"/>
      <c r="AN51" s="2380"/>
      <c r="AO51" s="2380"/>
      <c r="AP51" s="2381"/>
      <c r="AQ51" s="1382" t="s">
        <v>512</v>
      </c>
      <c r="AS51" s="624"/>
      <c r="AT51" s="624" t="str">
        <f>IF(V51="","",V51)</f>
        <v>Наименование системы теплоснабжения </v>
      </c>
      <c r="AU51" s="624"/>
      <c r="AV51" s="624"/>
      <c r="AW51" s="1279">
        <v>23</v>
      </c>
    </row>
    <row customHeight="1" ht="22.049999999999997">
      <c r="A52" s="1391" t="s">
        <v>288</v>
      </c>
      <c r="B52" s="1391" t="s">
        <v>289</v>
      </c>
      <c r="C52" s="1391" t="s">
        <v>290</v>
      </c>
      <c r="D52" s="1391" t="s">
        <v>291</v>
      </c>
      <c r="E52" s="2427"/>
      <c r="F52" s="2427"/>
      <c r="G52" s="2427"/>
      <c r="H52" s="2447">
        <v>1</v>
      </c>
      <c r="I52" s="1391"/>
      <c r="J52" s="1391"/>
      <c r="K52" s="1391"/>
      <c r="L52" s="1391"/>
      <c r="M52" s="1434"/>
      <c r="N52" s="812"/>
      <c r="O52" s="812"/>
      <c r="P52" s="812"/>
      <c r="Q52" s="478"/>
      <c r="R52" s="476"/>
      <c r="S52" s="633"/>
      <c r="T52" s="477"/>
      <c r="U52" s="1460" t="str">
        <f>INDEX(PT_DIFFERENTIATION_NUM_IST_TE,MATCH(D52,PT_DIFFERENTIATION_IST_TE_ID,0))</f>
        <v>...</v>
      </c>
      <c r="V52" s="434" t="s">
        <v>513</v>
      </c>
      <c r="W52" s="424"/>
      <c r="X52" s="2379"/>
      <c r="Y52" s="2380"/>
      <c r="Z52" s="2380"/>
      <c r="AA52" s="2380"/>
      <c r="AB52" s="2380"/>
      <c r="AC52" s="2380"/>
      <c r="AD52" s="2380"/>
      <c r="AE52" s="2380"/>
      <c r="AF52" s="2381"/>
      <c r="AG52" s="2379" t="str">
        <f>INDEX(PT_DIFFERENTIATION_IST_TE,MATCH(D52,PT_DIFFERENTIATION_IST_TE_ID,0))</f>
        <v/>
      </c>
      <c r="AH52" s="2380"/>
      <c r="AI52" s="2380"/>
      <c r="AJ52" s="2380"/>
      <c r="AK52" s="2380"/>
      <c r="AL52" s="2380"/>
      <c r="AM52" s="2380"/>
      <c r="AN52" s="2380"/>
      <c r="AO52" s="2380"/>
      <c r="AP52" s="2381"/>
      <c r="AQ52" s="1382" t="s">
        <v>514</v>
      </c>
      <c r="AS52" s="624"/>
      <c r="AT52" s="624" t="str">
        <f>IF(V52="","",V52)</f>
        <v>Источник тепловой энергии  </v>
      </c>
      <c r="AU52" s="624"/>
      <c r="AV52" s="624"/>
      <c r="AW52" s="1279">
        <v>21</v>
      </c>
    </row>
    <row s="6698" customFormat="1" customHeight="1" ht="0">
      <c r="A53" s="1499" t="s">
        <v>288</v>
      </c>
      <c r="B53" s="1499" t="s">
        <v>289</v>
      </c>
      <c r="C53" s="1499" t="s">
        <v>290</v>
      </c>
      <c r="D53" s="1499" t="s">
        <v>291</v>
      </c>
      <c r="E53" s="2427"/>
      <c r="F53" s="2427"/>
      <c r="G53" s="2427"/>
      <c r="H53" s="2448"/>
      <c r="I53" s="2264" t="str">
        <f>U52&amp;".1"</f>
        <v>....1</v>
      </c>
      <c r="J53" s="1499"/>
      <c r="K53" s="1499"/>
      <c r="L53" s="1499"/>
      <c r="M53" s="1505" t="s">
        <v>515</v>
      </c>
      <c r="N53" s="1370"/>
      <c r="O53" s="1370"/>
      <c r="P53" s="1370"/>
      <c r="Q53" s="2394">
        <v>1</v>
      </c>
      <c r="R53" s="1455"/>
      <c r="S53" s="1455"/>
      <c r="T53" s="480"/>
      <c r="U53" s="1166"/>
      <c r="V53" s="1507"/>
      <c r="W53" s="1508"/>
      <c r="X53" s="2433"/>
      <c r="Y53" s="2434"/>
      <c r="Z53" s="2434"/>
      <c r="AA53" s="2434"/>
      <c r="AB53" s="2434"/>
      <c r="AC53" s="2434"/>
      <c r="AD53" s="2434"/>
      <c r="AE53" s="2434"/>
      <c r="AF53" s="2435"/>
      <c r="AG53" s="2433"/>
      <c r="AH53" s="2434"/>
      <c r="AI53" s="2434"/>
      <c r="AJ53" s="2434"/>
      <c r="AK53" s="2434"/>
      <c r="AL53" s="2434"/>
      <c r="AM53" s="2434"/>
      <c r="AN53" s="2434"/>
      <c r="AO53" s="2434"/>
      <c r="AP53" s="2435"/>
      <c r="AQ53" s="1509"/>
      <c r="AS53" s="624"/>
      <c r="AT53" s="624" t="str">
        <f>IF(V53="","",V53)</f>
        <v/>
      </c>
      <c r="AU53" s="624"/>
      <c r="AV53" s="624"/>
      <c r="AW53" s="635">
        <v>0</v>
      </c>
    </row>
    <row customHeight="1" ht="22.049999999999997">
      <c r="A54" s="1391" t="s">
        <v>288</v>
      </c>
      <c r="B54" s="1391" t="s">
        <v>289</v>
      </c>
      <c r="C54" s="1391" t="s">
        <v>290</v>
      </c>
      <c r="D54" s="1391" t="s">
        <v>291</v>
      </c>
      <c r="E54" s="2427"/>
      <c r="F54" s="2427"/>
      <c r="G54" s="2427"/>
      <c r="H54" s="2448"/>
      <c r="I54" s="2238"/>
      <c r="J54" s="2264" t="str">
        <f>I53&amp;".1"</f>
        <v>....1.1</v>
      </c>
      <c r="K54" s="1391"/>
      <c r="L54" s="1391"/>
      <c r="M54" s="1434" t="s">
        <v>518</v>
      </c>
      <c r="Q54" s="2394"/>
      <c r="R54" s="2394">
        <v>1</v>
      </c>
      <c r="S54" s="642"/>
      <c r="T54" s="481"/>
      <c r="U54" s="1460" t="str">
        <f>$J54</f>
        <v>....1.1</v>
      </c>
      <c r="V54" s="410" t="s">
        <v>519</v>
      </c>
      <c r="W54" s="424"/>
      <c r="X54" s="2382"/>
      <c r="Y54" s="2383"/>
      <c r="Z54" s="2383"/>
      <c r="AA54" s="2383"/>
      <c r="AB54" s="2383"/>
      <c r="AC54" s="2372"/>
      <c r="AD54" s="2372"/>
      <c r="AE54" s="2372"/>
      <c r="AF54" s="2445"/>
      <c r="AG54" s="2382"/>
      <c r="AH54" s="2383"/>
      <c r="AI54" s="2383"/>
      <c r="AJ54" s="2383"/>
      <c r="AK54" s="2383"/>
      <c r="AL54" s="2383"/>
      <c r="AM54" s="2383"/>
      <c r="AN54" s="2383"/>
      <c r="AO54" s="2383"/>
      <c r="AP54" s="2384"/>
      <c r="AQ54" s="1382" t="s">
        <v>520</v>
      </c>
      <c r="AS54" s="624"/>
      <c r="AT54" s="624" t="str">
        <f>IF(V54="","",V54)</f>
        <v>Группа потребителей</v>
      </c>
      <c r="AU54" s="624"/>
      <c r="AV54" s="624"/>
      <c r="AW54" s="1279">
        <v>21</v>
      </c>
    </row>
    <row customHeight="1" ht="22.049999999999997">
      <c r="A55" s="1391" t="s">
        <v>288</v>
      </c>
      <c r="B55" s="1391" t="s">
        <v>289</v>
      </c>
      <c r="C55" s="1391" t="s">
        <v>290</v>
      </c>
      <c r="D55" s="1391" t="s">
        <v>291</v>
      </c>
      <c r="E55" s="2427"/>
      <c r="F55" s="2427"/>
      <c r="G55" s="2427"/>
      <c r="H55" s="2448"/>
      <c r="I55" s="2238"/>
      <c r="J55" s="2238"/>
      <c r="K55" s="2264" t="str">
        <f>J54&amp;".1"</f>
        <v>....1.1.1</v>
      </c>
      <c r="L55" s="263"/>
      <c r="M55" s="1434" t="s">
        <v>521</v>
      </c>
      <c r="Q55" s="2394"/>
      <c r="R55" s="2394"/>
      <c r="S55" s="642">
        <v>1</v>
      </c>
      <c r="T55" s="481"/>
      <c r="U55" s="1460" t="str">
        <f>$K55</f>
        <v>....1.1.1</v>
      </c>
      <c r="V55" s="1471"/>
      <c r="W55" s="424"/>
      <c r="X55" s="875"/>
      <c r="Y55" s="875"/>
      <c r="Z55" s="875"/>
      <c r="AA55" s="875"/>
      <c r="AB55" s="1529"/>
      <c r="AC55" s="2402"/>
      <c r="AD55" s="2244" t="s">
        <v>62</v>
      </c>
      <c r="AE55" s="2402"/>
      <c r="AF55" s="2244" t="s">
        <v>62</v>
      </c>
      <c r="AG55" s="1531"/>
      <c r="AH55" s="875"/>
      <c r="AI55" s="875"/>
      <c r="AJ55" s="875"/>
      <c r="AK55" s="1381"/>
      <c r="AL55" s="2402"/>
      <c r="AM55" s="2244" t="s">
        <v>62</v>
      </c>
      <c r="AN55" s="2402"/>
      <c r="AO55" s="2244" t="s">
        <v>62</v>
      </c>
      <c r="AP55" s="1472"/>
      <c r="AQ55" s="1431" t="s">
        <v>564</v>
      </c>
      <c r="AR55" s="635">
        <f>STRCHECKDATE(X57:AP57)</f>
      </c>
      <c r="AS55" s="624"/>
      <c r="AT55" s="624" t="str">
        <f>IF(V55="","",V55)</f>
        <v/>
      </c>
      <c r="AU55" s="624"/>
      <c r="AV55" s="624"/>
      <c r="AW55" s="1279">
        <v>21</v>
      </c>
    </row>
    <row customHeight="1" ht="11.549999999999999">
      <c r="A56" s="1391" t="s">
        <v>288</v>
      </c>
      <c r="B56" s="1391" t="s">
        <v>289</v>
      </c>
      <c r="C56" s="1391" t="s">
        <v>290</v>
      </c>
      <c r="D56" s="1391" t="s">
        <v>291</v>
      </c>
      <c r="E56" s="2427"/>
      <c r="F56" s="2427"/>
      <c r="G56" s="2427"/>
      <c r="H56" s="2448"/>
      <c r="I56" s="2238"/>
      <c r="J56" s="2238"/>
      <c r="K56" s="2238"/>
      <c r="L56" s="2264" t="str">
        <f>K55&amp;".1"</f>
        <v>....1.1.1.1</v>
      </c>
      <c r="M56" s="1434"/>
      <c r="Q56" s="2394"/>
      <c r="R56" s="2394"/>
      <c r="S56" s="642">
        <v>1</v>
      </c>
      <c r="T56" s="481"/>
      <c r="U56" s="1460" t="str">
        <f>$L56</f>
        <v>....1.1.1.1</v>
      </c>
      <c r="V56" s="1515"/>
      <c r="W56" s="424"/>
      <c r="X56" s="449"/>
      <c r="Y56" s="875"/>
      <c r="Z56" s="875"/>
      <c r="AA56" s="875"/>
      <c r="AB56" s="1529"/>
      <c r="AC56" s="2446"/>
      <c r="AD56" s="2244"/>
      <c r="AE56" s="2446"/>
      <c r="AF56" s="2244"/>
      <c r="AG56" s="1531"/>
      <c r="AH56" s="875"/>
      <c r="AI56" s="875"/>
      <c r="AJ56" s="875"/>
      <c r="AK56" s="1381"/>
      <c r="AL56" s="2446"/>
      <c r="AM56" s="2244"/>
      <c r="AN56" s="2446"/>
      <c r="AO56" s="2244"/>
      <c r="AP56" s="1472"/>
      <c r="AQ56" s="2390" t="s">
        <v>565</v>
      </c>
      <c r="AR56" s="635">
        <f>STRCHECKDATE(X58:AP58)</f>
      </c>
      <c r="AS56" s="624"/>
      <c r="AT56" s="624" t="str">
        <f>IF(V56="","",V56)</f>
        <v/>
      </c>
      <c r="AU56" s="624"/>
      <c r="AV56" s="624"/>
      <c r="AW56" s="1279">
        <v>11</v>
      </c>
    </row>
    <row customHeight="1" ht="0">
      <c r="A57" s="1391" t="s">
        <v>288</v>
      </c>
      <c r="B57" s="1391" t="s">
        <v>289</v>
      </c>
      <c r="C57" s="1391" t="s">
        <v>290</v>
      </c>
      <c r="D57" s="1391" t="s">
        <v>291</v>
      </c>
      <c r="E57" s="2427"/>
      <c r="F57" s="2427"/>
      <c r="G57" s="2427"/>
      <c r="H57" s="2448"/>
      <c r="I57" s="2238"/>
      <c r="J57" s="2238"/>
      <c r="K57" s="2238"/>
      <c r="L57" s="2264"/>
      <c r="M57" s="1434"/>
      <c r="Q57" s="2394"/>
      <c r="R57" s="2394"/>
      <c r="S57" s="642"/>
      <c r="T57" s="481"/>
      <c r="U57" s="1466"/>
      <c r="V57" s="424"/>
      <c r="W57" s="424"/>
      <c r="X57" s="449"/>
      <c r="Y57" s="449"/>
      <c r="Z57" s="449"/>
      <c r="AA57" s="449"/>
      <c r="AB57" s="1530" t="str">
        <f>AC55&amp;"-"&amp;AE55</f>
        <v>-</v>
      </c>
      <c r="AC57" s="2446"/>
      <c r="AD57" s="2244"/>
      <c r="AE57" s="2446"/>
      <c r="AF57" s="2244"/>
      <c r="AG57" s="1506"/>
      <c r="AH57" s="449"/>
      <c r="AI57" s="449"/>
      <c r="AJ57" s="449"/>
      <c r="AK57" s="452" t="str">
        <f>AL55&amp;"-"&amp;AN55</f>
        <v>-</v>
      </c>
      <c r="AL57" s="2446"/>
      <c r="AM57" s="2244"/>
      <c r="AN57" s="2446"/>
      <c r="AO57" s="2244"/>
      <c r="AP57" s="1473"/>
      <c r="AQ57" s="2391"/>
      <c r="AS57" s="624"/>
      <c r="AT57" s="624" t="str">
        <f>IF(V57="","",V57)</f>
        <v/>
      </c>
      <c r="AU57" s="624"/>
      <c r="AV57" s="624"/>
      <c r="AW57" s="1279">
        <v>0</v>
      </c>
    </row>
    <row customHeight="1" ht="11.549999999999999">
      <c r="A58" s="1391" t="s">
        <v>288</v>
      </c>
      <c r="B58" s="1391" t="s">
        <v>289</v>
      </c>
      <c r="C58" s="1391" t="s">
        <v>290</v>
      </c>
      <c r="D58" s="1391" t="s">
        <v>291</v>
      </c>
      <c r="E58" s="2427"/>
      <c r="F58" s="2427"/>
      <c r="G58" s="2427"/>
      <c r="H58" s="2448"/>
      <c r="I58" s="2238"/>
      <c r="J58" s="2238"/>
      <c r="K58" s="2264"/>
      <c r="L58" s="1391"/>
      <c r="M58" s="1434"/>
      <c r="Q58" s="2394"/>
      <c r="R58" s="2394"/>
      <c r="S58" s="1455"/>
      <c r="T58" s="480"/>
      <c r="U58" s="1402"/>
      <c r="V58" s="412" t="s">
        <v>566</v>
      </c>
      <c r="W58" s="491"/>
      <c r="X58" s="491"/>
      <c r="Y58" s="491"/>
      <c r="Z58" s="491"/>
      <c r="AA58" s="491"/>
      <c r="AB58" s="491"/>
      <c r="AC58" s="2446"/>
      <c r="AD58" s="2244"/>
      <c r="AE58" s="2446"/>
      <c r="AF58" s="2244"/>
      <c r="AG58" s="491"/>
      <c r="AH58" s="491"/>
      <c r="AI58" s="491"/>
      <c r="AJ58" s="491"/>
      <c r="AK58" s="491"/>
      <c r="AL58" s="2446"/>
      <c r="AM58" s="2244"/>
      <c r="AN58" s="2446"/>
      <c r="AO58" s="2244"/>
      <c r="AP58" s="448"/>
      <c r="AQ58" s="2391"/>
      <c r="AS58" s="624"/>
      <c r="AT58" s="624" t="str">
        <f>IF(V58="","",V58)</f>
        <v>Добавить наименование поставщика</v>
      </c>
      <c r="AU58" s="624"/>
      <c r="AV58" s="624"/>
      <c r="AW58" s="1279">
        <v>11</v>
      </c>
    </row>
    <row customHeight="1" ht="11.549999999999999">
      <c r="A59" s="1391" t="s">
        <v>288</v>
      </c>
      <c r="B59" s="1391" t="s">
        <v>289</v>
      </c>
      <c r="C59" s="1391" t="s">
        <v>290</v>
      </c>
      <c r="D59" s="1391" t="s">
        <v>291</v>
      </c>
      <c r="E59" s="2427"/>
      <c r="F59" s="2427"/>
      <c r="G59" s="2427"/>
      <c r="H59" s="2448"/>
      <c r="I59" s="2238"/>
      <c r="J59" s="2264"/>
      <c r="K59" s="1391"/>
      <c r="L59" s="1391"/>
      <c r="M59" s="1434"/>
      <c r="Q59" s="2394"/>
      <c r="R59" s="2394"/>
      <c r="S59" s="1455"/>
      <c r="T59" s="480"/>
      <c r="U59" s="1402"/>
      <c r="V59" s="411" t="s">
        <v>523</v>
      </c>
      <c r="W59" s="491"/>
      <c r="X59" s="491"/>
      <c r="Y59" s="491"/>
      <c r="Z59" s="491"/>
      <c r="AA59" s="491"/>
      <c r="AB59" s="491"/>
      <c r="AC59" s="1532"/>
      <c r="AD59" s="1532"/>
      <c r="AE59" s="1532"/>
      <c r="AF59" s="1532"/>
      <c r="AG59" s="491"/>
      <c r="AH59" s="491"/>
      <c r="AI59" s="491"/>
      <c r="AJ59" s="491"/>
      <c r="AK59" s="491"/>
      <c r="AL59" s="491"/>
      <c r="AM59" s="491"/>
      <c r="AN59" s="491"/>
      <c r="AO59" s="491"/>
      <c r="AP59" s="448"/>
      <c r="AQ59" s="2392"/>
      <c r="AS59" s="624"/>
      <c r="AT59" s="624" t="str">
        <f>IF(V59="","",V59)</f>
        <v>Добавить вид теплоносителя (параметры теплоносителя)</v>
      </c>
      <c r="AU59" s="624"/>
      <c r="AV59" s="624"/>
      <c r="AW59" s="1279">
        <v>11</v>
      </c>
    </row>
    <row customHeight="1" ht="11.549999999999999">
      <c r="A60" s="1391" t="s">
        <v>288</v>
      </c>
      <c r="B60" s="1391" t="s">
        <v>289</v>
      </c>
      <c r="C60" s="1391" t="s">
        <v>290</v>
      </c>
      <c r="D60" s="1391" t="s">
        <v>291</v>
      </c>
      <c r="E60" s="2427"/>
      <c r="F60" s="2427"/>
      <c r="G60" s="2427"/>
      <c r="H60" s="2448"/>
      <c r="I60" s="2264"/>
      <c r="J60" s="1391"/>
      <c r="K60" s="1391"/>
      <c r="L60" s="1391"/>
      <c r="M60" s="1434"/>
      <c r="Q60" s="2394"/>
      <c r="R60" s="1455"/>
      <c r="S60" s="1455"/>
      <c r="T60" s="480"/>
      <c r="U60" s="1402"/>
      <c r="V60" s="489" t="s">
        <v>524</v>
      </c>
      <c r="W60" s="491"/>
      <c r="X60" s="491"/>
      <c r="Y60" s="491"/>
      <c r="Z60" s="491"/>
      <c r="AA60" s="491"/>
      <c r="AB60" s="491"/>
      <c r="AC60" s="491"/>
      <c r="AD60" s="491"/>
      <c r="AE60" s="491"/>
      <c r="AF60" s="490"/>
      <c r="AG60" s="491"/>
      <c r="AH60" s="491"/>
      <c r="AI60" s="491"/>
      <c r="AJ60" s="491"/>
      <c r="AK60" s="491"/>
      <c r="AL60" s="491"/>
      <c r="AM60" s="491"/>
      <c r="AN60" s="491"/>
      <c r="AO60" s="490"/>
      <c r="AP60" s="491"/>
      <c r="AQ60" s="427"/>
      <c r="AS60" s="624"/>
      <c r="AT60" s="624" t="str">
        <f>IF(V60="","",V60)</f>
        <v>Добавить группу потребителей</v>
      </c>
      <c r="AU60" s="624"/>
      <c r="AV60" s="624"/>
      <c r="AW60" s="1279">
        <v>11</v>
      </c>
    </row>
    <row customHeight="1" ht="0">
      <c r="A61" s="1391" t="s">
        <v>288</v>
      </c>
      <c r="B61" s="1391" t="s">
        <v>289</v>
      </c>
      <c r="C61" s="1391" t="s">
        <v>290</v>
      </c>
      <c r="D61" s="1391" t="s">
        <v>291</v>
      </c>
      <c r="E61" s="2427"/>
      <c r="F61" s="2427"/>
      <c r="G61" s="2427"/>
      <c r="H61" s="2447"/>
      <c r="I61" s="1391"/>
      <c r="J61" s="1391"/>
      <c r="K61" s="1391"/>
      <c r="L61" s="1391"/>
      <c r="M61" s="1434"/>
      <c r="N61" s="812"/>
      <c r="O61" s="812"/>
      <c r="P61" s="633"/>
      <c r="Q61" s="484"/>
      <c r="R61" s="499"/>
      <c r="S61" s="479"/>
      <c r="T61" s="484"/>
      <c r="U61" s="1510"/>
      <c r="V61" s="1511"/>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3"/>
      <c r="AS61" s="624"/>
      <c r="AT61" s="624" t="str">
        <f>IF(V61="","",V61)</f>
        <v/>
      </c>
      <c r="AU61" s="624"/>
      <c r="AV61" s="624"/>
      <c r="AW61" s="1279">
        <v>0</v>
      </c>
    </row>
    <row s="6698" customFormat="1" customHeight="1" ht="0">
      <c r="A62" s="1499" t="s">
        <v>288</v>
      </c>
      <c r="B62" s="1499" t="s">
        <v>289</v>
      </c>
      <c r="C62" s="1499" t="s">
        <v>290</v>
      </c>
      <c r="D62" s="1498"/>
      <c r="E62" s="2427"/>
      <c r="F62" s="2427"/>
      <c r="G62" s="2426"/>
      <c r="H62" s="1498"/>
      <c r="I62" s="1498"/>
      <c r="J62" s="1498"/>
      <c r="K62" s="1498"/>
      <c r="L62" s="1498"/>
      <c r="M62" s="1501"/>
      <c r="N62" s="1502"/>
      <c r="O62" s="1502"/>
      <c r="P62" s="475"/>
      <c r="Q62" s="1440"/>
      <c r="R62" s="1441"/>
      <c r="S62" s="1440"/>
      <c r="T62" s="1440"/>
      <c r="U62" s="1446"/>
      <c r="V62" s="1449" t="s">
        <v>526</v>
      </c>
      <c r="W62" s="1448"/>
      <c r="X62" s="1448"/>
      <c r="Y62" s="1448"/>
      <c r="Z62" s="1448"/>
      <c r="AA62" s="1448"/>
      <c r="AB62" s="1448"/>
      <c r="AC62" s="1448"/>
      <c r="AD62" s="1448"/>
      <c r="AE62" s="1448"/>
      <c r="AF62" s="1448"/>
      <c r="AG62" s="1448"/>
      <c r="AH62" s="1448"/>
      <c r="AI62" s="1448"/>
      <c r="AJ62" s="1448"/>
      <c r="AK62" s="1448"/>
      <c r="AL62" s="1448"/>
      <c r="AM62" s="1448"/>
      <c r="AN62" s="1448"/>
      <c r="AO62" s="1448"/>
      <c r="AP62" s="1448"/>
      <c r="AQ62" s="1448"/>
      <c r="AS62" s="913"/>
      <c r="AT62" s="913" t="str">
        <f>IF(V62="","",V62)</f>
        <v>Добавить источник для дифференциации</v>
      </c>
      <c r="AU62" s="913"/>
      <c r="AV62" s="913"/>
      <c r="AW62" s="642">
        <v>0</v>
      </c>
    </row>
    <row s="6698" customFormat="1" customHeight="1" ht="0">
      <c r="A63" s="1499" t="s">
        <v>288</v>
      </c>
      <c r="B63" s="1499" t="s">
        <v>289</v>
      </c>
      <c r="C63" s="1498"/>
      <c r="D63" s="1498"/>
      <c r="E63" s="2427"/>
      <c r="F63" s="2426"/>
      <c r="G63" s="1498"/>
      <c r="H63" s="1498"/>
      <c r="I63" s="1498"/>
      <c r="J63" s="1498"/>
      <c r="K63" s="1498"/>
      <c r="L63" s="1498"/>
      <c r="M63" s="1501"/>
      <c r="N63" s="1503"/>
      <c r="O63" s="1503"/>
      <c r="P63" s="475"/>
      <c r="Q63" s="1440"/>
      <c r="R63" s="1441"/>
      <c r="S63" s="1440"/>
      <c r="T63" s="1440"/>
      <c r="U63" s="1446"/>
      <c r="V63" s="1449" t="s">
        <v>527</v>
      </c>
      <c r="W63" s="1448"/>
      <c r="X63" s="1448"/>
      <c r="Y63" s="1448"/>
      <c r="Z63" s="1448"/>
      <c r="AA63" s="1448"/>
      <c r="AB63" s="1448"/>
      <c r="AC63" s="1448"/>
      <c r="AD63" s="1448"/>
      <c r="AE63" s="1448"/>
      <c r="AF63" s="1448"/>
      <c r="AG63" s="1448"/>
      <c r="AH63" s="1448"/>
      <c r="AI63" s="1448"/>
      <c r="AJ63" s="1448"/>
      <c r="AK63" s="1448"/>
      <c r="AL63" s="1448"/>
      <c r="AM63" s="1448"/>
      <c r="AN63" s="1448"/>
      <c r="AO63" s="1448"/>
      <c r="AP63" s="1448"/>
      <c r="AQ63" s="1448"/>
      <c r="AS63" s="913"/>
      <c r="AT63" s="913" t="str">
        <f>IF(V63="","",V63)</f>
        <v>Добавить централизованную систему для дифференциации</v>
      </c>
      <c r="AU63" s="913"/>
      <c r="AV63" s="913"/>
      <c r="AW63" s="642">
        <v>0</v>
      </c>
    </row>
    <row s="6698" customFormat="1" customHeight="1" ht="0">
      <c r="A64" s="1499" t="s">
        <v>288</v>
      </c>
      <c r="B64" s="1499"/>
      <c r="C64" s="1499"/>
      <c r="D64" s="1499"/>
      <c r="E64" s="2426"/>
      <c r="F64" s="1499"/>
      <c r="G64" s="1499"/>
      <c r="H64" s="1499"/>
      <c r="I64" s="1499"/>
      <c r="J64" s="1499"/>
      <c r="K64" s="1499"/>
      <c r="L64" s="1499"/>
      <c r="M64" s="1505"/>
      <c r="N64" s="1503"/>
      <c r="O64" s="1503"/>
      <c r="P64" s="475"/>
      <c r="Q64" s="504"/>
      <c r="R64" s="1468"/>
      <c r="S64" s="504"/>
      <c r="T64" s="504"/>
      <c r="U64" s="1446"/>
      <c r="V64" s="1449" t="s">
        <v>528</v>
      </c>
      <c r="W64" s="1448"/>
      <c r="X64" s="1448"/>
      <c r="Y64" s="1448"/>
      <c r="Z64" s="1448"/>
      <c r="AA64" s="1448"/>
      <c r="AB64" s="1448"/>
      <c r="AC64" s="1448"/>
      <c r="AD64" s="1448"/>
      <c r="AE64" s="1448"/>
      <c r="AF64" s="1448"/>
      <c r="AG64" s="1448"/>
      <c r="AH64" s="1448"/>
      <c r="AI64" s="1448"/>
      <c r="AJ64" s="1448"/>
      <c r="AK64" s="1448"/>
      <c r="AL64" s="1448"/>
      <c r="AM64" s="1448"/>
      <c r="AN64" s="1448"/>
      <c r="AO64" s="1448"/>
      <c r="AP64" s="1448"/>
      <c r="AQ64" s="1448"/>
      <c r="AS64" s="624"/>
      <c r="AT64" s="624" t="str">
        <f>IF(V64="","",V64)</f>
        <v>Добавить территорию для дифференциации</v>
      </c>
      <c r="AU64" s="624"/>
      <c r="AV64" s="624"/>
      <c r="AW64" s="635">
        <v>0</v>
      </c>
    </row>
    <row s="6698" customFormat="1" customHeight="1" ht="4.2">
      <c r="A65" s="1498"/>
      <c r="B65" s="1498"/>
      <c r="C65" s="1498"/>
      <c r="D65" s="1498"/>
      <c r="E65" s="1499"/>
      <c r="F65" s="1498"/>
      <c r="G65" s="1498"/>
      <c r="H65" s="1498"/>
      <c r="I65" s="1498"/>
      <c r="J65" s="1498"/>
      <c r="K65" s="1498"/>
      <c r="L65" s="1498"/>
      <c r="M65" s="1501"/>
      <c r="N65" s="1503"/>
      <c r="O65" s="1503"/>
      <c r="P65" s="475"/>
      <c r="Q65" s="1440"/>
      <c r="R65" s="1441"/>
      <c r="S65" s="1440"/>
      <c r="T65" s="1440"/>
      <c r="U65" s="1446"/>
      <c r="V65" s="1449" t="s">
        <v>560</v>
      </c>
      <c r="W65" s="1448"/>
      <c r="X65" s="1448"/>
      <c r="Y65" s="1448"/>
      <c r="Z65" s="1448"/>
      <c r="AA65" s="1448"/>
      <c r="AB65" s="1448"/>
      <c r="AC65" s="1448"/>
      <c r="AD65" s="1448"/>
      <c r="AE65" s="1448"/>
      <c r="AF65" s="1448"/>
      <c r="AG65" s="1448"/>
      <c r="AH65" s="1448"/>
      <c r="AI65" s="1448"/>
      <c r="AJ65" s="1448"/>
      <c r="AK65" s="1448"/>
      <c r="AL65" s="1448"/>
      <c r="AM65" s="1448"/>
      <c r="AN65" s="1448"/>
      <c r="AO65" s="1448"/>
      <c r="AP65" s="1448"/>
      <c r="AQ65" s="1448"/>
      <c r="AS65" s="913"/>
      <c r="AT65" s="913" t="str">
        <f>IF(V65="","",V65)</f>
        <v>Добавить наименование тарифа</v>
      </c>
      <c r="AU65" s="913"/>
      <c r="AV65" s="913"/>
      <c r="AW65" s="642">
        <v>4</v>
      </c>
    </row>
    <row customHeight="1" ht="11.549999999999999">
      <c r="N66" s="1279"/>
      <c r="O66" s="1279"/>
      <c r="P66" s="633"/>
      <c r="Q66" s="1279"/>
      <c r="R66" s="1279"/>
      <c r="S66" s="1279"/>
      <c r="T66" s="1279"/>
      <c r="U66" s="1279"/>
      <c r="AR66" s="1279"/>
      <c r="AS66" s="1279"/>
      <c r="AT66" s="1279"/>
      <c r="AU66" s="1279"/>
      <c r="AV66" s="1279"/>
      <c r="AW66" s="1279">
        <v>11</v>
      </c>
    </row>
    <row customHeight="1" ht="35.699999999999996">
      <c r="P67" s="633"/>
      <c r="U67" s="1377"/>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W67" s="1279">
        <v>34</v>
      </c>
    </row>
    <row customHeight="1" ht="21">
      <c r="P68" s="633"/>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W68" s="1279">
        <v>20</v>
      </c>
    </row>
    <row customHeight="1" ht="14.699999999999998">
      <c r="P69" s="633"/>
      <c r="AW69" s="1279">
        <v>14</v>
      </c>
    </row>
    <row customHeight="1" ht="28.5">
      <c r="P70" s="633"/>
      <c r="V70" s="2422"/>
      <c r="W70" s="2422"/>
      <c r="X70" s="2422"/>
      <c r="Y70" s="2422"/>
      <c r="Z70" s="2422"/>
      <c r="AA70" s="2422"/>
      <c r="AB70" s="2422"/>
      <c r="AC70" s="2422"/>
      <c r="AD70" s="2422"/>
      <c r="AE70" s="2422"/>
      <c r="AF70" s="2422"/>
      <c r="AG70" s="2422"/>
      <c r="AH70" s="2422"/>
      <c r="AI70" s="2422"/>
      <c r="AJ70" s="2422"/>
      <c r="AK70" s="2422"/>
      <c r="AL70" s="2422"/>
      <c r="AM70" s="2422"/>
      <c r="AN70" s="2422"/>
      <c r="AO70" s="2422"/>
      <c r="AP70" s="2422"/>
      <c r="AQ70" s="2422"/>
      <c r="AW70" s="1279">
        <v>27</v>
      </c>
    </row>
    <row customHeight="1" ht="18.75">
      <c r="P71" s="633"/>
      <c r="V71" s="2422"/>
      <c r="W71" s="2422"/>
      <c r="X71" s="2422"/>
      <c r="Y71" s="2422"/>
      <c r="Z71" s="2422"/>
      <c r="AA71" s="2422"/>
      <c r="AB71" s="2422"/>
      <c r="AC71" s="2422"/>
      <c r="AD71" s="2422"/>
      <c r="AE71" s="2422"/>
      <c r="AF71" s="2422"/>
      <c r="AG71" s="2422"/>
      <c r="AH71" s="2422"/>
      <c r="AI71" s="2422"/>
      <c r="AJ71" s="2422"/>
      <c r="AK71" s="2422"/>
      <c r="AL71" s="2422"/>
      <c r="AM71" s="2422"/>
      <c r="AN71" s="2422"/>
      <c r="AO71" s="2422"/>
      <c r="AP71" s="2422"/>
      <c r="AQ71" s="2422"/>
      <c r="AW71" s="1279">
        <v>18</v>
      </c>
    </row>
    <row customHeight="1" ht="22.5" hidden="1">
      <c r="A72" s="1279" t="s">
        <v>82</v>
      </c>
      <c r="B72" s="1279">
        <v>0</v>
      </c>
      <c r="C72" s="1279">
        <v>0</v>
      </c>
      <c r="D72" s="1279">
        <v>0</v>
      </c>
      <c r="E72" s="1279">
        <v>0</v>
      </c>
      <c r="F72" s="1279">
        <v>0</v>
      </c>
      <c r="G72" s="1279">
        <v>0</v>
      </c>
      <c r="H72" s="1279">
        <v>0</v>
      </c>
      <c r="I72" s="1279">
        <v>0</v>
      </c>
      <c r="J72" s="1279">
        <v>0</v>
      </c>
      <c r="K72" s="1279">
        <v>0</v>
      </c>
      <c r="L72" s="1279">
        <v>0</v>
      </c>
      <c r="M72" s="1451">
        <v>0</v>
      </c>
      <c r="N72" s="1452">
        <v>0</v>
      </c>
      <c r="O72" s="1452">
        <v>0</v>
      </c>
      <c r="P72" s="1452">
        <v>0</v>
      </c>
      <c r="Q72" s="1452">
        <v>0</v>
      </c>
      <c r="R72" s="468">
        <v>3</v>
      </c>
      <c r="S72" s="468">
        <v>3</v>
      </c>
      <c r="T72" s="468">
        <v>3</v>
      </c>
      <c r="U72" s="705">
        <v>12</v>
      </c>
      <c r="V72" s="1279">
        <v>31</v>
      </c>
      <c r="W72" s="1279">
        <v>0</v>
      </c>
      <c r="X72" s="1279">
        <v>0</v>
      </c>
      <c r="Y72" s="1279">
        <v>0</v>
      </c>
      <c r="Z72" s="1279">
        <v>0</v>
      </c>
      <c r="AA72" s="1279">
        <v>0</v>
      </c>
      <c r="AB72" s="1279">
        <v>0</v>
      </c>
      <c r="AC72" s="1279">
        <v>0</v>
      </c>
      <c r="AD72" s="1279">
        <v>0</v>
      </c>
      <c r="AE72" s="1279">
        <v>0</v>
      </c>
      <c r="AF72" s="1279">
        <v>0</v>
      </c>
      <c r="AG72" s="1279">
        <v>21</v>
      </c>
      <c r="AH72" s="1279">
        <v>21</v>
      </c>
      <c r="AI72" s="1279">
        <v>21</v>
      </c>
      <c r="AJ72" s="1279">
        <v>21</v>
      </c>
      <c r="AK72" s="1279">
        <v>21</v>
      </c>
      <c r="AL72" s="1279">
        <v>11</v>
      </c>
      <c r="AM72" s="1279">
        <v>3</v>
      </c>
      <c r="AN72" s="1279">
        <v>11</v>
      </c>
      <c r="AO72" s="1279">
        <v>8</v>
      </c>
      <c r="AP72" s="1279">
        <v>4</v>
      </c>
      <c r="AQ72" s="1279">
        <v>115</v>
      </c>
      <c r="AR72" s="635">
        <v>10</v>
      </c>
      <c r="AS72" s="635">
        <v>10</v>
      </c>
      <c r="AT72" s="635">
        <v>10</v>
      </c>
      <c r="AU72" s="635">
        <v>10</v>
      </c>
      <c r="AV72" s="635">
        <v>10</v>
      </c>
      <c r="AW72" s="127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C6397D8-3FE8-7FA8-4974-4FC9878B77E8}" mc:Ignorable="x14ac xr xr2 xr3">
  <sheetPr>
    <tabColor rgb="FFCCCCFF"/>
  </sheetPr>
  <dimension ref="A1:Q79"/>
  <sheetViews>
    <sheetView topLeftCell="C30" showGridLines="0" zoomScale="90" workbookViewId="0" tabSelected="1">
      <selection activeCell="F65" sqref="F65"/>
    </sheetView>
  </sheetViews>
  <sheetFormatPr defaultColWidth="9.140625" customHeight="1" defaultRowHeight="11.25"/>
  <cols>
    <col min="1" max="1" style="5487" width="10.7109375" hidden="1" customWidth="1"/>
    <col min="2" max="2" style="6619" width="10.7109375" hidden="1" customWidth="1"/>
    <col min="3" max="3" style="5489" width="3.00390625" customWidth="1"/>
    <col min="4" max="4" style="7213" width="1.00390625" customWidth="1"/>
    <col min="5" max="6" style="7213" width="55.00390625" customWidth="1"/>
    <col min="7" max="7" style="7895" width="1.00390625" customWidth="1"/>
    <col min="8" max="8" style="7213" width="18.00390625" hidden="1" customWidth="1"/>
    <col min="9" max="9" style="5491" width="59.00390625" customWidth="1"/>
    <col min="10" max="10" style="7158" width="52.140625" hidden="1" customWidth="1"/>
    <col min="11" max="11" style="7213" width="8.00390625" customWidth="1"/>
    <col min="12" max="12" style="7213" width="77.00390625" customWidth="1"/>
    <col min="13" max="16" style="7213" width="8.00390625" customWidth="1"/>
    <col min="17" max="17" style="7213" width="12.00390625" hidden="1" customWidth="1"/>
  </cols>
  <sheetData>
    <row s="6688" customFormat="1" customHeight="1" ht="3">
      <c r="A1" s="907"/>
      <c r="B1" s="365"/>
      <c r="F1" s="366" t="s">
        <v>13</v>
      </c>
      <c r="G1" s="535"/>
      <c r="H1" s="195"/>
      <c r="I1" s="535"/>
      <c r="J1" s="995"/>
      <c r="Q1" s="366" t="s">
        <v>14</v>
      </c>
    </row>
    <row s="7464" customFormat="1" customHeight="1" ht="14.25">
      <c r="A2" s="907"/>
      <c r="B2" s="222"/>
      <c r="E2" s="1863" t="str">
        <f>code</f>
        <v>Код отчёта: PP110.OPEN.INFO.BALANCE.HEAT.EIAS</v>
      </c>
      <c r="F2" s="393"/>
      <c r="G2" s="369"/>
      <c r="H2" s="369"/>
      <c r="I2" s="369"/>
      <c r="J2" s="996"/>
      <c r="K2" s="369"/>
      <c r="Q2" s="195">
        <v>14</v>
      </c>
    </row>
    <row customHeight="1" ht="14.699999999999998">
      <c r="E3" s="370" t="str">
        <f>version</f>
        <v>Версия отчёта: 1.1.5</v>
      </c>
      <c r="F3" s="393"/>
      <c r="G3" s="894"/>
      <c r="H3" s="894"/>
      <c r="I3" s="894"/>
      <c r="J3" s="997"/>
      <c r="K3" s="212"/>
      <c r="Q3" s="198">
        <v>14</v>
      </c>
    </row>
    <row s="6053" customFormat="1" customHeight="1" ht="6.3">
      <c r="A4" s="908"/>
      <c r="B4" s="356"/>
      <c r="C4" s="357"/>
      <c r="D4" s="358"/>
      <c r="E4" s="367"/>
      <c r="F4" s="368"/>
      <c r="G4" s="895"/>
      <c r="H4" s="533"/>
      <c r="I4" s="535"/>
      <c r="J4" s="998"/>
      <c r="Q4" s="360">
        <v>6</v>
      </c>
    </row>
    <row customHeight="1" ht="39.75">
      <c r="D5" s="199"/>
      <c r="E5" s="223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3"/>
      <c r="G5" s="896"/>
      <c r="J5" s="999"/>
      <c r="Q5" s="198">
        <v>38</v>
      </c>
    </row>
    <row s="6053" customFormat="1" customHeight="1" ht="6.3">
      <c r="A6" s="908"/>
      <c r="B6" s="356"/>
      <c r="C6" s="357"/>
      <c r="D6" s="358"/>
      <c r="E6" s="361"/>
      <c r="F6" s="362"/>
      <c r="G6" s="896"/>
      <c r="H6" s="533"/>
      <c r="I6" s="535"/>
      <c r="J6" s="998"/>
      <c r="Q6" s="360">
        <v>6</v>
      </c>
    </row>
    <row customHeight="1" ht="21">
      <c r="D7" s="199"/>
      <c r="E7" s="515" t="s">
        <v>15</v>
      </c>
      <c r="F7" s="339" t="s">
        <v>16</v>
      </c>
      <c r="G7" s="896"/>
      <c r="Q7" s="198">
        <v>20</v>
      </c>
    </row>
    <row s="6053" customFormat="1" customHeight="1" ht="6.3">
      <c r="A8" s="909"/>
      <c r="B8" s="356"/>
      <c r="C8" s="357"/>
      <c r="D8" s="363"/>
      <c r="E8" s="361"/>
      <c r="F8" s="364"/>
      <c r="G8" s="201"/>
      <c r="H8" s="533"/>
      <c r="I8" s="535"/>
      <c r="J8" s="1001"/>
      <c r="Q8" s="360">
        <v>6</v>
      </c>
    </row>
    <row s="7213" customFormat="1" customHeight="1" ht="19.5" hidden="1">
      <c r="A9" s="908"/>
      <c r="B9" s="222"/>
      <c r="C9" s="532"/>
      <c r="D9" s="534"/>
      <c r="E9" s="1289" t="s">
        <v>17</v>
      </c>
      <c r="F9" s="2042"/>
      <c r="G9" s="896"/>
      <c r="I9" s="2021" t="str">
        <f>IF(TITLE_STRUCTURE_INFO_ROIV="","","раскрывается "&amp;INDEX(ROIV_INFO_COMMENT,MATCH(TITLE_STRUCTURE_INFO_ROIV,ROIV_INFO_LIST,0)))</f>
        <v/>
      </c>
      <c r="J9" s="1000"/>
      <c r="Q9" s="533">
        <v>0</v>
      </c>
    </row>
    <row s="6053" customFormat="1" customHeight="1" ht="24" hidden="1">
      <c r="A10" s="909"/>
      <c r="B10" s="550"/>
      <c r="C10" s="551"/>
      <c r="D10" s="363"/>
      <c r="E10" s="1289" t="s">
        <v>18</v>
      </c>
      <c r="F10" s="2187" t="s">
        <v>19</v>
      </c>
      <c r="G10" s="201"/>
      <c r="H10" s="533"/>
      <c r="I10" s="535"/>
      <c r="J10" s="1001"/>
      <c r="Q10" s="554">
        <v>24</v>
      </c>
    </row>
    <row customHeight="1" ht="22.5" hidden="1">
      <c r="A11" s="2235" t="s">
        <v>20</v>
      </c>
      <c r="D11" s="199"/>
      <c r="E11" s="1289" t="s">
        <v>21</v>
      </c>
      <c r="F11" s="1855" t="s">
        <v>22</v>
      </c>
      <c r="G11" s="201"/>
      <c r="H11" s="897" t="s">
        <v>23</v>
      </c>
      <c r="J11" s="1000" t="s">
        <v>24</v>
      </c>
      <c r="Q11" s="198">
        <v>0</v>
      </c>
    </row>
    <row customHeight="1" ht="22.5" hidden="1">
      <c r="A12" s="2235"/>
      <c r="D12" s="199"/>
      <c r="E12" s="1289" t="s">
        <v>25</v>
      </c>
      <c r="F12" s="1855"/>
      <c r="G12" s="197"/>
      <c r="J12" s="1000" t="s">
        <v>26</v>
      </c>
      <c r="Q12" s="198">
        <v>0</v>
      </c>
    </row>
    <row s="7213" customFormat="1" customHeight="1" ht="22.5" hidden="1">
      <c r="A13" s="912" t="s">
        <v>27</v>
      </c>
      <c r="B13" s="222"/>
      <c r="C13" s="532"/>
      <c r="D13" s="534"/>
      <c r="E13" s="1898" t="s">
        <v>28</v>
      </c>
      <c r="F13" s="1855" t="s">
        <v>22</v>
      </c>
      <c r="G13" s="201"/>
      <c r="H13" s="894"/>
      <c r="I13" s="535"/>
      <c r="J13" s="1899" t="s">
        <v>29</v>
      </c>
      <c r="Q13" s="533">
        <v>0</v>
      </c>
    </row>
    <row s="7213" customFormat="1" customHeight="1" ht="27">
      <c r="A14" s="912" t="s">
        <v>30</v>
      </c>
      <c r="B14" s="222"/>
      <c r="C14" s="532"/>
      <c r="D14" s="534"/>
      <c r="E14" s="1289" t="s">
        <v>31</v>
      </c>
      <c r="F14" s="7185">
        <v>2024</v>
      </c>
      <c r="G14" s="201"/>
      <c r="H14" s="894"/>
      <c r="I14" s="535"/>
      <c r="J14" s="1000" t="s">
        <v>32</v>
      </c>
      <c r="Q14" s="533">
        <v>0</v>
      </c>
    </row>
    <row s="7213" customFormat="1" customHeight="1" ht="19.5" hidden="1">
      <c r="A15" s="912" t="s">
        <v>33</v>
      </c>
      <c r="B15" s="222"/>
      <c r="C15" s="532"/>
      <c r="D15" s="534"/>
      <c r="E15" s="1289" t="s">
        <v>34</v>
      </c>
      <c r="F15" s="1890"/>
      <c r="G15" s="201"/>
      <c r="H15" s="894"/>
      <c r="I15" s="535"/>
      <c r="J15" s="1000" t="s">
        <v>35</v>
      </c>
      <c r="Q15" s="533">
        <v>0</v>
      </c>
    </row>
    <row s="6053" customFormat="1" customHeight="1" ht="6.3">
      <c r="A16" s="909"/>
      <c r="B16" s="356"/>
      <c r="C16" s="357"/>
      <c r="D16" s="363"/>
      <c r="E16" s="361"/>
      <c r="F16" s="364"/>
      <c r="G16" s="201"/>
      <c r="H16" s="533"/>
      <c r="I16" s="535"/>
      <c r="J16" s="998"/>
      <c r="Q16" s="360">
        <v>6</v>
      </c>
    </row>
    <row customHeight="1" ht="21">
      <c r="D17" s="199"/>
      <c r="E17" s="515" t="s">
        <v>36</v>
      </c>
      <c r="F17" s="7731" t="s">
        <v>37</v>
      </c>
      <c r="G17" s="197"/>
      <c r="H17" s="897" t="s">
        <v>23</v>
      </c>
      <c r="Q17" s="198">
        <v>20</v>
      </c>
    </row>
    <row customHeight="1" ht="25.5" hidden="1">
      <c r="D18" s="199"/>
      <c r="E18" s="1898" t="s">
        <v>38</v>
      </c>
      <c r="F18" s="1856"/>
      <c r="G18" s="197"/>
      <c r="I18" s="898"/>
      <c r="J18" s="2234" t="s">
        <v>39</v>
      </c>
      <c r="Q18" s="198">
        <v>0</v>
      </c>
    </row>
    <row customHeight="1" ht="25.5" hidden="1">
      <c r="D19" s="199"/>
      <c r="E19" s="12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856"/>
      <c r="G19" s="197"/>
      <c r="I19" s="898"/>
      <c r="J19" s="2234"/>
      <c r="Q19" s="198">
        <v>0</v>
      </c>
    </row>
    <row customHeight="1" ht="22.5" hidden="1">
      <c r="D20" s="199"/>
      <c r="E20" s="200"/>
      <c r="F20" s="394" t="str">
        <f>"Первичное "&amp;IF(TEMPLATE_GROUP="P","установление тарифов","предложение по тарифам")</f>
        <v>Первичное предложение по тарифам</v>
      </c>
      <c r="G20" s="197"/>
      <c r="I20" s="518"/>
      <c r="J20" s="999" t="s">
        <v>40</v>
      </c>
      <c r="Q20" s="198">
        <v>0</v>
      </c>
    </row>
    <row customHeight="1" ht="19.5" hidden="1">
      <c r="D21" s="199"/>
      <c r="E21" s="515" t="str">
        <f>"Дата "&amp;IF(TEMPLATE_GROUP="P","документа","подачи заявления")&amp;" об утверждении тарифов"</f>
        <v>Дата подачи заявления об утверждении тарифов</v>
      </c>
      <c r="F21" s="1855"/>
      <c r="G21" s="197"/>
      <c r="I21" s="899"/>
      <c r="Q21" s="198">
        <v>0</v>
      </c>
    </row>
    <row customHeight="1" ht="19.5" hidden="1">
      <c r="D22" s="199"/>
      <c r="E22" s="515" t="str">
        <f>"Номер "&amp;IF(TEMPLATE_GROUP="P","документа","подачи заявления")&amp;" об утверждении тарифов"</f>
        <v>Номер подачи заявления об утверждении тарифов</v>
      </c>
      <c r="F22" s="340"/>
      <c r="G22" s="197"/>
      <c r="I22" s="899"/>
      <c r="Q22" s="198">
        <v>0</v>
      </c>
    </row>
    <row customHeight="1" ht="22.5" hidden="1">
      <c r="D23" s="199"/>
      <c r="E23" s="515" t="s">
        <v>41</v>
      </c>
      <c r="F23" s="340"/>
      <c r="G23" s="197"/>
      <c r="Q23" s="198">
        <v>0</v>
      </c>
    </row>
    <row customHeight="1" ht="19.5" hidden="1">
      <c r="D24" s="199"/>
      <c r="E24" s="515" t="s">
        <v>42</v>
      </c>
      <c r="F24" s="340"/>
      <c r="G24" s="197"/>
      <c r="Q24" s="198">
        <v>0</v>
      </c>
    </row>
    <row customHeight="1" ht="22.5" hidden="1">
      <c r="D25" s="199"/>
      <c r="E25" s="200"/>
      <c r="F25" s="394" t="str">
        <f>"Изменение "&amp;IF(TEMPLATE_GROUP="P","тарифов","предложения по тарифам")</f>
        <v>Изменение предложения по тарифам</v>
      </c>
      <c r="G25" s="197"/>
      <c r="J25" s="999" t="s">
        <v>43</v>
      </c>
      <c r="Q25" s="198">
        <v>0</v>
      </c>
    </row>
    <row customHeight="1" ht="19.5" hidden="1">
      <c r="D26" s="199"/>
      <c r="E26" s="515" t="str">
        <f>"Дата "&amp;IF(TEMPLATE_GROUP="P","принятия решения","подачи заявления")&amp;" об изменении тарифов"</f>
        <v>Дата подачи заявления об изменении тарифов</v>
      </c>
      <c r="F26" s="1856"/>
      <c r="G26" s="197"/>
      <c r="Q26" s="198">
        <v>0</v>
      </c>
    </row>
    <row customHeight="1" ht="19.5" hidden="1">
      <c r="D27" s="199"/>
      <c r="E27" s="1289" t="str">
        <f>"Номер "&amp;IF(TEMPLATE_GROUP="P","принятия решения","заявления")&amp;" об изменении тарифов"</f>
        <v>Номер заявления об изменении тарифов</v>
      </c>
      <c r="F27" s="342"/>
      <c r="G27" s="197"/>
      <c r="Q27" s="198">
        <v>0</v>
      </c>
    </row>
    <row customHeight="1" ht="24.75" hidden="1">
      <c r="D28" s="199"/>
      <c r="E28" s="515" t="s">
        <v>44</v>
      </c>
      <c r="F28" s="342"/>
      <c r="G28" s="197"/>
      <c r="Q28" s="198">
        <v>0</v>
      </c>
    </row>
    <row customHeight="1" ht="19.5" hidden="1">
      <c r="D29" s="199"/>
      <c r="E29" s="515" t="s">
        <v>42</v>
      </c>
      <c r="F29" s="342"/>
      <c r="G29" s="197"/>
      <c r="Q29" s="198">
        <v>0</v>
      </c>
    </row>
    <row s="6053" customFormat="1" customHeight="1" ht="6.3">
      <c r="A30" s="909"/>
      <c r="B30" s="356"/>
      <c r="C30" s="357"/>
      <c r="D30" s="363"/>
      <c r="E30" s="361"/>
      <c r="F30" s="364"/>
      <c r="G30" s="201"/>
      <c r="H30" s="533"/>
      <c r="I30" s="535"/>
      <c r="J30" s="998"/>
      <c r="Q30" s="360">
        <v>6</v>
      </c>
    </row>
    <row customHeight="1" ht="21">
      <c r="C31" s="202"/>
      <c r="D31" s="203"/>
      <c r="E31" s="515" t="str">
        <f>"Наименование "&amp;IF(TEMPLATE_GROUP="ROIV","органа тарифного регулирования","ЮЛ / ИП")</f>
        <v>Наименование ЮЛ / ИП</v>
      </c>
      <c r="F31" s="341" t="s">
        <v>45</v>
      </c>
      <c r="G31" s="900"/>
      <c r="Q31" s="198">
        <v>20</v>
      </c>
    </row>
    <row customHeight="1" ht="21" hidden="1">
      <c r="C32" s="202"/>
      <c r="D32" s="203"/>
      <c r="E32" s="516" t="s">
        <v>46</v>
      </c>
      <c r="F32" s="341"/>
      <c r="G32" s="900"/>
      <c r="Q32" s="198">
        <v>20</v>
      </c>
    </row>
    <row customHeight="1" ht="21">
      <c r="C33" s="202"/>
      <c r="D33" s="203"/>
      <c r="E33" s="515" t="s">
        <v>47</v>
      </c>
      <c r="F33" s="341" t="s">
        <v>48</v>
      </c>
      <c r="G33" s="900"/>
      <c r="Q33" s="198">
        <v>20</v>
      </c>
    </row>
    <row customHeight="1" ht="21">
      <c r="C34" s="202"/>
      <c r="D34" s="203"/>
      <c r="E34" s="515" t="s">
        <v>49</v>
      </c>
      <c r="F34" s="341" t="s">
        <v>50</v>
      </c>
      <c r="G34" s="900"/>
      <c r="H34" s="204"/>
      <c r="Q34" s="198">
        <v>20</v>
      </c>
    </row>
    <row s="6053" customFormat="1" customHeight="1" ht="11.549999999999999">
      <c r="A35" s="909"/>
      <c r="B35" s="356"/>
      <c r="C35" s="357"/>
      <c r="D35" s="363"/>
      <c r="E35" s="361"/>
      <c r="F35" s="364"/>
      <c r="G35" s="201"/>
      <c r="H35" s="533"/>
      <c r="I35" s="535"/>
      <c r="J35" s="998"/>
      <c r="Q35" s="360">
        <v>11</v>
      </c>
    </row>
    <row customHeight="1" ht="19.5">
      <c r="A36" s="1003"/>
      <c r="D36" s="203"/>
      <c r="E36" s="515" t="s">
        <v>51</v>
      </c>
      <c r="F36" s="7681" t="s">
        <v>52</v>
      </c>
      <c r="G36" s="201"/>
      <c r="Q36" s="198">
        <v>0</v>
      </c>
    </row>
    <row customHeight="1" ht="21">
      <c r="A37" s="1003"/>
      <c r="D37" s="203"/>
      <c r="E37" s="515" t="s">
        <v>53</v>
      </c>
      <c r="F37" s="7681" t="s">
        <v>54</v>
      </c>
      <c r="G37" s="201"/>
      <c r="Q37" s="198">
        <v>20</v>
      </c>
    </row>
    <row s="6053" customFormat="1" customHeight="1" ht="6.3">
      <c r="A38" s="909"/>
      <c r="B38" s="356"/>
      <c r="C38" s="357"/>
      <c r="D38" s="358"/>
      <c r="E38" s="359"/>
      <c r="F38" s="1177"/>
      <c r="G38" s="197"/>
      <c r="H38" s="533"/>
      <c r="I38" s="535"/>
      <c r="J38" s="1000"/>
      <c r="Q38" s="360">
        <v>6</v>
      </c>
    </row>
    <row customHeight="1" ht="36.75">
      <c r="A39" s="909"/>
      <c r="D39" s="199"/>
      <c r="E39" s="515" t="s">
        <v>55</v>
      </c>
      <c r="F39" s="834" t="s">
        <v>19</v>
      </c>
      <c r="G39" s="197"/>
      <c r="H39" s="897" t="s">
        <v>23</v>
      </c>
      <c r="Q39" s="198">
        <v>35</v>
      </c>
    </row>
    <row s="6053" customFormat="1" customHeight="1" ht="6" hidden="1">
      <c r="A40" s="908"/>
      <c r="B40" s="550"/>
      <c r="C40" s="551"/>
      <c r="D40" s="552"/>
      <c r="E40" s="553"/>
      <c r="F40" s="1177"/>
      <c r="G40" s="197"/>
      <c r="H40" s="533"/>
      <c r="I40" s="535"/>
      <c r="J40" s="1000"/>
      <c r="Q40" s="554">
        <v>6</v>
      </c>
    </row>
    <row s="7213" customFormat="1" customHeight="1" ht="26.25" hidden="1">
      <c r="A41" s="912" t="s">
        <v>27</v>
      </c>
      <c r="B41" s="537"/>
      <c r="C41" s="532"/>
      <c r="D41" s="534"/>
      <c r="E41" s="51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834" t="s">
        <v>19</v>
      </c>
      <c r="G41" s="197"/>
      <c r="I41" s="535"/>
      <c r="J41" s="1000"/>
      <c r="Q41" s="533">
        <v>0</v>
      </c>
    </row>
    <row s="6053" customFormat="1" customHeight="1" ht="6" hidden="1">
      <c r="A42" s="908"/>
      <c r="B42" s="550"/>
      <c r="C42" s="551"/>
      <c r="D42" s="552"/>
      <c r="E42" s="553"/>
      <c r="F42" s="1177"/>
      <c r="G42" s="197"/>
      <c r="H42" s="533"/>
      <c r="I42" s="535"/>
      <c r="J42" s="998"/>
      <c r="Q42" s="554">
        <v>0</v>
      </c>
    </row>
    <row s="7213" customFormat="1" customHeight="1" ht="27" hidden="1">
      <c r="A43" s="908"/>
      <c r="B43" s="537"/>
      <c r="C43" s="532"/>
      <c r="D43" s="534"/>
      <c r="E43" s="515" t="s">
        <v>56</v>
      </c>
      <c r="F43" s="834" t="s">
        <v>19</v>
      </c>
      <c r="G43" s="197"/>
      <c r="I43" s="535"/>
      <c r="J43" s="1000"/>
      <c r="Q43" s="533">
        <v>0</v>
      </c>
    </row>
    <row s="7213" customFormat="1" customHeight="1" ht="27" hidden="1">
      <c r="A44" s="908"/>
      <c r="B44" s="537"/>
      <c r="C44" s="532"/>
      <c r="D44" s="534"/>
      <c r="E44" s="1289" t="s">
        <v>57</v>
      </c>
      <c r="F44" s="2009"/>
      <c r="G44" s="197"/>
      <c r="I44" s="535"/>
      <c r="J44" s="1000"/>
      <c r="Q44" s="533">
        <v>0</v>
      </c>
    </row>
    <row s="6053" customFormat="1" customHeight="1" ht="6" hidden="1">
      <c r="A45" s="908"/>
      <c r="B45" s="550"/>
      <c r="C45" s="551"/>
      <c r="D45" s="552"/>
      <c r="E45" s="553"/>
      <c r="F45" s="1177"/>
      <c r="G45" s="197"/>
      <c r="H45" s="533"/>
      <c r="I45" s="535"/>
      <c r="J45" s="1000"/>
      <c r="Q45" s="554">
        <v>0</v>
      </c>
    </row>
    <row s="6053" customFormat="1" customHeight="1" ht="24.75" hidden="1">
      <c r="A46" s="908"/>
      <c r="B46" s="550"/>
      <c r="C46" s="551"/>
      <c r="D46" s="552"/>
      <c r="E46" s="1289" t="s">
        <v>58</v>
      </c>
      <c r="F46" s="834" t="s">
        <v>19</v>
      </c>
      <c r="G46" s="197"/>
      <c r="H46" s="533"/>
      <c r="I46" s="535"/>
      <c r="J46" s="1000"/>
      <c r="Q46" s="554">
        <v>0</v>
      </c>
    </row>
    <row s="7213" customFormat="1" customHeight="1" ht="24.75" hidden="1">
      <c r="A47" s="908"/>
      <c r="B47" s="537"/>
      <c r="C47" s="532"/>
      <c r="D47" s="534"/>
      <c r="E47" s="1289" t="s">
        <v>59</v>
      </c>
      <c r="F47" s="834" t="s">
        <v>19</v>
      </c>
      <c r="G47" s="197"/>
      <c r="I47" s="535"/>
      <c r="J47" s="1000"/>
      <c r="Q47" s="533">
        <v>0</v>
      </c>
    </row>
    <row s="6053" customFormat="1" customHeight="1" ht="6" hidden="1">
      <c r="A48" s="908"/>
      <c r="B48" s="356"/>
      <c r="C48" s="357"/>
      <c r="D48" s="358"/>
      <c r="E48" s="359"/>
      <c r="F48" s="1177"/>
      <c r="G48" s="197"/>
      <c r="H48" s="533"/>
      <c r="I48" s="535"/>
      <c r="J48" s="1000"/>
      <c r="Q48" s="360">
        <v>0</v>
      </c>
    </row>
    <row customHeight="1" ht="29.25" hidden="1">
      <c r="B49" s="272"/>
      <c r="D49" s="199"/>
      <c r="E49" s="51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834"/>
      <c r="G49" s="197"/>
      <c r="Q49" s="198">
        <v>0</v>
      </c>
    </row>
    <row s="6053" customFormat="1" customHeight="1" ht="6">
      <c r="A50" s="909"/>
      <c r="B50" s="550"/>
      <c r="C50" s="551"/>
      <c r="D50" s="363"/>
      <c r="E50" s="361"/>
      <c r="F50" s="364"/>
      <c r="G50" s="201"/>
      <c r="H50" s="533"/>
      <c r="I50" s="535"/>
      <c r="J50" s="1000"/>
      <c r="Q50" s="554">
        <v>0</v>
      </c>
    </row>
    <row s="7213" customFormat="1" customHeight="1" ht="28.5">
      <c r="A51" s="910"/>
      <c r="B51" s="537"/>
      <c r="C51" s="654"/>
      <c r="D51" s="655"/>
      <c r="E51" s="515" t="s">
        <v>60</v>
      </c>
      <c r="F51" s="834" t="s">
        <v>19</v>
      </c>
      <c r="G51" s="656"/>
      <c r="I51" s="658"/>
      <c r="J51" s="1002"/>
      <c r="P51" s="659"/>
      <c r="Q51" s="657">
        <v>0</v>
      </c>
    </row>
    <row s="6053" customFormat="1" customHeight="1" ht="6">
      <c r="A52" s="909"/>
      <c r="B52" s="550"/>
      <c r="C52" s="551"/>
      <c r="D52" s="363"/>
      <c r="E52" s="361"/>
      <c r="F52" s="364"/>
      <c r="G52" s="201"/>
      <c r="H52" s="533"/>
      <c r="I52" s="535"/>
      <c r="J52" s="998"/>
      <c r="Q52" s="554">
        <v>0</v>
      </c>
    </row>
    <row s="7213" customFormat="1" customHeight="1" ht="27">
      <c r="A53" s="910"/>
      <c r="B53" s="537"/>
      <c r="C53" s="654"/>
      <c r="D53" s="655"/>
      <c r="E53" s="515" t="s">
        <v>61</v>
      </c>
      <c r="F53" s="1172" t="s">
        <v>62</v>
      </c>
      <c r="G53" s="656"/>
      <c r="I53" s="658"/>
      <c r="J53" s="1002"/>
      <c r="P53" s="659"/>
      <c r="Q53" s="657">
        <v>0</v>
      </c>
    </row>
    <row s="7213" customFormat="1" customHeight="1" ht="27">
      <c r="A54" s="910"/>
      <c r="B54" s="537"/>
      <c r="C54" s="654"/>
      <c r="D54" s="655"/>
      <c r="E54" s="515" t="s">
        <v>63</v>
      </c>
      <c r="F54" s="7958">
        <v>45747</v>
      </c>
      <c r="G54" s="656"/>
      <c r="I54" s="658"/>
      <c r="J54" s="1002"/>
      <c r="P54" s="659"/>
      <c r="Q54" s="657">
        <v>0</v>
      </c>
    </row>
    <row s="6053" customFormat="1" customHeight="1" ht="6">
      <c r="A55" s="909"/>
      <c r="B55" s="550"/>
      <c r="C55" s="551"/>
      <c r="D55" s="363"/>
      <c r="E55" s="361"/>
      <c r="F55" s="364"/>
      <c r="G55" s="201"/>
      <c r="H55" s="533"/>
      <c r="I55" s="535"/>
      <c r="J55" s="998"/>
      <c r="Q55" s="554">
        <v>0</v>
      </c>
    </row>
    <row s="7213" customFormat="1" customHeight="1" ht="25.5">
      <c r="A56" s="910"/>
      <c r="B56" s="537"/>
      <c r="C56" s="654"/>
      <c r="D56" s="655"/>
      <c r="E56" s="515" t="s">
        <v>64</v>
      </c>
      <c r="F56" s="1172" t="s">
        <v>62</v>
      </c>
      <c r="G56" s="656"/>
      <c r="I56" s="658"/>
      <c r="J56" s="1002"/>
      <c r="P56" s="659"/>
      <c r="Q56" s="657">
        <v>0</v>
      </c>
    </row>
    <row s="6053" customFormat="1" customHeight="1" ht="6">
      <c r="A57" s="909"/>
      <c r="B57" s="550"/>
      <c r="C57" s="551"/>
      <c r="D57" s="363"/>
      <c r="E57" s="361"/>
      <c r="F57" s="364"/>
      <c r="G57" s="201"/>
      <c r="H57" s="533"/>
      <c r="I57" s="535"/>
      <c r="J57" s="998"/>
      <c r="Q57" s="554">
        <v>0</v>
      </c>
    </row>
    <row s="7213" customFormat="1" customHeight="1" ht="15">
      <c r="A58" s="910"/>
      <c r="B58" s="537"/>
      <c r="C58" s="654"/>
      <c r="D58" s="655"/>
      <c r="E58" s="515" t="s">
        <v>65</v>
      </c>
      <c r="F58" s="1172" t="s">
        <v>62</v>
      </c>
      <c r="G58" s="656"/>
      <c r="I58" s="658"/>
      <c r="J58" s="1002"/>
      <c r="P58" s="659"/>
      <c r="Q58" s="657">
        <v>0</v>
      </c>
    </row>
    <row s="7213" customFormat="1" customHeight="1" ht="75">
      <c r="A59" s="910"/>
      <c r="B59" s="537"/>
      <c r="C59" s="654"/>
      <c r="D59" s="655"/>
      <c r="E59" s="51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313" t="s">
        <v>62</v>
      </c>
      <c r="G59" s="656"/>
      <c r="I59" s="658"/>
      <c r="J59" s="1002"/>
      <c r="P59" s="659"/>
      <c r="Q59" s="657">
        <v>0</v>
      </c>
    </row>
    <row s="7213" customFormat="1" customHeight="1" ht="15">
      <c r="A60" s="910"/>
      <c r="B60" s="537"/>
      <c r="C60" s="654"/>
      <c r="D60" s="655"/>
      <c r="E60" s="1289" t="s">
        <v>66</v>
      </c>
      <c r="F60" s="7681" t="s">
        <v>67</v>
      </c>
      <c r="G60" s="656"/>
      <c r="I60" s="658"/>
      <c r="J60" s="1002"/>
      <c r="P60" s="659"/>
      <c r="Q60" s="657">
        <v>0</v>
      </c>
    </row>
    <row s="6053" customFormat="1" customHeight="1" ht="6" hidden="1">
      <c r="A61" s="909"/>
      <c r="B61" s="550"/>
      <c r="C61" s="551"/>
      <c r="D61" s="552"/>
      <c r="E61" s="553"/>
      <c r="F61" s="1177"/>
      <c r="G61" s="197"/>
      <c r="H61" s="533"/>
      <c r="I61" s="535"/>
      <c r="J61" s="1000"/>
      <c r="Q61" s="554">
        <v>0</v>
      </c>
    </row>
    <row s="7213" customFormat="1" customHeight="1" ht="33.75" hidden="1">
      <c r="A62" s="909"/>
      <c r="B62" s="222"/>
      <c r="C62" s="532"/>
      <c r="D62" s="534"/>
      <c r="E62" s="1289" t="s">
        <v>68</v>
      </c>
      <c r="F62" s="1794"/>
      <c r="G62" s="197"/>
      <c r="H62" s="897" t="s">
        <v>23</v>
      </c>
      <c r="I62" s="535"/>
      <c r="J62" s="1000"/>
      <c r="Q62" s="533">
        <v>0</v>
      </c>
    </row>
    <row s="6053" customFormat="1" customHeight="1" ht="6.3">
      <c r="A63" s="909"/>
      <c r="B63" s="356"/>
      <c r="C63" s="357"/>
      <c r="D63" s="363"/>
      <c r="E63" s="361"/>
      <c r="F63" s="364"/>
      <c r="G63" s="201"/>
      <c r="H63" s="533"/>
      <c r="I63" s="535"/>
      <c r="J63" s="998"/>
      <c r="Q63" s="360">
        <v>6</v>
      </c>
    </row>
    <row customHeight="1" ht="21">
      <c r="A64" s="911"/>
      <c r="B64" s="223"/>
      <c r="D64" s="206"/>
      <c r="E64" s="515" t="s">
        <v>69</v>
      </c>
      <c r="F64" s="340" t="s">
        <v>70</v>
      </c>
      <c r="G64" s="201"/>
      <c r="Q64" s="198">
        <v>20</v>
      </c>
    </row>
    <row customHeight="1" ht="21">
      <c r="A65" s="911"/>
      <c r="B65" s="223"/>
      <c r="D65" s="206"/>
      <c r="E65" s="515" t="s">
        <v>71</v>
      </c>
      <c r="F65" s="340" t="s">
        <v>72</v>
      </c>
      <c r="G65" s="201"/>
      <c r="Q65" s="198">
        <v>20</v>
      </c>
    </row>
    <row customHeight="1" ht="36.75">
      <c r="D66" s="199"/>
      <c r="E66" s="517" t="s">
        <v>73</v>
      </c>
      <c r="F66" s="1178"/>
      <c r="G66" s="197"/>
      <c r="Q66" s="198">
        <v>35</v>
      </c>
    </row>
    <row customHeight="1" ht="21">
      <c r="A67" s="911"/>
      <c r="D67" s="534"/>
      <c r="E67" s="515" t="s">
        <v>74</v>
      </c>
      <c r="F67" s="395" t="s">
        <v>75</v>
      </c>
      <c r="G67" s="201"/>
      <c r="Q67" s="198">
        <v>20</v>
      </c>
    </row>
    <row customHeight="1" ht="21">
      <c r="A68" s="911"/>
      <c r="B68" s="223"/>
      <c r="D68" s="206"/>
      <c r="E68" s="515" t="s">
        <v>76</v>
      </c>
      <c r="F68" s="395" t="s">
        <v>77</v>
      </c>
      <c r="G68" s="201"/>
      <c r="Q68" s="198">
        <v>20</v>
      </c>
    </row>
    <row customHeight="1" ht="21">
      <c r="A69" s="911"/>
      <c r="B69" s="223"/>
      <c r="D69" s="206"/>
      <c r="E69" s="515" t="s">
        <v>78</v>
      </c>
      <c r="F69" s="395" t="s">
        <v>79</v>
      </c>
      <c r="G69" s="201"/>
      <c r="Q69" s="198">
        <v>20</v>
      </c>
    </row>
    <row customHeight="1" ht="21">
      <c r="D70" s="534"/>
      <c r="E70" s="515" t="s">
        <v>80</v>
      </c>
      <c r="F70" s="395" t="s">
        <v>81</v>
      </c>
      <c r="G70" s="197"/>
      <c r="Q70" s="198">
        <v>20</v>
      </c>
    </row>
    <row customHeight="1" ht="21">
      <c r="A71" s="911"/>
      <c r="D71" s="197"/>
      <c r="F71" s="257"/>
      <c r="G71" s="201"/>
      <c r="Q71" s="198">
        <v>20</v>
      </c>
    </row>
    <row customHeight="1" ht="21">
      <c r="A72" s="911"/>
      <c r="B72" s="223"/>
      <c r="D72" s="206"/>
      <c r="E72" s="205"/>
      <c r="F72" s="1157" t="s">
        <v>13</v>
      </c>
      <c r="G72" s="201"/>
      <c r="Q72" s="198">
        <v>20</v>
      </c>
    </row>
    <row customHeight="1" ht="21">
      <c r="A73" s="911"/>
      <c r="B73" s="223"/>
      <c r="D73" s="206"/>
      <c r="E73" s="205"/>
      <c r="F73" s="258"/>
      <c r="G73" s="201"/>
      <c r="Q73" s="198">
        <v>20</v>
      </c>
    </row>
    <row customHeight="1" ht="21">
      <c r="A74" s="911"/>
      <c r="B74" s="223"/>
      <c r="D74" s="206"/>
      <c r="E74" s="210"/>
      <c r="F74" s="258"/>
      <c r="G74" s="201"/>
      <c r="Q74" s="198">
        <v>20</v>
      </c>
    </row>
    <row customHeight="1" ht="21">
      <c r="A75" s="911"/>
      <c r="B75" s="223"/>
      <c r="D75" s="206"/>
      <c r="E75" s="205"/>
      <c r="F75" s="258"/>
      <c r="G75" s="201"/>
      <c r="Q75" s="198">
        <v>20</v>
      </c>
    </row>
    <row customHeight="1" ht="11.549999999999999">
      <c r="Q76" s="198">
        <v>11</v>
      </c>
    </row>
    <row customHeight="1" ht="11.549999999999999">
      <c r="Q77" s="198">
        <v>11</v>
      </c>
    </row>
    <row customHeight="1" ht="11.549999999999999">
      <c r="E78" s="514"/>
      <c r="F78" s="514"/>
      <c r="G78" s="514"/>
      <c r="H78" s="514"/>
      <c r="I78" s="514"/>
      <c r="Q78" s="198">
        <v>11</v>
      </c>
    </row>
    <row customHeight="1" ht="11.25" hidden="1">
      <c r="A79" s="908" t="s">
        <v>82</v>
      </c>
      <c r="B79" s="222">
        <v>0</v>
      </c>
      <c r="C79" s="196">
        <v>3</v>
      </c>
      <c r="D79" s="198">
        <v>1</v>
      </c>
      <c r="E79" s="198">
        <v>55</v>
      </c>
      <c r="F79" s="198">
        <v>54</v>
      </c>
      <c r="G79" s="895">
        <v>1</v>
      </c>
      <c r="H79" s="533">
        <v>0</v>
      </c>
      <c r="I79" s="535">
        <v>59</v>
      </c>
      <c r="J79" s="1000">
        <v>0</v>
      </c>
      <c r="K79" s="198">
        <v>8</v>
      </c>
      <c r="L79" s="198">
        <v>77</v>
      </c>
      <c r="M79" s="198">
        <v>8</v>
      </c>
      <c r="N79" s="198">
        <v>8</v>
      </c>
      <c r="O79" s="198">
        <v>8</v>
      </c>
      <c r="P79" s="198">
        <v>8</v>
      </c>
      <c r="Q79" s="19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2BF23C38-A218-AB9C-35E4-C6170A27C27E}"/>
    <hyperlink ref="H17" location="Титульный!H9" display="Как заполнить?" tooltip="Помощь по работе с полями отчётной формы" xr:uid="{F92E8BD8-12D8-0B3D-6517-7F9D328D23D8}"/>
    <hyperlink ref="H39" location="Титульный!H9" display="Как заполнить?" tooltip="Помощь по работе с полями отчётной формы" xr:uid="{7414E598-50A4-5A28-7D29-A46935774E0F}"/>
    <hyperlink ref="H62" location="Титульный!H9" display="Как заполнить?" tooltip="Помощь по работе с полями отчётной формы" xr:uid="{42B670D7-111B-9F18-51A4-0AFEE21655C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15748-5958-F348-1843-325717585DB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6374" width="3.00390625" customWidth="1"/>
    <col min="17" max="17" style="6440" width="3.00390625" customWidth="1"/>
    <col min="18" max="18" style="7183" width="3.00390625" customWidth="1"/>
    <col min="19" max="19" style="7888" width="12.00390625" customWidth="1"/>
    <col min="20" max="20" style="7213" width="31.00390625" customWidth="1"/>
    <col min="21" max="21" style="7213" width="0.140625" customWidth="1"/>
    <col min="22" max="23" style="7213" width="21.7109375" hidden="1" customWidth="1"/>
    <col min="24" max="24" style="7213" width="11.7109375" hidden="1" customWidth="1"/>
    <col min="25" max="25" style="7213" width="3.7109375" hidden="1" customWidth="1"/>
    <col min="26" max="26" style="7213" width="11.7109375" hidden="1" customWidth="1"/>
    <col min="27" max="27" style="7213" width="8.57421875" hidden="1" customWidth="1"/>
    <col min="28" max="28" style="7213" width="5.421875" customWidth="1"/>
    <col min="29" max="30" style="7213" width="3.00390625" customWidth="1"/>
    <col min="31" max="31" style="7213" width="24.00390625" customWidth="1"/>
    <col min="32" max="32" style="7213" width="3.7109375" customWidth="1"/>
    <col min="33" max="34" style="7213" width="3.00390625" customWidth="1"/>
    <col min="35" max="35" style="7213" width="24.00390625" customWidth="1"/>
    <col min="36" max="36" style="7213" width="3.7109375" customWidth="1"/>
    <col min="37" max="38" style="7213" width="3.00390625" customWidth="1"/>
    <col min="39" max="39" style="7213" width="18.00390625" customWidth="1"/>
    <col min="40" max="41" style="7213" width="21.00390625" customWidth="1"/>
    <col min="42" max="42" style="7213" width="11.00390625" customWidth="1"/>
    <col min="43" max="43" style="7213" width="3.7109375" customWidth="1"/>
    <col min="44" max="44" style="7213" width="11.00390625" customWidth="1"/>
    <col min="45" max="45" style="7213" width="8.57421875" hidden="1" customWidth="1"/>
    <col min="46" max="46" style="7213" width="4.00390625" customWidth="1"/>
    <col min="47" max="47" style="7213" width="115.00390625" customWidth="1"/>
    <col min="48" max="52" style="6698" width="10.00390625" customWidth="1"/>
    <col min="53" max="53" style="7213" width="10.57421875" hidden="1"/>
  </cols>
  <sheetData>
    <row customHeight="1" ht="22.5" hidden="1">
      <c r="W1" s="451"/>
      <c r="X1" s="451"/>
      <c r="AO1" s="451"/>
      <c r="AP1" s="451"/>
      <c r="BA1" s="1279" t="s">
        <v>14</v>
      </c>
    </row>
    <row customHeight="1" ht="21" hidden="1">
      <c r="A2" s="1487"/>
      <c r="B2" s="1487"/>
      <c r="C2" s="1487"/>
      <c r="D2" s="1487"/>
      <c r="E2" s="2395">
        <v>1</v>
      </c>
      <c r="F2" s="1487"/>
      <c r="G2" s="1487"/>
      <c r="H2" s="1487"/>
      <c r="I2" s="1487"/>
      <c r="J2" s="1487"/>
      <c r="K2" s="1487"/>
      <c r="L2" s="1488"/>
      <c r="M2" s="1489"/>
      <c r="N2" s="1489"/>
      <c r="O2" s="1489"/>
      <c r="P2" s="1533"/>
      <c r="Q2" s="997"/>
      <c r="R2" s="479"/>
      <c r="S2" s="1460">
        <f>INDEX(PT_DIFFERENTIATION_NUM_NTAR,MATCH(A2,PT_DIFFERENTIATION_NTAR_ID,0))</f>
      </c>
      <c r="T2" s="422" t="s">
        <v>243</v>
      </c>
      <c r="U2" s="424"/>
      <c r="V2" s="2380"/>
      <c r="W2" s="2380"/>
      <c r="X2" s="2380"/>
      <c r="Y2" s="2380"/>
      <c r="Z2" s="2380"/>
      <c r="AA2" s="2381"/>
      <c r="AB2" s="2379">
        <f>INDEX(PT_DIFFERENTIATION_NTAR,MATCH(A2,PT_DIFFERENTIATION_NTAR_ID,0))</f>
      </c>
      <c r="AC2" s="2380"/>
      <c r="AD2" s="2380"/>
      <c r="AE2" s="2380"/>
      <c r="AF2" s="2380"/>
      <c r="AG2" s="2380"/>
      <c r="AH2" s="2380"/>
      <c r="AI2" s="2380"/>
      <c r="AJ2" s="2380"/>
      <c r="AK2" s="2380"/>
      <c r="AL2" s="2380"/>
      <c r="AM2" s="2380"/>
      <c r="AN2" s="2380"/>
      <c r="AO2" s="2380"/>
      <c r="AP2" s="2380"/>
      <c r="AQ2" s="2380"/>
      <c r="AR2" s="2380"/>
      <c r="AS2" s="2380"/>
      <c r="AT2" s="2381"/>
      <c r="AU2" s="1382" t="s">
        <v>508</v>
      </c>
      <c r="AW2" s="624"/>
      <c r="AX2" s="624" t="str">
        <f>IF(T2="","",T2)</f>
        <v>Наименование тарифа</v>
      </c>
      <c r="AY2" s="624"/>
      <c r="AZ2" s="624"/>
      <c r="BA2" s="1279">
        <v>0</v>
      </c>
    </row>
    <row customHeight="1" ht="21" hidden="1">
      <c r="A3" s="1487"/>
      <c r="B3" s="1487"/>
      <c r="C3" s="1487"/>
      <c r="D3" s="1487"/>
      <c r="E3" s="2396"/>
      <c r="F3" s="2395">
        <v>1</v>
      </c>
      <c r="G3" s="1487"/>
      <c r="H3" s="1487"/>
      <c r="I3" s="1487"/>
      <c r="J3" s="1487"/>
      <c r="K3" s="1487"/>
      <c r="L3" s="1488"/>
      <c r="M3" s="1489"/>
      <c r="N3" s="1489"/>
      <c r="O3" s="1489"/>
      <c r="P3" s="1534"/>
      <c r="Q3" s="1535"/>
      <c r="R3" s="477"/>
      <c r="S3" s="1460">
        <f>INDEX(PT_DIFFERENTIATION_NUM_TER,MATCH(B3,PT_DIFFERENTIATION_TER_ID,0))</f>
      </c>
      <c r="T3" s="432" t="s">
        <v>509</v>
      </c>
      <c r="U3" s="424"/>
      <c r="V3" s="2380"/>
      <c r="W3" s="2380"/>
      <c r="X3" s="2380"/>
      <c r="Y3" s="2380"/>
      <c r="Z3" s="2380"/>
      <c r="AA3" s="2381"/>
      <c r="AB3" s="2379">
        <f>INDEX(PT_DIFFERENTIATION_TER,MATCH(B3,PT_DIFFERENTIATION_TER_ID,0))</f>
      </c>
      <c r="AC3" s="2380"/>
      <c r="AD3" s="2380"/>
      <c r="AE3" s="2380"/>
      <c r="AF3" s="2380"/>
      <c r="AG3" s="2380"/>
      <c r="AH3" s="2380"/>
      <c r="AI3" s="2380"/>
      <c r="AJ3" s="2380"/>
      <c r="AK3" s="2380"/>
      <c r="AL3" s="2380"/>
      <c r="AM3" s="2380"/>
      <c r="AN3" s="2380"/>
      <c r="AO3" s="2380"/>
      <c r="AP3" s="2380"/>
      <c r="AQ3" s="2380"/>
      <c r="AR3" s="2380"/>
      <c r="AS3" s="2380"/>
      <c r="AT3" s="2381"/>
      <c r="AU3" s="1382" t="s">
        <v>510</v>
      </c>
      <c r="AW3" s="624"/>
      <c r="AX3" s="624" t="str">
        <f>IF(T3="","",T3)</f>
        <v>Территория действия тарифа</v>
      </c>
      <c r="AY3" s="624"/>
      <c r="AZ3" s="624"/>
      <c r="BA3" s="1279">
        <v>0</v>
      </c>
    </row>
    <row customHeight="1" ht="22.5" hidden="1">
      <c r="A4" s="1487"/>
      <c r="B4" s="1487"/>
      <c r="C4" s="1487"/>
      <c r="D4" s="1487"/>
      <c r="E4" s="2396"/>
      <c r="F4" s="2396"/>
      <c r="G4" s="2395">
        <v>1</v>
      </c>
      <c r="H4" s="1487"/>
      <c r="I4" s="1487"/>
      <c r="J4" s="1487"/>
      <c r="K4" s="1487"/>
      <c r="L4" s="1488"/>
      <c r="M4" s="1489"/>
      <c r="N4" s="1489"/>
      <c r="O4" s="1489"/>
      <c r="P4" s="1536"/>
      <c r="Q4" s="1535"/>
      <c r="R4" s="477"/>
      <c r="S4" s="1460">
        <f>INDEX(PT_DIFFERENTIATION_NUM_CS,MATCH(C4,PT_DIFFERENTIATION_CS_ID,0))</f>
      </c>
      <c r="T4" s="433" t="s">
        <v>511</v>
      </c>
      <c r="U4" s="424"/>
      <c r="V4" s="2380"/>
      <c r="W4" s="2380"/>
      <c r="X4" s="2380"/>
      <c r="Y4" s="2380"/>
      <c r="Z4" s="2380"/>
      <c r="AA4" s="2381"/>
      <c r="AB4" s="2379">
        <f>INDEX(PT_DIFFERENTIATION_CS,MATCH(C4,PT_DIFFERENTIATION_CS_ID,0))</f>
      </c>
      <c r="AC4" s="2380"/>
      <c r="AD4" s="2380"/>
      <c r="AE4" s="2380"/>
      <c r="AF4" s="2380"/>
      <c r="AG4" s="2380"/>
      <c r="AH4" s="2380"/>
      <c r="AI4" s="2380"/>
      <c r="AJ4" s="2380"/>
      <c r="AK4" s="2380"/>
      <c r="AL4" s="2380"/>
      <c r="AM4" s="2380"/>
      <c r="AN4" s="2380"/>
      <c r="AO4" s="2380"/>
      <c r="AP4" s="2380"/>
      <c r="AQ4" s="2380"/>
      <c r="AR4" s="2380"/>
      <c r="AS4" s="2380"/>
      <c r="AT4" s="2381"/>
      <c r="AU4" s="1382" t="s">
        <v>512</v>
      </c>
      <c r="AW4" s="624"/>
      <c r="AX4" s="624" t="str">
        <f>IF(T4="","",T4)</f>
        <v>Наименование системы теплоснабжения </v>
      </c>
      <c r="AY4" s="624"/>
      <c r="AZ4" s="624"/>
      <c r="BA4" s="1279">
        <v>0</v>
      </c>
    </row>
    <row customHeight="1" ht="21" hidden="1">
      <c r="A5" s="1487"/>
      <c r="B5" s="1487"/>
      <c r="C5" s="1487"/>
      <c r="D5" s="1487"/>
      <c r="E5" s="2396"/>
      <c r="F5" s="2396"/>
      <c r="G5" s="2396"/>
      <c r="H5" s="2395">
        <v>1</v>
      </c>
      <c r="I5" s="1487"/>
      <c r="J5" s="1487"/>
      <c r="K5" s="1487"/>
      <c r="L5" s="1488"/>
      <c r="M5" s="1489"/>
      <c r="N5" s="1489"/>
      <c r="O5" s="1489"/>
      <c r="P5" s="1536"/>
      <c r="Q5" s="1535"/>
      <c r="R5" s="477"/>
      <c r="S5" s="1460">
        <f>INDEX(PT_DIFFERENTIATION_NUM_IST_TE,MATCH(D5,PT_DIFFERENTIATION_IST_TE_ID,0))</f>
      </c>
      <c r="T5" s="434" t="s">
        <v>513</v>
      </c>
      <c r="U5" s="424"/>
      <c r="V5" s="2380"/>
      <c r="W5" s="2380"/>
      <c r="X5" s="2380"/>
      <c r="Y5" s="2380"/>
      <c r="Z5" s="2380"/>
      <c r="AA5" s="2381"/>
      <c r="AB5" s="2379">
        <f>INDEX(PT_DIFFERENTIATION_IST_TE,MATCH(D5,PT_DIFFERENTIATION_IST_TE_ID,0))</f>
      </c>
      <c r="AC5" s="2380"/>
      <c r="AD5" s="2380"/>
      <c r="AE5" s="2380"/>
      <c r="AF5" s="2380"/>
      <c r="AG5" s="2380"/>
      <c r="AH5" s="2380"/>
      <c r="AI5" s="2380"/>
      <c r="AJ5" s="2380"/>
      <c r="AK5" s="2380"/>
      <c r="AL5" s="2380"/>
      <c r="AM5" s="2380"/>
      <c r="AN5" s="2380"/>
      <c r="AO5" s="2380"/>
      <c r="AP5" s="2380"/>
      <c r="AQ5" s="2380"/>
      <c r="AR5" s="2380"/>
      <c r="AS5" s="2380"/>
      <c r="AT5" s="2381"/>
      <c r="AU5" s="1382" t="s">
        <v>514</v>
      </c>
      <c r="AW5" s="624"/>
      <c r="AX5" s="624" t="str">
        <f>IF(T5="","",T5)</f>
        <v>Источник тепловой энергии  </v>
      </c>
      <c r="AY5" s="624"/>
      <c r="AZ5" s="624"/>
      <c r="BA5" s="1279">
        <v>0</v>
      </c>
    </row>
    <row s="6698" customFormat="1" customHeight="1" ht="0.75" hidden="1">
      <c r="A6" s="1467"/>
      <c r="B6" s="1467"/>
      <c r="C6" s="1467"/>
      <c r="D6" s="1467"/>
      <c r="E6" s="2396"/>
      <c r="F6" s="2396"/>
      <c r="G6" s="2396"/>
      <c r="H6" s="2396"/>
      <c r="I6" s="2393">
        <f>S5&amp;".1"</f>
      </c>
      <c r="J6" s="1467"/>
      <c r="K6" s="1467"/>
      <c r="L6" s="1470" t="s">
        <v>515</v>
      </c>
      <c r="M6" s="634"/>
      <c r="N6" s="634"/>
      <c r="O6" s="634"/>
      <c r="P6" s="2394">
        <v>1</v>
      </c>
      <c r="Q6" s="1455"/>
      <c r="R6" s="480"/>
      <c r="S6" s="1166"/>
      <c r="T6" s="1507"/>
      <c r="U6" s="1508"/>
      <c r="V6" s="2434"/>
      <c r="W6" s="2434"/>
      <c r="X6" s="2434"/>
      <c r="Y6" s="2434"/>
      <c r="Z6" s="2434"/>
      <c r="AA6" s="2435"/>
      <c r="AB6" s="2433"/>
      <c r="AC6" s="2434"/>
      <c r="AD6" s="2434"/>
      <c r="AE6" s="2434"/>
      <c r="AF6" s="2434"/>
      <c r="AG6" s="2434"/>
      <c r="AH6" s="2434"/>
      <c r="AI6" s="2434"/>
      <c r="AJ6" s="2434"/>
      <c r="AK6" s="2434"/>
      <c r="AL6" s="2434"/>
      <c r="AM6" s="2434"/>
      <c r="AN6" s="2434"/>
      <c r="AO6" s="2434"/>
      <c r="AP6" s="2434"/>
      <c r="AQ6" s="2434"/>
      <c r="AR6" s="2434"/>
      <c r="AS6" s="2434"/>
      <c r="AT6" s="2435"/>
      <c r="AU6" s="1509"/>
      <c r="AW6" s="624"/>
      <c r="AX6" s="624" t="str">
        <f>IF(T6="","",T6)</f>
        <v/>
      </c>
      <c r="AY6" s="624"/>
      <c r="AZ6" s="624"/>
      <c r="BA6" s="635">
        <v>0</v>
      </c>
    </row>
    <row s="6698" customFormat="1" customHeight="1" ht="0.75" hidden="1">
      <c r="A7" s="1467"/>
      <c r="B7" s="1467"/>
      <c r="C7" s="1467"/>
      <c r="D7" s="1467"/>
      <c r="E7" s="2396"/>
      <c r="F7" s="2396"/>
      <c r="G7" s="2396"/>
      <c r="H7" s="2396"/>
      <c r="I7" s="2423"/>
      <c r="J7" s="2393">
        <f>S5&amp;".1"</f>
      </c>
      <c r="K7" s="1467"/>
      <c r="L7" s="1470"/>
      <c r="M7" s="634"/>
      <c r="N7" s="634"/>
      <c r="O7" s="634"/>
      <c r="P7" s="2394"/>
      <c r="Q7" s="2394">
        <v>1</v>
      </c>
      <c r="R7" s="481"/>
      <c r="S7" s="1166"/>
      <c r="T7" s="1523"/>
      <c r="U7" s="1508"/>
      <c r="V7" s="2434"/>
      <c r="W7" s="2434"/>
      <c r="X7" s="2434"/>
      <c r="Y7" s="2434"/>
      <c r="Z7" s="2434"/>
      <c r="AA7" s="2435"/>
      <c r="AB7" s="2433"/>
      <c r="AC7" s="2434"/>
      <c r="AD7" s="2434"/>
      <c r="AE7" s="2434"/>
      <c r="AF7" s="2434"/>
      <c r="AG7" s="2434"/>
      <c r="AH7" s="2434"/>
      <c r="AI7" s="2434"/>
      <c r="AJ7" s="2434"/>
      <c r="AK7" s="2434"/>
      <c r="AL7" s="2434"/>
      <c r="AM7" s="2434"/>
      <c r="AN7" s="2434"/>
      <c r="AO7" s="2434"/>
      <c r="AP7" s="2434"/>
      <c r="AQ7" s="2434"/>
      <c r="AR7" s="2434"/>
      <c r="AS7" s="2434"/>
      <c r="AT7" s="2435"/>
      <c r="AU7" s="1509"/>
      <c r="AW7" s="624"/>
      <c r="AX7" s="624" t="str">
        <f>IF(T7="","",T7)</f>
        <v/>
      </c>
      <c r="AY7" s="624"/>
      <c r="AZ7" s="624"/>
      <c r="BA7" s="635">
        <v>0</v>
      </c>
    </row>
    <row customHeight="1" ht="21" hidden="1">
      <c r="A8" s="1487"/>
      <c r="B8" s="1487"/>
      <c r="C8" s="1487"/>
      <c r="D8" s="1487"/>
      <c r="E8" s="2396"/>
      <c r="F8" s="2396"/>
      <c r="G8" s="2396"/>
      <c r="H8" s="2396"/>
      <c r="I8" s="2423"/>
      <c r="J8" s="2423"/>
      <c r="K8" s="2393">
        <f>S5&amp;".1"</f>
      </c>
      <c r="L8" s="1488"/>
      <c r="P8" s="2394"/>
      <c r="Q8" s="2394"/>
      <c r="R8" s="2484">
        <v>1</v>
      </c>
      <c r="S8" s="2478">
        <f>$K8</f>
      </c>
      <c r="T8" s="2481"/>
      <c r="U8" s="424"/>
      <c r="V8" s="875"/>
      <c r="W8" s="1381"/>
      <c r="X8" s="2402"/>
      <c r="Y8" s="2244" t="s">
        <v>62</v>
      </c>
      <c r="Z8" s="2402"/>
      <c r="AA8" s="2244" t="s">
        <v>62</v>
      </c>
      <c r="AB8" s="2244" t="s">
        <v>19</v>
      </c>
      <c r="AC8" s="2463"/>
      <c r="AD8" s="2342">
        <v>1</v>
      </c>
      <c r="AE8" s="2464"/>
      <c r="AF8" s="2244" t="s">
        <v>19</v>
      </c>
      <c r="AG8" s="2463"/>
      <c r="AH8" s="2342">
        <v>1</v>
      </c>
      <c r="AI8" s="2464"/>
      <c r="AJ8" s="2244" t="s">
        <v>19</v>
      </c>
      <c r="AK8" s="435"/>
      <c r="AL8" s="1461">
        <v>1</v>
      </c>
      <c r="AM8" s="1522"/>
      <c r="AN8" s="875"/>
      <c r="AO8" s="1381"/>
      <c r="AP8" s="1857"/>
      <c r="AQ8" s="1583" t="s">
        <v>62</v>
      </c>
      <c r="AR8" s="1857"/>
      <c r="AS8" s="1583" t="s">
        <v>62</v>
      </c>
      <c r="AT8" s="1472"/>
      <c r="AU8" s="2390" t="s">
        <v>576</v>
      </c>
      <c r="AV8" s="635">
        <f>STRCHECKDATE(V11:AT11)</f>
      </c>
      <c r="AW8" s="624"/>
      <c r="AX8" s="624" t="str">
        <f>IF(T8="","",T8)</f>
        <v/>
      </c>
      <c r="AY8" s="624"/>
      <c r="AZ8" s="624"/>
      <c r="BA8" s="1279">
        <v>0</v>
      </c>
    </row>
    <row customHeight="1" ht="11.25" hidden="1">
      <c r="A9" s="1487"/>
      <c r="B9" s="1487"/>
      <c r="C9" s="1487"/>
      <c r="D9" s="1487"/>
      <c r="E9" s="2396"/>
      <c r="F9" s="2396"/>
      <c r="G9" s="2396"/>
      <c r="H9" s="2396"/>
      <c r="I9" s="2423"/>
      <c r="J9" s="2423"/>
      <c r="K9" s="2393"/>
      <c r="L9" s="1488"/>
      <c r="P9" s="2394"/>
      <c r="Q9" s="2394"/>
      <c r="R9" s="2484"/>
      <c r="S9" s="2479"/>
      <c r="T9" s="2482"/>
      <c r="U9" s="424"/>
      <c r="V9" s="1517"/>
      <c r="W9" s="1521"/>
      <c r="X9" s="2402"/>
      <c r="Y9" s="2244"/>
      <c r="Z9" s="2402"/>
      <c r="AA9" s="2244"/>
      <c r="AB9" s="2244"/>
      <c r="AC9" s="2463"/>
      <c r="AD9" s="2342"/>
      <c r="AE9" s="2464"/>
      <c r="AF9" s="2244"/>
      <c r="AG9" s="2463"/>
      <c r="AH9" s="2342"/>
      <c r="AI9" s="2464"/>
      <c r="AJ9" s="2244"/>
      <c r="AK9" s="440"/>
      <c r="AL9" s="540"/>
      <c r="AM9" s="539" t="s">
        <v>577</v>
      </c>
      <c r="AN9" s="1517"/>
      <c r="AO9" s="1620"/>
      <c r="AP9" s="1517"/>
      <c r="AQ9" s="1517"/>
      <c r="AR9" s="1517"/>
      <c r="AS9" s="1517"/>
      <c r="AT9" s="1514"/>
      <c r="AU9" s="2391"/>
      <c r="AW9" s="624"/>
      <c r="AX9" s="624"/>
      <c r="AY9" s="624"/>
      <c r="AZ9" s="624"/>
      <c r="BA9" s="1279">
        <v>0</v>
      </c>
    </row>
    <row customHeight="1" ht="11.25" hidden="1">
      <c r="A10" s="1487"/>
      <c r="B10" s="1487"/>
      <c r="C10" s="1487"/>
      <c r="D10" s="1487"/>
      <c r="E10" s="2396"/>
      <c r="F10" s="2396"/>
      <c r="G10" s="2396"/>
      <c r="H10" s="2396"/>
      <c r="I10" s="2423"/>
      <c r="J10" s="2423"/>
      <c r="K10" s="2393"/>
      <c r="L10" s="1488"/>
      <c r="P10" s="2394"/>
      <c r="Q10" s="2394"/>
      <c r="R10" s="2484"/>
      <c r="S10" s="2479"/>
      <c r="T10" s="2482"/>
      <c r="U10" s="424"/>
      <c r="V10" s="1517"/>
      <c r="W10" s="1521"/>
      <c r="X10" s="2402"/>
      <c r="Y10" s="2244"/>
      <c r="Z10" s="2402"/>
      <c r="AA10" s="2244"/>
      <c r="AB10" s="2244"/>
      <c r="AC10" s="2463"/>
      <c r="AD10" s="2342"/>
      <c r="AE10" s="2464"/>
      <c r="AF10" s="2244"/>
      <c r="AG10" s="418"/>
      <c r="AH10" s="539"/>
      <c r="AI10" s="539" t="s">
        <v>578</v>
      </c>
      <c r="AJ10" s="1517"/>
      <c r="AK10" s="1517"/>
      <c r="AL10" s="1517"/>
      <c r="AM10" s="1517"/>
      <c r="AN10" s="1517"/>
      <c r="AO10" s="1620"/>
      <c r="AP10" s="1517"/>
      <c r="AQ10" s="1517"/>
      <c r="AR10" s="1517"/>
      <c r="AS10" s="1517"/>
      <c r="AT10" s="1514"/>
      <c r="AU10" s="2391"/>
      <c r="AW10" s="624"/>
      <c r="AX10" s="624"/>
      <c r="AY10" s="624"/>
      <c r="AZ10" s="624"/>
      <c r="BA10" s="1279">
        <v>0</v>
      </c>
    </row>
    <row customHeight="1" ht="11.25" hidden="1">
      <c r="A11" s="1487"/>
      <c r="B11" s="1487"/>
      <c r="C11" s="1487"/>
      <c r="D11" s="1487"/>
      <c r="E11" s="2396"/>
      <c r="F11" s="2396"/>
      <c r="G11" s="2396"/>
      <c r="H11" s="2396"/>
      <c r="I11" s="2423"/>
      <c r="J11" s="2423"/>
      <c r="K11" s="2393"/>
      <c r="L11" s="1488"/>
      <c r="P11" s="2394"/>
      <c r="Q11" s="2394"/>
      <c r="R11" s="2484"/>
      <c r="S11" s="2480"/>
      <c r="T11" s="2483"/>
      <c r="U11" s="424"/>
      <c r="V11" s="1517"/>
      <c r="W11" s="1520" t="str">
        <f>X8&amp;"-"&amp;Z8</f>
        <v>-</v>
      </c>
      <c r="X11" s="2403"/>
      <c r="Y11" s="2244"/>
      <c r="Z11" s="2403"/>
      <c r="AA11" s="2244"/>
      <c r="AB11" s="2244"/>
      <c r="AC11" s="436"/>
      <c r="AD11" s="438"/>
      <c r="AE11" s="539" t="s">
        <v>579</v>
      </c>
      <c r="AF11" s="1517"/>
      <c r="AG11" s="1517"/>
      <c r="AH11" s="1517"/>
      <c r="AI11" s="1517"/>
      <c r="AJ11" s="1517"/>
      <c r="AK11" s="1517"/>
      <c r="AL11" s="1517"/>
      <c r="AM11" s="1517"/>
      <c r="AN11" s="1517"/>
      <c r="AO11" s="1518" t="str">
        <f>AP8&amp;"-"&amp;AR8</f>
        <v>-</v>
      </c>
      <c r="AP11" s="1517"/>
      <c r="AQ11" s="1517"/>
      <c r="AR11" s="1517"/>
      <c r="AS11" s="1517"/>
      <c r="AT11" s="1473"/>
      <c r="AU11" s="2391"/>
      <c r="AW11" s="624"/>
      <c r="AX11" s="624" t="str">
        <f>IF(T11="","",T11)</f>
        <v/>
      </c>
      <c r="AY11" s="624"/>
      <c r="AZ11" s="624"/>
      <c r="BA11" s="1279">
        <v>0</v>
      </c>
    </row>
    <row customHeight="1" ht="11.25" hidden="1">
      <c r="A12" s="1487"/>
      <c r="B12" s="1487"/>
      <c r="C12" s="1487"/>
      <c r="D12" s="1487"/>
      <c r="E12" s="2396"/>
      <c r="F12" s="2396"/>
      <c r="G12" s="2396"/>
      <c r="H12" s="2396"/>
      <c r="I12" s="2423"/>
      <c r="J12" s="2393"/>
      <c r="K12" s="1487"/>
      <c r="L12" s="1488"/>
      <c r="P12" s="2394"/>
      <c r="Q12" s="2394"/>
      <c r="R12" s="480"/>
      <c r="S12" s="1402"/>
      <c r="T12" s="411" t="s">
        <v>580</v>
      </c>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48"/>
      <c r="AU12" s="2392"/>
      <c r="AW12" s="624"/>
      <c r="AX12" s="624" t="str">
        <f>IF(T12="","",T12)</f>
        <v>Добавить строку</v>
      </c>
      <c r="AY12" s="624"/>
      <c r="AZ12" s="624"/>
      <c r="BA12" s="1279">
        <v>0</v>
      </c>
    </row>
    <row s="6698" customFormat="1" customHeight="1" ht="0.75" hidden="1">
      <c r="A13" s="1467"/>
      <c r="B13" s="1467"/>
      <c r="C13" s="1467"/>
      <c r="D13" s="1467"/>
      <c r="E13" s="2396"/>
      <c r="F13" s="2396"/>
      <c r="G13" s="2396"/>
      <c r="H13" s="2396"/>
      <c r="I13" s="2393"/>
      <c r="J13" s="1467"/>
      <c r="K13" s="1467"/>
      <c r="L13" s="1470"/>
      <c r="M13" s="634"/>
      <c r="N13" s="634"/>
      <c r="O13" s="634"/>
      <c r="P13" s="2394"/>
      <c r="Q13" s="1455"/>
      <c r="R13" s="480"/>
      <c r="S13" s="1510"/>
      <c r="T13" s="1511"/>
      <c r="U13" s="1512"/>
      <c r="V13" s="1512"/>
      <c r="W13" s="1512"/>
      <c r="X13" s="1512"/>
      <c r="Y13" s="1512"/>
      <c r="Z13" s="1512"/>
      <c r="AA13" s="1512"/>
      <c r="AB13" s="1512"/>
      <c r="AC13" s="1512"/>
      <c r="AD13" s="1512"/>
      <c r="AE13" s="1512"/>
      <c r="AF13" s="1512"/>
      <c r="AG13" s="1512"/>
      <c r="AH13" s="1512"/>
      <c r="AI13" s="1512"/>
      <c r="AJ13" s="1512"/>
      <c r="AK13" s="1512"/>
      <c r="AL13" s="1512"/>
      <c r="AM13" s="1512"/>
      <c r="AN13" s="1512"/>
      <c r="AO13" s="1512"/>
      <c r="AP13" s="1512"/>
      <c r="AQ13" s="1512"/>
      <c r="AR13" s="1512"/>
      <c r="AS13" s="1512"/>
      <c r="AT13" s="1512"/>
      <c r="AU13" s="1513"/>
      <c r="AW13" s="624"/>
      <c r="AX13" s="624" t="str">
        <f>IF(T13="","",T13)</f>
        <v/>
      </c>
      <c r="AY13" s="624"/>
      <c r="AZ13" s="624"/>
      <c r="BA13" s="635">
        <v>0</v>
      </c>
    </row>
    <row s="6698" customFormat="1" customHeight="1" ht="0.75" hidden="1">
      <c r="A14" s="1467"/>
      <c r="B14" s="1467"/>
      <c r="C14" s="1467"/>
      <c r="D14" s="1467"/>
      <c r="E14" s="2396"/>
      <c r="F14" s="2396"/>
      <c r="G14" s="2396"/>
      <c r="H14" s="2395"/>
      <c r="I14" s="1467"/>
      <c r="J14" s="1467"/>
      <c r="K14" s="1467"/>
      <c r="L14" s="1470"/>
      <c r="M14" s="1439"/>
      <c r="N14" s="1439"/>
      <c r="O14" s="642"/>
      <c r="P14" s="504"/>
      <c r="Q14" s="1468"/>
      <c r="R14" s="1525"/>
      <c r="S14" s="1510"/>
      <c r="T14" s="1511"/>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3"/>
      <c r="AW14" s="624"/>
      <c r="AX14" s="624" t="str">
        <f>IF(T14="","",T14)</f>
        <v/>
      </c>
      <c r="AY14" s="624"/>
      <c r="AZ14" s="624"/>
      <c r="BA14" s="635">
        <v>0</v>
      </c>
    </row>
    <row s="6698" customFormat="1" customHeight="1" ht="0.75" hidden="1">
      <c r="A15" s="1467"/>
      <c r="B15" s="1467"/>
      <c r="C15" s="1467"/>
      <c r="D15" s="1438"/>
      <c r="E15" s="2396"/>
      <c r="F15" s="2396"/>
      <c r="G15" s="2395"/>
      <c r="H15" s="1438"/>
      <c r="I15" s="1438"/>
      <c r="J15" s="1438"/>
      <c r="K15" s="1438"/>
      <c r="L15" s="1463"/>
      <c r="M15" s="1439"/>
      <c r="N15" s="1439"/>
      <c r="P15" s="1440"/>
      <c r="Q15" s="1441"/>
      <c r="R15" s="1440"/>
      <c r="S15" s="1446"/>
      <c r="T15" s="1449" t="s">
        <v>526</v>
      </c>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c r="AT15" s="1448"/>
      <c r="AU15" s="1448"/>
      <c r="AW15" s="913"/>
      <c r="AX15" s="913" t="str">
        <f>IF(T15="","",T15)</f>
        <v>Добавить источник для дифференциации</v>
      </c>
      <c r="AY15" s="913"/>
      <c r="AZ15" s="913"/>
      <c r="BA15" s="642">
        <v>0</v>
      </c>
    </row>
    <row s="6698" customFormat="1" customHeight="1" ht="0.75" hidden="1">
      <c r="A16" s="1467"/>
      <c r="B16" s="1467"/>
      <c r="C16" s="1438"/>
      <c r="D16" s="1438"/>
      <c r="E16" s="2396"/>
      <c r="F16" s="2395"/>
      <c r="G16" s="1438"/>
      <c r="H16" s="1438"/>
      <c r="I16" s="1438"/>
      <c r="J16" s="1438"/>
      <c r="K16" s="1438"/>
      <c r="L16" s="1463"/>
      <c r="M16" s="1445"/>
      <c r="N16" s="1445"/>
      <c r="P16" s="1440"/>
      <c r="Q16" s="1441"/>
      <c r="R16" s="1440"/>
      <c r="S16" s="1446"/>
      <c r="T16" s="1449" t="s">
        <v>527</v>
      </c>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c r="AT16" s="1448"/>
      <c r="AU16" s="1448"/>
      <c r="AW16" s="913"/>
      <c r="AX16" s="913" t="str">
        <f>IF(T16="","",T16)</f>
        <v>Добавить централизованную систему для дифференциации</v>
      </c>
      <c r="AY16" s="913"/>
      <c r="AZ16" s="913"/>
      <c r="BA16" s="642">
        <v>0</v>
      </c>
    </row>
    <row s="6698" customFormat="1" customHeight="1" ht="0.75" hidden="1">
      <c r="A17" s="1467"/>
      <c r="B17" s="1467"/>
      <c r="C17" s="1467"/>
      <c r="D17" s="1467"/>
      <c r="E17" s="2395"/>
      <c r="F17" s="1467"/>
      <c r="G17" s="1467"/>
      <c r="H17" s="1467"/>
      <c r="I17" s="1467"/>
      <c r="J17" s="1467"/>
      <c r="K17" s="1467"/>
      <c r="L17" s="1470"/>
      <c r="M17" s="1445"/>
      <c r="N17" s="1445"/>
      <c r="O17" s="642"/>
      <c r="P17" s="504"/>
      <c r="Q17" s="1468"/>
      <c r="R17" s="504"/>
      <c r="S17" s="1446"/>
      <c r="T17" s="1449" t="s">
        <v>528</v>
      </c>
      <c r="U17" s="1448"/>
      <c r="V17" s="1448"/>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R17" s="1448"/>
      <c r="AS17" s="1448"/>
      <c r="AT17" s="1448"/>
      <c r="AU17" s="1448"/>
      <c r="AW17" s="624"/>
      <c r="AX17" s="624" t="str">
        <f>IF(T17="","",T17)</f>
        <v>Добавить территорию для дифференциации</v>
      </c>
      <c r="AY17" s="624"/>
      <c r="AZ17" s="624"/>
      <c r="BA17" s="635">
        <v>0</v>
      </c>
    </row>
    <row customHeight="1" ht="14.25" hidden="1">
      <c r="AA18" s="451"/>
      <c r="AS18" s="451"/>
      <c r="BA18" s="1279">
        <v>0</v>
      </c>
    </row>
    <row customHeight="1" ht="14.25" hidden="1">
      <c r="AB19" s="1448" t="s">
        <v>19</v>
      </c>
      <c r="AC19" s="1625"/>
      <c r="AD19" s="672">
        <v>1</v>
      </c>
      <c r="AE19" s="1626"/>
      <c r="AF19" s="1448" t="s">
        <v>19</v>
      </c>
      <c r="AG19" s="1625"/>
      <c r="AH19" s="672">
        <v>1</v>
      </c>
      <c r="AI19" s="1626"/>
      <c r="AJ19" s="1448" t="s">
        <v>19</v>
      </c>
      <c r="AK19" s="1627"/>
      <c r="AL19" s="672">
        <v>1</v>
      </c>
      <c r="AM19" s="1630"/>
      <c r="AN19" s="1527"/>
      <c r="AO19" s="1528"/>
      <c r="AP19" s="1859"/>
      <c r="AQ19" s="1584" t="s">
        <v>62</v>
      </c>
      <c r="AR19" s="1859"/>
      <c r="AS19" s="1584" t="s">
        <v>62</v>
      </c>
      <c r="BA19" s="1279">
        <v>0</v>
      </c>
    </row>
    <row customHeight="1" ht="14.25" hidden="1">
      <c r="AV20" s="620"/>
      <c r="AW20" s="620"/>
      <c r="AX20" s="620"/>
      <c r="AY20" s="620"/>
      <c r="AZ20" s="620"/>
      <c r="BA20" s="1279">
        <v>0</v>
      </c>
    </row>
    <row customHeight="1" ht="14.25" hidden="1">
      <c r="O21" s="1491" t="s">
        <v>529</v>
      </c>
      <c r="X21" s="1469"/>
      <c r="Z21" s="1469"/>
      <c r="AA21" s="451"/>
      <c r="AP21" s="1469"/>
      <c r="AR21" s="1469"/>
      <c r="AS21" s="451"/>
      <c r="AV21" s="620"/>
      <c r="AW21" s="620"/>
      <c r="AX21" s="620"/>
      <c r="AY21" s="620"/>
      <c r="AZ21" s="620"/>
      <c r="BA21" s="1279">
        <v>0</v>
      </c>
    </row>
    <row customHeight="1" ht="14.25" hidden="1">
      <c r="AA22" s="451"/>
      <c r="AS22" s="451"/>
      <c r="AV22" s="620"/>
      <c r="AW22" s="620"/>
      <c r="AX22" s="620"/>
      <c r="AY22" s="620"/>
      <c r="AZ22" s="620"/>
      <c r="BA22" s="1279">
        <v>0</v>
      </c>
    </row>
    <row s="6415" customFormat="1" customHeight="1" ht="14.25" hidden="1">
      <c r="M23" s="1632"/>
      <c r="N23" s="1632"/>
      <c r="O23" s="1633" t="s">
        <v>530</v>
      </c>
      <c r="P23" s="1632"/>
      <c r="Q23" s="1634"/>
      <c r="R23" s="1634"/>
      <c r="Y23" s="1631" t="s">
        <v>532</v>
      </c>
      <c r="AA23" s="1631" t="s">
        <v>533</v>
      </c>
      <c r="AB23" s="1631" t="s">
        <v>581</v>
      </c>
      <c r="AE23" s="1631" t="s">
        <v>582</v>
      </c>
      <c r="AF23" s="1631" t="s">
        <v>581</v>
      </c>
      <c r="AI23" s="1631" t="s">
        <v>583</v>
      </c>
      <c r="AJ23" s="1631" t="s">
        <v>581</v>
      </c>
      <c r="AM23" s="1631" t="s">
        <v>584</v>
      </c>
      <c r="AQ23" s="1631" t="s">
        <v>532</v>
      </c>
      <c r="AS23" s="1631" t="s">
        <v>533</v>
      </c>
      <c r="AV23" s="1635"/>
      <c r="AW23" s="1635"/>
      <c r="AX23" s="1635"/>
      <c r="AY23" s="1635"/>
      <c r="AZ23" s="1635"/>
      <c r="BA23" s="1631">
        <v>0</v>
      </c>
    </row>
    <row customHeight="1" ht="14.25" hidden="1">
      <c r="O24" s="1488"/>
      <c r="AV24" s="620"/>
      <c r="AW24" s="620"/>
      <c r="AX24" s="620"/>
      <c r="AY24" s="620"/>
      <c r="AZ24" s="620"/>
      <c r="BA24" s="1279">
        <v>0</v>
      </c>
    </row>
    <row customHeight="1" ht="14.25" hidden="1">
      <c r="O25" s="1488"/>
      <c r="AV25" s="620"/>
      <c r="AW25" s="620"/>
      <c r="AX25" s="620"/>
      <c r="AY25" s="620"/>
      <c r="AZ25" s="620"/>
      <c r="BA25" s="1279">
        <v>0</v>
      </c>
    </row>
    <row customHeight="1" ht="14.699999999999998">
      <c r="Q26" s="415"/>
      <c r="R26" s="500"/>
      <c r="S26" s="1399"/>
      <c r="T26" s="487"/>
      <c r="U26" s="487"/>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BA26" s="1279">
        <v>14</v>
      </c>
    </row>
    <row customHeight="1" ht="27.299999999999997">
      <c r="Q27" s="415"/>
      <c r="R27" s="500"/>
      <c r="S27" s="238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1367"/>
      <c r="BA27" s="1279">
        <v>26</v>
      </c>
    </row>
    <row customHeight="1" ht="14.699999999999998">
      <c r="Q28" s="415"/>
      <c r="R28" s="500"/>
      <c r="S28" s="2386" t="str">
        <f>IF(org=0,"Не определено",org)</f>
        <v>ООО "СамРЭК-Эксплуатация"</v>
      </c>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1367"/>
      <c r="BA28" s="1279">
        <v>14</v>
      </c>
    </row>
    <row customHeight="1" ht="14.25" hidden="1">
      <c r="Q29" s="415"/>
      <c r="R29" s="500"/>
      <c r="S29" s="1399"/>
      <c r="T29" s="487"/>
      <c r="U29" s="487"/>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633"/>
      <c r="BA29" s="1279">
        <v>0</v>
      </c>
    </row>
    <row s="7787" customFormat="1" customHeight="1" ht="25.5" hidden="1">
      <c r="A30" s="1492"/>
      <c r="B30" s="1492"/>
      <c r="C30" s="1492"/>
      <c r="D30" s="1492"/>
      <c r="E30" s="1492"/>
      <c r="F30" s="1492"/>
      <c r="G30" s="1492"/>
      <c r="H30" s="1492"/>
      <c r="I30" s="1492"/>
      <c r="J30" s="1492"/>
      <c r="K30" s="1492"/>
      <c r="L30" s="1493"/>
      <c r="M30" s="1492"/>
      <c r="N30" s="1492"/>
      <c r="O30" s="1492"/>
      <c r="P30" s="1492"/>
      <c r="Q30" s="1492"/>
      <c r="S30" s="2387" t="s">
        <v>41</v>
      </c>
      <c r="T30" s="2387"/>
      <c r="U30" s="1496"/>
      <c r="V30" s="2388" t="str">
        <f>IF(TITLE_NAME_OR_PR_CHANGE="",IF(TITLE_NAME_OR_PR="","",TITLE_NAME_OR_PR),TITLE_NAME_OR_PR_CHANGE)</f>
        <v/>
      </c>
      <c r="W30" s="2388"/>
      <c r="X30" s="2388"/>
      <c r="Y30" s="2388"/>
      <c r="Z30" s="2388"/>
      <c r="AA30" s="450"/>
      <c r="AB30" s="2388" t="str">
        <f>IF(TITLE_NAME_OR_PR_CHANGE="",IF(TITLE_NAME_OR_PR="","",TITLE_NAME_OR_PR),TITLE_NAME_OR_PR_CHANGE)</f>
        <v/>
      </c>
      <c r="AC30" s="2388"/>
      <c r="AD30" s="2388"/>
      <c r="AE30" s="2388"/>
      <c r="AF30" s="2388"/>
      <c r="AG30" s="2388"/>
      <c r="AH30" s="2388"/>
      <c r="AI30" s="2388"/>
      <c r="AJ30" s="2388"/>
      <c r="AK30" s="2388"/>
      <c r="AL30" s="2388"/>
      <c r="AM30" s="2388"/>
      <c r="AN30" s="2388"/>
      <c r="AO30" s="2388"/>
      <c r="AP30" s="2388"/>
      <c r="AQ30" s="2388"/>
      <c r="AR30" s="2388"/>
      <c r="AS30" s="450"/>
      <c r="AT30" s="450"/>
      <c r="AU30" s="404"/>
      <c r="AV30" s="492"/>
      <c r="AW30" s="492"/>
      <c r="AX30" s="492"/>
      <c r="AY30" s="492"/>
      <c r="AZ30" s="492"/>
      <c r="BA30" s="542">
        <v>0</v>
      </c>
    </row>
    <row s="7787" customFormat="1" customHeight="1" ht="18.75" hidden="1">
      <c r="A31" s="1492"/>
      <c r="B31" s="1492"/>
      <c r="C31" s="1492"/>
      <c r="D31" s="1492"/>
      <c r="E31" s="1492"/>
      <c r="F31" s="1492"/>
      <c r="G31" s="1492"/>
      <c r="H31" s="1492"/>
      <c r="I31" s="1492"/>
      <c r="J31" s="1492"/>
      <c r="K31" s="1492"/>
      <c r="L31" s="1493"/>
      <c r="M31" s="1492"/>
      <c r="N31" s="1492"/>
      <c r="O31" s="1492"/>
      <c r="P31" s="1492"/>
      <c r="Q31" s="1492"/>
      <c r="S31" s="2387" t="s">
        <v>535</v>
      </c>
      <c r="T31" s="2387"/>
      <c r="U31" s="1496"/>
      <c r="V31" s="2401" t="str">
        <f>IF(TITLE_DATE_PR_CHANGE="",IF(TITLE_DATE_PR="","",TITLE_DATE_PR),TITLE_DATE_PR_CHANGE)</f>
        <v/>
      </c>
      <c r="W31" s="2401"/>
      <c r="X31" s="2401"/>
      <c r="Y31" s="2401"/>
      <c r="Z31" s="2401"/>
      <c r="AA31" s="450"/>
      <c r="AB31" s="2401" t="str">
        <f>IF(TITLE_DATE_PR_CHANGE="",IF(TITLE_DATE_PR="","",TITLE_DATE_PR),TITLE_DATE_PR_CHANGE)</f>
        <v/>
      </c>
      <c r="AC31" s="2401"/>
      <c r="AD31" s="2401"/>
      <c r="AE31" s="2401"/>
      <c r="AF31" s="2401"/>
      <c r="AG31" s="2401"/>
      <c r="AH31" s="2401"/>
      <c r="AI31" s="2401"/>
      <c r="AJ31" s="2401"/>
      <c r="AK31" s="2401"/>
      <c r="AL31" s="2401"/>
      <c r="AM31" s="2401"/>
      <c r="AN31" s="2401"/>
      <c r="AO31" s="2401"/>
      <c r="AP31" s="2401"/>
      <c r="AQ31" s="2401"/>
      <c r="AR31" s="2401"/>
      <c r="AS31" s="450"/>
      <c r="AT31" s="450"/>
      <c r="AU31" s="404"/>
      <c r="AV31" s="492"/>
      <c r="AW31" s="492"/>
      <c r="AX31" s="492"/>
      <c r="AY31" s="492"/>
      <c r="AZ31" s="492"/>
      <c r="BA31" s="542">
        <v>0</v>
      </c>
    </row>
    <row s="7787" customFormat="1" customHeight="1" ht="18.75" hidden="1">
      <c r="A32" s="1492"/>
      <c r="B32" s="1492"/>
      <c r="C32" s="1492"/>
      <c r="D32" s="1492"/>
      <c r="E32" s="1492"/>
      <c r="F32" s="1492"/>
      <c r="G32" s="1492"/>
      <c r="H32" s="1492"/>
      <c r="I32" s="1492"/>
      <c r="J32" s="1492"/>
      <c r="K32" s="1492"/>
      <c r="L32" s="1493"/>
      <c r="M32" s="1492"/>
      <c r="N32" s="1492"/>
      <c r="O32" s="1492"/>
      <c r="P32" s="1492"/>
      <c r="Q32" s="1492"/>
      <c r="S32" s="2387" t="s">
        <v>536</v>
      </c>
      <c r="T32" s="2387"/>
      <c r="U32" s="1496"/>
      <c r="V32" s="2388" t="str">
        <f>IF(TITLE_NUMBER_PR_CHANGE="",IF(TITLE_NUMBER_PR="","",TITLE_NUMBER_PR),TITLE_NUMBER_PR_CHANGE)</f>
        <v/>
      </c>
      <c r="W32" s="2388"/>
      <c r="X32" s="2388"/>
      <c r="Y32" s="2388"/>
      <c r="Z32" s="2388"/>
      <c r="AA32" s="450"/>
      <c r="AB32" s="2388" t="str">
        <f>IF(TITLE_NUMBER_PR_CHANGE="",IF(TITLE_NUMBER_PR="","",TITLE_NUMBER_PR),TITLE_NUMBER_PR_CHANGE)</f>
        <v/>
      </c>
      <c r="AC32" s="2388"/>
      <c r="AD32" s="2388"/>
      <c r="AE32" s="2388"/>
      <c r="AF32" s="2388"/>
      <c r="AG32" s="2388"/>
      <c r="AH32" s="2388"/>
      <c r="AI32" s="2388"/>
      <c r="AJ32" s="2388"/>
      <c r="AK32" s="2388"/>
      <c r="AL32" s="2388"/>
      <c r="AM32" s="2388"/>
      <c r="AN32" s="2388"/>
      <c r="AO32" s="2388"/>
      <c r="AP32" s="2388"/>
      <c r="AQ32" s="2388"/>
      <c r="AR32" s="2388"/>
      <c r="AS32" s="450"/>
      <c r="AT32" s="450"/>
      <c r="AU32" s="404"/>
      <c r="AV32" s="492"/>
      <c r="AW32" s="492"/>
      <c r="AX32" s="492"/>
      <c r="AY32" s="492"/>
      <c r="AZ32" s="492"/>
      <c r="BA32" s="542">
        <v>0</v>
      </c>
    </row>
    <row s="7787" customFormat="1" customHeight="1" ht="18.75" hidden="1">
      <c r="A33" s="1492"/>
      <c r="B33" s="1492"/>
      <c r="C33" s="1492"/>
      <c r="D33" s="1492"/>
      <c r="E33" s="1492"/>
      <c r="F33" s="1492"/>
      <c r="G33" s="1492"/>
      <c r="H33" s="1492"/>
      <c r="I33" s="1492"/>
      <c r="J33" s="1492"/>
      <c r="K33" s="1492"/>
      <c r="L33" s="1493"/>
      <c r="M33" s="1492"/>
      <c r="N33" s="1492"/>
      <c r="O33" s="1492"/>
      <c r="P33" s="1492"/>
      <c r="Q33" s="1492"/>
      <c r="S33" s="2387" t="s">
        <v>42</v>
      </c>
      <c r="T33" s="2387"/>
      <c r="U33" s="1496"/>
      <c r="V33" s="2388" t="str">
        <f>IF(TITLE_IST_PUB_CHANGE="",IF(TITLE_IST_PUB="","",TITLE_IST_PUB),TITLE_IST_PUB_CHANGE)</f>
        <v/>
      </c>
      <c r="W33" s="2388"/>
      <c r="X33" s="2388"/>
      <c r="Y33" s="2388"/>
      <c r="Z33" s="2388"/>
      <c r="AA33" s="450"/>
      <c r="AB33" s="2388" t="str">
        <f>IF(TITLE_IST_PUB_CHANGE="",IF(TITLE_IST_PUB="","",TITLE_IST_PUB),TITLE_IST_PUB_CHANGE)</f>
        <v/>
      </c>
      <c r="AC33" s="2388"/>
      <c r="AD33" s="2388"/>
      <c r="AE33" s="2388"/>
      <c r="AF33" s="2388"/>
      <c r="AG33" s="2388"/>
      <c r="AH33" s="2388"/>
      <c r="AI33" s="2388"/>
      <c r="AJ33" s="2388"/>
      <c r="AK33" s="2388"/>
      <c r="AL33" s="2388"/>
      <c r="AM33" s="2388"/>
      <c r="AN33" s="2388"/>
      <c r="AO33" s="2388"/>
      <c r="AP33" s="2388"/>
      <c r="AQ33" s="2388"/>
      <c r="AR33" s="2388"/>
      <c r="AS33" s="450"/>
      <c r="AT33" s="450"/>
      <c r="AU33" s="404"/>
      <c r="AV33" s="492"/>
      <c r="AW33" s="492"/>
      <c r="AX33" s="492"/>
      <c r="AY33" s="492"/>
      <c r="AZ33" s="492"/>
      <c r="BA33" s="542">
        <v>0</v>
      </c>
    </row>
    <row customHeight="1" ht="14.25" hidden="1">
      <c r="Q34" s="415"/>
      <c r="R34" s="500"/>
      <c r="S34" s="1399"/>
      <c r="T34" s="487"/>
      <c r="U34" s="487"/>
      <c r="V34" s="446"/>
      <c r="W34" s="446"/>
      <c r="X34" s="446"/>
      <c r="Y34" s="446"/>
      <c r="Z34" s="446"/>
      <c r="AA34" s="446"/>
      <c r="AB34" s="446"/>
      <c r="AC34" s="446"/>
      <c r="AD34" s="446"/>
      <c r="AE34" s="446"/>
      <c r="AF34" s="446"/>
      <c r="AG34" s="446"/>
      <c r="AH34" s="446"/>
      <c r="AI34" s="446"/>
      <c r="AJ34" s="446"/>
      <c r="AK34" s="446"/>
      <c r="AL34" s="446"/>
      <c r="AM34" s="446"/>
      <c r="AN34" s="446"/>
      <c r="AO34" s="446"/>
      <c r="AP34" s="446"/>
      <c r="AQ34" s="446"/>
      <c r="AR34" s="446"/>
      <c r="AS34" s="446"/>
      <c r="AT34" s="633"/>
      <c r="BA34" s="1279">
        <v>0</v>
      </c>
    </row>
    <row s="7787" customFormat="1" customHeight="1" ht="18.75" hidden="1">
      <c r="A35" s="1492"/>
      <c r="B35" s="1492"/>
      <c r="C35" s="1492"/>
      <c r="D35" s="1492"/>
      <c r="E35" s="1492"/>
      <c r="F35" s="1492"/>
      <c r="G35" s="1492"/>
      <c r="H35" s="1492"/>
      <c r="I35" s="1492"/>
      <c r="J35" s="1492"/>
      <c r="K35" s="1492"/>
      <c r="L35" s="1493"/>
      <c r="M35" s="1492"/>
      <c r="N35" s="1492"/>
      <c r="O35" s="1492"/>
      <c r="P35" s="1492"/>
      <c r="Q35" s="1492"/>
      <c r="S35" s="2387" t="s">
        <v>535</v>
      </c>
      <c r="T35" s="2387"/>
      <c r="U35" s="1496"/>
      <c r="V35" s="2401" t="str">
        <f>IF(TITLE_DATE_PR_CHANGE="",IF(TITLE_DATE_PR="","",TITLE_DATE_PR),TITLE_DATE_PR_CHANGE)</f>
        <v/>
      </c>
      <c r="W35" s="2401"/>
      <c r="X35" s="2401"/>
      <c r="Y35" s="2401"/>
      <c r="Z35" s="2401"/>
      <c r="AA35" s="450"/>
      <c r="AB35" s="2401" t="str">
        <f>IF(TITLE_DATE_PR_CHANGE="",IF(TITLE_DATE_PR="","",TITLE_DATE_PR),TITLE_DATE_PR_CHANGE)</f>
        <v/>
      </c>
      <c r="AC35" s="2401"/>
      <c r="AD35" s="2401"/>
      <c r="AE35" s="2401"/>
      <c r="AF35" s="2401"/>
      <c r="AG35" s="2401"/>
      <c r="AH35" s="2401"/>
      <c r="AI35" s="2401"/>
      <c r="AJ35" s="2401"/>
      <c r="AK35" s="2401"/>
      <c r="AL35" s="2401"/>
      <c r="AM35" s="2401"/>
      <c r="AN35" s="2401"/>
      <c r="AO35" s="2401"/>
      <c r="AP35" s="2401"/>
      <c r="AQ35" s="2401"/>
      <c r="AR35" s="2401"/>
      <c r="AS35" s="450"/>
      <c r="AT35" s="450"/>
      <c r="AU35" s="404"/>
      <c r="AV35" s="492"/>
      <c r="AW35" s="492"/>
      <c r="AX35" s="492"/>
      <c r="AY35" s="492"/>
      <c r="AZ35" s="492"/>
      <c r="BA35" s="542">
        <v>0</v>
      </c>
    </row>
    <row s="7787" customFormat="1" customHeight="1" ht="18" hidden="1">
      <c r="A36" s="1492"/>
      <c r="B36" s="1492"/>
      <c r="C36" s="1492"/>
      <c r="D36" s="1492"/>
      <c r="E36" s="1492"/>
      <c r="F36" s="1492"/>
      <c r="G36" s="1492"/>
      <c r="H36" s="1492"/>
      <c r="I36" s="1492"/>
      <c r="J36" s="1492"/>
      <c r="K36" s="1492"/>
      <c r="L36" s="1493"/>
      <c r="M36" s="1492"/>
      <c r="N36" s="1492"/>
      <c r="O36" s="1492"/>
      <c r="P36" s="1492"/>
      <c r="Q36" s="1492"/>
      <c r="S36" s="2387" t="s">
        <v>536</v>
      </c>
      <c r="T36" s="2387"/>
      <c r="U36" s="1496"/>
      <c r="V36" s="2388" t="str">
        <f>IF(TITLE_NUMBER_PR_CHANGE="",IF(TITLE_NUMBER_PR="","",TITLE_NUMBER_PR),TITLE_NUMBER_PR_CHANGE)</f>
        <v/>
      </c>
      <c r="W36" s="2388"/>
      <c r="X36" s="2388"/>
      <c r="Y36" s="2388"/>
      <c r="Z36" s="2388"/>
      <c r="AA36" s="450"/>
      <c r="AB36" s="2388" t="str">
        <f>IF(TITLE_NUMBER_PR_CHANGE="",IF(TITLE_NUMBER_PR="","",TITLE_NUMBER_PR),TITLE_NUMBER_PR_CHANGE)</f>
        <v/>
      </c>
      <c r="AC36" s="2388"/>
      <c r="AD36" s="2388"/>
      <c r="AE36" s="2388"/>
      <c r="AF36" s="2388"/>
      <c r="AG36" s="2388"/>
      <c r="AH36" s="2388"/>
      <c r="AI36" s="2388"/>
      <c r="AJ36" s="2388"/>
      <c r="AK36" s="2388"/>
      <c r="AL36" s="2388"/>
      <c r="AM36" s="2388"/>
      <c r="AN36" s="2388"/>
      <c r="AO36" s="2388"/>
      <c r="AP36" s="2388"/>
      <c r="AQ36" s="2388"/>
      <c r="AR36" s="2388"/>
      <c r="AS36" s="450"/>
      <c r="AT36" s="450"/>
      <c r="AU36" s="404"/>
      <c r="AV36" s="492"/>
      <c r="AW36" s="492"/>
      <c r="AX36" s="492"/>
      <c r="AY36" s="492"/>
      <c r="AZ36" s="492"/>
      <c r="BA36" s="542">
        <v>0</v>
      </c>
    </row>
    <row s="7787" customFormat="1" customHeight="1" ht="1.05">
      <c r="A37" s="1492"/>
      <c r="B37" s="1492"/>
      <c r="C37" s="1492"/>
      <c r="D37" s="1492"/>
      <c r="E37" s="1492"/>
      <c r="F37" s="1492"/>
      <c r="G37" s="1492"/>
      <c r="H37" s="1492"/>
      <c r="I37" s="1492"/>
      <c r="J37" s="1492"/>
      <c r="K37" s="1492"/>
      <c r="L37" s="1493"/>
      <c r="M37" s="1492"/>
      <c r="N37" s="1492"/>
      <c r="O37" s="1492"/>
      <c r="P37" s="1492"/>
      <c r="Q37" s="1492"/>
      <c r="S37" s="447"/>
      <c r="T37" s="447"/>
      <c r="U37" s="1464"/>
      <c r="V37" s="450"/>
      <c r="W37" s="450"/>
      <c r="X37" s="450"/>
      <c r="Y37" s="450"/>
      <c r="Z37" s="450"/>
      <c r="AA37" s="402" t="s">
        <v>539</v>
      </c>
      <c r="AB37" s="450"/>
      <c r="AC37" s="450"/>
      <c r="AD37" s="450"/>
      <c r="AE37" s="450"/>
      <c r="AF37" s="450"/>
      <c r="AG37" s="450"/>
      <c r="AH37" s="450"/>
      <c r="AI37" s="450"/>
      <c r="AJ37" s="450"/>
      <c r="AK37" s="450"/>
      <c r="AL37" s="450"/>
      <c r="AM37" s="450"/>
      <c r="AN37" s="450"/>
      <c r="AO37" s="450"/>
      <c r="AP37" s="450"/>
      <c r="AQ37" s="450"/>
      <c r="AR37" s="450"/>
      <c r="AS37" s="402" t="s">
        <v>539</v>
      </c>
      <c r="AV37" s="492"/>
      <c r="AW37" s="492"/>
      <c r="AX37" s="492"/>
      <c r="AY37" s="492"/>
      <c r="AZ37" s="492"/>
      <c r="BA37" s="542">
        <v>1</v>
      </c>
    </row>
    <row customHeight="1" ht="14.699999999999998">
      <c r="Q38" s="415"/>
      <c r="R38" s="500"/>
      <c r="S38" s="1399"/>
      <c r="T38" s="487"/>
      <c r="U38" s="1368"/>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c r="AS38" s="2389"/>
      <c r="BA38" s="1279">
        <v>14</v>
      </c>
    </row>
    <row customHeight="1" ht="14.699999999999998">
      <c r="Q39" s="415"/>
      <c r="R39" s="500"/>
      <c r="S39" s="2264" t="s">
        <v>412</v>
      </c>
      <c r="T39" s="2264"/>
      <c r="U39" s="2264"/>
      <c r="V39" s="2264"/>
      <c r="W39" s="2264"/>
      <c r="X39" s="2264"/>
      <c r="Y39" s="2264"/>
      <c r="Z39" s="2264"/>
      <c r="AA39" s="2264"/>
      <c r="AB39" s="2312"/>
      <c r="AC39" s="2312"/>
      <c r="AD39" s="2312"/>
      <c r="AE39" s="2312"/>
      <c r="AF39" s="2264"/>
      <c r="AG39" s="2264"/>
      <c r="AH39" s="2264"/>
      <c r="AI39" s="2264"/>
      <c r="AJ39" s="2264"/>
      <c r="AK39" s="2264"/>
      <c r="AL39" s="2264"/>
      <c r="AM39" s="2264"/>
      <c r="AN39" s="2264"/>
      <c r="AO39" s="2264"/>
      <c r="AP39" s="2264"/>
      <c r="AQ39" s="2264"/>
      <c r="AR39" s="2264"/>
      <c r="AS39" s="2264"/>
      <c r="AT39" s="2264"/>
      <c r="AU39" s="2264" t="s">
        <v>413</v>
      </c>
      <c r="BA39" s="1279">
        <v>14</v>
      </c>
    </row>
    <row customHeight="1" ht="14.699999999999998">
      <c r="Q40" s="415"/>
      <c r="R40" s="500"/>
      <c r="S40" s="2410" t="s">
        <v>88</v>
      </c>
      <c r="T40" s="2346" t="s">
        <v>585</v>
      </c>
      <c r="U40" s="425"/>
      <c r="V40" s="2412"/>
      <c r="W40" s="2412"/>
      <c r="X40" s="2412"/>
      <c r="Y40" s="2412"/>
      <c r="Z40" s="2413"/>
      <c r="AA40" s="2473" t="s">
        <v>542</v>
      </c>
      <c r="AB40" s="2465" t="s">
        <v>586</v>
      </c>
      <c r="AC40" s="2428"/>
      <c r="AD40" s="2428"/>
      <c r="AE40" s="2466"/>
      <c r="AF40" s="2428" t="s">
        <v>587</v>
      </c>
      <c r="AG40" s="2428"/>
      <c r="AH40" s="2428"/>
      <c r="AI40" s="2466"/>
      <c r="AJ40" s="2465" t="s">
        <v>588</v>
      </c>
      <c r="AK40" s="2428"/>
      <c r="AL40" s="2428"/>
      <c r="AM40" s="2466"/>
      <c r="AN40" s="2465" t="s">
        <v>541</v>
      </c>
      <c r="AO40" s="2428"/>
      <c r="AP40" s="2412"/>
      <c r="AQ40" s="2412"/>
      <c r="AR40" s="2413"/>
      <c r="AS40" s="2414" t="s">
        <v>542</v>
      </c>
      <c r="AT40" s="2417" t="s">
        <v>544</v>
      </c>
      <c r="AU40" s="2264"/>
      <c r="BA40" s="1279">
        <v>14</v>
      </c>
    </row>
    <row customHeight="1" ht="35.699999999999996">
      <c r="Q41" s="415"/>
      <c r="R41" s="500"/>
      <c r="S41" s="2410"/>
      <c r="T41" s="2346"/>
      <c r="U41" s="1155"/>
      <c r="V41" s="2264" t="s">
        <v>589</v>
      </c>
      <c r="W41" s="2264"/>
      <c r="X41" s="2431" t="s">
        <v>548</v>
      </c>
      <c r="Y41" s="2450"/>
      <c r="Z41" s="2451"/>
      <c r="AA41" s="2474"/>
      <c r="AB41" s="2467"/>
      <c r="AC41" s="2468"/>
      <c r="AD41" s="2468"/>
      <c r="AE41" s="2469"/>
      <c r="AF41" s="2468"/>
      <c r="AG41" s="2468"/>
      <c r="AH41" s="2468"/>
      <c r="AI41" s="2469"/>
      <c r="AJ41" s="2467"/>
      <c r="AK41" s="2468"/>
      <c r="AL41" s="2468"/>
      <c r="AM41" s="2468"/>
      <c r="AN41" s="2264" t="s">
        <v>589</v>
      </c>
      <c r="AO41" s="2264"/>
      <c r="AP41" s="2450" t="s">
        <v>548</v>
      </c>
      <c r="AQ41" s="2450"/>
      <c r="AR41" s="2451"/>
      <c r="AS41" s="2415"/>
      <c r="AT41" s="2418"/>
      <c r="AU41" s="2264"/>
      <c r="BA41" s="1279">
        <v>34</v>
      </c>
    </row>
    <row customHeight="1" ht="14.699999999999998">
      <c r="Q42" s="415"/>
      <c r="R42" s="500"/>
      <c r="S42" s="2410"/>
      <c r="T42" s="2346"/>
      <c r="U42" s="1155"/>
      <c r="V42" s="2477" t="str">
        <f>IF($AN$42&lt;&gt;"",$AN$42,"")</f>
        <v/>
      </c>
      <c r="W42" s="2477"/>
      <c r="X42" s="2432"/>
      <c r="Y42" s="2452"/>
      <c r="Z42" s="2453"/>
      <c r="AA42" s="2474"/>
      <c r="AB42" s="2467"/>
      <c r="AC42" s="2468"/>
      <c r="AD42" s="2468"/>
      <c r="AE42" s="2469"/>
      <c r="AF42" s="2468"/>
      <c r="AG42" s="2468"/>
      <c r="AH42" s="2468"/>
      <c r="AI42" s="2469"/>
      <c r="AJ42" s="2467"/>
      <c r="AK42" s="2468"/>
      <c r="AL42" s="2468"/>
      <c r="AM42" s="2468"/>
      <c r="AN42" s="2476"/>
      <c r="AO42" s="2476"/>
      <c r="AP42" s="2452"/>
      <c r="AQ42" s="2452"/>
      <c r="AR42" s="2453"/>
      <c r="AS42" s="2415"/>
      <c r="AT42" s="2418"/>
      <c r="AU42" s="2264"/>
      <c r="BA42" s="1279">
        <v>14</v>
      </c>
    </row>
    <row customHeight="1" ht="14.699999999999998">
      <c r="A43" s="1494"/>
      <c r="B43" s="1494" t="s">
        <v>255</v>
      </c>
      <c r="C43" s="1494" t="s">
        <v>256</v>
      </c>
      <c r="D43" s="1494" t="s">
        <v>257</v>
      </c>
      <c r="E43" s="1488" t="s">
        <v>549</v>
      </c>
      <c r="F43" s="1488" t="s">
        <v>550</v>
      </c>
      <c r="G43" s="1488" t="s">
        <v>551</v>
      </c>
      <c r="H43" s="1488" t="s">
        <v>552</v>
      </c>
      <c r="I43" s="1488" t="s">
        <v>553</v>
      </c>
      <c r="J43" s="1488" t="s">
        <v>554</v>
      </c>
      <c r="K43" s="1488" t="s">
        <v>555</v>
      </c>
      <c r="L43" s="1488" t="s">
        <v>530</v>
      </c>
      <c r="Q43" s="415"/>
      <c r="R43" s="500"/>
      <c r="S43" s="2410"/>
      <c r="T43" s="2346"/>
      <c r="U43" s="426"/>
      <c r="V43" s="1454" t="s">
        <v>590</v>
      </c>
      <c r="W43" s="1454" t="s">
        <v>591</v>
      </c>
      <c r="X43" s="1462" t="s">
        <v>558</v>
      </c>
      <c r="Y43" s="2407" t="s">
        <v>559</v>
      </c>
      <c r="Z43" s="2408"/>
      <c r="AA43" s="2475"/>
      <c r="AB43" s="2470"/>
      <c r="AC43" s="2471"/>
      <c r="AD43" s="2471"/>
      <c r="AE43" s="2472"/>
      <c r="AF43" s="2471"/>
      <c r="AG43" s="2471"/>
      <c r="AH43" s="2471"/>
      <c r="AI43" s="2472"/>
      <c r="AJ43" s="2470"/>
      <c r="AK43" s="2471"/>
      <c r="AL43" s="2471"/>
      <c r="AM43" s="2472"/>
      <c r="AN43" s="1981" t="s">
        <v>590</v>
      </c>
      <c r="AO43" s="1981" t="s">
        <v>591</v>
      </c>
      <c r="AP43" s="1462" t="s">
        <v>558</v>
      </c>
      <c r="AQ43" s="2407" t="s">
        <v>559</v>
      </c>
      <c r="AR43" s="2408"/>
      <c r="AS43" s="2416"/>
      <c r="AT43" s="2419"/>
      <c r="AU43" s="2264"/>
      <c r="BA43" s="1279">
        <v>14</v>
      </c>
    </row>
    <row s="6292" customFormat="1" customHeight="1" ht="11.25" hidden="1">
      <c r="A44" s="1494"/>
      <c r="B44" s="1494"/>
      <c r="C44" s="1494"/>
      <c r="D44" s="1494"/>
      <c r="E44" s="1494"/>
      <c r="F44" s="1494"/>
      <c r="G44" s="1494"/>
      <c r="H44" s="1494"/>
      <c r="I44" s="1494"/>
      <c r="J44" s="1494"/>
      <c r="K44" s="1494"/>
      <c r="L44" s="1488"/>
      <c r="M44" s="1486"/>
      <c r="N44" s="1486"/>
      <c r="O44" s="1486"/>
      <c r="P44" s="634"/>
      <c r="Q44" s="1378"/>
      <c r="R44" s="1378">
        <v>1</v>
      </c>
      <c r="S44" s="1401" t="s">
        <v>210</v>
      </c>
      <c r="T44" s="1379" t="s">
        <v>102</v>
      </c>
      <c r="U44" s="1369" t="str">
        <f>OFFSET(U44,0,-1)</f>
        <v>2</v>
      </c>
      <c r="V44" s="1459">
        <f>OFFSET(V44,0,-1)+1</f>
        <v>3</v>
      </c>
      <c r="W44" s="1459">
        <f>OFFSET(W44,0,-1)+1</f>
        <v>4</v>
      </c>
      <c r="X44" s="1459">
        <f>OFFSET(X44,0,-1)+1</f>
        <v>5</v>
      </c>
      <c r="Y44" s="2409">
        <f>OFFSET(Y44,0,-1)+1</f>
        <v>6</v>
      </c>
      <c r="Z44" s="2409"/>
      <c r="AA44" s="1459">
        <f>OFFSET(AA44,0,-2)+1</f>
        <v>7</v>
      </c>
      <c r="AB44" s="1465">
        <f>OFFSET(AB44,0,-1)+1</f>
        <v>8</v>
      </c>
      <c r="AC44" s="1465"/>
      <c r="AD44" s="1465"/>
      <c r="AE44" s="1465"/>
      <c r="AF44" s="1459"/>
      <c r="AG44" s="1459"/>
      <c r="AH44" s="1459"/>
      <c r="AI44" s="1459"/>
      <c r="AJ44" s="1459"/>
      <c r="AK44" s="1459"/>
      <c r="AL44" s="1459"/>
      <c r="AM44" s="1459"/>
      <c r="AN44" s="1459">
        <f>OFFSET(AN44,0,-1)+1</f>
        <v>1</v>
      </c>
      <c r="AO44" s="1459">
        <f>OFFSET(AO44,0,-1)+1</f>
        <v>2</v>
      </c>
      <c r="AP44" s="1459">
        <f>OFFSET(AP44,0,-1)+1</f>
        <v>3</v>
      </c>
      <c r="AQ44" s="2409">
        <f>OFFSET(AQ44,0,-1)+1</f>
        <v>4</v>
      </c>
      <c r="AR44" s="2409"/>
      <c r="AS44" s="1459">
        <f>OFFSET(AS44,0,-2)+1</f>
        <v>5</v>
      </c>
      <c r="AT44" s="1369">
        <f>OFFSET(AT44,0,-1)</f>
        <v>5</v>
      </c>
      <c r="AU44" s="1459">
        <f>OFFSET(AU44,0,-1)+1</f>
        <v>6</v>
      </c>
      <c r="AV44" s="635"/>
      <c r="AW44" s="635"/>
      <c r="AX44" s="635"/>
      <c r="AY44" s="635"/>
      <c r="AZ44" s="635"/>
      <c r="BA44" s="620">
        <v>0</v>
      </c>
    </row>
    <row customHeight="1" ht="107.25">
      <c r="A45" s="1487" t="s">
        <v>312</v>
      </c>
      <c r="B45" s="1487"/>
      <c r="C45" s="1487"/>
      <c r="D45" s="1487"/>
      <c r="E45" s="2395">
        <v>1</v>
      </c>
      <c r="F45" s="1487"/>
      <c r="G45" s="1487"/>
      <c r="H45" s="1487"/>
      <c r="I45" s="1487"/>
      <c r="J45" s="1487"/>
      <c r="K45" s="1487"/>
      <c r="L45" s="1488"/>
      <c r="M45" s="1489"/>
      <c r="N45" s="1489"/>
      <c r="O45" s="1489"/>
      <c r="P45" s="1533"/>
      <c r="Q45" s="997"/>
      <c r="R45" s="479"/>
      <c r="S45" s="1460">
        <f>INDEX(PT_DIFFERENTIATION_NUM_NTAR,MATCH(A45,PT_DIFFERENTIATION_NTAR_ID,0))</f>
        <v>0</v>
      </c>
      <c r="T45" s="422" t="s">
        <v>243</v>
      </c>
      <c r="U45" s="424"/>
      <c r="V45" s="2380"/>
      <c r="W45" s="2380"/>
      <c r="X45" s="2380"/>
      <c r="Y45" s="2380"/>
      <c r="Z45" s="2380"/>
      <c r="AA45" s="2381"/>
      <c r="AB45" s="2379" t="str">
        <f>INDEX(PT_DIFFERENTIATION_NTAR,MATCH(A45,PT_DIFFERENTIATION_NTAR_ID,0))</f>
        <v/>
      </c>
      <c r="AC45" s="2380"/>
      <c r="AD45" s="2380"/>
      <c r="AE45" s="2380"/>
      <c r="AF45" s="2380"/>
      <c r="AG45" s="2380"/>
      <c r="AH45" s="2380"/>
      <c r="AI45" s="2380"/>
      <c r="AJ45" s="2380"/>
      <c r="AK45" s="2380"/>
      <c r="AL45" s="2380"/>
      <c r="AM45" s="2380"/>
      <c r="AN45" s="2380"/>
      <c r="AO45" s="2380"/>
      <c r="AP45" s="2380"/>
      <c r="AQ45" s="2380"/>
      <c r="AR45" s="2380"/>
      <c r="AS45" s="2380"/>
      <c r="AT45" s="2381"/>
      <c r="AU45" s="13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24"/>
      <c r="AX45" s="624" t="str">
        <f>IF(T45="","",T45)</f>
        <v>Наименование тарифа</v>
      </c>
      <c r="AY45" s="624"/>
      <c r="AZ45" s="624"/>
      <c r="BA45" s="1279">
        <v>102</v>
      </c>
    </row>
    <row customHeight="1" ht="22.049999999999997">
      <c r="A46" s="1487" t="s">
        <v>312</v>
      </c>
      <c r="B46" s="1487" t="s">
        <v>313</v>
      </c>
      <c r="C46" s="1487"/>
      <c r="D46" s="1487"/>
      <c r="E46" s="2396"/>
      <c r="F46" s="2395">
        <v>1</v>
      </c>
      <c r="G46" s="1487"/>
      <c r="H46" s="1487"/>
      <c r="I46" s="1487"/>
      <c r="J46" s="1487"/>
      <c r="K46" s="1487"/>
      <c r="L46" s="1488"/>
      <c r="M46" s="1489"/>
      <c r="N46" s="1489"/>
      <c r="O46" s="1489"/>
      <c r="P46" s="1534"/>
      <c r="Q46" s="1535"/>
      <c r="R46" s="477"/>
      <c r="S46" s="1460" t="str">
        <f>INDEX(PT_DIFFERENTIATION_NUM_TER,MATCH(B46,PT_DIFFERENTIATION_TER_ID,0))</f>
        <v>.</v>
      </c>
      <c r="T46" s="432" t="s">
        <v>509</v>
      </c>
      <c r="U46" s="424"/>
      <c r="V46" s="2380"/>
      <c r="W46" s="2380"/>
      <c r="X46" s="2380"/>
      <c r="Y46" s="2380"/>
      <c r="Z46" s="2380"/>
      <c r="AA46" s="2381"/>
      <c r="AB46" s="2379" t="str">
        <f>INDEX(PT_DIFFERENTIATION_TER,MATCH(B46,PT_DIFFERENTIATION_TER_ID,0))</f>
        <v/>
      </c>
      <c r="AC46" s="2380"/>
      <c r="AD46" s="2380"/>
      <c r="AE46" s="2380"/>
      <c r="AF46" s="2380"/>
      <c r="AG46" s="2380"/>
      <c r="AH46" s="2380"/>
      <c r="AI46" s="2380"/>
      <c r="AJ46" s="2380"/>
      <c r="AK46" s="2380"/>
      <c r="AL46" s="2380"/>
      <c r="AM46" s="2380"/>
      <c r="AN46" s="2380"/>
      <c r="AO46" s="2380"/>
      <c r="AP46" s="2380"/>
      <c r="AQ46" s="2380"/>
      <c r="AR46" s="2380"/>
      <c r="AS46" s="2380"/>
      <c r="AT46" s="2381"/>
      <c r="AU46" s="1382" t="s">
        <v>510</v>
      </c>
      <c r="AW46" s="624"/>
      <c r="AX46" s="624" t="str">
        <f>IF(T46="","",T46)</f>
        <v>Территория действия тарифа</v>
      </c>
      <c r="AY46" s="624"/>
      <c r="AZ46" s="624"/>
      <c r="BA46" s="1279">
        <v>21</v>
      </c>
    </row>
    <row customHeight="1" ht="24">
      <c r="A47" s="1487" t="s">
        <v>312</v>
      </c>
      <c r="B47" s="1487" t="s">
        <v>313</v>
      </c>
      <c r="C47" s="1487" t="s">
        <v>314</v>
      </c>
      <c r="D47" s="1487"/>
      <c r="E47" s="2396"/>
      <c r="F47" s="2396"/>
      <c r="G47" s="2395">
        <v>1</v>
      </c>
      <c r="H47" s="1487"/>
      <c r="I47" s="1487"/>
      <c r="J47" s="1487"/>
      <c r="K47" s="1487"/>
      <c r="L47" s="1488"/>
      <c r="M47" s="1489"/>
      <c r="N47" s="1489"/>
      <c r="O47" s="1489"/>
      <c r="P47" s="1536"/>
      <c r="Q47" s="1535"/>
      <c r="R47" s="477"/>
      <c r="S47" s="1460" t="str">
        <f>INDEX(PT_DIFFERENTIATION_NUM_CS,MATCH(C47,PT_DIFFERENTIATION_CS_ID,0))</f>
        <v>..</v>
      </c>
      <c r="T47" s="433" t="s">
        <v>511</v>
      </c>
      <c r="U47" s="424"/>
      <c r="V47" s="2380"/>
      <c r="W47" s="2380"/>
      <c r="X47" s="2380"/>
      <c r="Y47" s="2380"/>
      <c r="Z47" s="2380"/>
      <c r="AA47" s="2381"/>
      <c r="AB47" s="2379" t="str">
        <f>INDEX(PT_DIFFERENTIATION_CS,MATCH(C47,PT_DIFFERENTIATION_CS_ID,0))</f>
        <v/>
      </c>
      <c r="AC47" s="2380"/>
      <c r="AD47" s="2380"/>
      <c r="AE47" s="2380"/>
      <c r="AF47" s="2380"/>
      <c r="AG47" s="2380"/>
      <c r="AH47" s="2380"/>
      <c r="AI47" s="2380"/>
      <c r="AJ47" s="2380"/>
      <c r="AK47" s="2380"/>
      <c r="AL47" s="2380"/>
      <c r="AM47" s="2380"/>
      <c r="AN47" s="2380"/>
      <c r="AO47" s="2380"/>
      <c r="AP47" s="2380"/>
      <c r="AQ47" s="2380"/>
      <c r="AR47" s="2380"/>
      <c r="AS47" s="2380"/>
      <c r="AT47" s="2381"/>
      <c r="AU47" s="1382" t="s">
        <v>512</v>
      </c>
      <c r="AW47" s="624"/>
      <c r="AX47" s="624" t="str">
        <f>IF(T47="","",T47)</f>
        <v>Наименование системы теплоснабжения </v>
      </c>
      <c r="AY47" s="624"/>
      <c r="AZ47" s="624"/>
      <c r="BA47" s="1279">
        <v>23</v>
      </c>
    </row>
    <row customHeight="1" ht="21">
      <c r="A48" s="1487" t="s">
        <v>312</v>
      </c>
      <c r="B48" s="1487" t="s">
        <v>313</v>
      </c>
      <c r="C48" s="1487" t="s">
        <v>314</v>
      </c>
      <c r="D48" s="1487" t="s">
        <v>315</v>
      </c>
      <c r="E48" s="2396"/>
      <c r="F48" s="2396"/>
      <c r="G48" s="2396"/>
      <c r="H48" s="2395">
        <v>1</v>
      </c>
      <c r="I48" s="1487"/>
      <c r="J48" s="1487"/>
      <c r="K48" s="1487"/>
      <c r="L48" s="1488"/>
      <c r="M48" s="1489"/>
      <c r="N48" s="1489"/>
      <c r="O48" s="1489"/>
      <c r="P48" s="1536"/>
      <c r="Q48" s="1535"/>
      <c r="R48" s="477"/>
      <c r="S48" s="1460" t="str">
        <f>INDEX(PT_DIFFERENTIATION_NUM_IST_TE,MATCH(D48,PT_DIFFERENTIATION_IST_TE_ID,0))</f>
        <v>...</v>
      </c>
      <c r="T48" s="434" t="s">
        <v>513</v>
      </c>
      <c r="U48" s="424"/>
      <c r="V48" s="2380"/>
      <c r="W48" s="2380"/>
      <c r="X48" s="2380"/>
      <c r="Y48" s="2380"/>
      <c r="Z48" s="2380"/>
      <c r="AA48" s="2381"/>
      <c r="AB48" s="2379" t="str">
        <f>INDEX(PT_DIFFERENTIATION_IST_TE,MATCH(D48,PT_DIFFERENTIATION_IST_TE_ID,0))</f>
        <v/>
      </c>
      <c r="AC48" s="2380"/>
      <c r="AD48" s="2380"/>
      <c r="AE48" s="2380"/>
      <c r="AF48" s="2380"/>
      <c r="AG48" s="2380"/>
      <c r="AH48" s="2380"/>
      <c r="AI48" s="2380"/>
      <c r="AJ48" s="2380"/>
      <c r="AK48" s="2380"/>
      <c r="AL48" s="2380"/>
      <c r="AM48" s="2380"/>
      <c r="AN48" s="2380"/>
      <c r="AO48" s="2380"/>
      <c r="AP48" s="2380"/>
      <c r="AQ48" s="2380"/>
      <c r="AR48" s="2380"/>
      <c r="AS48" s="2380"/>
      <c r="AT48" s="2381"/>
      <c r="AU48" s="1382" t="s">
        <v>514</v>
      </c>
      <c r="AW48" s="624"/>
      <c r="AX48" s="624" t="str">
        <f>IF(T48="","",T48)</f>
        <v>Источник тепловой энергии  </v>
      </c>
      <c r="AY48" s="624"/>
      <c r="AZ48" s="624"/>
      <c r="BA48" s="1279">
        <v>20</v>
      </c>
    </row>
    <row s="6698" customFormat="1" customHeight="1" ht="1.05">
      <c r="A49" s="1467" t="s">
        <v>312</v>
      </c>
      <c r="B49" s="1467" t="s">
        <v>313</v>
      </c>
      <c r="C49" s="1467" t="s">
        <v>314</v>
      </c>
      <c r="D49" s="1467" t="s">
        <v>315</v>
      </c>
      <c r="E49" s="2396"/>
      <c r="F49" s="2396"/>
      <c r="G49" s="2396"/>
      <c r="H49" s="2396"/>
      <c r="I49" s="2393" t="str">
        <f>S48&amp;".1"</f>
        <v>....1</v>
      </c>
      <c r="J49" s="1467"/>
      <c r="K49" s="1467"/>
      <c r="L49" s="1470" t="s">
        <v>515</v>
      </c>
      <c r="M49" s="634"/>
      <c r="N49" s="634"/>
      <c r="O49" s="634"/>
      <c r="P49" s="2394">
        <v>1</v>
      </c>
      <c r="Q49" s="1455"/>
      <c r="R49" s="480"/>
      <c r="S49" s="1166"/>
      <c r="T49" s="1507"/>
      <c r="U49" s="1508"/>
      <c r="V49" s="2434"/>
      <c r="W49" s="2434"/>
      <c r="X49" s="2434"/>
      <c r="Y49" s="2434"/>
      <c r="Z49" s="2434"/>
      <c r="AA49" s="2435"/>
      <c r="AB49" s="2433"/>
      <c r="AC49" s="2434"/>
      <c r="AD49" s="2434"/>
      <c r="AE49" s="2434"/>
      <c r="AF49" s="2434"/>
      <c r="AG49" s="2434"/>
      <c r="AH49" s="2434"/>
      <c r="AI49" s="2434"/>
      <c r="AJ49" s="2434"/>
      <c r="AK49" s="2434"/>
      <c r="AL49" s="2434"/>
      <c r="AM49" s="2434"/>
      <c r="AN49" s="2434"/>
      <c r="AO49" s="2434"/>
      <c r="AP49" s="2434"/>
      <c r="AQ49" s="2434"/>
      <c r="AR49" s="2434"/>
      <c r="AS49" s="2434"/>
      <c r="AT49" s="2435"/>
      <c r="AU49" s="1509"/>
      <c r="AW49" s="624"/>
      <c r="AX49" s="624" t="str">
        <f>IF(T49="","",T49)</f>
        <v/>
      </c>
      <c r="AY49" s="624"/>
      <c r="AZ49" s="624"/>
      <c r="BA49" s="635">
        <v>1</v>
      </c>
    </row>
    <row s="6698" customFormat="1" customHeight="1" ht="1.05">
      <c r="A50" s="1467" t="s">
        <v>312</v>
      </c>
      <c r="B50" s="1467" t="s">
        <v>313</v>
      </c>
      <c r="C50" s="1467" t="s">
        <v>314</v>
      </c>
      <c r="D50" s="1467" t="s">
        <v>315</v>
      </c>
      <c r="E50" s="2396"/>
      <c r="F50" s="2396"/>
      <c r="G50" s="2396"/>
      <c r="H50" s="2396"/>
      <c r="I50" s="2423"/>
      <c r="J50" s="2393" t="str">
        <f>S48&amp;".1"</f>
        <v>....1</v>
      </c>
      <c r="K50" s="1467"/>
      <c r="L50" s="1470"/>
      <c r="M50" s="634"/>
      <c r="N50" s="634"/>
      <c r="O50" s="634"/>
      <c r="P50" s="2394"/>
      <c r="Q50" s="2394">
        <v>1</v>
      </c>
      <c r="R50" s="481"/>
      <c r="S50" s="1166"/>
      <c r="T50" s="1523"/>
      <c r="U50" s="1508"/>
      <c r="V50" s="2434"/>
      <c r="W50" s="2434"/>
      <c r="X50" s="2434"/>
      <c r="Y50" s="2434"/>
      <c r="Z50" s="2434"/>
      <c r="AA50" s="2435"/>
      <c r="AB50" s="2433"/>
      <c r="AC50" s="2434"/>
      <c r="AD50" s="2434"/>
      <c r="AE50" s="2434"/>
      <c r="AF50" s="2434"/>
      <c r="AG50" s="2434"/>
      <c r="AH50" s="2434"/>
      <c r="AI50" s="2434"/>
      <c r="AJ50" s="2434"/>
      <c r="AK50" s="2434"/>
      <c r="AL50" s="2434"/>
      <c r="AM50" s="2434"/>
      <c r="AN50" s="2434"/>
      <c r="AO50" s="2434"/>
      <c r="AP50" s="2434"/>
      <c r="AQ50" s="2434"/>
      <c r="AR50" s="2434"/>
      <c r="AS50" s="2434"/>
      <c r="AT50" s="2435"/>
      <c r="AU50" s="1509"/>
      <c r="AW50" s="624"/>
      <c r="AX50" s="624" t="str">
        <f>IF(T50="","",T50)</f>
        <v/>
      </c>
      <c r="AY50" s="624"/>
      <c r="AZ50" s="624"/>
      <c r="BA50" s="635">
        <v>1</v>
      </c>
    </row>
    <row customHeight="1" ht="22.049999999999997">
      <c r="A51" s="1487" t="s">
        <v>312</v>
      </c>
      <c r="B51" s="1487" t="s">
        <v>313</v>
      </c>
      <c r="C51" s="1487" t="s">
        <v>314</v>
      </c>
      <c r="D51" s="1487" t="s">
        <v>315</v>
      </c>
      <c r="E51" s="2396"/>
      <c r="F51" s="2396"/>
      <c r="G51" s="2396"/>
      <c r="H51" s="2396"/>
      <c r="I51" s="2423"/>
      <c r="J51" s="2423"/>
      <c r="K51" s="2393" t="str">
        <f>S48&amp;".1"</f>
        <v>....1</v>
      </c>
      <c r="L51" s="1488"/>
      <c r="P51" s="2394"/>
      <c r="Q51" s="2394"/>
      <c r="R51" s="481">
        <v>1</v>
      </c>
      <c r="S51" s="2478" t="str">
        <f>$K51</f>
        <v>....1</v>
      </c>
      <c r="T51" s="2481"/>
      <c r="U51" s="424"/>
      <c r="V51" s="875"/>
      <c r="W51" s="1381"/>
      <c r="X51" s="1857"/>
      <c r="Y51" s="1583" t="s">
        <v>62</v>
      </c>
      <c r="Z51" s="1857"/>
      <c r="AA51" s="1583" t="s">
        <v>62</v>
      </c>
      <c r="AB51" s="2244" t="s">
        <v>19</v>
      </c>
      <c r="AC51" s="2463"/>
      <c r="AD51" s="2342">
        <v>1</v>
      </c>
      <c r="AE51" s="2485" t="s">
        <v>22</v>
      </c>
      <c r="AF51" s="2244" t="s">
        <v>19</v>
      </c>
      <c r="AG51" s="2463"/>
      <c r="AH51" s="2342">
        <v>1</v>
      </c>
      <c r="AI51" s="2485" t="s">
        <v>22</v>
      </c>
      <c r="AJ51" s="2244" t="s">
        <v>19</v>
      </c>
      <c r="AK51" s="435"/>
      <c r="AL51" s="1461">
        <v>1</v>
      </c>
      <c r="AM51" s="1526"/>
      <c r="AN51" s="875"/>
      <c r="AO51" s="1381"/>
      <c r="AP51" s="1857"/>
      <c r="AQ51" s="1583" t="s">
        <v>62</v>
      </c>
      <c r="AR51" s="1857"/>
      <c r="AS51" s="1583" t="s">
        <v>62</v>
      </c>
      <c r="AT51" s="1472"/>
      <c r="AU51" s="2390" t="s">
        <v>592</v>
      </c>
      <c r="AV51" s="635">
        <f>STRCHECKDATE(V54:AT54)</f>
      </c>
      <c r="AW51" s="624"/>
      <c r="AX51" s="624" t="str">
        <f>IF(T51="","",T51)</f>
        <v/>
      </c>
      <c r="AY51" s="624"/>
      <c r="AZ51" s="624"/>
      <c r="BA51" s="1279">
        <v>21</v>
      </c>
    </row>
    <row customHeight="1" ht="11.549999999999999">
      <c r="A52" s="1487" t="s">
        <v>312</v>
      </c>
      <c r="B52" s="1487"/>
      <c r="C52" s="1487"/>
      <c r="D52" s="1487"/>
      <c r="E52" s="2396"/>
      <c r="F52" s="2396"/>
      <c r="G52" s="2396"/>
      <c r="H52" s="2396"/>
      <c r="I52" s="2423"/>
      <c r="J52" s="2423"/>
      <c r="K52" s="2393"/>
      <c r="L52" s="1488"/>
      <c r="P52" s="2394"/>
      <c r="Q52" s="2394"/>
      <c r="R52" s="481"/>
      <c r="S52" s="2479"/>
      <c r="T52" s="2482"/>
      <c r="U52" s="424"/>
      <c r="V52" s="1517"/>
      <c r="W52" s="1620"/>
      <c r="X52" s="1517"/>
      <c r="Y52" s="1517"/>
      <c r="Z52" s="1517"/>
      <c r="AA52" s="1517"/>
      <c r="AB52" s="2244"/>
      <c r="AC52" s="2463"/>
      <c r="AD52" s="2342"/>
      <c r="AE52" s="2485"/>
      <c r="AF52" s="2244"/>
      <c r="AG52" s="2463"/>
      <c r="AH52" s="2342"/>
      <c r="AI52" s="2485"/>
      <c r="AJ52" s="2244"/>
      <c r="AK52" s="440"/>
      <c r="AL52" s="540"/>
      <c r="AM52" s="539" t="s">
        <v>577</v>
      </c>
      <c r="AN52" s="1517"/>
      <c r="AO52" s="1620"/>
      <c r="AP52" s="1517"/>
      <c r="AQ52" s="1517"/>
      <c r="AR52" s="1517"/>
      <c r="AS52" s="1517"/>
      <c r="AT52" s="1514"/>
      <c r="AU52" s="2391"/>
      <c r="AW52" s="624"/>
      <c r="AX52" s="624"/>
      <c r="AY52" s="624"/>
      <c r="AZ52" s="624"/>
      <c r="BA52" s="1279">
        <v>11</v>
      </c>
    </row>
    <row customHeight="1" ht="11.549999999999999">
      <c r="A53" s="1487" t="s">
        <v>312</v>
      </c>
      <c r="B53" s="1487"/>
      <c r="C53" s="1487"/>
      <c r="D53" s="1487"/>
      <c r="E53" s="2396"/>
      <c r="F53" s="2396"/>
      <c r="G53" s="2396"/>
      <c r="H53" s="2396"/>
      <c r="I53" s="2423"/>
      <c r="J53" s="2423"/>
      <c r="K53" s="2393"/>
      <c r="L53" s="1488"/>
      <c r="P53" s="2394"/>
      <c r="Q53" s="2394"/>
      <c r="R53" s="481"/>
      <c r="S53" s="2479"/>
      <c r="T53" s="2482"/>
      <c r="U53" s="424"/>
      <c r="V53" s="1517"/>
      <c r="W53" s="1620"/>
      <c r="X53" s="1517"/>
      <c r="Y53" s="1517"/>
      <c r="Z53" s="1517"/>
      <c r="AA53" s="1517"/>
      <c r="AB53" s="2244"/>
      <c r="AC53" s="2463"/>
      <c r="AD53" s="2342"/>
      <c r="AE53" s="2485"/>
      <c r="AF53" s="2244"/>
      <c r="AG53" s="418"/>
      <c r="AH53" s="539"/>
      <c r="AI53" s="539" t="s">
        <v>578</v>
      </c>
      <c r="AJ53" s="1517"/>
      <c r="AK53" s="1517"/>
      <c r="AL53" s="1517"/>
      <c r="AM53" s="1517"/>
      <c r="AN53" s="1517"/>
      <c r="AO53" s="1620"/>
      <c r="AP53" s="1517"/>
      <c r="AQ53" s="1517"/>
      <c r="AR53" s="1517"/>
      <c r="AS53" s="1517"/>
      <c r="AT53" s="1514"/>
      <c r="AU53" s="2391"/>
      <c r="AW53" s="624"/>
      <c r="AX53" s="624"/>
      <c r="AY53" s="624"/>
      <c r="AZ53" s="624"/>
      <c r="BA53" s="1279">
        <v>11</v>
      </c>
    </row>
    <row customHeight="1" ht="11.549999999999999">
      <c r="A54" s="1487" t="s">
        <v>312</v>
      </c>
      <c r="B54" s="1487" t="s">
        <v>313</v>
      </c>
      <c r="C54" s="1487" t="s">
        <v>314</v>
      </c>
      <c r="D54" s="1487" t="s">
        <v>315</v>
      </c>
      <c r="E54" s="2396"/>
      <c r="F54" s="2396"/>
      <c r="G54" s="2396"/>
      <c r="H54" s="2396"/>
      <c r="I54" s="2423"/>
      <c r="J54" s="2423"/>
      <c r="K54" s="2393"/>
      <c r="L54" s="1488"/>
      <c r="P54" s="2394"/>
      <c r="Q54" s="2394"/>
      <c r="R54" s="481"/>
      <c r="S54" s="2480"/>
      <c r="T54" s="2483"/>
      <c r="U54" s="424"/>
      <c r="V54" s="1517"/>
      <c r="W54" s="1518" t="str">
        <f>X51&amp;"-"&amp;Z51</f>
        <v>-</v>
      </c>
      <c r="X54" s="1517"/>
      <c r="Y54" s="1517"/>
      <c r="Z54" s="1517"/>
      <c r="AA54" s="1517"/>
      <c r="AB54" s="2244"/>
      <c r="AC54" s="436"/>
      <c r="AD54" s="438"/>
      <c r="AE54" s="539" t="s">
        <v>579</v>
      </c>
      <c r="AF54" s="1517"/>
      <c r="AG54" s="1517"/>
      <c r="AH54" s="1517"/>
      <c r="AI54" s="1517"/>
      <c r="AJ54" s="1517"/>
      <c r="AK54" s="1517"/>
      <c r="AL54" s="1517"/>
      <c r="AM54" s="1517"/>
      <c r="AN54" s="1517"/>
      <c r="AO54" s="1518" t="str">
        <f>AP51&amp;"-"&amp;AR51</f>
        <v>-</v>
      </c>
      <c r="AP54" s="1517"/>
      <c r="AQ54" s="1517"/>
      <c r="AR54" s="1517"/>
      <c r="AS54" s="1517"/>
      <c r="AT54" s="1473"/>
      <c r="AU54" s="2391"/>
      <c r="AW54" s="624"/>
      <c r="AX54" s="624" t="str">
        <f>IF(T54="","",T54)</f>
        <v/>
      </c>
      <c r="AY54" s="624"/>
      <c r="AZ54" s="624"/>
      <c r="BA54" s="1279">
        <v>11</v>
      </c>
    </row>
    <row customHeight="1" ht="11.549999999999999">
      <c r="A55" s="1487" t="s">
        <v>312</v>
      </c>
      <c r="B55" s="1487" t="s">
        <v>313</v>
      </c>
      <c r="C55" s="1487" t="s">
        <v>314</v>
      </c>
      <c r="D55" s="1487" t="s">
        <v>315</v>
      </c>
      <c r="E55" s="2396"/>
      <c r="F55" s="2396"/>
      <c r="G55" s="2396"/>
      <c r="H55" s="2396"/>
      <c r="I55" s="2423"/>
      <c r="J55" s="2393"/>
      <c r="K55" s="1487"/>
      <c r="L55" s="1488"/>
      <c r="P55" s="2394"/>
      <c r="Q55" s="2394"/>
      <c r="R55" s="480"/>
      <c r="S55" s="1402"/>
      <c r="T55" s="411" t="s">
        <v>580</v>
      </c>
      <c r="U55" s="491"/>
      <c r="V55" s="491"/>
      <c r="W55" s="491"/>
      <c r="X55" s="491"/>
      <c r="Y55" s="491"/>
      <c r="Z55" s="491"/>
      <c r="AA55" s="448"/>
      <c r="AB55" s="1629"/>
      <c r="AC55" s="491"/>
      <c r="AD55" s="491"/>
      <c r="AE55" s="491"/>
      <c r="AF55" s="491"/>
      <c r="AG55" s="491"/>
      <c r="AH55" s="491"/>
      <c r="AI55" s="491"/>
      <c r="AJ55" s="491"/>
      <c r="AK55" s="491"/>
      <c r="AL55" s="491"/>
      <c r="AM55" s="491"/>
      <c r="AN55" s="491"/>
      <c r="AO55" s="491"/>
      <c r="AP55" s="491"/>
      <c r="AQ55" s="491"/>
      <c r="AR55" s="491"/>
      <c r="AS55" s="491"/>
      <c r="AT55" s="448"/>
      <c r="AU55" s="2392"/>
      <c r="AW55" s="624"/>
      <c r="AX55" s="624" t="str">
        <f>IF(T55="","",T55)</f>
        <v>Добавить строку</v>
      </c>
      <c r="AY55" s="624"/>
      <c r="AZ55" s="624"/>
      <c r="BA55" s="1279">
        <v>11</v>
      </c>
    </row>
    <row s="6698" customFormat="1" customHeight="1" ht="1.05">
      <c r="A56" s="1467" t="s">
        <v>312</v>
      </c>
      <c r="B56" s="1467" t="s">
        <v>313</v>
      </c>
      <c r="C56" s="1467" t="s">
        <v>314</v>
      </c>
      <c r="D56" s="1467" t="s">
        <v>315</v>
      </c>
      <c r="E56" s="2396"/>
      <c r="F56" s="2396"/>
      <c r="G56" s="2396"/>
      <c r="H56" s="2396"/>
      <c r="I56" s="2393"/>
      <c r="J56" s="1467"/>
      <c r="K56" s="1467"/>
      <c r="L56" s="1470"/>
      <c r="M56" s="634"/>
      <c r="N56" s="634"/>
      <c r="O56" s="634"/>
      <c r="P56" s="2394"/>
      <c r="Q56" s="1455"/>
      <c r="R56" s="480"/>
      <c r="S56" s="1510"/>
      <c r="T56" s="1511" t="s">
        <v>524</v>
      </c>
      <c r="U56" s="1512"/>
      <c r="V56" s="1512"/>
      <c r="W56" s="1512"/>
      <c r="X56" s="1512"/>
      <c r="Y56" s="1512"/>
      <c r="Z56" s="1512"/>
      <c r="AA56" s="1512"/>
      <c r="AB56" s="1512"/>
      <c r="AC56" s="1512"/>
      <c r="AD56" s="1512"/>
      <c r="AE56" s="1512"/>
      <c r="AF56" s="1512"/>
      <c r="AG56" s="1512"/>
      <c r="AH56" s="1512"/>
      <c r="AI56" s="1512"/>
      <c r="AJ56" s="1512"/>
      <c r="AK56" s="1512"/>
      <c r="AL56" s="1512"/>
      <c r="AM56" s="1512"/>
      <c r="AN56" s="1512"/>
      <c r="AO56" s="1512"/>
      <c r="AP56" s="1512"/>
      <c r="AQ56" s="1512"/>
      <c r="AR56" s="1512"/>
      <c r="AS56" s="1512"/>
      <c r="AT56" s="1512"/>
      <c r="AU56" s="1513"/>
      <c r="AW56" s="624"/>
      <c r="AX56" s="624" t="str">
        <f>IF(T56="","",T56)</f>
        <v>Добавить группу потребителей</v>
      </c>
      <c r="AY56" s="624"/>
      <c r="AZ56" s="624"/>
      <c r="BA56" s="635">
        <v>1</v>
      </c>
    </row>
    <row s="6292" customFormat="1" customHeight="1" ht="1.05">
      <c r="A57" s="1467" t="s">
        <v>312</v>
      </c>
      <c r="B57" s="1467" t="s">
        <v>313</v>
      </c>
      <c r="C57" s="1467" t="s">
        <v>314</v>
      </c>
      <c r="D57" s="1467" t="s">
        <v>315</v>
      </c>
      <c r="E57" s="2396"/>
      <c r="F57" s="2396"/>
      <c r="G57" s="2396"/>
      <c r="H57" s="2395"/>
      <c r="I57" s="1467"/>
      <c r="J57" s="1467"/>
      <c r="K57" s="1467"/>
      <c r="L57" s="1470"/>
      <c r="M57" s="1439"/>
      <c r="N57" s="1439"/>
      <c r="O57" s="642"/>
      <c r="P57" s="504"/>
      <c r="Q57" s="1468"/>
      <c r="R57" s="1524"/>
      <c r="S57" s="1510"/>
      <c r="T57" s="1511"/>
      <c r="U57" s="1512"/>
      <c r="V57" s="1512"/>
      <c r="W57" s="1512"/>
      <c r="X57" s="1512"/>
      <c r="Y57" s="1512"/>
      <c r="Z57" s="1512"/>
      <c r="AA57" s="1512"/>
      <c r="AB57" s="1512"/>
      <c r="AC57" s="1512"/>
      <c r="AD57" s="1512"/>
      <c r="AE57" s="1512"/>
      <c r="AF57" s="1512"/>
      <c r="AG57" s="1512"/>
      <c r="AH57" s="1512"/>
      <c r="AI57" s="1512"/>
      <c r="AJ57" s="1512"/>
      <c r="AK57" s="1512"/>
      <c r="AL57" s="1512"/>
      <c r="AM57" s="1512"/>
      <c r="AN57" s="1512"/>
      <c r="AO57" s="1512"/>
      <c r="AP57" s="1512"/>
      <c r="AQ57" s="1512"/>
      <c r="AR57" s="1512"/>
      <c r="AS57" s="1512"/>
      <c r="AT57" s="1512"/>
      <c r="AU57" s="1513"/>
      <c r="AV57" s="635"/>
      <c r="AW57" s="624"/>
      <c r="AX57" s="624" t="str">
        <f>IF(T57="","",T57)</f>
        <v/>
      </c>
      <c r="AY57" s="624"/>
      <c r="AZ57" s="624"/>
      <c r="BA57" s="620">
        <v>1</v>
      </c>
    </row>
    <row s="6698" customFormat="1" customHeight="1" ht="1.05">
      <c r="A58" s="1467" t="s">
        <v>312</v>
      </c>
      <c r="B58" s="1467" t="s">
        <v>313</v>
      </c>
      <c r="C58" s="1467" t="s">
        <v>314</v>
      </c>
      <c r="D58" s="1438"/>
      <c r="E58" s="2396"/>
      <c r="F58" s="2396"/>
      <c r="G58" s="2395"/>
      <c r="H58" s="1438"/>
      <c r="I58" s="1438"/>
      <c r="J58" s="1438"/>
      <c r="K58" s="1438"/>
      <c r="L58" s="1463"/>
      <c r="M58" s="1439"/>
      <c r="N58" s="1439"/>
      <c r="P58" s="1440"/>
      <c r="Q58" s="1441"/>
      <c r="R58" s="1440"/>
      <c r="S58" s="1446"/>
      <c r="T58" s="1449" t="s">
        <v>526</v>
      </c>
      <c r="U58" s="1448"/>
      <c r="V58" s="1448"/>
      <c r="W58" s="1448"/>
      <c r="X58" s="1448"/>
      <c r="Y58" s="1448"/>
      <c r="Z58" s="1448"/>
      <c r="AA58" s="1448"/>
      <c r="AB58" s="1448"/>
      <c r="AC58" s="1448"/>
      <c r="AD58" s="1448"/>
      <c r="AE58" s="1448"/>
      <c r="AF58" s="1448"/>
      <c r="AG58" s="1448"/>
      <c r="AH58" s="1448"/>
      <c r="AI58" s="1448"/>
      <c r="AJ58" s="1448"/>
      <c r="AK58" s="1448"/>
      <c r="AL58" s="1448"/>
      <c r="AM58" s="1448"/>
      <c r="AN58" s="1448"/>
      <c r="AO58" s="1448"/>
      <c r="AP58" s="1448"/>
      <c r="AQ58" s="1448"/>
      <c r="AR58" s="1448"/>
      <c r="AS58" s="1448"/>
      <c r="AT58" s="1448"/>
      <c r="AU58" s="1448"/>
      <c r="AW58" s="913"/>
      <c r="AX58" s="913" t="str">
        <f>IF(T58="","",T58)</f>
        <v>Добавить источник для дифференциации</v>
      </c>
      <c r="AY58" s="913"/>
      <c r="AZ58" s="913"/>
      <c r="BA58" s="642">
        <v>1</v>
      </c>
    </row>
    <row s="6698" customFormat="1" customHeight="1" ht="1.05">
      <c r="A59" s="1467" t="s">
        <v>312</v>
      </c>
      <c r="B59" s="1467" t="s">
        <v>313</v>
      </c>
      <c r="C59" s="1438"/>
      <c r="D59" s="1438"/>
      <c r="E59" s="2396"/>
      <c r="F59" s="2395"/>
      <c r="G59" s="1438"/>
      <c r="H59" s="1438"/>
      <c r="I59" s="1438"/>
      <c r="J59" s="1438"/>
      <c r="K59" s="1438"/>
      <c r="L59" s="1463"/>
      <c r="M59" s="1445"/>
      <c r="N59" s="1445"/>
      <c r="P59" s="1440"/>
      <c r="Q59" s="1441"/>
      <c r="R59" s="1440"/>
      <c r="S59" s="1446"/>
      <c r="T59" s="1449" t="s">
        <v>527</v>
      </c>
      <c r="U59" s="1448"/>
      <c r="V59" s="1448"/>
      <c r="W59" s="1448"/>
      <c r="X59" s="1448"/>
      <c r="Y59" s="1448"/>
      <c r="Z59" s="1448"/>
      <c r="AA59" s="1448"/>
      <c r="AB59" s="1448"/>
      <c r="AC59" s="1448"/>
      <c r="AD59" s="1448"/>
      <c r="AE59" s="1448"/>
      <c r="AF59" s="1448"/>
      <c r="AG59" s="1448"/>
      <c r="AH59" s="1448"/>
      <c r="AI59" s="1448"/>
      <c r="AJ59" s="1448"/>
      <c r="AK59" s="1448"/>
      <c r="AL59" s="1448"/>
      <c r="AM59" s="1448"/>
      <c r="AN59" s="1448"/>
      <c r="AO59" s="1448"/>
      <c r="AP59" s="1448"/>
      <c r="AQ59" s="1448"/>
      <c r="AR59" s="1448"/>
      <c r="AS59" s="1448"/>
      <c r="AT59" s="1448"/>
      <c r="AU59" s="1448"/>
      <c r="AW59" s="913"/>
      <c r="AX59" s="913" t="str">
        <f>IF(T59="","",T59)</f>
        <v>Добавить централизованную систему для дифференциации</v>
      </c>
      <c r="AY59" s="913"/>
      <c r="AZ59" s="913"/>
      <c r="BA59" s="642">
        <v>1</v>
      </c>
    </row>
    <row s="6698" customFormat="1" customHeight="1" ht="1.05">
      <c r="A60" s="1467" t="s">
        <v>312</v>
      </c>
      <c r="B60" s="1467"/>
      <c r="C60" s="1467"/>
      <c r="D60" s="1467"/>
      <c r="E60" s="2396"/>
      <c r="F60" s="1467"/>
      <c r="G60" s="1467"/>
      <c r="H60" s="1467"/>
      <c r="I60" s="1467"/>
      <c r="J60" s="1467"/>
      <c r="K60" s="1467"/>
      <c r="L60" s="1470"/>
      <c r="M60" s="1445"/>
      <c r="N60" s="1445"/>
      <c r="O60" s="642"/>
      <c r="P60" s="504"/>
      <c r="Q60" s="1468"/>
      <c r="R60" s="504"/>
      <c r="S60" s="1446"/>
      <c r="T60" s="1449" t="s">
        <v>528</v>
      </c>
      <c r="U60" s="1448"/>
      <c r="V60" s="1448"/>
      <c r="W60" s="1448"/>
      <c r="X60" s="1448"/>
      <c r="Y60" s="1448"/>
      <c r="Z60" s="1448"/>
      <c r="AA60" s="1448"/>
      <c r="AB60" s="1448"/>
      <c r="AC60" s="1448"/>
      <c r="AD60" s="1448"/>
      <c r="AE60" s="1448"/>
      <c r="AF60" s="1448"/>
      <c r="AG60" s="1448"/>
      <c r="AH60" s="1448"/>
      <c r="AI60" s="1448"/>
      <c r="AJ60" s="1448"/>
      <c r="AK60" s="1448"/>
      <c r="AL60" s="1448"/>
      <c r="AM60" s="1448"/>
      <c r="AN60" s="1448"/>
      <c r="AO60" s="1448"/>
      <c r="AP60" s="1448"/>
      <c r="AQ60" s="1448"/>
      <c r="AR60" s="1448"/>
      <c r="AS60" s="1448"/>
      <c r="AT60" s="1448"/>
      <c r="AU60" s="1448"/>
      <c r="AW60" s="624"/>
      <c r="AX60" s="624" t="str">
        <f>IF(T60="","",T60)</f>
        <v>Добавить территорию для дифференциации</v>
      </c>
      <c r="AY60" s="624"/>
      <c r="AZ60" s="624"/>
      <c r="BA60" s="635">
        <v>1</v>
      </c>
    </row>
    <row s="6698" customFormat="1" customHeight="1" ht="1.05">
      <c r="A61" s="1467" t="s">
        <v>312</v>
      </c>
      <c r="B61" s="1467"/>
      <c r="C61" s="1467"/>
      <c r="D61" s="1467"/>
      <c r="E61" s="2395"/>
      <c r="F61" s="1467"/>
      <c r="G61" s="1467"/>
      <c r="H61" s="1467"/>
      <c r="I61" s="1467"/>
      <c r="J61" s="1467"/>
      <c r="K61" s="1467"/>
      <c r="L61" s="1470"/>
      <c r="M61" s="1445"/>
      <c r="N61" s="1445"/>
      <c r="O61" s="642"/>
      <c r="P61" s="504"/>
      <c r="Q61" s="1468"/>
      <c r="R61" s="504"/>
      <c r="S61" s="1446"/>
      <c r="T61" s="1449" t="s">
        <v>528</v>
      </c>
      <c r="U61" s="1448"/>
      <c r="V61" s="1448"/>
      <c r="W61" s="1448"/>
      <c r="X61" s="1448"/>
      <c r="Y61" s="1448"/>
      <c r="Z61" s="1448"/>
      <c r="AA61" s="1448"/>
      <c r="AB61" s="1448"/>
      <c r="AC61" s="1448"/>
      <c r="AD61" s="1448"/>
      <c r="AE61" s="1448"/>
      <c r="AF61" s="1448"/>
      <c r="AG61" s="1448"/>
      <c r="AH61" s="1448"/>
      <c r="AI61" s="1448"/>
      <c r="AJ61" s="1448"/>
      <c r="AK61" s="1448"/>
      <c r="AL61" s="1448"/>
      <c r="AM61" s="1448"/>
      <c r="AN61" s="1448"/>
      <c r="AO61" s="1448"/>
      <c r="AP61" s="1448"/>
      <c r="AQ61" s="1448"/>
      <c r="AR61" s="1448"/>
      <c r="AS61" s="1448"/>
      <c r="AT61" s="1448"/>
      <c r="AU61" s="1448"/>
      <c r="AW61" s="624"/>
      <c r="AX61" s="624" t="str">
        <f>IF(T61="","",T61)</f>
        <v>Добавить территорию для дифференциации</v>
      </c>
      <c r="AY61" s="624"/>
      <c r="AZ61" s="624"/>
      <c r="BA61" s="635">
        <v>1</v>
      </c>
    </row>
    <row s="6698" customFormat="1" customHeight="1" ht="1.05">
      <c r="A62" s="1438"/>
      <c r="B62" s="1438"/>
      <c r="C62" s="1438"/>
      <c r="D62" s="1438"/>
      <c r="E62" s="1467"/>
      <c r="F62" s="1438"/>
      <c r="G62" s="1438"/>
      <c r="H62" s="1438"/>
      <c r="I62" s="1438"/>
      <c r="J62" s="1438"/>
      <c r="K62" s="1438"/>
      <c r="L62" s="1463"/>
      <c r="M62" s="1445"/>
      <c r="N62" s="1445"/>
      <c r="P62" s="1440"/>
      <c r="Q62" s="1441"/>
      <c r="R62" s="1440"/>
      <c r="S62" s="1446"/>
      <c r="T62" s="1449" t="s">
        <v>560</v>
      </c>
      <c r="U62" s="1448"/>
      <c r="V62" s="1448"/>
      <c r="W62" s="1448"/>
      <c r="X62" s="1448"/>
      <c r="Y62" s="1448"/>
      <c r="Z62" s="1448"/>
      <c r="AA62" s="1448"/>
      <c r="AB62" s="1448"/>
      <c r="AC62" s="1448"/>
      <c r="AD62" s="1448"/>
      <c r="AE62" s="1448"/>
      <c r="AF62" s="1448"/>
      <c r="AG62" s="1448"/>
      <c r="AH62" s="1448"/>
      <c r="AI62" s="1448"/>
      <c r="AJ62" s="1448"/>
      <c r="AK62" s="1448"/>
      <c r="AL62" s="1448"/>
      <c r="AM62" s="1448"/>
      <c r="AN62" s="1448"/>
      <c r="AO62" s="1448"/>
      <c r="AP62" s="1448"/>
      <c r="AQ62" s="1448"/>
      <c r="AR62" s="1448"/>
      <c r="AS62" s="1448"/>
      <c r="AT62" s="1448"/>
      <c r="AU62" s="1448"/>
      <c r="AW62" s="913"/>
      <c r="AX62" s="913" t="str">
        <f>IF(T62="","",T62)</f>
        <v>Добавить наименование тарифа</v>
      </c>
      <c r="AY62" s="913"/>
      <c r="AZ62" s="913"/>
      <c r="BA62" s="642">
        <v>1</v>
      </c>
    </row>
    <row customHeight="1" ht="11.549999999999999">
      <c r="M63" s="1284"/>
      <c r="N63" s="1284"/>
      <c r="O63" s="661"/>
      <c r="P63" s="1284"/>
      <c r="Q63" s="1284"/>
      <c r="R63" s="1279"/>
      <c r="S63" s="1279"/>
      <c r="AV63" s="1279"/>
      <c r="AW63" s="1279"/>
      <c r="AX63" s="1279"/>
      <c r="AY63" s="1279"/>
      <c r="AZ63" s="1279"/>
      <c r="BA63" s="1279">
        <v>11</v>
      </c>
    </row>
    <row customHeight="1" ht="19.95">
      <c r="O64" s="661"/>
      <c r="S64" s="1377"/>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c r="AS64" s="2422"/>
      <c r="AT64" s="2422"/>
      <c r="AU64" s="2422"/>
      <c r="BA64" s="1279">
        <v>19</v>
      </c>
    </row>
    <row customHeight="1" ht="21">
      <c r="O65" s="661"/>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c r="AS65" s="2422"/>
      <c r="AT65" s="2422"/>
      <c r="AU65" s="2422"/>
      <c r="BA65" s="1279">
        <v>20</v>
      </c>
    </row>
    <row customHeight="1" ht="14.699999999999998">
      <c r="O66" s="661"/>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1457"/>
      <c r="BA66" s="1279">
        <v>14</v>
      </c>
    </row>
    <row customHeight="1" ht="19.95">
      <c r="O67" s="661"/>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c r="AS67" s="2422"/>
      <c r="AT67" s="2422"/>
      <c r="AU67" s="2422"/>
      <c r="BA67" s="1279">
        <v>19</v>
      </c>
    </row>
    <row customHeight="1" ht="16.8">
      <c r="O68" s="661"/>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c r="AS68" s="2422"/>
      <c r="AT68" s="2422"/>
      <c r="AU68" s="2422"/>
      <c r="BA68" s="1279">
        <v>16</v>
      </c>
    </row>
    <row customHeight="1" ht="14.699999999999998">
      <c r="O69" s="661"/>
      <c r="BA69" s="1279">
        <v>14</v>
      </c>
    </row>
    <row customHeight="1" ht="22.5" hidden="1">
      <c r="A70" s="1284" t="s">
        <v>82</v>
      </c>
      <c r="B70" s="1284">
        <v>0</v>
      </c>
      <c r="C70" s="1284">
        <v>0</v>
      </c>
      <c r="D70" s="1284">
        <v>0</v>
      </c>
      <c r="E70" s="1284">
        <v>0</v>
      </c>
      <c r="F70" s="1284">
        <v>0</v>
      </c>
      <c r="G70" s="1284">
        <v>0</v>
      </c>
      <c r="H70" s="1284">
        <v>0</v>
      </c>
      <c r="I70" s="1284">
        <v>0</v>
      </c>
      <c r="J70" s="1284">
        <v>0</v>
      </c>
      <c r="K70" s="1284">
        <v>0</v>
      </c>
      <c r="L70" s="1453">
        <v>0</v>
      </c>
      <c r="M70" s="1486">
        <v>0</v>
      </c>
      <c r="N70" s="1486">
        <v>0</v>
      </c>
      <c r="O70" s="1486">
        <v>0</v>
      </c>
      <c r="P70" s="1486">
        <v>3</v>
      </c>
      <c r="Q70" s="1495">
        <v>3</v>
      </c>
      <c r="R70" s="468">
        <v>3</v>
      </c>
      <c r="S70" s="705">
        <v>12</v>
      </c>
      <c r="T70" s="1279">
        <v>31</v>
      </c>
      <c r="U70" s="1279">
        <v>0</v>
      </c>
      <c r="V70" s="1279">
        <v>0</v>
      </c>
      <c r="W70" s="1279">
        <v>0</v>
      </c>
      <c r="X70" s="1279">
        <v>0</v>
      </c>
      <c r="Y70" s="1279">
        <v>0</v>
      </c>
      <c r="Z70" s="1279">
        <v>0</v>
      </c>
      <c r="AA70" s="1279">
        <v>0</v>
      </c>
      <c r="AB70" s="1279">
        <v>5</v>
      </c>
      <c r="AC70" s="1279">
        <v>3</v>
      </c>
      <c r="AD70" s="1279">
        <v>3</v>
      </c>
      <c r="AE70" s="1279">
        <v>24</v>
      </c>
      <c r="AF70" s="1279">
        <v>3</v>
      </c>
      <c r="AG70" s="1279">
        <v>3</v>
      </c>
      <c r="AH70" s="1279">
        <v>3</v>
      </c>
      <c r="AI70" s="1279">
        <v>24</v>
      </c>
      <c r="AJ70" s="1279">
        <v>3</v>
      </c>
      <c r="AK70" s="1279">
        <v>3</v>
      </c>
      <c r="AL70" s="1279">
        <v>3</v>
      </c>
      <c r="AM70" s="1279">
        <v>18</v>
      </c>
      <c r="AN70" s="1279">
        <v>21</v>
      </c>
      <c r="AO70" s="1279">
        <v>21</v>
      </c>
      <c r="AP70" s="1279">
        <v>11</v>
      </c>
      <c r="AQ70" s="1279">
        <v>3</v>
      </c>
      <c r="AR70" s="1279">
        <v>11</v>
      </c>
      <c r="AS70" s="1279">
        <v>8</v>
      </c>
      <c r="AT70" s="1279">
        <v>4</v>
      </c>
      <c r="AU70" s="1279">
        <v>115</v>
      </c>
      <c r="AV70" s="635">
        <v>10</v>
      </c>
      <c r="AW70" s="635">
        <v>10</v>
      </c>
      <c r="AX70" s="635">
        <v>10</v>
      </c>
      <c r="AY70" s="635">
        <v>10</v>
      </c>
      <c r="AZ70" s="635">
        <v>10</v>
      </c>
      <c r="BA70" s="127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E9DD3A-9E65-AB26-BAC2-9EE2EF3DCD7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549">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547"/>
      <c r="Q3" s="476"/>
      <c r="R3" s="477"/>
      <c r="S3" s="1549">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549">
        <f>INDEX(PT_DIFFERENTIATION_NUM_CS,MATCH(C4,PT_DIFFERENTIATION_CS_ID,0))</f>
      </c>
      <c r="T4" s="433" t="s">
        <v>593</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594</v>
      </c>
      <c r="AM4" s="624"/>
      <c r="AN4" s="624" t="str">
        <f>IF(T4="","",T4)</f>
        <v>Наименование централизованной системы холодного водоснабжения</v>
      </c>
      <c r="AO4" s="624"/>
      <c r="AP4" s="624"/>
      <c r="AQ4" s="1279">
        <v>0</v>
      </c>
    </row>
    <row customHeight="1" ht="23.25" hidden="1">
      <c r="A5" s="1487"/>
      <c r="B5" s="1487"/>
      <c r="C5" s="1487"/>
      <c r="D5" s="1487"/>
      <c r="E5" s="2396"/>
      <c r="F5" s="2396"/>
      <c r="G5" s="2396"/>
      <c r="H5" s="2396"/>
      <c r="I5" s="2393">
        <f>S4&amp;".1"</f>
      </c>
      <c r="J5" s="1487"/>
      <c r="K5" s="1487"/>
      <c r="L5" s="1488"/>
      <c r="P5" s="2394">
        <v>1</v>
      </c>
      <c r="Q5" s="1546"/>
      <c r="R5" s="480"/>
      <c r="S5" s="1549">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549">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549">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548"/>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546"/>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14.25"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550"/>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545"/>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545"/>
      <c r="M19" s="1486"/>
      <c r="N19" s="1486"/>
      <c r="O19" s="1486"/>
      <c r="P19" s="1486"/>
      <c r="Q19" s="1495"/>
      <c r="R19" s="1495"/>
      <c r="S19" s="853"/>
      <c r="AB19" s="1490"/>
      <c r="AI19" s="1490"/>
      <c r="AL19" s="635"/>
      <c r="AM19" s="635"/>
      <c r="AN19" s="635"/>
      <c r="AO19" s="635"/>
      <c r="AP19" s="635"/>
      <c r="AQ19" s="1284">
        <v>0</v>
      </c>
    </row>
    <row s="7158" customFormat="1" customHeight="1" ht="12" hidden="1">
      <c r="L20" s="1545"/>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479"/>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476" t="s">
        <v>601</v>
      </c>
      <c r="W38" s="2399" t="s">
        <v>547</v>
      </c>
      <c r="X38" s="2400"/>
      <c r="Y38" s="2399" t="s">
        <v>548</v>
      </c>
      <c r="Z38" s="2406"/>
      <c r="AA38" s="2400"/>
      <c r="AB38" s="2415"/>
      <c r="AC38" s="1476" t="s">
        <v>601</v>
      </c>
      <c r="AD38" s="2399" t="s">
        <v>547</v>
      </c>
      <c r="AE38" s="2400"/>
      <c r="AF38" s="2399" t="s">
        <v>548</v>
      </c>
      <c r="AG38" s="2406"/>
      <c r="AH38" s="2400"/>
      <c r="AI38" s="2415"/>
      <c r="AJ38" s="2418"/>
      <c r="AK38" s="2264"/>
      <c r="AQ38" s="1279">
        <v>34</v>
      </c>
    </row>
    <row customHeight="1" ht="35.699999999999996">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476" t="s">
        <v>604</v>
      </c>
      <c r="W39" s="1346" t="s">
        <v>605</v>
      </c>
      <c r="X39" s="1346" t="s">
        <v>606</v>
      </c>
      <c r="Y39" s="1481" t="s">
        <v>558</v>
      </c>
      <c r="Z39" s="2407" t="s">
        <v>559</v>
      </c>
      <c r="AA39" s="2408"/>
      <c r="AB39" s="2416"/>
      <c r="AC39" s="1476" t="s">
        <v>604</v>
      </c>
      <c r="AD39" s="1346" t="s">
        <v>605</v>
      </c>
      <c r="AE39" s="1346" t="s">
        <v>606</v>
      </c>
      <c r="AF39" s="1481" t="s">
        <v>558</v>
      </c>
      <c r="AG39" s="2407" t="s">
        <v>559</v>
      </c>
      <c r="AH39" s="2408"/>
      <c r="AI39" s="2416"/>
      <c r="AJ39" s="2419"/>
      <c r="AK39" s="2264"/>
      <c r="AQ39" s="1279">
        <v>34</v>
      </c>
    </row>
    <row s="6292" customFormat="1" customHeight="1" ht="11.25" hidden="1">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477">
        <f>OFFSET(V40,0,-1)+1</f>
        <v>3</v>
      </c>
      <c r="W40" s="1477">
        <f>OFFSET(W40,0,-1)+1</f>
        <v>4</v>
      </c>
      <c r="X40" s="1477">
        <f>OFFSET(X40,0,-1)+1</f>
        <v>5</v>
      </c>
      <c r="Y40" s="1477">
        <f>OFFSET(Y40,0,-1)+1</f>
        <v>6</v>
      </c>
      <c r="Z40" s="2409">
        <f>OFFSET(Z40,0,-1)+1</f>
        <v>7</v>
      </c>
      <c r="AA40" s="2409"/>
      <c r="AB40" s="1477">
        <f>OFFSET(AB40,0,-2)+1</f>
        <v>8</v>
      </c>
      <c r="AC40" s="1477">
        <f>OFFSET(AC40,0,-1)+1</f>
        <v>9</v>
      </c>
      <c r="AD40" s="1477">
        <f>OFFSET(AD40,0,-1)+1</f>
        <v>10</v>
      </c>
      <c r="AE40" s="1477">
        <f>OFFSET(AE40,0,-1)+1</f>
        <v>11</v>
      </c>
      <c r="AF40" s="1477">
        <f>OFFSET(AF40,0,-1)+1</f>
        <v>12</v>
      </c>
      <c r="AG40" s="2409">
        <f>OFFSET(AG40,0,-1)+1</f>
        <v>13</v>
      </c>
      <c r="AH40" s="2409"/>
      <c r="AI40" s="1477">
        <f>OFFSET(AI40,0,-2)+1</f>
        <v>14</v>
      </c>
      <c r="AJ40" s="1369">
        <f>OFFSET(AJ40,0,-1)</f>
        <v>14</v>
      </c>
      <c r="AK40" s="1477">
        <f>OFFSET(AK40,0,-1)+1</f>
        <v>15</v>
      </c>
      <c r="AL40" s="635"/>
      <c r="AM40" s="635"/>
      <c r="AN40" s="635"/>
      <c r="AO40" s="635"/>
      <c r="AP40" s="635"/>
      <c r="AQ40" s="620">
        <v>0</v>
      </c>
    </row>
    <row customHeight="1" ht="24">
      <c r="A41" s="1487" t="s">
        <v>338</v>
      </c>
      <c r="B41" s="1487"/>
      <c r="C41" s="1487"/>
      <c r="D41" s="1487"/>
      <c r="E41" s="2395">
        <v>1</v>
      </c>
      <c r="F41" s="1487"/>
      <c r="G41" s="1487"/>
      <c r="H41" s="1487"/>
      <c r="I41" s="1487"/>
      <c r="J41" s="1487"/>
      <c r="K41" s="1487"/>
      <c r="L41" s="1488"/>
      <c r="M41" s="1489"/>
      <c r="N41" s="1489"/>
      <c r="O41" s="1489"/>
      <c r="P41" s="485"/>
      <c r="Q41" s="484"/>
      <c r="R41" s="479"/>
      <c r="S41" s="1482">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338</v>
      </c>
      <c r="B42" s="1487" t="s">
        <v>339</v>
      </c>
      <c r="C42" s="1487"/>
      <c r="D42" s="1487"/>
      <c r="E42" s="2396"/>
      <c r="F42" s="2395">
        <v>1</v>
      </c>
      <c r="G42" s="1487"/>
      <c r="H42" s="1487"/>
      <c r="I42" s="1487"/>
      <c r="J42" s="1487"/>
      <c r="K42" s="1487"/>
      <c r="L42" s="1488"/>
      <c r="M42" s="1489"/>
      <c r="N42" s="1489"/>
      <c r="O42" s="1489"/>
      <c r="P42" s="1480"/>
      <c r="Q42" s="476"/>
      <c r="R42" s="477"/>
      <c r="S42" s="1482"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338</v>
      </c>
      <c r="B43" s="1487" t="s">
        <v>339</v>
      </c>
      <c r="C43" s="1487" t="s">
        <v>340</v>
      </c>
      <c r="D43" s="1487"/>
      <c r="E43" s="2396"/>
      <c r="F43" s="2396"/>
      <c r="G43" s="2395">
        <v>1</v>
      </c>
      <c r="H43" s="1487"/>
      <c r="I43" s="1487"/>
      <c r="J43" s="1487"/>
      <c r="K43" s="1487"/>
      <c r="L43" s="1488"/>
      <c r="M43" s="1489"/>
      <c r="N43" s="1489"/>
      <c r="O43" s="1489"/>
      <c r="P43" s="478"/>
      <c r="Q43" s="476"/>
      <c r="R43" s="477"/>
      <c r="S43" s="1482" t="str">
        <f>INDEX(PT_DIFFERENTIATION_NUM_CS,MATCH(C43,PT_DIFFERENTIATION_CS_ID,0))</f>
        <v>..</v>
      </c>
      <c r="T43" s="433" t="s">
        <v>593</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594</v>
      </c>
      <c r="AM43" s="624"/>
      <c r="AN43" s="624" t="str">
        <f>IF(T43="","",T43)</f>
        <v>Наименование централизованной системы холодного водоснабжения</v>
      </c>
      <c r="AO43" s="624"/>
      <c r="AP43" s="624"/>
      <c r="AQ43" s="1279">
        <v>23</v>
      </c>
    </row>
    <row customHeight="1" ht="24">
      <c r="A44" s="1487" t="s">
        <v>338</v>
      </c>
      <c r="B44" s="1487" t="s">
        <v>339</v>
      </c>
      <c r="C44" s="1487" t="s">
        <v>340</v>
      </c>
      <c r="D44" s="1487" t="s">
        <v>607</v>
      </c>
      <c r="E44" s="2396"/>
      <c r="F44" s="2396"/>
      <c r="G44" s="2396"/>
      <c r="H44" s="2396"/>
      <c r="I44" s="2393" t="str">
        <f>S43&amp;".1"</f>
        <v>...1</v>
      </c>
      <c r="J44" s="1487"/>
      <c r="K44" s="1487"/>
      <c r="L44" s="1488"/>
      <c r="P44" s="2394">
        <v>1</v>
      </c>
      <c r="Q44" s="1478"/>
      <c r="R44" s="480"/>
      <c r="S44" s="1482"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338</v>
      </c>
      <c r="B45" s="1487" t="s">
        <v>339</v>
      </c>
      <c r="C45" s="1487" t="s">
        <v>340</v>
      </c>
      <c r="D45" s="1487" t="s">
        <v>607</v>
      </c>
      <c r="E45" s="2396"/>
      <c r="F45" s="2396"/>
      <c r="G45" s="2396"/>
      <c r="H45" s="2396"/>
      <c r="I45" s="2423"/>
      <c r="J45" s="2393" t="str">
        <f>I44&amp;".1"</f>
        <v>...1.1</v>
      </c>
      <c r="K45" s="1487"/>
      <c r="L45" s="1488" t="s">
        <v>518</v>
      </c>
      <c r="P45" s="2394"/>
      <c r="Q45" s="2394">
        <v>1</v>
      </c>
      <c r="R45" s="481"/>
      <c r="S45" s="1482"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338</v>
      </c>
      <c r="B46" s="1487" t="s">
        <v>339</v>
      </c>
      <c r="C46" s="1487" t="s">
        <v>340</v>
      </c>
      <c r="D46" s="1487" t="s">
        <v>607</v>
      </c>
      <c r="E46" s="2396"/>
      <c r="F46" s="2396"/>
      <c r="G46" s="2396"/>
      <c r="H46" s="2396"/>
      <c r="I46" s="2423"/>
      <c r="J46" s="2423"/>
      <c r="K46" s="2393" t="str">
        <f>J45&amp;".1"</f>
        <v>...1.1.1</v>
      </c>
      <c r="L46" s="1488"/>
      <c r="P46" s="2394"/>
      <c r="Q46" s="2394"/>
      <c r="R46" s="481">
        <v>1</v>
      </c>
      <c r="S46" s="1482" t="str">
        <f>$K46</f>
        <v>...1.1.1</v>
      </c>
      <c r="T46" s="1561"/>
      <c r="U46" s="424"/>
      <c r="V46" s="1484"/>
      <c r="W46" s="1484"/>
      <c r="X46" s="1485"/>
      <c r="Y46" s="2404"/>
      <c r="Z46" s="2405" t="s">
        <v>62</v>
      </c>
      <c r="AA46" s="2404"/>
      <c r="AB46" s="2405" t="s">
        <v>62</v>
      </c>
      <c r="AC46" s="875"/>
      <c r="AD46" s="875"/>
      <c r="AE46" s="1381"/>
      <c r="AF46" s="2402"/>
      <c r="AG46" s="2244" t="s">
        <v>62</v>
      </c>
      <c r="AH46" s="2424"/>
      <c r="AI46" s="2244" t="s">
        <v>19</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338</v>
      </c>
      <c r="B47" s="1487" t="s">
        <v>339</v>
      </c>
      <c r="C47" s="1487" t="s">
        <v>340</v>
      </c>
      <c r="D47" s="1487" t="s">
        <v>607</v>
      </c>
      <c r="E47" s="2396"/>
      <c r="F47" s="2396"/>
      <c r="G47" s="2396"/>
      <c r="H47" s="2396"/>
      <c r="I47" s="2423"/>
      <c r="J47" s="2423"/>
      <c r="K47" s="2393"/>
      <c r="L47" s="1488"/>
      <c r="P47" s="2394"/>
      <c r="Q47" s="2394"/>
      <c r="R47" s="481"/>
      <c r="S47" s="1483"/>
      <c r="T47" s="424"/>
      <c r="U47" s="424"/>
      <c r="V47" s="1484"/>
      <c r="W47" s="1484"/>
      <c r="X47" s="452" t="str">
        <f>Y46&amp;"-"&amp;AA46</f>
        <v>-</v>
      </c>
      <c r="Y47" s="2405"/>
      <c r="Z47" s="2405"/>
      <c r="AA47" s="2405"/>
      <c r="AB47" s="2405"/>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338</v>
      </c>
      <c r="B48" s="1487" t="s">
        <v>339</v>
      </c>
      <c r="C48" s="1487" t="s">
        <v>340</v>
      </c>
      <c r="D48" s="1487" t="s">
        <v>607</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338</v>
      </c>
      <c r="B49" s="1487" t="s">
        <v>339</v>
      </c>
      <c r="C49" s="1487" t="s">
        <v>340</v>
      </c>
      <c r="D49" s="1487" t="s">
        <v>607</v>
      </c>
      <c r="E49" s="2396"/>
      <c r="F49" s="2396"/>
      <c r="G49" s="2396"/>
      <c r="H49" s="2396"/>
      <c r="I49" s="2393"/>
      <c r="J49" s="1487"/>
      <c r="K49" s="1487"/>
      <c r="L49" s="1488"/>
      <c r="P49" s="2394"/>
      <c r="Q49" s="1478"/>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338</v>
      </c>
      <c r="B50" s="1487" t="s">
        <v>339</v>
      </c>
      <c r="C50" s="1487" t="s">
        <v>340</v>
      </c>
      <c r="D50" s="1487" t="s">
        <v>607</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338</v>
      </c>
      <c r="B51" s="1467" t="s">
        <v>339</v>
      </c>
      <c r="C51" s="1438"/>
      <c r="D51" s="1438"/>
      <c r="E51" s="2396"/>
      <c r="F51" s="2395"/>
      <c r="G51" s="1438"/>
      <c r="H51" s="1438"/>
      <c r="I51" s="1438"/>
      <c r="J51" s="1438"/>
      <c r="K51" s="1438"/>
      <c r="L51" s="1550"/>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338</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550"/>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545">
        <v>0</v>
      </c>
      <c r="M58" s="1486">
        <v>0</v>
      </c>
      <c r="N58" s="1486">
        <v>0</v>
      </c>
      <c r="O58" s="1486">
        <v>0</v>
      </c>
      <c r="P58" s="1475">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27E2B6-BA82-3144-A5E6-AC024277FE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581">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577"/>
      <c r="Q3" s="476"/>
      <c r="R3" s="477"/>
      <c r="S3" s="1581">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581">
        <f>INDEX(PT_DIFFERENTIATION_NUM_CS,MATCH(C4,PT_DIFFERENTIATION_CS_ID,0))</f>
      </c>
      <c r="T4" s="433" t="s">
        <v>593</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594</v>
      </c>
      <c r="AM4" s="624"/>
      <c r="AN4" s="624" t="str">
        <f>IF(T4="","",T4)</f>
        <v>Наименование централизованной системы холодного водоснабжения</v>
      </c>
      <c r="AO4" s="624"/>
      <c r="AP4" s="624"/>
      <c r="AQ4" s="1279">
        <v>0</v>
      </c>
    </row>
    <row customHeight="1" ht="23.25" hidden="1">
      <c r="A5" s="1487"/>
      <c r="B5" s="1487"/>
      <c r="C5" s="1487"/>
      <c r="D5" s="1487"/>
      <c r="E5" s="2396"/>
      <c r="F5" s="2396"/>
      <c r="G5" s="2396"/>
      <c r="H5" s="2396"/>
      <c r="I5" s="2393">
        <f>S4&amp;".1"</f>
      </c>
      <c r="J5" s="1487"/>
      <c r="K5" s="1487"/>
      <c r="L5" s="1488"/>
      <c r="P5" s="2394">
        <v>1</v>
      </c>
      <c r="Q5" s="1574"/>
      <c r="R5" s="480"/>
      <c r="S5" s="1581">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581">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581">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580"/>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574"/>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582"/>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571"/>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571"/>
      <c r="M19" s="1486"/>
      <c r="N19" s="1486"/>
      <c r="O19" s="1486"/>
      <c r="P19" s="1486"/>
      <c r="Q19" s="1495"/>
      <c r="R19" s="1495"/>
      <c r="S19" s="853"/>
      <c r="AB19" s="1490"/>
      <c r="AI19" s="1490"/>
      <c r="AL19" s="635"/>
      <c r="AM19" s="635"/>
      <c r="AN19" s="635"/>
      <c r="AO19" s="635"/>
      <c r="AP19" s="635"/>
      <c r="AQ19" s="1284">
        <v>0</v>
      </c>
    </row>
    <row s="7158" customFormat="1" customHeight="1" ht="12" hidden="1">
      <c r="L20" s="1571"/>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578"/>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576" t="s">
        <v>601</v>
      </c>
      <c r="W38" s="2399" t="s">
        <v>547</v>
      </c>
      <c r="X38" s="2400"/>
      <c r="Y38" s="2399" t="s">
        <v>548</v>
      </c>
      <c r="Z38" s="2406"/>
      <c r="AA38" s="2400"/>
      <c r="AB38" s="2415"/>
      <c r="AC38" s="1576" t="s">
        <v>601</v>
      </c>
      <c r="AD38" s="2399" t="s">
        <v>547</v>
      </c>
      <c r="AE38" s="2400"/>
      <c r="AF38" s="2399" t="s">
        <v>548</v>
      </c>
      <c r="AG38" s="2406"/>
      <c r="AH38" s="2400"/>
      <c r="AI38" s="2415"/>
      <c r="AJ38" s="2418"/>
      <c r="AK38" s="2264"/>
      <c r="AQ38" s="1279">
        <v>34</v>
      </c>
    </row>
    <row customHeight="1" ht="35.699999999999996">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576" t="s">
        <v>604</v>
      </c>
      <c r="W39" s="1346" t="s">
        <v>605</v>
      </c>
      <c r="X39" s="1346" t="s">
        <v>606</v>
      </c>
      <c r="Y39" s="1579" t="s">
        <v>558</v>
      </c>
      <c r="Z39" s="2407" t="s">
        <v>559</v>
      </c>
      <c r="AA39" s="2408"/>
      <c r="AB39" s="2416"/>
      <c r="AC39" s="1576" t="s">
        <v>604</v>
      </c>
      <c r="AD39" s="1346" t="s">
        <v>605</v>
      </c>
      <c r="AE39" s="1346" t="s">
        <v>606</v>
      </c>
      <c r="AF39" s="1579" t="s">
        <v>558</v>
      </c>
      <c r="AG39" s="2407" t="s">
        <v>559</v>
      </c>
      <c r="AH39" s="2408"/>
      <c r="AI39" s="2416"/>
      <c r="AJ39" s="2419"/>
      <c r="AK39" s="2264"/>
      <c r="AQ39" s="1279">
        <v>34</v>
      </c>
    </row>
    <row s="6292" customFormat="1" customHeight="1" ht="0">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575">
        <f>OFFSET(V40,0,-1)+1</f>
        <v>3</v>
      </c>
      <c r="W40" s="1575">
        <f>OFFSET(W40,0,-1)+1</f>
        <v>4</v>
      </c>
      <c r="X40" s="1575">
        <f>OFFSET(X40,0,-1)+1</f>
        <v>5</v>
      </c>
      <c r="Y40" s="1575">
        <f>OFFSET(Y40,0,-1)+1</f>
        <v>6</v>
      </c>
      <c r="Z40" s="2409">
        <f>OFFSET(Z40,0,-1)+1</f>
        <v>7</v>
      </c>
      <c r="AA40" s="2409"/>
      <c r="AB40" s="1575">
        <f>OFFSET(AB40,0,-2)+1</f>
        <v>8</v>
      </c>
      <c r="AC40" s="1575">
        <f>OFFSET(AC40,0,-1)+1</f>
        <v>9</v>
      </c>
      <c r="AD40" s="1575">
        <f>OFFSET(AD40,0,-1)+1</f>
        <v>10</v>
      </c>
      <c r="AE40" s="1575">
        <f>OFFSET(AE40,0,-1)+1</f>
        <v>11</v>
      </c>
      <c r="AF40" s="1575">
        <f>OFFSET(AF40,0,-1)+1</f>
        <v>12</v>
      </c>
      <c r="AG40" s="2409">
        <f>OFFSET(AG40,0,-1)+1</f>
        <v>13</v>
      </c>
      <c r="AH40" s="2409"/>
      <c r="AI40" s="1575">
        <f>OFFSET(AI40,0,-2)+1</f>
        <v>14</v>
      </c>
      <c r="AJ40" s="1369">
        <f>OFFSET(AJ40,0,-1)</f>
        <v>14</v>
      </c>
      <c r="AK40" s="1575">
        <f>OFFSET(AK40,0,-1)+1</f>
        <v>15</v>
      </c>
      <c r="AL40" s="635"/>
      <c r="AM40" s="635"/>
      <c r="AN40" s="635"/>
      <c r="AO40" s="635"/>
      <c r="AP40" s="635"/>
      <c r="AQ40" s="620">
        <v>0</v>
      </c>
    </row>
    <row customHeight="1" ht="24">
      <c r="A41" s="1487" t="s">
        <v>343</v>
      </c>
      <c r="B41" s="1487"/>
      <c r="C41" s="1487"/>
      <c r="D41" s="1487"/>
      <c r="E41" s="2395">
        <v>1</v>
      </c>
      <c r="F41" s="1487"/>
      <c r="G41" s="1487"/>
      <c r="H41" s="1487"/>
      <c r="I41" s="1487"/>
      <c r="J41" s="1487"/>
      <c r="K41" s="1487"/>
      <c r="L41" s="1488"/>
      <c r="M41" s="1489"/>
      <c r="N41" s="1489"/>
      <c r="O41" s="1489"/>
      <c r="P41" s="485"/>
      <c r="Q41" s="484"/>
      <c r="R41" s="479"/>
      <c r="S41" s="1581">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343</v>
      </c>
      <c r="B42" s="1487" t="s">
        <v>344</v>
      </c>
      <c r="C42" s="1487"/>
      <c r="D42" s="1487"/>
      <c r="E42" s="2396"/>
      <c r="F42" s="2395">
        <v>1</v>
      </c>
      <c r="G42" s="1487"/>
      <c r="H42" s="1487"/>
      <c r="I42" s="1487"/>
      <c r="J42" s="1487"/>
      <c r="K42" s="1487"/>
      <c r="L42" s="1488"/>
      <c r="M42" s="1489"/>
      <c r="N42" s="1489"/>
      <c r="O42" s="1489"/>
      <c r="P42" s="1577"/>
      <c r="Q42" s="476"/>
      <c r="R42" s="477"/>
      <c r="S42" s="1581"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343</v>
      </c>
      <c r="B43" s="1487" t="s">
        <v>344</v>
      </c>
      <c r="C43" s="1487" t="s">
        <v>345</v>
      </c>
      <c r="D43" s="1487"/>
      <c r="E43" s="2396"/>
      <c r="F43" s="2396"/>
      <c r="G43" s="2395">
        <v>1</v>
      </c>
      <c r="H43" s="1487"/>
      <c r="I43" s="1487"/>
      <c r="J43" s="1487"/>
      <c r="K43" s="1487"/>
      <c r="L43" s="1488"/>
      <c r="M43" s="1489"/>
      <c r="N43" s="1489"/>
      <c r="O43" s="1489"/>
      <c r="P43" s="478"/>
      <c r="Q43" s="476"/>
      <c r="R43" s="477"/>
      <c r="S43" s="1581" t="str">
        <f>INDEX(PT_DIFFERENTIATION_NUM_CS,MATCH(C43,PT_DIFFERENTIATION_CS_ID,0))</f>
        <v>..</v>
      </c>
      <c r="T43" s="433" t="s">
        <v>593</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594</v>
      </c>
      <c r="AM43" s="624"/>
      <c r="AN43" s="624" t="str">
        <f>IF(T43="","",T43)</f>
        <v>Наименование централизованной системы холодного водоснабжения</v>
      </c>
      <c r="AO43" s="624"/>
      <c r="AP43" s="624"/>
      <c r="AQ43" s="1279">
        <v>23</v>
      </c>
    </row>
    <row customHeight="1" ht="24">
      <c r="A44" s="1487" t="s">
        <v>343</v>
      </c>
      <c r="B44" s="1487" t="s">
        <v>344</v>
      </c>
      <c r="C44" s="1487" t="s">
        <v>345</v>
      </c>
      <c r="D44" s="1487" t="s">
        <v>608</v>
      </c>
      <c r="E44" s="2396"/>
      <c r="F44" s="2396"/>
      <c r="G44" s="2396"/>
      <c r="H44" s="2396"/>
      <c r="I44" s="2393" t="str">
        <f>S43&amp;".1"</f>
        <v>...1</v>
      </c>
      <c r="J44" s="1487"/>
      <c r="K44" s="1487"/>
      <c r="L44" s="1488"/>
      <c r="P44" s="2394">
        <v>1</v>
      </c>
      <c r="Q44" s="1574"/>
      <c r="R44" s="480"/>
      <c r="S44" s="1581"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343</v>
      </c>
      <c r="B45" s="1487" t="s">
        <v>344</v>
      </c>
      <c r="C45" s="1487" t="s">
        <v>345</v>
      </c>
      <c r="D45" s="1487" t="s">
        <v>608</v>
      </c>
      <c r="E45" s="2396"/>
      <c r="F45" s="2396"/>
      <c r="G45" s="2396"/>
      <c r="H45" s="2396"/>
      <c r="I45" s="2423"/>
      <c r="J45" s="2393" t="str">
        <f>I44&amp;".1"</f>
        <v>...1.1</v>
      </c>
      <c r="K45" s="1487"/>
      <c r="L45" s="1488" t="s">
        <v>518</v>
      </c>
      <c r="P45" s="2394"/>
      <c r="Q45" s="2394">
        <v>1</v>
      </c>
      <c r="R45" s="481"/>
      <c r="S45" s="1581"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343</v>
      </c>
      <c r="B46" s="1487" t="s">
        <v>344</v>
      </c>
      <c r="C46" s="1487" t="s">
        <v>345</v>
      </c>
      <c r="D46" s="1487" t="s">
        <v>608</v>
      </c>
      <c r="E46" s="2396"/>
      <c r="F46" s="2396"/>
      <c r="G46" s="2396"/>
      <c r="H46" s="2396"/>
      <c r="I46" s="2423"/>
      <c r="J46" s="2423"/>
      <c r="K46" s="2393" t="str">
        <f>J45&amp;".1"</f>
        <v>...1.1.1</v>
      </c>
      <c r="L46" s="1488"/>
      <c r="P46" s="2394"/>
      <c r="Q46" s="2394"/>
      <c r="R46" s="481">
        <v>1</v>
      </c>
      <c r="S46" s="1581" t="str">
        <f>$K46</f>
        <v>...1.1.1</v>
      </c>
      <c r="T46" s="1561"/>
      <c r="U46" s="424"/>
      <c r="V46" s="875"/>
      <c r="W46" s="875"/>
      <c r="X46" s="1381"/>
      <c r="Y46" s="2402"/>
      <c r="Z46" s="2244" t="s">
        <v>62</v>
      </c>
      <c r="AA46" s="2402"/>
      <c r="AB46" s="2244" t="s">
        <v>62</v>
      </c>
      <c r="AC46" s="875"/>
      <c r="AD46" s="875"/>
      <c r="AE46" s="1381"/>
      <c r="AF46" s="2402"/>
      <c r="AG46" s="2244" t="s">
        <v>62</v>
      </c>
      <c r="AH46" s="2424"/>
      <c r="AI46" s="2244" t="s">
        <v>62</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343</v>
      </c>
      <c r="B47" s="1487" t="s">
        <v>344</v>
      </c>
      <c r="C47" s="1487" t="s">
        <v>345</v>
      </c>
      <c r="D47" s="1487" t="s">
        <v>608</v>
      </c>
      <c r="E47" s="2396"/>
      <c r="F47" s="2396"/>
      <c r="G47" s="2396"/>
      <c r="H47" s="2396"/>
      <c r="I47" s="2423"/>
      <c r="J47" s="2423"/>
      <c r="K47" s="2393"/>
      <c r="L47" s="1488"/>
      <c r="P47" s="2394"/>
      <c r="Q47" s="2394"/>
      <c r="R47" s="481"/>
      <c r="S47" s="1580"/>
      <c r="T47" s="424"/>
      <c r="U47" s="424"/>
      <c r="V47" s="449"/>
      <c r="W47" s="449"/>
      <c r="X47" s="452" t="str">
        <f>Y46&amp;"-"&amp;AA46</f>
        <v>-</v>
      </c>
      <c r="Y47" s="2403"/>
      <c r="Z47" s="2244"/>
      <c r="AA47" s="2403"/>
      <c r="AB47" s="2244"/>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343</v>
      </c>
      <c r="B48" s="1487" t="s">
        <v>344</v>
      </c>
      <c r="C48" s="1487" t="s">
        <v>345</v>
      </c>
      <c r="D48" s="1487" t="s">
        <v>608</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343</v>
      </c>
      <c r="B49" s="1487" t="s">
        <v>344</v>
      </c>
      <c r="C49" s="1487" t="s">
        <v>345</v>
      </c>
      <c r="D49" s="1487" t="s">
        <v>608</v>
      </c>
      <c r="E49" s="2396"/>
      <c r="F49" s="2396"/>
      <c r="G49" s="2396"/>
      <c r="H49" s="2396"/>
      <c r="I49" s="2393"/>
      <c r="J49" s="1487"/>
      <c r="K49" s="1487"/>
      <c r="L49" s="1488"/>
      <c r="P49" s="2394"/>
      <c r="Q49" s="1574"/>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343</v>
      </c>
      <c r="B50" s="1487" t="s">
        <v>344</v>
      </c>
      <c r="C50" s="1487" t="s">
        <v>345</v>
      </c>
      <c r="D50" s="1487" t="s">
        <v>608</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343</v>
      </c>
      <c r="B51" s="1467" t="s">
        <v>344</v>
      </c>
      <c r="C51" s="1438"/>
      <c r="D51" s="1438"/>
      <c r="E51" s="2396"/>
      <c r="F51" s="2395"/>
      <c r="G51" s="1438"/>
      <c r="H51" s="1438"/>
      <c r="I51" s="1438"/>
      <c r="J51" s="1438"/>
      <c r="K51" s="1438"/>
      <c r="L51" s="1582"/>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343</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582"/>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571">
        <v>0</v>
      </c>
      <c r="M58" s="1486">
        <v>0</v>
      </c>
      <c r="N58" s="1486">
        <v>0</v>
      </c>
      <c r="O58" s="1486">
        <v>0</v>
      </c>
      <c r="P58" s="1570">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D89052-57E8-2068-88ED-65155EB5904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581">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577"/>
      <c r="Q3" s="476"/>
      <c r="R3" s="477"/>
      <c r="S3" s="1581">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581">
        <f>INDEX(PT_DIFFERENTIATION_NUM_CS,MATCH(C4,PT_DIFFERENTIATION_CS_ID,0))</f>
      </c>
      <c r="T4" s="433" t="s">
        <v>593</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594</v>
      </c>
      <c r="AM4" s="624"/>
      <c r="AN4" s="624" t="str">
        <f>IF(T4="","",T4)</f>
        <v>Наименование централизованной системы холодного водоснабжения</v>
      </c>
      <c r="AO4" s="624"/>
      <c r="AP4" s="624"/>
      <c r="AQ4" s="1279">
        <v>0</v>
      </c>
    </row>
    <row customHeight="1" ht="23.25" hidden="1">
      <c r="A5" s="1487"/>
      <c r="B5" s="1487"/>
      <c r="C5" s="1487"/>
      <c r="D5" s="1487"/>
      <c r="E5" s="2396"/>
      <c r="F5" s="2396"/>
      <c r="G5" s="2396"/>
      <c r="H5" s="2396"/>
      <c r="I5" s="2393">
        <f>S4&amp;".1"</f>
      </c>
      <c r="J5" s="1487"/>
      <c r="K5" s="1487"/>
      <c r="L5" s="1488"/>
      <c r="P5" s="2394">
        <v>1</v>
      </c>
      <c r="Q5" s="1574"/>
      <c r="R5" s="480"/>
      <c r="S5" s="1581">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581">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581">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580"/>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574"/>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582"/>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571"/>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571"/>
      <c r="M19" s="1486"/>
      <c r="N19" s="1486"/>
      <c r="O19" s="1486"/>
      <c r="P19" s="1486"/>
      <c r="Q19" s="1495"/>
      <c r="R19" s="1495"/>
      <c r="S19" s="853"/>
      <c r="AB19" s="1490"/>
      <c r="AI19" s="1490"/>
      <c r="AL19" s="635"/>
      <c r="AM19" s="635"/>
      <c r="AN19" s="635"/>
      <c r="AO19" s="635"/>
      <c r="AP19" s="635"/>
      <c r="AQ19" s="1284">
        <v>0</v>
      </c>
    </row>
    <row s="7158" customFormat="1" customHeight="1" ht="12" hidden="1">
      <c r="L20" s="1571"/>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578"/>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576" t="s">
        <v>601</v>
      </c>
      <c r="W38" s="2399" t="s">
        <v>547</v>
      </c>
      <c r="X38" s="2400"/>
      <c r="Y38" s="2399" t="s">
        <v>548</v>
      </c>
      <c r="Z38" s="2406"/>
      <c r="AA38" s="2400"/>
      <c r="AB38" s="2415"/>
      <c r="AC38" s="1576" t="s">
        <v>601</v>
      </c>
      <c r="AD38" s="2399" t="s">
        <v>547</v>
      </c>
      <c r="AE38" s="2400"/>
      <c r="AF38" s="2399" t="s">
        <v>548</v>
      </c>
      <c r="AG38" s="2406"/>
      <c r="AH38" s="2400"/>
      <c r="AI38" s="2415"/>
      <c r="AJ38" s="2418"/>
      <c r="AK38" s="2264"/>
      <c r="AQ38" s="1279">
        <v>34</v>
      </c>
    </row>
    <row customHeight="1" ht="35.699999999999996">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576" t="s">
        <v>604</v>
      </c>
      <c r="W39" s="1346" t="s">
        <v>605</v>
      </c>
      <c r="X39" s="1346" t="s">
        <v>606</v>
      </c>
      <c r="Y39" s="1579" t="s">
        <v>558</v>
      </c>
      <c r="Z39" s="2407" t="s">
        <v>559</v>
      </c>
      <c r="AA39" s="2408"/>
      <c r="AB39" s="2416"/>
      <c r="AC39" s="1576" t="s">
        <v>604</v>
      </c>
      <c r="AD39" s="1346" t="s">
        <v>605</v>
      </c>
      <c r="AE39" s="1346" t="s">
        <v>606</v>
      </c>
      <c r="AF39" s="1579" t="s">
        <v>558</v>
      </c>
      <c r="AG39" s="2407" t="s">
        <v>559</v>
      </c>
      <c r="AH39" s="2408"/>
      <c r="AI39" s="2416"/>
      <c r="AJ39" s="2419"/>
      <c r="AK39" s="2264"/>
      <c r="AQ39" s="1279">
        <v>34</v>
      </c>
    </row>
    <row s="6292" customFormat="1" customHeight="1" ht="0">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575">
        <f>OFFSET(V40,0,-1)+1</f>
        <v>3</v>
      </c>
      <c r="W40" s="1575">
        <f>OFFSET(W40,0,-1)+1</f>
        <v>4</v>
      </c>
      <c r="X40" s="1575">
        <f>OFFSET(X40,0,-1)+1</f>
        <v>5</v>
      </c>
      <c r="Y40" s="1575">
        <f>OFFSET(Y40,0,-1)+1</f>
        <v>6</v>
      </c>
      <c r="Z40" s="2409">
        <f>OFFSET(Z40,0,-1)+1</f>
        <v>7</v>
      </c>
      <c r="AA40" s="2409"/>
      <c r="AB40" s="1575">
        <f>OFFSET(AB40,0,-2)+1</f>
        <v>8</v>
      </c>
      <c r="AC40" s="1575">
        <f>OFFSET(AC40,0,-1)+1</f>
        <v>9</v>
      </c>
      <c r="AD40" s="1575">
        <f>OFFSET(AD40,0,-1)+1</f>
        <v>10</v>
      </c>
      <c r="AE40" s="1575">
        <f>OFFSET(AE40,0,-1)+1</f>
        <v>11</v>
      </c>
      <c r="AF40" s="1575">
        <f>OFFSET(AF40,0,-1)+1</f>
        <v>12</v>
      </c>
      <c r="AG40" s="2409">
        <f>OFFSET(AG40,0,-1)+1</f>
        <v>13</v>
      </c>
      <c r="AH40" s="2409"/>
      <c r="AI40" s="1575">
        <f>OFFSET(AI40,0,-2)+1</f>
        <v>14</v>
      </c>
      <c r="AJ40" s="1369">
        <f>OFFSET(AJ40,0,-1)</f>
        <v>14</v>
      </c>
      <c r="AK40" s="1575">
        <f>OFFSET(AK40,0,-1)+1</f>
        <v>15</v>
      </c>
      <c r="AL40" s="635"/>
      <c r="AM40" s="635"/>
      <c r="AN40" s="635"/>
      <c r="AO40" s="635"/>
      <c r="AP40" s="635"/>
      <c r="AQ40" s="620">
        <v>0</v>
      </c>
    </row>
    <row customHeight="1" ht="24">
      <c r="A41" s="1487" t="s">
        <v>348</v>
      </c>
      <c r="B41" s="1487"/>
      <c r="C41" s="1487"/>
      <c r="D41" s="1487"/>
      <c r="E41" s="2395">
        <v>1</v>
      </c>
      <c r="F41" s="1487"/>
      <c r="G41" s="1487"/>
      <c r="H41" s="1487"/>
      <c r="I41" s="1487"/>
      <c r="J41" s="1487"/>
      <c r="K41" s="1487"/>
      <c r="L41" s="1488"/>
      <c r="M41" s="1489"/>
      <c r="N41" s="1489"/>
      <c r="O41" s="1489"/>
      <c r="P41" s="485"/>
      <c r="Q41" s="484"/>
      <c r="R41" s="479"/>
      <c r="S41" s="1581">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348</v>
      </c>
      <c r="B42" s="1487" t="s">
        <v>349</v>
      </c>
      <c r="C42" s="1487"/>
      <c r="D42" s="1487"/>
      <c r="E42" s="2396"/>
      <c r="F42" s="2395">
        <v>1</v>
      </c>
      <c r="G42" s="1487"/>
      <c r="H42" s="1487"/>
      <c r="I42" s="1487"/>
      <c r="J42" s="1487"/>
      <c r="K42" s="1487"/>
      <c r="L42" s="1488"/>
      <c r="M42" s="1489"/>
      <c r="N42" s="1489"/>
      <c r="O42" s="1489"/>
      <c r="P42" s="1577"/>
      <c r="Q42" s="476"/>
      <c r="R42" s="477"/>
      <c r="S42" s="1581"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348</v>
      </c>
      <c r="B43" s="1487" t="s">
        <v>349</v>
      </c>
      <c r="C43" s="1487" t="s">
        <v>350</v>
      </c>
      <c r="D43" s="1487"/>
      <c r="E43" s="2396"/>
      <c r="F43" s="2396"/>
      <c r="G43" s="2395">
        <v>1</v>
      </c>
      <c r="H43" s="1487"/>
      <c r="I43" s="1487"/>
      <c r="J43" s="1487"/>
      <c r="K43" s="1487"/>
      <c r="L43" s="1488"/>
      <c r="M43" s="1489"/>
      <c r="N43" s="1489"/>
      <c r="O43" s="1489"/>
      <c r="P43" s="478"/>
      <c r="Q43" s="476"/>
      <c r="R43" s="477"/>
      <c r="S43" s="1581" t="str">
        <f>INDEX(PT_DIFFERENTIATION_NUM_CS,MATCH(C43,PT_DIFFERENTIATION_CS_ID,0))</f>
        <v>..</v>
      </c>
      <c r="T43" s="433" t="s">
        <v>593</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594</v>
      </c>
      <c r="AM43" s="624"/>
      <c r="AN43" s="624" t="str">
        <f>IF(T43="","",T43)</f>
        <v>Наименование централизованной системы холодного водоснабжения</v>
      </c>
      <c r="AO43" s="624"/>
      <c r="AP43" s="624"/>
      <c r="AQ43" s="1279">
        <v>23</v>
      </c>
    </row>
    <row customHeight="1" ht="24">
      <c r="A44" s="1487" t="s">
        <v>348</v>
      </c>
      <c r="B44" s="1487" t="s">
        <v>349</v>
      </c>
      <c r="C44" s="1487" t="s">
        <v>350</v>
      </c>
      <c r="D44" s="1487" t="s">
        <v>609</v>
      </c>
      <c r="E44" s="2396"/>
      <c r="F44" s="2396"/>
      <c r="G44" s="2396"/>
      <c r="H44" s="2396"/>
      <c r="I44" s="2393" t="str">
        <f>S43&amp;".1"</f>
        <v>...1</v>
      </c>
      <c r="J44" s="1487"/>
      <c r="K44" s="1487"/>
      <c r="L44" s="1488"/>
      <c r="P44" s="2394">
        <v>1</v>
      </c>
      <c r="Q44" s="1574"/>
      <c r="R44" s="480"/>
      <c r="S44" s="1581"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348</v>
      </c>
      <c r="B45" s="1487" t="s">
        <v>349</v>
      </c>
      <c r="C45" s="1487" t="s">
        <v>350</v>
      </c>
      <c r="D45" s="1487" t="s">
        <v>609</v>
      </c>
      <c r="E45" s="2396"/>
      <c r="F45" s="2396"/>
      <c r="G45" s="2396"/>
      <c r="H45" s="2396"/>
      <c r="I45" s="2423"/>
      <c r="J45" s="2393" t="str">
        <f>I44&amp;".1"</f>
        <v>...1.1</v>
      </c>
      <c r="K45" s="1487"/>
      <c r="L45" s="1488" t="s">
        <v>518</v>
      </c>
      <c r="P45" s="2394"/>
      <c r="Q45" s="2394">
        <v>1</v>
      </c>
      <c r="R45" s="481"/>
      <c r="S45" s="1581"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348</v>
      </c>
      <c r="B46" s="1487" t="s">
        <v>349</v>
      </c>
      <c r="C46" s="1487" t="s">
        <v>350</v>
      </c>
      <c r="D46" s="1487" t="s">
        <v>609</v>
      </c>
      <c r="E46" s="2396"/>
      <c r="F46" s="2396"/>
      <c r="G46" s="2396"/>
      <c r="H46" s="2396"/>
      <c r="I46" s="2423"/>
      <c r="J46" s="2423"/>
      <c r="K46" s="2393" t="str">
        <f>J45&amp;".1"</f>
        <v>...1.1.1</v>
      </c>
      <c r="L46" s="1488"/>
      <c r="P46" s="2394"/>
      <c r="Q46" s="2394"/>
      <c r="R46" s="481">
        <v>1</v>
      </c>
      <c r="S46" s="1581" t="str">
        <f>$K46</f>
        <v>...1.1.1</v>
      </c>
      <c r="T46" s="1561"/>
      <c r="U46" s="424"/>
      <c r="V46" s="875"/>
      <c r="W46" s="875"/>
      <c r="X46" s="1381"/>
      <c r="Y46" s="2402"/>
      <c r="Z46" s="2244" t="s">
        <v>62</v>
      </c>
      <c r="AA46" s="2402"/>
      <c r="AB46" s="2244" t="s">
        <v>62</v>
      </c>
      <c r="AC46" s="875"/>
      <c r="AD46" s="875"/>
      <c r="AE46" s="1381"/>
      <c r="AF46" s="2402"/>
      <c r="AG46" s="2244" t="s">
        <v>62</v>
      </c>
      <c r="AH46" s="2424"/>
      <c r="AI46" s="2244" t="s">
        <v>62</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348</v>
      </c>
      <c r="B47" s="1487" t="s">
        <v>349</v>
      </c>
      <c r="C47" s="1487" t="s">
        <v>350</v>
      </c>
      <c r="D47" s="1487" t="s">
        <v>609</v>
      </c>
      <c r="E47" s="2396"/>
      <c r="F47" s="2396"/>
      <c r="G47" s="2396"/>
      <c r="H47" s="2396"/>
      <c r="I47" s="2423"/>
      <c r="J47" s="2423"/>
      <c r="K47" s="2393"/>
      <c r="L47" s="1488"/>
      <c r="P47" s="2394"/>
      <c r="Q47" s="2394"/>
      <c r="R47" s="481"/>
      <c r="S47" s="1580"/>
      <c r="T47" s="424"/>
      <c r="U47" s="424"/>
      <c r="V47" s="449"/>
      <c r="W47" s="449"/>
      <c r="X47" s="452" t="str">
        <f>Y46&amp;"-"&amp;AA46</f>
        <v>-</v>
      </c>
      <c r="Y47" s="2403"/>
      <c r="Z47" s="2244"/>
      <c r="AA47" s="2403"/>
      <c r="AB47" s="2244"/>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348</v>
      </c>
      <c r="B48" s="1487" t="s">
        <v>349</v>
      </c>
      <c r="C48" s="1487" t="s">
        <v>350</v>
      </c>
      <c r="D48" s="1487" t="s">
        <v>609</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348</v>
      </c>
      <c r="B49" s="1487" t="s">
        <v>349</v>
      </c>
      <c r="C49" s="1487" t="s">
        <v>350</v>
      </c>
      <c r="D49" s="1487" t="s">
        <v>609</v>
      </c>
      <c r="E49" s="2396"/>
      <c r="F49" s="2396"/>
      <c r="G49" s="2396"/>
      <c r="H49" s="2396"/>
      <c r="I49" s="2393"/>
      <c r="J49" s="1487"/>
      <c r="K49" s="1487"/>
      <c r="L49" s="1488"/>
      <c r="P49" s="2394"/>
      <c r="Q49" s="1574"/>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348</v>
      </c>
      <c r="B50" s="1487" t="s">
        <v>349</v>
      </c>
      <c r="C50" s="1487" t="s">
        <v>350</v>
      </c>
      <c r="D50" s="1487" t="s">
        <v>609</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348</v>
      </c>
      <c r="B51" s="1467" t="s">
        <v>349</v>
      </c>
      <c r="C51" s="1438"/>
      <c r="D51" s="1438"/>
      <c r="E51" s="2396"/>
      <c r="F51" s="2395"/>
      <c r="G51" s="1438"/>
      <c r="H51" s="1438"/>
      <c r="I51" s="1438"/>
      <c r="J51" s="1438"/>
      <c r="K51" s="1438"/>
      <c r="L51" s="1582"/>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348</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582"/>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571">
        <v>0</v>
      </c>
      <c r="M58" s="1486">
        <v>0</v>
      </c>
      <c r="N58" s="1486">
        <v>0</v>
      </c>
      <c r="O58" s="1486">
        <v>0</v>
      </c>
      <c r="P58" s="1570">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48A267-1C98-36C7-AADF-C3F903B18A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581">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577"/>
      <c r="Q3" s="476"/>
      <c r="R3" s="477"/>
      <c r="S3" s="1581">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581">
        <f>INDEX(PT_DIFFERENTIATION_NUM_CS,MATCH(C4,PT_DIFFERENTIATION_CS_ID,0))</f>
      </c>
      <c r="T4" s="433" t="s">
        <v>593</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594</v>
      </c>
      <c r="AM4" s="624"/>
      <c r="AN4" s="624" t="str">
        <f>IF(T4="","",T4)</f>
        <v>Наименование централизованной системы холодного водоснабжения</v>
      </c>
      <c r="AO4" s="624"/>
      <c r="AP4" s="624"/>
      <c r="AQ4" s="1279">
        <v>0</v>
      </c>
    </row>
    <row customHeight="1" ht="23.25" hidden="1">
      <c r="A5" s="1487"/>
      <c r="B5" s="1487"/>
      <c r="C5" s="1487"/>
      <c r="D5" s="1487"/>
      <c r="E5" s="2396"/>
      <c r="F5" s="2396"/>
      <c r="G5" s="2396"/>
      <c r="H5" s="2396"/>
      <c r="I5" s="2393">
        <f>S4&amp;".1"</f>
      </c>
      <c r="J5" s="1487"/>
      <c r="K5" s="1487"/>
      <c r="L5" s="1488"/>
      <c r="P5" s="2394">
        <v>1</v>
      </c>
      <c r="Q5" s="1574"/>
      <c r="R5" s="480"/>
      <c r="S5" s="1581">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581">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581">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580"/>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574"/>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582"/>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571"/>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571"/>
      <c r="M19" s="1486"/>
      <c r="N19" s="1486"/>
      <c r="O19" s="1486"/>
      <c r="P19" s="1486"/>
      <c r="Q19" s="1495"/>
      <c r="R19" s="1495"/>
      <c r="S19" s="853"/>
      <c r="AB19" s="1490"/>
      <c r="AI19" s="1490"/>
      <c r="AL19" s="635"/>
      <c r="AM19" s="635"/>
      <c r="AN19" s="635"/>
      <c r="AO19" s="635"/>
      <c r="AP19" s="635"/>
      <c r="AQ19" s="1284">
        <v>0</v>
      </c>
    </row>
    <row s="7158" customFormat="1" customHeight="1" ht="12" hidden="1">
      <c r="L20" s="1571"/>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578"/>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576" t="s">
        <v>601</v>
      </c>
      <c r="W38" s="2399" t="s">
        <v>547</v>
      </c>
      <c r="X38" s="2400"/>
      <c r="Y38" s="2399" t="s">
        <v>548</v>
      </c>
      <c r="Z38" s="2406"/>
      <c r="AA38" s="2400"/>
      <c r="AB38" s="2415"/>
      <c r="AC38" s="1576" t="s">
        <v>601</v>
      </c>
      <c r="AD38" s="2399" t="s">
        <v>547</v>
      </c>
      <c r="AE38" s="2400"/>
      <c r="AF38" s="2399" t="s">
        <v>548</v>
      </c>
      <c r="AG38" s="2406"/>
      <c r="AH38" s="2400"/>
      <c r="AI38" s="2415"/>
      <c r="AJ38" s="2418"/>
      <c r="AK38" s="2264"/>
      <c r="AQ38" s="1279">
        <v>34</v>
      </c>
    </row>
    <row customHeight="1" ht="35.699999999999996">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576" t="s">
        <v>604</v>
      </c>
      <c r="W39" s="1346" t="s">
        <v>605</v>
      </c>
      <c r="X39" s="1346" t="s">
        <v>606</v>
      </c>
      <c r="Y39" s="1579" t="s">
        <v>558</v>
      </c>
      <c r="Z39" s="2407" t="s">
        <v>559</v>
      </c>
      <c r="AA39" s="2408"/>
      <c r="AB39" s="2416"/>
      <c r="AC39" s="1576" t="s">
        <v>604</v>
      </c>
      <c r="AD39" s="1346" t="s">
        <v>605</v>
      </c>
      <c r="AE39" s="1346" t="s">
        <v>606</v>
      </c>
      <c r="AF39" s="1579" t="s">
        <v>558</v>
      </c>
      <c r="AG39" s="2407" t="s">
        <v>559</v>
      </c>
      <c r="AH39" s="2408"/>
      <c r="AI39" s="2416"/>
      <c r="AJ39" s="2419"/>
      <c r="AK39" s="2264"/>
      <c r="AQ39" s="1279">
        <v>34</v>
      </c>
    </row>
    <row s="6292" customFormat="1" customHeight="1" ht="0">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575">
        <f>OFFSET(V40,0,-1)+1</f>
        <v>3</v>
      </c>
      <c r="W40" s="1575">
        <f>OFFSET(W40,0,-1)+1</f>
        <v>4</v>
      </c>
      <c r="X40" s="1575">
        <f>OFFSET(X40,0,-1)+1</f>
        <v>5</v>
      </c>
      <c r="Y40" s="1575">
        <f>OFFSET(Y40,0,-1)+1</f>
        <v>6</v>
      </c>
      <c r="Z40" s="2409">
        <f>OFFSET(Z40,0,-1)+1</f>
        <v>7</v>
      </c>
      <c r="AA40" s="2409"/>
      <c r="AB40" s="1575">
        <f>OFFSET(AB40,0,-2)+1</f>
        <v>8</v>
      </c>
      <c r="AC40" s="1575">
        <f>OFFSET(AC40,0,-1)+1</f>
        <v>9</v>
      </c>
      <c r="AD40" s="1575">
        <f>OFFSET(AD40,0,-1)+1</f>
        <v>10</v>
      </c>
      <c r="AE40" s="1575">
        <f>OFFSET(AE40,0,-1)+1</f>
        <v>11</v>
      </c>
      <c r="AF40" s="1575">
        <f>OFFSET(AF40,0,-1)+1</f>
        <v>12</v>
      </c>
      <c r="AG40" s="2409">
        <f>OFFSET(AG40,0,-1)+1</f>
        <v>13</v>
      </c>
      <c r="AH40" s="2409"/>
      <c r="AI40" s="1575">
        <f>OFFSET(AI40,0,-2)+1</f>
        <v>14</v>
      </c>
      <c r="AJ40" s="1369">
        <f>OFFSET(AJ40,0,-1)</f>
        <v>14</v>
      </c>
      <c r="AK40" s="1575">
        <f>OFFSET(AK40,0,-1)+1</f>
        <v>15</v>
      </c>
      <c r="AL40" s="635"/>
      <c r="AM40" s="635"/>
      <c r="AN40" s="635"/>
      <c r="AO40" s="635"/>
      <c r="AP40" s="635"/>
      <c r="AQ40" s="620">
        <v>0</v>
      </c>
    </row>
    <row customHeight="1" ht="24">
      <c r="A41" s="1487" t="s">
        <v>353</v>
      </c>
      <c r="B41" s="1487"/>
      <c r="C41" s="1487"/>
      <c r="D41" s="1487"/>
      <c r="E41" s="2395">
        <v>1</v>
      </c>
      <c r="F41" s="1487"/>
      <c r="G41" s="1487"/>
      <c r="H41" s="1487"/>
      <c r="I41" s="1487"/>
      <c r="J41" s="1487"/>
      <c r="K41" s="1487"/>
      <c r="L41" s="1488"/>
      <c r="M41" s="1489"/>
      <c r="N41" s="1489"/>
      <c r="O41" s="1489"/>
      <c r="P41" s="485"/>
      <c r="Q41" s="484"/>
      <c r="R41" s="479"/>
      <c r="S41" s="1581">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353</v>
      </c>
      <c r="B42" s="1487" t="s">
        <v>354</v>
      </c>
      <c r="C42" s="1487"/>
      <c r="D42" s="1487"/>
      <c r="E42" s="2396"/>
      <c r="F42" s="2395">
        <v>1</v>
      </c>
      <c r="G42" s="1487"/>
      <c r="H42" s="1487"/>
      <c r="I42" s="1487"/>
      <c r="J42" s="1487"/>
      <c r="K42" s="1487"/>
      <c r="L42" s="1488"/>
      <c r="M42" s="1489"/>
      <c r="N42" s="1489"/>
      <c r="O42" s="1489"/>
      <c r="P42" s="1577"/>
      <c r="Q42" s="476"/>
      <c r="R42" s="477"/>
      <c r="S42" s="1581"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353</v>
      </c>
      <c r="B43" s="1487" t="s">
        <v>354</v>
      </c>
      <c r="C43" s="1487" t="s">
        <v>355</v>
      </c>
      <c r="D43" s="1487"/>
      <c r="E43" s="2396"/>
      <c r="F43" s="2396"/>
      <c r="G43" s="2395">
        <v>1</v>
      </c>
      <c r="H43" s="1487"/>
      <c r="I43" s="1487"/>
      <c r="J43" s="1487"/>
      <c r="K43" s="1487"/>
      <c r="L43" s="1488"/>
      <c r="M43" s="1489"/>
      <c r="N43" s="1489"/>
      <c r="O43" s="1489"/>
      <c r="P43" s="478"/>
      <c r="Q43" s="476"/>
      <c r="R43" s="477"/>
      <c r="S43" s="1581" t="str">
        <f>INDEX(PT_DIFFERENTIATION_NUM_CS,MATCH(C43,PT_DIFFERENTIATION_CS_ID,0))</f>
        <v>..</v>
      </c>
      <c r="T43" s="433" t="s">
        <v>593</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594</v>
      </c>
      <c r="AM43" s="624"/>
      <c r="AN43" s="624" t="str">
        <f>IF(T43="","",T43)</f>
        <v>Наименование централизованной системы холодного водоснабжения</v>
      </c>
      <c r="AO43" s="624"/>
      <c r="AP43" s="624"/>
      <c r="AQ43" s="1279">
        <v>23</v>
      </c>
    </row>
    <row customHeight="1" ht="24">
      <c r="A44" s="1487" t="s">
        <v>353</v>
      </c>
      <c r="B44" s="1487" t="s">
        <v>354</v>
      </c>
      <c r="C44" s="1487" t="s">
        <v>355</v>
      </c>
      <c r="D44" s="1487" t="s">
        <v>610</v>
      </c>
      <c r="E44" s="2396"/>
      <c r="F44" s="2396"/>
      <c r="G44" s="2396"/>
      <c r="H44" s="2396"/>
      <c r="I44" s="2393" t="str">
        <f>S43&amp;".1"</f>
        <v>...1</v>
      </c>
      <c r="J44" s="1487"/>
      <c r="K44" s="1487"/>
      <c r="L44" s="1488"/>
      <c r="P44" s="2394">
        <v>1</v>
      </c>
      <c r="Q44" s="1574"/>
      <c r="R44" s="480"/>
      <c r="S44" s="1581"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353</v>
      </c>
      <c r="B45" s="1487" t="s">
        <v>354</v>
      </c>
      <c r="C45" s="1487" t="s">
        <v>355</v>
      </c>
      <c r="D45" s="1487" t="s">
        <v>610</v>
      </c>
      <c r="E45" s="2396"/>
      <c r="F45" s="2396"/>
      <c r="G45" s="2396"/>
      <c r="H45" s="2396"/>
      <c r="I45" s="2423"/>
      <c r="J45" s="2393" t="str">
        <f>I44&amp;".1"</f>
        <v>...1.1</v>
      </c>
      <c r="K45" s="1487"/>
      <c r="L45" s="1488" t="s">
        <v>518</v>
      </c>
      <c r="P45" s="2394"/>
      <c r="Q45" s="2394">
        <v>1</v>
      </c>
      <c r="R45" s="481"/>
      <c r="S45" s="1581"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353</v>
      </c>
      <c r="B46" s="1487" t="s">
        <v>354</v>
      </c>
      <c r="C46" s="1487" t="s">
        <v>355</v>
      </c>
      <c r="D46" s="1487" t="s">
        <v>610</v>
      </c>
      <c r="E46" s="2396"/>
      <c r="F46" s="2396"/>
      <c r="G46" s="2396"/>
      <c r="H46" s="2396"/>
      <c r="I46" s="2423"/>
      <c r="J46" s="2423"/>
      <c r="K46" s="2393" t="str">
        <f>J45&amp;".1"</f>
        <v>...1.1.1</v>
      </c>
      <c r="L46" s="1488"/>
      <c r="P46" s="2394"/>
      <c r="Q46" s="2394"/>
      <c r="R46" s="481">
        <v>1</v>
      </c>
      <c r="S46" s="1581" t="str">
        <f>$K46</f>
        <v>...1.1.1</v>
      </c>
      <c r="T46" s="1561"/>
      <c r="U46" s="424"/>
      <c r="V46" s="875"/>
      <c r="W46" s="875"/>
      <c r="X46" s="1381"/>
      <c r="Y46" s="2402"/>
      <c r="Z46" s="2244" t="s">
        <v>62</v>
      </c>
      <c r="AA46" s="2402"/>
      <c r="AB46" s="2244" t="s">
        <v>62</v>
      </c>
      <c r="AC46" s="875"/>
      <c r="AD46" s="875"/>
      <c r="AE46" s="1381"/>
      <c r="AF46" s="2402"/>
      <c r="AG46" s="2244" t="s">
        <v>62</v>
      </c>
      <c r="AH46" s="2424"/>
      <c r="AI46" s="2244" t="s">
        <v>62</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353</v>
      </c>
      <c r="B47" s="1487" t="s">
        <v>354</v>
      </c>
      <c r="C47" s="1487" t="s">
        <v>355</v>
      </c>
      <c r="D47" s="1487" t="s">
        <v>610</v>
      </c>
      <c r="E47" s="2396"/>
      <c r="F47" s="2396"/>
      <c r="G47" s="2396"/>
      <c r="H47" s="2396"/>
      <c r="I47" s="2423"/>
      <c r="J47" s="2423"/>
      <c r="K47" s="2393"/>
      <c r="L47" s="1488"/>
      <c r="P47" s="2394"/>
      <c r="Q47" s="2394"/>
      <c r="R47" s="481"/>
      <c r="S47" s="1580"/>
      <c r="T47" s="424"/>
      <c r="U47" s="424"/>
      <c r="V47" s="449"/>
      <c r="W47" s="449"/>
      <c r="X47" s="452" t="str">
        <f>Y46&amp;"-"&amp;AA46</f>
        <v>-</v>
      </c>
      <c r="Y47" s="2403"/>
      <c r="Z47" s="2244"/>
      <c r="AA47" s="2403"/>
      <c r="AB47" s="2244"/>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353</v>
      </c>
      <c r="B48" s="1487" t="s">
        <v>354</v>
      </c>
      <c r="C48" s="1487" t="s">
        <v>355</v>
      </c>
      <c r="D48" s="1487" t="s">
        <v>610</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353</v>
      </c>
      <c r="B49" s="1487" t="s">
        <v>354</v>
      </c>
      <c r="C49" s="1487" t="s">
        <v>355</v>
      </c>
      <c r="D49" s="1487" t="s">
        <v>610</v>
      </c>
      <c r="E49" s="2396"/>
      <c r="F49" s="2396"/>
      <c r="G49" s="2396"/>
      <c r="H49" s="2396"/>
      <c r="I49" s="2393"/>
      <c r="J49" s="1487"/>
      <c r="K49" s="1487"/>
      <c r="L49" s="1488"/>
      <c r="P49" s="2394"/>
      <c r="Q49" s="1574"/>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353</v>
      </c>
      <c r="B50" s="1487" t="s">
        <v>354</v>
      </c>
      <c r="C50" s="1487" t="s">
        <v>355</v>
      </c>
      <c r="D50" s="1487" t="s">
        <v>610</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353</v>
      </c>
      <c r="B51" s="1467" t="s">
        <v>354</v>
      </c>
      <c r="C51" s="1438"/>
      <c r="D51" s="1438"/>
      <c r="E51" s="2396"/>
      <c r="F51" s="2395"/>
      <c r="G51" s="1438"/>
      <c r="H51" s="1438"/>
      <c r="I51" s="1438"/>
      <c r="J51" s="1438"/>
      <c r="K51" s="1438"/>
      <c r="L51" s="1582"/>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353</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582"/>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571">
        <v>0</v>
      </c>
      <c r="M58" s="1486">
        <v>0</v>
      </c>
      <c r="N58" s="1486">
        <v>0</v>
      </c>
      <c r="O58" s="1486">
        <v>0</v>
      </c>
      <c r="P58" s="1570">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89DDE8-5951-DD18-E447-BB0FCACBF0E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7213" width="10.140625" hidden="1" customWidth="1"/>
    <col min="4" max="4" style="7213" width="11.8515625" hidden="1" customWidth="1"/>
    <col min="5" max="11" style="7213" width="10.140625" hidden="1" customWidth="1"/>
    <col min="12" max="12" style="7895" width="10.140625" hidden="1" customWidth="1"/>
    <col min="13" max="15" style="7916" width="10.140625" hidden="1" customWidth="1"/>
    <col min="16" max="16" style="6374" width="3.00390625" customWidth="1"/>
    <col min="17" max="17" style="6440" width="3.00390625" customWidth="1"/>
    <col min="18" max="18" style="7183" width="3.00390625" customWidth="1"/>
    <col min="19" max="19" style="7888" width="12.00390625" customWidth="1"/>
    <col min="20" max="20" style="7213" width="31.00390625" customWidth="1"/>
    <col min="21" max="21" style="7213" width="0.140625" customWidth="1"/>
    <col min="22" max="23" style="7213" width="21.7109375" hidden="1" customWidth="1"/>
    <col min="24" max="24" style="7213" width="11.7109375" hidden="1" customWidth="1"/>
    <col min="25" max="25" style="7213" width="3.7109375" hidden="1" customWidth="1"/>
    <col min="26" max="26" style="7213" width="11.7109375" hidden="1" customWidth="1"/>
    <col min="27" max="27" style="7213" width="8.57421875" hidden="1" customWidth="1"/>
    <col min="28" max="28" style="7213" width="27.00390625" customWidth="1"/>
    <col min="29" max="29" style="7213" width="24.57421875" customWidth="1"/>
    <col min="30" max="31" style="7213" width="21.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0.75" hidden="1">
      <c r="AQ1" s="1755" t="s">
        <v>14</v>
      </c>
    </row>
    <row customHeight="1" ht="21" hidden="1">
      <c r="A2" s="1391"/>
      <c r="B2" s="1391"/>
      <c r="C2" s="1391"/>
      <c r="D2" s="1391"/>
      <c r="E2" s="2426">
        <v>1</v>
      </c>
      <c r="F2" s="1391"/>
      <c r="G2" s="1391"/>
      <c r="H2" s="1391"/>
      <c r="I2" s="1391"/>
      <c r="J2" s="1391"/>
      <c r="K2" s="1391"/>
      <c r="L2" s="1434"/>
      <c r="M2" s="1734"/>
      <c r="N2" s="1734"/>
      <c r="O2" s="1734"/>
      <c r="P2" s="1533"/>
      <c r="Q2" s="997"/>
      <c r="R2" s="479"/>
      <c r="S2" s="2079">
        <f>INDEX(PT_DIFFERENTIATION_NUM_NTAR,MATCH(A2,PT_DIFFERENTIATION_NTAR_ID,0))</f>
      </c>
      <c r="T2" s="1649" t="s">
        <v>243</v>
      </c>
      <c r="U2" s="424"/>
      <c r="V2" s="2380"/>
      <c r="W2" s="2380"/>
      <c r="X2" s="2380"/>
      <c r="Y2" s="2380"/>
      <c r="Z2" s="2380"/>
      <c r="AA2" s="2381"/>
      <c r="AB2" s="2073"/>
      <c r="AC2" s="2380">
        <f>INDEX(PT_DIFFERENTIATION_NTAR,MATCH(A2,PT_DIFFERENTIATION_NTAR_ID,0))</f>
      </c>
      <c r="AD2" s="2380"/>
      <c r="AE2" s="2380"/>
      <c r="AF2" s="2380"/>
      <c r="AG2" s="2380"/>
      <c r="AH2" s="2380"/>
      <c r="AI2" s="2380"/>
      <c r="AJ2" s="2381"/>
      <c r="AK2" s="1382" t="s">
        <v>508</v>
      </c>
      <c r="AM2" s="1748"/>
      <c r="AN2" s="1748" t="str">
        <f>IF(T2="","",T2)</f>
        <v>Наименование тарифа</v>
      </c>
      <c r="AO2" s="1748"/>
      <c r="AP2" s="1748"/>
      <c r="AQ2" s="1755">
        <v>0</v>
      </c>
    </row>
    <row customHeight="1" ht="21" hidden="1">
      <c r="A3" s="1391"/>
      <c r="B3" s="1391"/>
      <c r="C3" s="1391"/>
      <c r="D3" s="1391"/>
      <c r="E3" s="2427"/>
      <c r="F3" s="2426">
        <v>1</v>
      </c>
      <c r="G3" s="1391"/>
      <c r="H3" s="1391"/>
      <c r="I3" s="1391"/>
      <c r="J3" s="1391"/>
      <c r="K3" s="1391"/>
      <c r="L3" s="1434"/>
      <c r="M3" s="1734"/>
      <c r="N3" s="1734"/>
      <c r="O3" s="1734"/>
      <c r="P3" s="2090"/>
      <c r="Q3" s="1535"/>
      <c r="R3" s="477"/>
      <c r="S3" s="2079">
        <f>INDEX(PT_DIFFERENTIATION_NUM_TER,MATCH(B3,PT_DIFFERENTIATION_TER_ID,0))</f>
      </c>
      <c r="T3" s="1646" t="s">
        <v>509</v>
      </c>
      <c r="U3" s="424"/>
      <c r="V3" s="2380"/>
      <c r="W3" s="2380"/>
      <c r="X3" s="2380"/>
      <c r="Y3" s="2380"/>
      <c r="Z3" s="2380"/>
      <c r="AA3" s="2381"/>
      <c r="AB3" s="2073"/>
      <c r="AC3" s="2380">
        <f>INDEX(PT_DIFFERENTIATION_TER,MATCH(B3,PT_DIFFERENTIATION_TER_ID,0))</f>
      </c>
      <c r="AD3" s="2380"/>
      <c r="AE3" s="2380"/>
      <c r="AF3" s="2380"/>
      <c r="AG3" s="2380"/>
      <c r="AH3" s="2380"/>
      <c r="AI3" s="2380"/>
      <c r="AJ3" s="2381"/>
      <c r="AK3" s="1382" t="s">
        <v>510</v>
      </c>
      <c r="AM3" s="1748"/>
      <c r="AN3" s="1748" t="str">
        <f>IF(T3="","",T3)</f>
        <v>Территория действия тарифа</v>
      </c>
      <c r="AO3" s="1748"/>
      <c r="AP3" s="1748"/>
      <c r="AQ3" s="1755">
        <v>0</v>
      </c>
    </row>
    <row customHeight="1" ht="22.5" hidden="1">
      <c r="A4" s="1391"/>
      <c r="B4" s="1391"/>
      <c r="C4" s="1391"/>
      <c r="D4" s="1391"/>
      <c r="E4" s="2427"/>
      <c r="F4" s="2427"/>
      <c r="G4" s="2426">
        <v>1</v>
      </c>
      <c r="H4" s="1391"/>
      <c r="I4" s="1391"/>
      <c r="J4" s="1391"/>
      <c r="K4" s="1391"/>
      <c r="L4" s="1434"/>
      <c r="M4" s="1734"/>
      <c r="N4" s="1734"/>
      <c r="O4" s="1734"/>
      <c r="P4" s="1536"/>
      <c r="Q4" s="1535"/>
      <c r="R4" s="477"/>
      <c r="S4" s="2079">
        <f>INDEX(PT_DIFFERENTIATION_NUM_CS,MATCH(C4,PT_DIFFERENTIATION_CS_ID,0))</f>
      </c>
      <c r="T4" s="433" t="s">
        <v>511</v>
      </c>
      <c r="U4" s="424"/>
      <c r="V4" s="2380"/>
      <c r="W4" s="2380"/>
      <c r="X4" s="2380"/>
      <c r="Y4" s="2380"/>
      <c r="Z4" s="2380"/>
      <c r="AA4" s="2381"/>
      <c r="AB4" s="2073"/>
      <c r="AC4" s="2380">
        <f>INDEX(PT_DIFFERENTIATION_CS,MATCH(C4,PT_DIFFERENTIATION_CS_ID,0))</f>
      </c>
      <c r="AD4" s="2380"/>
      <c r="AE4" s="2380"/>
      <c r="AF4" s="2380"/>
      <c r="AG4" s="2380"/>
      <c r="AH4" s="2380"/>
      <c r="AI4" s="2380"/>
      <c r="AJ4" s="2381"/>
      <c r="AK4" s="1382" t="s">
        <v>512</v>
      </c>
      <c r="AM4" s="1748"/>
      <c r="AN4" s="1748" t="str">
        <f>IF(T4="","",T4)</f>
        <v>Наименование системы теплоснабжения </v>
      </c>
      <c r="AO4" s="1748"/>
      <c r="AP4" s="1748"/>
      <c r="AQ4" s="1755">
        <v>0</v>
      </c>
    </row>
    <row customHeight="1" ht="21" hidden="1">
      <c r="A5" s="1391"/>
      <c r="B5" s="1391"/>
      <c r="C5" s="1391"/>
      <c r="D5" s="1391"/>
      <c r="E5" s="2427"/>
      <c r="F5" s="2427"/>
      <c r="G5" s="2427"/>
      <c r="H5" s="2426">
        <v>1</v>
      </c>
      <c r="I5" s="1391"/>
      <c r="J5" s="1391"/>
      <c r="K5" s="1391"/>
      <c r="L5" s="1434"/>
      <c r="M5" s="1734"/>
      <c r="N5" s="1734"/>
      <c r="O5" s="1734"/>
      <c r="P5" s="1536"/>
      <c r="Q5" s="1535"/>
      <c r="R5" s="477"/>
      <c r="S5" s="2079">
        <f>INDEX(PT_DIFFERENTIATION_NUM_IST_TE,MATCH(D5,PT_DIFFERENTIATION_IST_TE_ID,0))</f>
      </c>
      <c r="T5" s="434" t="s">
        <v>513</v>
      </c>
      <c r="U5" s="424"/>
      <c r="V5" s="2380"/>
      <c r="W5" s="2380"/>
      <c r="X5" s="2380"/>
      <c r="Y5" s="2380"/>
      <c r="Z5" s="2380"/>
      <c r="AA5" s="2381"/>
      <c r="AB5" s="2073"/>
      <c r="AC5" s="2380">
        <f>INDEX(PT_DIFFERENTIATION_IST_TE,MATCH(D5,PT_DIFFERENTIATION_IST_TE_ID,0))</f>
      </c>
      <c r="AD5" s="2380"/>
      <c r="AE5" s="2380"/>
      <c r="AF5" s="2380"/>
      <c r="AG5" s="2380"/>
      <c r="AH5" s="2380"/>
      <c r="AI5" s="2380"/>
      <c r="AJ5" s="2381"/>
      <c r="AK5" s="1382" t="s">
        <v>514</v>
      </c>
      <c r="AM5" s="1748"/>
      <c r="AN5" s="1748" t="str">
        <f>IF(T5="","",T5)</f>
        <v>Источник тепловой энергии  </v>
      </c>
      <c r="AO5" s="1748"/>
      <c r="AP5" s="1748"/>
      <c r="AQ5" s="1755">
        <v>0</v>
      </c>
    </row>
    <row s="6698" customFormat="1" customHeight="1" ht="0.75" hidden="1">
      <c r="A6" s="1499"/>
      <c r="B6" s="1499"/>
      <c r="C6" s="1499"/>
      <c r="D6" s="1499"/>
      <c r="E6" s="2427"/>
      <c r="F6" s="2427"/>
      <c r="G6" s="2427"/>
      <c r="H6" s="2427"/>
      <c r="I6" s="2264">
        <f>S5&amp;".1"</f>
      </c>
      <c r="J6" s="1499"/>
      <c r="K6" s="1499"/>
      <c r="L6" s="1505" t="s">
        <v>515</v>
      </c>
      <c r="M6" s="1370"/>
      <c r="N6" s="1370"/>
      <c r="O6" s="1370"/>
      <c r="P6" s="2394">
        <v>1</v>
      </c>
      <c r="Q6" s="2075"/>
      <c r="R6" s="480"/>
      <c r="S6" s="1166"/>
      <c r="T6" s="1507"/>
      <c r="U6" s="1508"/>
      <c r="V6" s="2434"/>
      <c r="W6" s="2434"/>
      <c r="X6" s="2434"/>
      <c r="Y6" s="2434"/>
      <c r="Z6" s="2434"/>
      <c r="AA6" s="2435"/>
      <c r="AB6" s="2081"/>
      <c r="AC6" s="2434"/>
      <c r="AD6" s="2434"/>
      <c r="AE6" s="2434"/>
      <c r="AF6" s="2434"/>
      <c r="AG6" s="2434"/>
      <c r="AH6" s="2434"/>
      <c r="AI6" s="2434"/>
      <c r="AJ6" s="2435"/>
      <c r="AK6" s="1509"/>
      <c r="AM6" s="1748"/>
      <c r="AN6" s="1748" t="str">
        <f>IF(T6="","",T6)</f>
        <v/>
      </c>
      <c r="AO6" s="1748"/>
      <c r="AP6" s="1748"/>
      <c r="AQ6" s="1760">
        <v>0</v>
      </c>
    </row>
    <row s="6698" customFormat="1" customHeight="1" ht="0.75" hidden="1">
      <c r="A7" s="1499"/>
      <c r="B7" s="1499"/>
      <c r="C7" s="1499"/>
      <c r="D7" s="1499"/>
      <c r="E7" s="2427"/>
      <c r="F7" s="2427"/>
      <c r="G7" s="2427"/>
      <c r="H7" s="2427"/>
      <c r="I7" s="2238"/>
      <c r="J7" s="2264">
        <f>S5&amp;".1"</f>
      </c>
      <c r="K7" s="1499"/>
      <c r="L7" s="1505"/>
      <c r="M7" s="1370"/>
      <c r="N7" s="1370"/>
      <c r="O7" s="1370"/>
      <c r="P7" s="2394"/>
      <c r="Q7" s="2394">
        <v>1</v>
      </c>
      <c r="R7" s="481"/>
      <c r="S7" s="1166"/>
      <c r="T7" s="1523"/>
      <c r="U7" s="1508"/>
      <c r="V7" s="2434"/>
      <c r="W7" s="2434"/>
      <c r="X7" s="2434"/>
      <c r="Y7" s="2434"/>
      <c r="Z7" s="2434"/>
      <c r="AA7" s="2435"/>
      <c r="AB7" s="2081"/>
      <c r="AC7" s="2434"/>
      <c r="AD7" s="2434"/>
      <c r="AE7" s="2434"/>
      <c r="AF7" s="2434"/>
      <c r="AG7" s="2434"/>
      <c r="AH7" s="2434"/>
      <c r="AI7" s="2434"/>
      <c r="AJ7" s="2435"/>
      <c r="AK7" s="1509"/>
      <c r="AM7" s="1748"/>
      <c r="AN7" s="1748" t="str">
        <f>IF(T7="","",T7)</f>
        <v/>
      </c>
      <c r="AO7" s="1748"/>
      <c r="AP7" s="1748"/>
      <c r="AQ7" s="1760">
        <v>0</v>
      </c>
    </row>
    <row customHeight="1" ht="21" hidden="1">
      <c r="A8" s="1391"/>
      <c r="B8" s="1391"/>
      <c r="C8" s="1391"/>
      <c r="D8" s="1391"/>
      <c r="E8" s="2427"/>
      <c r="F8" s="2427"/>
      <c r="G8" s="2427"/>
      <c r="H8" s="2427"/>
      <c r="I8" s="2238"/>
      <c r="J8" s="2238"/>
      <c r="K8" s="2112">
        <f>S5&amp;".1"</f>
      </c>
      <c r="L8" s="1434"/>
      <c r="P8" s="2394"/>
      <c r="Q8" s="2394"/>
      <c r="R8" s="2116">
        <v>1</v>
      </c>
      <c r="S8" s="2114">
        <f>$K8</f>
      </c>
      <c r="T8" s="2115"/>
      <c r="U8" s="424"/>
      <c r="V8" s="875"/>
      <c r="W8" s="1381"/>
      <c r="X8" s="2113"/>
      <c r="Y8" s="2111" t="s">
        <v>62</v>
      </c>
      <c r="Z8" s="2113"/>
      <c r="AA8" s="2111" t="s">
        <v>62</v>
      </c>
      <c r="AB8" s="2117"/>
      <c r="AC8" s="2118" t="s">
        <v>22</v>
      </c>
      <c r="AD8" s="875"/>
      <c r="AE8" s="1381"/>
      <c r="AF8" s="2076"/>
      <c r="AG8" s="2063" t="s">
        <v>62</v>
      </c>
      <c r="AH8" s="2076"/>
      <c r="AI8" s="2063" t="s">
        <v>62</v>
      </c>
      <c r="AJ8" s="1472"/>
      <c r="AK8" s="2390" t="s">
        <v>576</v>
      </c>
      <c r="AL8" s="1760">
        <f>STRCHECKDATE(#REF!)</f>
      </c>
      <c r="AM8" s="1748"/>
      <c r="AN8" s="1748" t="str">
        <f>IF(T8="","",T8)</f>
        <v/>
      </c>
      <c r="AO8" s="1748"/>
      <c r="AP8" s="1748"/>
      <c r="AQ8" s="1755">
        <v>0</v>
      </c>
    </row>
    <row customHeight="1" ht="11.25" hidden="1">
      <c r="A9" s="1391"/>
      <c r="B9" s="1391"/>
      <c r="C9" s="1391"/>
      <c r="D9" s="1391"/>
      <c r="E9" s="2427"/>
      <c r="F9" s="2427"/>
      <c r="G9" s="2427"/>
      <c r="H9" s="2427"/>
      <c r="I9" s="2238"/>
      <c r="J9" s="2264"/>
      <c r="K9" s="1391"/>
      <c r="L9" s="1434"/>
      <c r="P9" s="2394"/>
      <c r="Q9" s="2394"/>
      <c r="R9" s="480"/>
      <c r="S9" s="1402"/>
      <c r="T9" s="411" t="s">
        <v>580</v>
      </c>
      <c r="U9" s="724"/>
      <c r="V9" s="724"/>
      <c r="W9" s="724"/>
      <c r="X9" s="724"/>
      <c r="Y9" s="724"/>
      <c r="Z9" s="724"/>
      <c r="AA9" s="724"/>
      <c r="AB9" s="724"/>
      <c r="AC9" s="724"/>
      <c r="AD9" s="724"/>
      <c r="AE9" s="724"/>
      <c r="AF9" s="724"/>
      <c r="AG9" s="724"/>
      <c r="AH9" s="724"/>
      <c r="AI9" s="724"/>
      <c r="AJ9" s="448"/>
      <c r="AK9" s="2392"/>
      <c r="AM9" s="1748"/>
      <c r="AN9" s="1748" t="str">
        <f>IF(T9="","",T9)</f>
        <v>Добавить строку</v>
      </c>
      <c r="AO9" s="1748"/>
      <c r="AP9" s="1748"/>
      <c r="AQ9" s="1755">
        <v>0</v>
      </c>
    </row>
    <row s="6698" customFormat="1" customHeight="1" ht="0.75" hidden="1">
      <c r="A10" s="1499"/>
      <c r="B10" s="1499"/>
      <c r="C10" s="1499"/>
      <c r="D10" s="1499"/>
      <c r="E10" s="2427"/>
      <c r="F10" s="2427"/>
      <c r="G10" s="2427"/>
      <c r="H10" s="2427"/>
      <c r="I10" s="2264"/>
      <c r="J10" s="1499"/>
      <c r="K10" s="1499"/>
      <c r="L10" s="1505"/>
      <c r="M10" s="1370"/>
      <c r="N10" s="1370"/>
      <c r="O10" s="1370"/>
      <c r="P10" s="2394"/>
      <c r="Q10" s="2075"/>
      <c r="R10" s="480"/>
      <c r="S10" s="1510"/>
      <c r="T10" s="1511"/>
      <c r="U10" s="1512"/>
      <c r="V10" s="1512"/>
      <c r="W10" s="1512"/>
      <c r="X10" s="1512"/>
      <c r="Y10" s="1512"/>
      <c r="Z10" s="1512"/>
      <c r="AA10" s="1512"/>
      <c r="AB10" s="1512"/>
      <c r="AC10" s="1512"/>
      <c r="AD10" s="1512"/>
      <c r="AE10" s="1512"/>
      <c r="AF10" s="1512"/>
      <c r="AG10" s="1512"/>
      <c r="AH10" s="1512"/>
      <c r="AI10" s="1512"/>
      <c r="AJ10" s="1512"/>
      <c r="AK10" s="1513"/>
      <c r="AM10" s="1748"/>
      <c r="AN10" s="1748" t="str">
        <f>IF(T10="","",T10)</f>
        <v/>
      </c>
      <c r="AO10" s="1748"/>
      <c r="AP10" s="1748"/>
      <c r="AQ10" s="1760">
        <v>0</v>
      </c>
    </row>
    <row s="6698" customFormat="1" customHeight="1" ht="0.75" hidden="1">
      <c r="A11" s="1499"/>
      <c r="B11" s="1499"/>
      <c r="C11" s="1499"/>
      <c r="D11" s="1499"/>
      <c r="E11" s="2427"/>
      <c r="F11" s="2427"/>
      <c r="G11" s="2427"/>
      <c r="H11" s="2426"/>
      <c r="I11" s="1499"/>
      <c r="J11" s="1499"/>
      <c r="K11" s="1499"/>
      <c r="L11" s="1505"/>
      <c r="M11" s="1502"/>
      <c r="N11" s="1502"/>
      <c r="O11" s="475"/>
      <c r="P11" s="504"/>
      <c r="Q11" s="1468"/>
      <c r="R11" s="1525"/>
      <c r="S11" s="1510"/>
      <c r="T11" s="1511"/>
      <c r="U11" s="1512"/>
      <c r="V11" s="1512"/>
      <c r="W11" s="1512"/>
      <c r="X11" s="1512"/>
      <c r="Y11" s="1512"/>
      <c r="Z11" s="1512"/>
      <c r="AA11" s="1512"/>
      <c r="AB11" s="1512"/>
      <c r="AC11" s="1512"/>
      <c r="AD11" s="1512"/>
      <c r="AE11" s="1512"/>
      <c r="AF11" s="1512"/>
      <c r="AG11" s="1512"/>
      <c r="AH11" s="1512"/>
      <c r="AI11" s="1512"/>
      <c r="AJ11" s="1512"/>
      <c r="AK11" s="1513"/>
      <c r="AM11" s="1748"/>
      <c r="AN11" s="1748" t="str">
        <f>IF(T11="","",T11)</f>
        <v/>
      </c>
      <c r="AO11" s="1748"/>
      <c r="AP11" s="1748"/>
      <c r="AQ11" s="1760">
        <v>0</v>
      </c>
    </row>
    <row s="6698" customFormat="1" customHeight="1" ht="0.75" hidden="1">
      <c r="A12" s="1499"/>
      <c r="B12" s="1499"/>
      <c r="C12" s="1499"/>
      <c r="D12" s="1498"/>
      <c r="E12" s="2427"/>
      <c r="F12" s="2427"/>
      <c r="G12" s="2426"/>
      <c r="H12" s="1498"/>
      <c r="I12" s="1498"/>
      <c r="J12" s="1498"/>
      <c r="K12" s="1498"/>
      <c r="L12" s="1501"/>
      <c r="M12" s="1502"/>
      <c r="N12" s="1502"/>
      <c r="O12" s="475"/>
      <c r="P12" s="1440"/>
      <c r="Q12" s="1441"/>
      <c r="R12" s="1440"/>
      <c r="S12" s="1446"/>
      <c r="T12" s="1449" t="s">
        <v>526</v>
      </c>
      <c r="U12" s="1448"/>
      <c r="V12" s="1448"/>
      <c r="W12" s="1448"/>
      <c r="X12" s="1448"/>
      <c r="Y12" s="1448"/>
      <c r="Z12" s="1448"/>
      <c r="AA12" s="1448"/>
      <c r="AB12" s="1448"/>
      <c r="AC12" s="1448"/>
      <c r="AD12" s="1448"/>
      <c r="AE12" s="1448"/>
      <c r="AF12" s="1448"/>
      <c r="AG12" s="1448"/>
      <c r="AH12" s="1448"/>
      <c r="AI12" s="1448"/>
      <c r="AJ12" s="1448"/>
      <c r="AK12" s="1448"/>
      <c r="AM12" s="1375"/>
      <c r="AN12" s="1375" t="str">
        <f>IF(T12="","",T12)</f>
        <v>Добавить источник для дифференциации</v>
      </c>
      <c r="AO12" s="1375"/>
      <c r="AP12" s="1375"/>
      <c r="AQ12" s="1766">
        <v>0</v>
      </c>
    </row>
    <row s="6698" customFormat="1" customHeight="1" ht="0.75" hidden="1">
      <c r="A13" s="1499"/>
      <c r="B13" s="1499"/>
      <c r="C13" s="1498"/>
      <c r="D13" s="1498"/>
      <c r="E13" s="2427"/>
      <c r="F13" s="2426"/>
      <c r="G13" s="1498"/>
      <c r="H13" s="1498"/>
      <c r="I13" s="1498"/>
      <c r="J13" s="1498"/>
      <c r="K13" s="1498"/>
      <c r="L13" s="1501"/>
      <c r="M13" s="1503"/>
      <c r="N13" s="1503"/>
      <c r="O13" s="475"/>
      <c r="P13" s="1440"/>
      <c r="Q13" s="1441"/>
      <c r="R13" s="1440"/>
      <c r="S13" s="1446"/>
      <c r="T13" s="1449" t="s">
        <v>527</v>
      </c>
      <c r="U13" s="1448"/>
      <c r="V13" s="1448"/>
      <c r="W13" s="1448"/>
      <c r="X13" s="1448"/>
      <c r="Y13" s="1448"/>
      <c r="Z13" s="1448"/>
      <c r="AA13" s="1448"/>
      <c r="AB13" s="1448"/>
      <c r="AC13" s="1448"/>
      <c r="AD13" s="1448"/>
      <c r="AE13" s="1448"/>
      <c r="AF13" s="1448"/>
      <c r="AG13" s="1448"/>
      <c r="AH13" s="1448"/>
      <c r="AI13" s="1448"/>
      <c r="AJ13" s="1448"/>
      <c r="AK13" s="1448"/>
      <c r="AM13" s="1375"/>
      <c r="AN13" s="1375" t="str">
        <f>IF(T13="","",T13)</f>
        <v>Добавить централизованную систему для дифференциации</v>
      </c>
      <c r="AO13" s="1375"/>
      <c r="AP13" s="1375"/>
      <c r="AQ13" s="1766">
        <v>0</v>
      </c>
    </row>
    <row s="6698" customFormat="1" customHeight="1" ht="0.75" hidden="1">
      <c r="A14" s="1499"/>
      <c r="B14" s="1499"/>
      <c r="C14" s="1499"/>
      <c r="D14" s="1499"/>
      <c r="E14" s="2426"/>
      <c r="F14" s="1499"/>
      <c r="G14" s="1499"/>
      <c r="H14" s="1499"/>
      <c r="I14" s="1499"/>
      <c r="J14" s="1499"/>
      <c r="K14" s="1499"/>
      <c r="L14" s="1505"/>
      <c r="M14" s="1503"/>
      <c r="N14" s="1503"/>
      <c r="O14" s="475"/>
      <c r="P14" s="504"/>
      <c r="Q14" s="1468"/>
      <c r="R14" s="504"/>
      <c r="S14" s="1446"/>
      <c r="T14" s="1449" t="s">
        <v>528</v>
      </c>
      <c r="U14" s="1448"/>
      <c r="V14" s="1448"/>
      <c r="W14" s="1448"/>
      <c r="X14" s="1448"/>
      <c r="Y14" s="1448"/>
      <c r="Z14" s="1448"/>
      <c r="AA14" s="1448"/>
      <c r="AB14" s="1448"/>
      <c r="AC14" s="1448"/>
      <c r="AD14" s="1448"/>
      <c r="AE14" s="1448"/>
      <c r="AF14" s="1448"/>
      <c r="AG14" s="1448"/>
      <c r="AH14" s="1448"/>
      <c r="AI14" s="1448"/>
      <c r="AJ14" s="1448"/>
      <c r="AK14" s="1448"/>
      <c r="AM14" s="1748"/>
      <c r="AN14" s="1748" t="str">
        <f>IF(T14="","",T14)</f>
        <v>Добавить территорию для дифференциации</v>
      </c>
      <c r="AO14" s="1748"/>
      <c r="AP14" s="1748"/>
      <c r="AQ14" s="1760">
        <v>0</v>
      </c>
    </row>
    <row customHeight="1" ht="14.25" hidden="1">
      <c r="AQ15" s="1755">
        <v>0</v>
      </c>
    </row>
    <row customHeight="1" ht="14.25" hidden="1">
      <c r="AC16" s="1626"/>
      <c r="AD16" s="1527"/>
      <c r="AE16" s="1528"/>
      <c r="AF16" s="1859"/>
      <c r="AG16" s="2087" t="s">
        <v>62</v>
      </c>
      <c r="AH16" s="1859"/>
      <c r="AI16" s="2087" t="s">
        <v>62</v>
      </c>
      <c r="AQ16" s="1755">
        <v>0</v>
      </c>
    </row>
    <row customHeight="1" ht="14.25" hidden="1">
      <c r="AL17" s="1765"/>
      <c r="AM17" s="1765"/>
      <c r="AN17" s="1765"/>
      <c r="AO17" s="1765"/>
      <c r="AP17" s="1765"/>
      <c r="AQ17" s="1755">
        <v>0</v>
      </c>
    </row>
    <row customHeight="1" ht="14.25" hidden="1">
      <c r="O18" s="1469" t="s">
        <v>529</v>
      </c>
      <c r="X18" s="1469"/>
      <c r="Z18" s="1469"/>
      <c r="AF18" s="1469"/>
      <c r="AH18" s="1469"/>
      <c r="AL18" s="1765"/>
      <c r="AM18" s="1765"/>
      <c r="AN18" s="1765"/>
      <c r="AO18" s="1765"/>
      <c r="AP18" s="1765"/>
      <c r="AQ18" s="1755">
        <v>0</v>
      </c>
    </row>
    <row customHeight="1" ht="14.25" hidden="1">
      <c r="AL19" s="1765"/>
      <c r="AM19" s="1765"/>
      <c r="AN19" s="1765"/>
      <c r="AO19" s="1765"/>
      <c r="AP19" s="1765"/>
      <c r="AQ19" s="1755">
        <v>0</v>
      </c>
    </row>
    <row s="6415" customFormat="1" customHeight="1" ht="14.25" hidden="1">
      <c r="A20" s="2092"/>
      <c r="B20" s="2092"/>
      <c r="C20" s="2092"/>
      <c r="D20" s="2092"/>
      <c r="E20" s="2092"/>
      <c r="F20" s="2092"/>
      <c r="G20" s="2092"/>
      <c r="H20" s="2092"/>
      <c r="I20" s="2092"/>
      <c r="J20" s="2092"/>
      <c r="K20" s="2092"/>
      <c r="L20" s="2092"/>
      <c r="M20" s="2093"/>
      <c r="N20" s="2093"/>
      <c r="O20" s="2094" t="s">
        <v>530</v>
      </c>
      <c r="P20" s="1632"/>
      <c r="Q20" s="1634"/>
      <c r="R20" s="1634"/>
      <c r="Y20" s="1631" t="s">
        <v>532</v>
      </c>
      <c r="AA20" s="1631" t="s">
        <v>533</v>
      </c>
      <c r="AC20" s="1631" t="s">
        <v>582</v>
      </c>
      <c r="AG20" s="1631" t="s">
        <v>532</v>
      </c>
      <c r="AI20" s="1631" t="s">
        <v>533</v>
      </c>
      <c r="AL20" s="1635"/>
      <c r="AM20" s="1635"/>
      <c r="AN20" s="1635"/>
      <c r="AO20" s="1635"/>
      <c r="AP20" s="1635"/>
      <c r="AQ20" s="1631">
        <v>0</v>
      </c>
    </row>
    <row customHeight="1" ht="14.25" hidden="1">
      <c r="O21" s="1434"/>
      <c r="AL21" s="1765"/>
      <c r="AM21" s="1765"/>
      <c r="AN21" s="1765"/>
      <c r="AO21" s="1765"/>
      <c r="AP21" s="1765"/>
      <c r="AQ21" s="1755">
        <v>0</v>
      </c>
    </row>
    <row customHeight="1" ht="14.25" hidden="1">
      <c r="O22" s="1434"/>
      <c r="AL22" s="1765"/>
      <c r="AM22" s="1765"/>
      <c r="AN22" s="1765"/>
      <c r="AO22" s="1765"/>
      <c r="AP22" s="1765"/>
      <c r="AQ22" s="1755">
        <v>0</v>
      </c>
    </row>
    <row customHeight="1" ht="14.699999999999998">
      <c r="Q23" s="415"/>
      <c r="R23" s="500"/>
      <c r="S23" s="1399"/>
      <c r="T23" s="581"/>
      <c r="U23" s="581"/>
      <c r="V23" s="1759"/>
      <c r="W23" s="1759"/>
      <c r="X23" s="1759"/>
      <c r="Y23" s="1759"/>
      <c r="Z23" s="1759"/>
      <c r="AA23" s="1759"/>
      <c r="AB23" s="1759"/>
      <c r="AC23" s="1759"/>
      <c r="AD23" s="1759"/>
      <c r="AE23" s="1759"/>
      <c r="AF23" s="1759"/>
      <c r="AG23" s="1759"/>
      <c r="AH23" s="1759"/>
      <c r="AI23" s="1759"/>
      <c r="AQ23" s="1755">
        <v>14</v>
      </c>
    </row>
    <row customHeight="1" ht="39.75">
      <c r="Q24" s="415"/>
      <c r="R24" s="500"/>
      <c r="S24" s="238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85"/>
      <c r="U24" s="2385"/>
      <c r="V24" s="2385"/>
      <c r="W24" s="2385"/>
      <c r="X24" s="2385"/>
      <c r="Y24" s="2385"/>
      <c r="Z24" s="2385"/>
      <c r="AA24" s="2385"/>
      <c r="AB24" s="2385"/>
      <c r="AC24" s="2385"/>
      <c r="AD24" s="2385"/>
      <c r="AE24" s="2385"/>
      <c r="AF24" s="2385"/>
      <c r="AG24" s="2385"/>
      <c r="AH24" s="2385"/>
      <c r="AI24" s="1367"/>
      <c r="AQ24" s="1755">
        <v>38</v>
      </c>
    </row>
    <row customHeight="1" ht="14.699999999999998">
      <c r="Q25" s="415"/>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755">
        <v>14</v>
      </c>
    </row>
    <row customHeight="1" ht="14.25" hidden="1">
      <c r="Q26" s="415"/>
      <c r="R26" s="500"/>
      <c r="S26" s="1399"/>
      <c r="T26" s="581"/>
      <c r="U26" s="581"/>
      <c r="V26" s="446"/>
      <c r="W26" s="446"/>
      <c r="X26" s="446"/>
      <c r="Y26" s="446"/>
      <c r="Z26" s="446"/>
      <c r="AA26" s="446"/>
      <c r="AB26" s="446"/>
      <c r="AC26" s="446"/>
      <c r="AD26" s="446"/>
      <c r="AE26" s="446"/>
      <c r="AF26" s="446"/>
      <c r="AG26" s="446"/>
      <c r="AH26" s="446"/>
      <c r="AI26" s="446"/>
      <c r="AJ26" s="1759"/>
      <c r="AQ26" s="1755">
        <v>0</v>
      </c>
    </row>
    <row s="7787" customFormat="1" customHeight="1" ht="25.5" hidden="1">
      <c r="A27" s="1372"/>
      <c r="B27" s="1372"/>
      <c r="C27" s="1372"/>
      <c r="D27" s="1372"/>
      <c r="E27" s="1372"/>
      <c r="F27" s="1372"/>
      <c r="G27" s="1372"/>
      <c r="H27" s="1372"/>
      <c r="I27" s="1372"/>
      <c r="J27" s="1372"/>
      <c r="K27" s="1372"/>
      <c r="L27" s="1504"/>
      <c r="M27" s="1372"/>
      <c r="N27" s="1372"/>
      <c r="O27" s="1372"/>
      <c r="P27" s="1492"/>
      <c r="Q27" s="1492"/>
      <c r="S27" s="2387" t="s">
        <v>41</v>
      </c>
      <c r="T27" s="2387"/>
      <c r="U27" s="1496"/>
      <c r="V27" s="2388" t="str">
        <f>IF(TITLE_NAME_OR_PR_CHANGE="",IF(TITLE_NAME_OR_PR="","",TITLE_NAME_OR_PR),TITLE_NAME_OR_PR_CHANGE)</f>
        <v/>
      </c>
      <c r="W27" s="2388"/>
      <c r="X27" s="2388"/>
      <c r="Y27" s="2388"/>
      <c r="Z27" s="2388"/>
      <c r="AA27" s="1759"/>
      <c r="AB27" s="1759"/>
      <c r="AC27" s="2388"/>
      <c r="AD27" s="2388"/>
      <c r="AE27" s="2388"/>
      <c r="AF27" s="2388"/>
      <c r="AG27" s="2388"/>
      <c r="AH27" s="2388"/>
      <c r="AI27" s="1759"/>
      <c r="AJ27" s="1759"/>
      <c r="AK27" s="404"/>
      <c r="AL27" s="492"/>
      <c r="AM27" s="492"/>
      <c r="AN27" s="492"/>
      <c r="AO27" s="492"/>
      <c r="AP27" s="492"/>
      <c r="AQ27" s="542">
        <v>0</v>
      </c>
    </row>
    <row s="7787" customFormat="1" customHeight="1" ht="18.75" hidden="1">
      <c r="A28" s="1372"/>
      <c r="B28" s="1372"/>
      <c r="C28" s="1372"/>
      <c r="D28" s="1372"/>
      <c r="E28" s="1372"/>
      <c r="F28" s="1372"/>
      <c r="G28" s="1372"/>
      <c r="H28" s="1372"/>
      <c r="I28" s="1372"/>
      <c r="J28" s="1372"/>
      <c r="K28" s="1372"/>
      <c r="L28" s="1504"/>
      <c r="M28" s="1372"/>
      <c r="N28" s="1372"/>
      <c r="O28" s="1372"/>
      <c r="P28" s="1492"/>
      <c r="Q28" s="1492"/>
      <c r="S28" s="2387" t="s">
        <v>535</v>
      </c>
      <c r="T28" s="2387"/>
      <c r="U28" s="1496"/>
      <c r="V28" s="2401" t="str">
        <f>IF(TITLE_DATE_PR_CHANGE="",IF(TITLE_DATE_PR="","",TITLE_DATE_PR),TITLE_DATE_PR_CHANGE)</f>
        <v/>
      </c>
      <c r="W28" s="2401"/>
      <c r="X28" s="2401"/>
      <c r="Y28" s="2401"/>
      <c r="Z28" s="2401"/>
      <c r="AA28" s="1759"/>
      <c r="AB28" s="1759"/>
      <c r="AC28" s="2401"/>
      <c r="AD28" s="2401"/>
      <c r="AE28" s="2401"/>
      <c r="AF28" s="2401"/>
      <c r="AG28" s="2401"/>
      <c r="AH28" s="2401"/>
      <c r="AI28" s="1759"/>
      <c r="AJ28" s="1759"/>
      <c r="AK28" s="404"/>
      <c r="AL28" s="492"/>
      <c r="AM28" s="492"/>
      <c r="AN28" s="492"/>
      <c r="AO28" s="492"/>
      <c r="AP28" s="492"/>
      <c r="AQ28" s="542">
        <v>0</v>
      </c>
    </row>
    <row s="7787" customFormat="1" customHeight="1" ht="18.75" hidden="1">
      <c r="A29" s="1372"/>
      <c r="B29" s="1372"/>
      <c r="C29" s="1372"/>
      <c r="D29" s="1372"/>
      <c r="E29" s="1372"/>
      <c r="F29" s="1372"/>
      <c r="G29" s="1372"/>
      <c r="H29" s="1372"/>
      <c r="I29" s="1372"/>
      <c r="J29" s="1372"/>
      <c r="K29" s="1372"/>
      <c r="L29" s="1504"/>
      <c r="M29" s="1372"/>
      <c r="N29" s="1372"/>
      <c r="O29" s="1372"/>
      <c r="P29" s="1492"/>
      <c r="Q29" s="1492"/>
      <c r="S29" s="2387" t="s">
        <v>536</v>
      </c>
      <c r="T29" s="2387"/>
      <c r="U29" s="1496"/>
      <c r="V29" s="2388" t="str">
        <f>IF(TITLE_NUMBER_PR_CHANGE="",IF(TITLE_NUMBER_PR="","",TITLE_NUMBER_PR),TITLE_NUMBER_PR_CHANGE)</f>
        <v/>
      </c>
      <c r="W29" s="2388"/>
      <c r="X29" s="2388"/>
      <c r="Y29" s="2388"/>
      <c r="Z29" s="2388"/>
      <c r="AA29" s="1759"/>
      <c r="AB29" s="1759"/>
      <c r="AC29" s="2388"/>
      <c r="AD29" s="2388"/>
      <c r="AE29" s="2388"/>
      <c r="AF29" s="2388"/>
      <c r="AG29" s="2388"/>
      <c r="AH29" s="2388"/>
      <c r="AI29" s="1759"/>
      <c r="AJ29" s="1759"/>
      <c r="AK29" s="404"/>
      <c r="AL29" s="492"/>
      <c r="AM29" s="492"/>
      <c r="AN29" s="492"/>
      <c r="AO29" s="492"/>
      <c r="AP29" s="492"/>
      <c r="AQ29" s="542">
        <v>0</v>
      </c>
    </row>
    <row s="7787" customFormat="1" customHeight="1" ht="18.75" hidden="1">
      <c r="A30" s="1372"/>
      <c r="B30" s="1372"/>
      <c r="C30" s="1372"/>
      <c r="D30" s="1372"/>
      <c r="E30" s="1372"/>
      <c r="F30" s="1372"/>
      <c r="G30" s="1372"/>
      <c r="H30" s="1372"/>
      <c r="I30" s="1372"/>
      <c r="J30" s="1372"/>
      <c r="K30" s="1372"/>
      <c r="L30" s="1504"/>
      <c r="M30" s="1372"/>
      <c r="N30" s="1372"/>
      <c r="O30" s="1372"/>
      <c r="P30" s="1492"/>
      <c r="Q30" s="1492"/>
      <c r="S30" s="2387" t="s">
        <v>42</v>
      </c>
      <c r="T30" s="2387"/>
      <c r="U30" s="1496"/>
      <c r="V30" s="2388" t="str">
        <f>IF(TITLE_IST_PUB_CHANGE="",IF(TITLE_IST_PUB="","",TITLE_IST_PUB),TITLE_IST_PUB_CHANGE)</f>
        <v/>
      </c>
      <c r="W30" s="2388"/>
      <c r="X30" s="2388"/>
      <c r="Y30" s="2388"/>
      <c r="Z30" s="2388"/>
      <c r="AA30" s="1759"/>
      <c r="AB30" s="1759"/>
      <c r="AC30" s="2388"/>
      <c r="AD30" s="2388"/>
      <c r="AE30" s="2388"/>
      <c r="AF30" s="2388"/>
      <c r="AG30" s="2388"/>
      <c r="AH30" s="2388"/>
      <c r="AI30" s="1759"/>
      <c r="AJ30" s="1759"/>
      <c r="AK30" s="404"/>
      <c r="AL30" s="492"/>
      <c r="AM30" s="492"/>
      <c r="AN30" s="492"/>
      <c r="AO30" s="492"/>
      <c r="AP30" s="492"/>
      <c r="AQ30" s="542">
        <v>0</v>
      </c>
    </row>
    <row customHeight="1" ht="14.25" hidden="1">
      <c r="Q31" s="415"/>
      <c r="R31" s="500"/>
      <c r="S31" s="1399"/>
      <c r="T31" s="581"/>
      <c r="U31" s="581"/>
      <c r="V31" s="446"/>
      <c r="W31" s="446"/>
      <c r="X31" s="446"/>
      <c r="Y31" s="446"/>
      <c r="Z31" s="446"/>
      <c r="AA31" s="446"/>
      <c r="AB31" s="446"/>
      <c r="AC31" s="446"/>
      <c r="AD31" s="446"/>
      <c r="AE31" s="446"/>
      <c r="AF31" s="446"/>
      <c r="AG31" s="446"/>
      <c r="AH31" s="446"/>
      <c r="AI31" s="446"/>
      <c r="AJ31" s="1759"/>
      <c r="AQ31" s="1755">
        <v>0</v>
      </c>
    </row>
    <row s="7787" customFormat="1" customHeight="1" ht="18.75" hidden="1">
      <c r="A32" s="1372"/>
      <c r="B32" s="1372"/>
      <c r="C32" s="1372"/>
      <c r="D32" s="1372"/>
      <c r="E32" s="1372"/>
      <c r="F32" s="1372"/>
      <c r="G32" s="1372"/>
      <c r="H32" s="1372"/>
      <c r="I32" s="1372"/>
      <c r="J32" s="1372"/>
      <c r="K32" s="1372"/>
      <c r="L32" s="1504"/>
      <c r="M32" s="1372"/>
      <c r="N32" s="1372"/>
      <c r="O32" s="1372"/>
      <c r="P32" s="1492"/>
      <c r="Q32" s="1492"/>
      <c r="S32" s="2387" t="s">
        <v>535</v>
      </c>
      <c r="T32" s="2387"/>
      <c r="U32" s="1496"/>
      <c r="V32" s="2401" t="str">
        <f>IF(TITLE_DATE_PR_CHANGE="",IF(TITLE_DATE_PR="","",TITLE_DATE_PR),TITLE_DATE_PR_CHANGE)</f>
        <v/>
      </c>
      <c r="W32" s="2401"/>
      <c r="X32" s="2401"/>
      <c r="Y32" s="2401"/>
      <c r="Z32" s="2401"/>
      <c r="AA32" s="1759"/>
      <c r="AB32" s="1759"/>
      <c r="AC32" s="2401"/>
      <c r="AD32" s="2401"/>
      <c r="AE32" s="2401"/>
      <c r="AF32" s="2401"/>
      <c r="AG32" s="2401"/>
      <c r="AH32" s="2401"/>
      <c r="AI32" s="1759"/>
      <c r="AJ32" s="1759"/>
      <c r="AK32" s="404"/>
      <c r="AL32" s="492"/>
      <c r="AM32" s="492"/>
      <c r="AN32" s="492"/>
      <c r="AO32" s="492"/>
      <c r="AP32" s="492"/>
      <c r="AQ32" s="542">
        <v>0</v>
      </c>
    </row>
    <row s="7787" customFormat="1" customHeight="1" ht="18" hidden="1">
      <c r="A33" s="1372"/>
      <c r="B33" s="1372"/>
      <c r="C33" s="1372"/>
      <c r="D33" s="1372"/>
      <c r="E33" s="1372"/>
      <c r="F33" s="1372"/>
      <c r="G33" s="1372"/>
      <c r="H33" s="1372"/>
      <c r="I33" s="1372"/>
      <c r="J33" s="1372"/>
      <c r="K33" s="1372"/>
      <c r="L33" s="1504"/>
      <c r="M33" s="1372"/>
      <c r="N33" s="1372"/>
      <c r="O33" s="1372"/>
      <c r="P33" s="1492"/>
      <c r="Q33" s="1492"/>
      <c r="S33" s="2387" t="s">
        <v>536</v>
      </c>
      <c r="T33" s="2387"/>
      <c r="U33" s="1496"/>
      <c r="V33" s="2388" t="str">
        <f>IF(TITLE_NUMBER_PR_CHANGE="",IF(TITLE_NUMBER_PR="","",TITLE_NUMBER_PR),TITLE_NUMBER_PR_CHANGE)</f>
        <v/>
      </c>
      <c r="W33" s="2388"/>
      <c r="X33" s="2388"/>
      <c r="Y33" s="2388"/>
      <c r="Z33" s="2388"/>
      <c r="AA33" s="1759"/>
      <c r="AB33" s="1759"/>
      <c r="AC33" s="2388"/>
      <c r="AD33" s="2388"/>
      <c r="AE33" s="2388"/>
      <c r="AF33" s="2388"/>
      <c r="AG33" s="2388"/>
      <c r="AH33" s="2388"/>
      <c r="AI33" s="1759"/>
      <c r="AJ33" s="1759"/>
      <c r="AK33" s="404"/>
      <c r="AL33" s="492"/>
      <c r="AM33" s="492"/>
      <c r="AN33" s="492"/>
      <c r="AO33" s="492"/>
      <c r="AP33" s="492"/>
      <c r="AQ33" s="542">
        <v>0</v>
      </c>
    </row>
    <row s="7787" customFormat="1" customHeight="1" ht="1.05">
      <c r="A34" s="1372"/>
      <c r="B34" s="1372"/>
      <c r="C34" s="1372"/>
      <c r="D34" s="1372"/>
      <c r="E34" s="1372"/>
      <c r="F34" s="1372"/>
      <c r="G34" s="1372"/>
      <c r="H34" s="1372"/>
      <c r="I34" s="1372"/>
      <c r="J34" s="1372"/>
      <c r="K34" s="1372"/>
      <c r="L34" s="1504"/>
      <c r="M34" s="1372"/>
      <c r="N34" s="1372"/>
      <c r="O34" s="1372"/>
      <c r="P34" s="1492"/>
      <c r="Q34" s="1492"/>
      <c r="S34" s="1759"/>
      <c r="T34" s="1759"/>
      <c r="U34" s="2091"/>
      <c r="V34" s="1759"/>
      <c r="W34" s="1759"/>
      <c r="X34" s="1759"/>
      <c r="Y34" s="1759"/>
      <c r="Z34" s="1759"/>
      <c r="AA34" s="1766" t="s">
        <v>539</v>
      </c>
      <c r="AB34" s="1766"/>
      <c r="AC34" s="1759"/>
      <c r="AD34" s="1759"/>
      <c r="AE34" s="1759"/>
      <c r="AF34" s="1759"/>
      <c r="AG34" s="1759"/>
      <c r="AH34" s="1759"/>
      <c r="AI34" s="1766" t="s">
        <v>539</v>
      </c>
      <c r="AL34" s="492"/>
      <c r="AM34" s="492"/>
      <c r="AN34" s="492"/>
      <c r="AO34" s="492"/>
      <c r="AP34" s="492"/>
      <c r="AQ34" s="542">
        <v>1</v>
      </c>
    </row>
    <row customHeight="1" ht="14.699999999999998">
      <c r="Q35" s="415"/>
      <c r="R35" s="500"/>
      <c r="S35" s="1399"/>
      <c r="T35" s="581"/>
      <c r="U35" s="1368"/>
      <c r="V35" s="2389"/>
      <c r="W35" s="2389"/>
      <c r="X35" s="2389"/>
      <c r="Y35" s="2389"/>
      <c r="Z35" s="2389"/>
      <c r="AA35" s="2389"/>
      <c r="AB35" s="2078"/>
      <c r="AC35" s="2389"/>
      <c r="AD35" s="2389"/>
      <c r="AE35" s="2389"/>
      <c r="AF35" s="2389"/>
      <c r="AG35" s="2389"/>
      <c r="AH35" s="2389"/>
      <c r="AI35" s="2389"/>
      <c r="AQ35" s="1755">
        <v>14</v>
      </c>
    </row>
    <row customHeight="1" ht="14.699999999999998">
      <c r="Q36" s="415"/>
      <c r="R36" s="500"/>
      <c r="S36" s="2264" t="s">
        <v>412</v>
      </c>
      <c r="T36" s="2264"/>
      <c r="U36" s="2264"/>
      <c r="V36" s="2264"/>
      <c r="W36" s="2264"/>
      <c r="X36" s="2264"/>
      <c r="Y36" s="2264"/>
      <c r="Z36" s="2264"/>
      <c r="AA36" s="2312"/>
      <c r="AB36" s="2312"/>
      <c r="AC36" s="2312"/>
      <c r="AD36" s="2264"/>
      <c r="AE36" s="2264"/>
      <c r="AF36" s="2264"/>
      <c r="AG36" s="2264"/>
      <c r="AH36" s="2264"/>
      <c r="AI36" s="2264"/>
      <c r="AJ36" s="2264"/>
      <c r="AK36" s="2264" t="s">
        <v>413</v>
      </c>
      <c r="AQ36" s="1755">
        <v>14</v>
      </c>
    </row>
    <row customHeight="1" ht="14.699999999999998">
      <c r="Q37" s="415"/>
      <c r="R37" s="500"/>
      <c r="S37" s="2410" t="s">
        <v>88</v>
      </c>
      <c r="T37" s="2346" t="s">
        <v>611</v>
      </c>
      <c r="U37" s="461"/>
      <c r="V37" s="2412"/>
      <c r="W37" s="2412"/>
      <c r="X37" s="2412"/>
      <c r="Y37" s="2412"/>
      <c r="Z37" s="2412"/>
      <c r="AA37" s="2346" t="s">
        <v>542</v>
      </c>
      <c r="AB37" s="2345" t="s">
        <v>612</v>
      </c>
      <c r="AC37" s="2345" t="s">
        <v>586</v>
      </c>
      <c r="AD37" s="2428" t="s">
        <v>541</v>
      </c>
      <c r="AE37" s="2428"/>
      <c r="AF37" s="2412"/>
      <c r="AG37" s="2412"/>
      <c r="AH37" s="2413"/>
      <c r="AI37" s="2414" t="s">
        <v>542</v>
      </c>
      <c r="AJ37" s="2417" t="s">
        <v>544</v>
      </c>
      <c r="AK37" s="2264"/>
      <c r="AQ37" s="1755">
        <v>14</v>
      </c>
    </row>
    <row customHeight="1" ht="35.699999999999996">
      <c r="Q38" s="415"/>
      <c r="R38" s="500"/>
      <c r="S38" s="2410"/>
      <c r="T38" s="2346"/>
      <c r="U38" s="1155"/>
      <c r="V38" s="2240" t="s">
        <v>589</v>
      </c>
      <c r="W38" s="2264"/>
      <c r="X38" s="2431" t="s">
        <v>548</v>
      </c>
      <c r="Y38" s="2450"/>
      <c r="Z38" s="2450"/>
      <c r="AA38" s="2346"/>
      <c r="AB38" s="2345"/>
      <c r="AC38" s="2345"/>
      <c r="AD38" s="2240" t="s">
        <v>589</v>
      </c>
      <c r="AE38" s="2264"/>
      <c r="AF38" s="2450" t="s">
        <v>548</v>
      </c>
      <c r="AG38" s="2450"/>
      <c r="AH38" s="2451"/>
      <c r="AI38" s="2415"/>
      <c r="AJ38" s="2418"/>
      <c r="AK38" s="2264"/>
      <c r="AQ38" s="1755">
        <v>34</v>
      </c>
    </row>
    <row customHeight="1" ht="14.699999999999998">
      <c r="Q39" s="415"/>
      <c r="R39" s="500"/>
      <c r="S39" s="2410"/>
      <c r="T39" s="2346"/>
      <c r="U39" s="1155"/>
      <c r="V39" s="2477" t="str">
        <f>IF($AD$39&lt;&gt;"",$AD$39,"")</f>
        <v/>
      </c>
      <c r="W39" s="2477"/>
      <c r="X39" s="2432"/>
      <c r="Y39" s="2452"/>
      <c r="Z39" s="2452"/>
      <c r="AA39" s="2346"/>
      <c r="AB39" s="2345"/>
      <c r="AC39" s="2345"/>
      <c r="AD39" s="2493"/>
      <c r="AE39" s="2476"/>
      <c r="AF39" s="2452"/>
      <c r="AG39" s="2452"/>
      <c r="AH39" s="2453"/>
      <c r="AI39" s="2415"/>
      <c r="AJ39" s="2418"/>
      <c r="AK39" s="2264"/>
      <c r="AQ39" s="1755">
        <v>14</v>
      </c>
    </row>
    <row customHeight="1" ht="14.699999999999998">
      <c r="A40" s="1390"/>
      <c r="B40" s="1390" t="s">
        <v>255</v>
      </c>
      <c r="C40" s="1390" t="s">
        <v>256</v>
      </c>
      <c r="D40" s="1390" t="s">
        <v>257</v>
      </c>
      <c r="E40" s="1434" t="s">
        <v>549</v>
      </c>
      <c r="F40" s="1434" t="s">
        <v>550</v>
      </c>
      <c r="G40" s="1434" t="s">
        <v>551</v>
      </c>
      <c r="H40" s="1434" t="s">
        <v>552</v>
      </c>
      <c r="I40" s="1434" t="s">
        <v>553</v>
      </c>
      <c r="J40" s="1434" t="s">
        <v>554</v>
      </c>
      <c r="K40" s="1434" t="s">
        <v>555</v>
      </c>
      <c r="L40" s="1434" t="s">
        <v>530</v>
      </c>
      <c r="Q40" s="415"/>
      <c r="R40" s="500"/>
      <c r="S40" s="2410"/>
      <c r="T40" s="2346"/>
      <c r="U40" s="426"/>
      <c r="V40" s="2071" t="s">
        <v>590</v>
      </c>
      <c r="W40" s="2071" t="s">
        <v>591</v>
      </c>
      <c r="X40" s="2059" t="s">
        <v>558</v>
      </c>
      <c r="Y40" s="2407" t="s">
        <v>559</v>
      </c>
      <c r="Z40" s="2457"/>
      <c r="AA40" s="2346"/>
      <c r="AB40" s="2345"/>
      <c r="AC40" s="2345"/>
      <c r="AD40" s="2089" t="s">
        <v>590</v>
      </c>
      <c r="AE40" s="2080" t="s">
        <v>591</v>
      </c>
      <c r="AF40" s="2059" t="s">
        <v>558</v>
      </c>
      <c r="AG40" s="2407" t="s">
        <v>559</v>
      </c>
      <c r="AH40" s="2408"/>
      <c r="AI40" s="2416"/>
      <c r="AJ40" s="2419"/>
      <c r="AK40" s="2264"/>
      <c r="AQ40" s="1755">
        <v>14</v>
      </c>
    </row>
    <row s="6292" customFormat="1" customHeight="1" ht="11.25" hidden="1">
      <c r="A41" s="1390"/>
      <c r="B41" s="1390"/>
      <c r="C41" s="1390"/>
      <c r="D41" s="1390"/>
      <c r="E41" s="1390"/>
      <c r="F41" s="1390"/>
      <c r="G41" s="1390"/>
      <c r="H41" s="1390"/>
      <c r="I41" s="1390"/>
      <c r="J41" s="1390"/>
      <c r="K41" s="1390"/>
      <c r="L41" s="1434"/>
      <c r="M41" s="2086"/>
      <c r="N41" s="2086"/>
      <c r="O41" s="2086"/>
      <c r="P41" s="634"/>
      <c r="Q41" s="1378"/>
      <c r="R41" s="1378">
        <v>1</v>
      </c>
      <c r="S41" s="1401" t="s">
        <v>210</v>
      </c>
      <c r="T41" s="1379" t="s">
        <v>102</v>
      </c>
      <c r="U41" s="1369" t="str">
        <f>OFFSET(U41,0,-1)</f>
        <v>2</v>
      </c>
      <c r="V41" s="2077">
        <f>OFFSET(V41,0,-1)+1</f>
        <v>3</v>
      </c>
      <c r="W41" s="2077">
        <f>OFFSET(W41,0,-1)+1</f>
        <v>4</v>
      </c>
      <c r="X41" s="2077">
        <f>OFFSET(X41,0,-1)+1</f>
        <v>5</v>
      </c>
      <c r="Y41" s="2409">
        <f>OFFSET(Y41,0,-1)+1</f>
        <v>6</v>
      </c>
      <c r="Z41" s="2409"/>
      <c r="AA41" s="1465">
        <f>OFFSET(AA41,0,-2)+1</f>
        <v>7</v>
      </c>
      <c r="AB41" s="1465"/>
      <c r="AC41" s="1465"/>
      <c r="AD41" s="2077">
        <f>OFFSET(AD41,0,-1)+1</f>
        <v>1</v>
      </c>
      <c r="AE41" s="2077">
        <f>OFFSET(AE41,0,-1)+1</f>
        <v>2</v>
      </c>
      <c r="AF41" s="2077">
        <f>OFFSET(AF41,0,-1)+1</f>
        <v>3</v>
      </c>
      <c r="AG41" s="2409">
        <f>OFFSET(AG41,0,-1)+1</f>
        <v>4</v>
      </c>
      <c r="AH41" s="2409"/>
      <c r="AI41" s="2077">
        <f>OFFSET(AI41,0,-2)+1</f>
        <v>5</v>
      </c>
      <c r="AJ41" s="1369">
        <f>OFFSET(AJ41,0,-1)</f>
        <v>5</v>
      </c>
      <c r="AK41" s="2077">
        <f>OFFSET(AK41,0,-1)+1</f>
        <v>6</v>
      </c>
      <c r="AL41" s="1760"/>
      <c r="AM41" s="1760"/>
      <c r="AN41" s="1760"/>
      <c r="AO41" s="1760"/>
      <c r="AP41" s="1760"/>
      <c r="AQ41" s="1765">
        <v>0</v>
      </c>
    </row>
    <row customHeight="1" ht="107.25">
      <c r="A42" s="1391" t="s">
        <v>318</v>
      </c>
      <c r="B42" s="1391"/>
      <c r="C42" s="1391"/>
      <c r="D42" s="1391"/>
      <c r="E42" s="2426">
        <v>1</v>
      </c>
      <c r="F42" s="1391"/>
      <c r="G42" s="1391"/>
      <c r="H42" s="1391"/>
      <c r="I42" s="1391"/>
      <c r="J42" s="1391"/>
      <c r="K42" s="1391"/>
      <c r="L42" s="1434"/>
      <c r="M42" s="1734"/>
      <c r="N42" s="1734"/>
      <c r="O42" s="1734"/>
      <c r="P42" s="1533"/>
      <c r="Q42" s="997"/>
      <c r="R42" s="479"/>
      <c r="S42" s="2079">
        <f>INDEX(PT_DIFFERENTIATION_NUM_NTAR,MATCH(A42,PT_DIFFERENTIATION_NTAR_ID,0))</f>
        <v>0</v>
      </c>
      <c r="T42" s="1649" t="s">
        <v>243</v>
      </c>
      <c r="U42" s="424"/>
      <c r="V42" s="2380"/>
      <c r="W42" s="2380"/>
      <c r="X42" s="2380"/>
      <c r="Y42" s="2380"/>
      <c r="Z42" s="2380"/>
      <c r="AA42" s="2381"/>
      <c r="AB42" s="2073"/>
      <c r="AC42" s="2380" t="str">
        <f>INDEX(PT_DIFFERENTIATION_NTAR,MATCH(A42,PT_DIFFERENTIATION_NTAR_ID,0))</f>
        <v/>
      </c>
      <c r="AD42" s="2380"/>
      <c r="AE42" s="2380"/>
      <c r="AF42" s="2380"/>
      <c r="AG42" s="2380"/>
      <c r="AH42" s="2380"/>
      <c r="AI42" s="2380"/>
      <c r="AJ42" s="2381"/>
      <c r="AK42" s="13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748"/>
      <c r="AN42" s="1748" t="str">
        <f>IF(T42="","",T42)</f>
        <v>Наименование тарифа</v>
      </c>
      <c r="AO42" s="1748"/>
      <c r="AP42" s="1748"/>
      <c r="AQ42" s="1755">
        <v>102</v>
      </c>
    </row>
    <row customHeight="1" ht="22.049999999999997">
      <c r="A43" s="1391" t="s">
        <v>318</v>
      </c>
      <c r="B43" s="1391" t="s">
        <v>319</v>
      </c>
      <c r="C43" s="1391"/>
      <c r="D43" s="1391"/>
      <c r="E43" s="2427"/>
      <c r="F43" s="2426">
        <v>1</v>
      </c>
      <c r="G43" s="1391"/>
      <c r="H43" s="1391"/>
      <c r="I43" s="1391"/>
      <c r="J43" s="1391"/>
      <c r="K43" s="1391"/>
      <c r="L43" s="1434"/>
      <c r="M43" s="1734"/>
      <c r="N43" s="1734"/>
      <c r="O43" s="1734"/>
      <c r="P43" s="2090"/>
      <c r="Q43" s="1535"/>
      <c r="R43" s="477"/>
      <c r="S43" s="2079" t="str">
        <f>INDEX(PT_DIFFERENTIATION_NUM_TER,MATCH(B43,PT_DIFFERENTIATION_TER_ID,0))</f>
        <v>.</v>
      </c>
      <c r="T43" s="1646" t="s">
        <v>509</v>
      </c>
      <c r="U43" s="424"/>
      <c r="V43" s="2380"/>
      <c r="W43" s="2380"/>
      <c r="X43" s="2380"/>
      <c r="Y43" s="2380"/>
      <c r="Z43" s="2380"/>
      <c r="AA43" s="2381"/>
      <c r="AB43" s="2073"/>
      <c r="AC43" s="2380" t="str">
        <f>INDEX(PT_DIFFERENTIATION_TER,MATCH(B43,PT_DIFFERENTIATION_TER_ID,0))</f>
        <v/>
      </c>
      <c r="AD43" s="2380"/>
      <c r="AE43" s="2380"/>
      <c r="AF43" s="2380"/>
      <c r="AG43" s="2380"/>
      <c r="AH43" s="2380"/>
      <c r="AI43" s="2380"/>
      <c r="AJ43" s="2381"/>
      <c r="AK43" s="1382" t="s">
        <v>510</v>
      </c>
      <c r="AM43" s="1748"/>
      <c r="AN43" s="1748" t="str">
        <f>IF(T43="","",T43)</f>
        <v>Территория действия тарифа</v>
      </c>
      <c r="AO43" s="1748"/>
      <c r="AP43" s="1748"/>
      <c r="AQ43" s="1755">
        <v>21</v>
      </c>
    </row>
    <row customHeight="1" ht="24">
      <c r="A44" s="1391" t="s">
        <v>318</v>
      </c>
      <c r="B44" s="1391" t="s">
        <v>319</v>
      </c>
      <c r="C44" s="1391" t="s">
        <v>320</v>
      </c>
      <c r="D44" s="1391"/>
      <c r="E44" s="2427"/>
      <c r="F44" s="2427"/>
      <c r="G44" s="2426">
        <v>1</v>
      </c>
      <c r="H44" s="1391"/>
      <c r="I44" s="1391"/>
      <c r="J44" s="1391"/>
      <c r="K44" s="1391"/>
      <c r="L44" s="1434"/>
      <c r="M44" s="1734"/>
      <c r="N44" s="1734"/>
      <c r="O44" s="1734"/>
      <c r="P44" s="1536"/>
      <c r="Q44" s="1535"/>
      <c r="R44" s="477"/>
      <c r="S44" s="2079" t="str">
        <f>INDEX(PT_DIFFERENTIATION_NUM_CS,MATCH(C44,PT_DIFFERENTIATION_CS_ID,0))</f>
        <v>..</v>
      </c>
      <c r="T44" s="433" t="s">
        <v>511</v>
      </c>
      <c r="U44" s="424"/>
      <c r="V44" s="2380"/>
      <c r="W44" s="2380"/>
      <c r="X44" s="2380"/>
      <c r="Y44" s="2380"/>
      <c r="Z44" s="2380"/>
      <c r="AA44" s="2381"/>
      <c r="AB44" s="2073"/>
      <c r="AC44" s="2380" t="str">
        <f>INDEX(PT_DIFFERENTIATION_CS,MATCH(C44,PT_DIFFERENTIATION_CS_ID,0))</f>
        <v/>
      </c>
      <c r="AD44" s="2380"/>
      <c r="AE44" s="2380"/>
      <c r="AF44" s="2380"/>
      <c r="AG44" s="2380"/>
      <c r="AH44" s="2380"/>
      <c r="AI44" s="2380"/>
      <c r="AJ44" s="2381"/>
      <c r="AK44" s="1382" t="s">
        <v>512</v>
      </c>
      <c r="AM44" s="1748"/>
      <c r="AN44" s="1748" t="str">
        <f>IF(T44="","",T44)</f>
        <v>Наименование системы теплоснабжения </v>
      </c>
      <c r="AO44" s="1748"/>
      <c r="AP44" s="1748"/>
      <c r="AQ44" s="1755">
        <v>23</v>
      </c>
    </row>
    <row customHeight="1" ht="22.049999999999997">
      <c r="A45" s="1391" t="s">
        <v>318</v>
      </c>
      <c r="B45" s="1391" t="s">
        <v>319</v>
      </c>
      <c r="C45" s="1391" t="s">
        <v>320</v>
      </c>
      <c r="D45" s="1391" t="s">
        <v>321</v>
      </c>
      <c r="E45" s="2427"/>
      <c r="F45" s="2427"/>
      <c r="G45" s="2427"/>
      <c r="H45" s="2426">
        <v>1</v>
      </c>
      <c r="I45" s="1391"/>
      <c r="J45" s="1391"/>
      <c r="K45" s="1391"/>
      <c r="L45" s="1434"/>
      <c r="M45" s="1734"/>
      <c r="N45" s="1734"/>
      <c r="O45" s="1734"/>
      <c r="P45" s="1536"/>
      <c r="Q45" s="1535"/>
      <c r="R45" s="477"/>
      <c r="S45" s="2079" t="str">
        <f>INDEX(PT_DIFFERENTIATION_NUM_IST_TE,MATCH(D45,PT_DIFFERENTIATION_IST_TE_ID,0))</f>
        <v>...</v>
      </c>
      <c r="T45" s="434" t="s">
        <v>513</v>
      </c>
      <c r="U45" s="424"/>
      <c r="V45" s="2380"/>
      <c r="W45" s="2380"/>
      <c r="X45" s="2380"/>
      <c r="Y45" s="2380"/>
      <c r="Z45" s="2380"/>
      <c r="AA45" s="2381"/>
      <c r="AB45" s="2073"/>
      <c r="AC45" s="2380" t="str">
        <f>INDEX(PT_DIFFERENTIATION_IST_TE,MATCH(D45,PT_DIFFERENTIATION_IST_TE_ID,0))</f>
        <v/>
      </c>
      <c r="AD45" s="2380"/>
      <c r="AE45" s="2380"/>
      <c r="AF45" s="2380"/>
      <c r="AG45" s="2380"/>
      <c r="AH45" s="2380"/>
      <c r="AI45" s="2380"/>
      <c r="AJ45" s="2381"/>
      <c r="AK45" s="1382" t="s">
        <v>514</v>
      </c>
      <c r="AM45" s="1748"/>
      <c r="AN45" s="1748" t="str">
        <f>IF(T45="","",T45)</f>
        <v>Источник тепловой энергии  </v>
      </c>
      <c r="AO45" s="1748"/>
      <c r="AP45" s="1748"/>
      <c r="AQ45" s="1755">
        <v>21</v>
      </c>
    </row>
    <row s="6698" customFormat="1" customHeight="1" ht="0">
      <c r="A46" s="1499" t="s">
        <v>318</v>
      </c>
      <c r="B46" s="1499" t="s">
        <v>319</v>
      </c>
      <c r="C46" s="1499" t="s">
        <v>320</v>
      </c>
      <c r="D46" s="1499" t="s">
        <v>321</v>
      </c>
      <c r="E46" s="2427"/>
      <c r="F46" s="2427"/>
      <c r="G46" s="2427"/>
      <c r="H46" s="2427"/>
      <c r="I46" s="2264" t="str">
        <f>S45&amp;".1"</f>
        <v>....1</v>
      </c>
      <c r="J46" s="1499"/>
      <c r="K46" s="1499"/>
      <c r="L46" s="1505" t="s">
        <v>515</v>
      </c>
      <c r="M46" s="1370"/>
      <c r="N46" s="1370"/>
      <c r="O46" s="1370"/>
      <c r="P46" s="2394">
        <v>1</v>
      </c>
      <c r="Q46" s="2075"/>
      <c r="R46" s="480"/>
      <c r="S46" s="1166"/>
      <c r="T46" s="1507"/>
      <c r="U46" s="1508"/>
      <c r="V46" s="2434"/>
      <c r="W46" s="2434"/>
      <c r="X46" s="2434"/>
      <c r="Y46" s="2434"/>
      <c r="Z46" s="2434"/>
      <c r="AA46" s="2435"/>
      <c r="AB46" s="2081"/>
      <c r="AC46" s="2434"/>
      <c r="AD46" s="2434"/>
      <c r="AE46" s="2434"/>
      <c r="AF46" s="2434"/>
      <c r="AG46" s="2434"/>
      <c r="AH46" s="2434"/>
      <c r="AI46" s="2434"/>
      <c r="AJ46" s="2435"/>
      <c r="AK46" s="1509"/>
      <c r="AM46" s="1748"/>
      <c r="AN46" s="1748" t="str">
        <f>IF(T46="","",T46)</f>
        <v/>
      </c>
      <c r="AO46" s="1748"/>
      <c r="AP46" s="1748"/>
      <c r="AQ46" s="1760">
        <v>0</v>
      </c>
    </row>
    <row s="6698" customFormat="1" customHeight="1" ht="0">
      <c r="A47" s="1499" t="s">
        <v>318</v>
      </c>
      <c r="B47" s="1499" t="s">
        <v>319</v>
      </c>
      <c r="C47" s="1499" t="s">
        <v>320</v>
      </c>
      <c r="D47" s="1499" t="s">
        <v>321</v>
      </c>
      <c r="E47" s="2427"/>
      <c r="F47" s="2427"/>
      <c r="G47" s="2427"/>
      <c r="H47" s="2427"/>
      <c r="I47" s="2238"/>
      <c r="J47" s="2264" t="str">
        <f>S45&amp;".1"</f>
        <v>....1</v>
      </c>
      <c r="K47" s="1499"/>
      <c r="L47" s="1505"/>
      <c r="M47" s="1370"/>
      <c r="N47" s="1370"/>
      <c r="O47" s="1370"/>
      <c r="P47" s="2394"/>
      <c r="Q47" s="2394">
        <v>1</v>
      </c>
      <c r="R47" s="481"/>
      <c r="S47" s="1166"/>
      <c r="T47" s="1523"/>
      <c r="U47" s="1508"/>
      <c r="V47" s="2434"/>
      <c r="W47" s="2434"/>
      <c r="X47" s="2434"/>
      <c r="Y47" s="2434"/>
      <c r="Z47" s="2434"/>
      <c r="AA47" s="2435"/>
      <c r="AB47" s="2081"/>
      <c r="AC47" s="2434"/>
      <c r="AD47" s="2434"/>
      <c r="AE47" s="2434"/>
      <c r="AF47" s="2434"/>
      <c r="AG47" s="2434"/>
      <c r="AH47" s="2434"/>
      <c r="AI47" s="2434"/>
      <c r="AJ47" s="2435"/>
      <c r="AK47" s="1509"/>
      <c r="AM47" s="1748"/>
      <c r="AN47" s="1748" t="str">
        <f>IF(T47="","",T47)</f>
        <v/>
      </c>
      <c r="AO47" s="1748"/>
      <c r="AP47" s="1748"/>
      <c r="AQ47" s="1760">
        <v>0</v>
      </c>
    </row>
    <row customHeight="1" ht="22.049999999999997">
      <c r="A48" s="1391" t="s">
        <v>318</v>
      </c>
      <c r="B48" s="1391" t="s">
        <v>319</v>
      </c>
      <c r="C48" s="1391" t="s">
        <v>320</v>
      </c>
      <c r="D48" s="1391" t="s">
        <v>321</v>
      </c>
      <c r="E48" s="2427"/>
      <c r="F48" s="2427"/>
      <c r="G48" s="2427"/>
      <c r="H48" s="2427"/>
      <c r="I48" s="2238"/>
      <c r="J48" s="2238"/>
      <c r="K48" s="2062" t="str">
        <f>S45&amp;".1"</f>
        <v>....1</v>
      </c>
      <c r="L48" s="1434"/>
      <c r="P48" s="2394"/>
      <c r="Q48" s="2394"/>
      <c r="R48" s="481">
        <v>1</v>
      </c>
      <c r="S48" s="2083" t="str">
        <f>$K48</f>
        <v>....1</v>
      </c>
      <c r="T48" s="2082"/>
      <c r="U48" s="424"/>
      <c r="V48" s="875"/>
      <c r="W48" s="1381"/>
      <c r="X48" s="2076"/>
      <c r="Y48" s="2063" t="s">
        <v>62</v>
      </c>
      <c r="Z48" s="2076"/>
      <c r="AA48" s="2063" t="s">
        <v>62</v>
      </c>
      <c r="AB48" s="2085"/>
      <c r="AC48" s="2084" t="s">
        <v>22</v>
      </c>
      <c r="AD48" s="875"/>
      <c r="AE48" s="1381"/>
      <c r="AF48" s="2076"/>
      <c r="AG48" s="2063" t="s">
        <v>62</v>
      </c>
      <c r="AH48" s="2076"/>
      <c r="AI48" s="2063" t="s">
        <v>62</v>
      </c>
      <c r="AJ48" s="1472"/>
      <c r="AK48" s="2390" t="s">
        <v>592</v>
      </c>
      <c r="AL48" s="1760">
        <f>STRCHECKDATE(#REF!)</f>
      </c>
      <c r="AM48" s="1748"/>
      <c r="AN48" s="1748" t="str">
        <f>IF(T48="","",T48)</f>
        <v/>
      </c>
      <c r="AO48" s="1748"/>
      <c r="AP48" s="1748"/>
      <c r="AQ48" s="1755">
        <v>21</v>
      </c>
    </row>
    <row customHeight="1" ht="11.549999999999999">
      <c r="A49" s="1391" t="s">
        <v>318</v>
      </c>
      <c r="B49" s="1391" t="s">
        <v>319</v>
      </c>
      <c r="C49" s="1391" t="s">
        <v>320</v>
      </c>
      <c r="D49" s="1391" t="s">
        <v>321</v>
      </c>
      <c r="E49" s="2427"/>
      <c r="F49" s="2427"/>
      <c r="G49" s="2427"/>
      <c r="H49" s="2427"/>
      <c r="I49" s="2238"/>
      <c r="J49" s="2264"/>
      <c r="K49" s="1391"/>
      <c r="L49" s="1434"/>
      <c r="P49" s="2394"/>
      <c r="Q49" s="2394"/>
      <c r="R49" s="480"/>
      <c r="S49" s="1402"/>
      <c r="T49" s="411" t="s">
        <v>580</v>
      </c>
      <c r="U49" s="724"/>
      <c r="V49" s="724"/>
      <c r="W49" s="724"/>
      <c r="X49" s="724"/>
      <c r="Y49" s="724"/>
      <c r="Z49" s="724"/>
      <c r="AA49" s="448"/>
      <c r="AB49" s="724"/>
      <c r="AC49" s="724"/>
      <c r="AD49" s="724"/>
      <c r="AE49" s="724"/>
      <c r="AF49" s="724"/>
      <c r="AG49" s="724"/>
      <c r="AH49" s="724"/>
      <c r="AI49" s="724"/>
      <c r="AJ49" s="448"/>
      <c r="AK49" s="2392"/>
      <c r="AM49" s="1748"/>
      <c r="AN49" s="1748" t="str">
        <f>IF(T49="","",T49)</f>
        <v>Добавить строку</v>
      </c>
      <c r="AO49" s="1748"/>
      <c r="AP49" s="1748"/>
      <c r="AQ49" s="1755">
        <v>11</v>
      </c>
    </row>
    <row s="6698" customFormat="1" customHeight="1" ht="1.05">
      <c r="A50" s="1499" t="s">
        <v>318</v>
      </c>
      <c r="B50" s="1499" t="s">
        <v>319</v>
      </c>
      <c r="C50" s="1499" t="s">
        <v>320</v>
      </c>
      <c r="D50" s="1499" t="s">
        <v>321</v>
      </c>
      <c r="E50" s="2427"/>
      <c r="F50" s="2427"/>
      <c r="G50" s="2427"/>
      <c r="H50" s="2427"/>
      <c r="I50" s="2264"/>
      <c r="J50" s="1499"/>
      <c r="K50" s="1499"/>
      <c r="L50" s="1505"/>
      <c r="M50" s="1370"/>
      <c r="N50" s="1370"/>
      <c r="O50" s="1370"/>
      <c r="P50" s="2394"/>
      <c r="Q50" s="2075"/>
      <c r="R50" s="480"/>
      <c r="S50" s="1510"/>
      <c r="T50" s="1511" t="s">
        <v>524</v>
      </c>
      <c r="U50" s="1512"/>
      <c r="V50" s="1512"/>
      <c r="W50" s="1512"/>
      <c r="X50" s="1512"/>
      <c r="Y50" s="1512"/>
      <c r="Z50" s="1512"/>
      <c r="AA50" s="1512"/>
      <c r="AB50" s="1512"/>
      <c r="AC50" s="1512"/>
      <c r="AD50" s="1512"/>
      <c r="AE50" s="1512"/>
      <c r="AF50" s="1512"/>
      <c r="AG50" s="1512"/>
      <c r="AH50" s="1512"/>
      <c r="AI50" s="1512"/>
      <c r="AJ50" s="1512"/>
      <c r="AK50" s="1513"/>
      <c r="AM50" s="1748"/>
      <c r="AN50" s="1748" t="str">
        <f>IF(T50="","",T50)</f>
        <v>Добавить группу потребителей</v>
      </c>
      <c r="AO50" s="1748"/>
      <c r="AP50" s="1748"/>
      <c r="AQ50" s="1760">
        <v>1</v>
      </c>
    </row>
    <row s="6292" customFormat="1" customHeight="1" ht="1.05">
      <c r="A51" s="1499" t="s">
        <v>318</v>
      </c>
      <c r="B51" s="1499" t="s">
        <v>319</v>
      </c>
      <c r="C51" s="1499" t="s">
        <v>320</v>
      </c>
      <c r="D51" s="1499" t="s">
        <v>321</v>
      </c>
      <c r="E51" s="2427"/>
      <c r="F51" s="2427"/>
      <c r="G51" s="2427"/>
      <c r="H51" s="2426"/>
      <c r="I51" s="1499"/>
      <c r="J51" s="1499"/>
      <c r="K51" s="1499"/>
      <c r="L51" s="1505"/>
      <c r="M51" s="1502"/>
      <c r="N51" s="1502"/>
      <c r="O51" s="475"/>
      <c r="P51" s="504"/>
      <c r="Q51" s="1468"/>
      <c r="R51" s="1524"/>
      <c r="S51" s="1510"/>
      <c r="T51" s="1511"/>
      <c r="U51" s="1512"/>
      <c r="V51" s="1512"/>
      <c r="W51" s="1512"/>
      <c r="X51" s="1512"/>
      <c r="Y51" s="1512"/>
      <c r="Z51" s="1512"/>
      <c r="AA51" s="1512"/>
      <c r="AB51" s="1512"/>
      <c r="AC51" s="1512"/>
      <c r="AD51" s="1512"/>
      <c r="AE51" s="1512"/>
      <c r="AF51" s="1512"/>
      <c r="AG51" s="1512"/>
      <c r="AH51" s="1512"/>
      <c r="AI51" s="1512"/>
      <c r="AJ51" s="1512"/>
      <c r="AK51" s="1513"/>
      <c r="AL51" s="1760"/>
      <c r="AM51" s="1748"/>
      <c r="AN51" s="1748" t="str">
        <f>IF(T51="","",T51)</f>
        <v/>
      </c>
      <c r="AO51" s="1748"/>
      <c r="AP51" s="1748"/>
      <c r="AQ51" s="1765">
        <v>1</v>
      </c>
    </row>
    <row s="6698" customFormat="1" customHeight="1" ht="1.05">
      <c r="A52" s="1499" t="s">
        <v>318</v>
      </c>
      <c r="B52" s="1499" t="s">
        <v>319</v>
      </c>
      <c r="C52" s="1499" t="s">
        <v>320</v>
      </c>
      <c r="D52" s="1498"/>
      <c r="E52" s="2427"/>
      <c r="F52" s="2427"/>
      <c r="G52" s="2426"/>
      <c r="H52" s="1498"/>
      <c r="I52" s="1498"/>
      <c r="J52" s="1498"/>
      <c r="K52" s="1498"/>
      <c r="L52" s="1501"/>
      <c r="M52" s="1502"/>
      <c r="N52" s="1502"/>
      <c r="O52" s="475"/>
      <c r="P52" s="1440"/>
      <c r="Q52" s="1441"/>
      <c r="R52" s="1440"/>
      <c r="S52" s="1446"/>
      <c r="T52" s="1449" t="s">
        <v>526</v>
      </c>
      <c r="U52" s="1448"/>
      <c r="V52" s="1448"/>
      <c r="W52" s="1448"/>
      <c r="X52" s="1448"/>
      <c r="Y52" s="1448"/>
      <c r="Z52" s="1448"/>
      <c r="AA52" s="1448"/>
      <c r="AB52" s="1448"/>
      <c r="AC52" s="1448"/>
      <c r="AD52" s="1448"/>
      <c r="AE52" s="1448"/>
      <c r="AF52" s="1448"/>
      <c r="AG52" s="1448"/>
      <c r="AH52" s="1448"/>
      <c r="AI52" s="1448"/>
      <c r="AJ52" s="1448"/>
      <c r="AK52" s="1448"/>
      <c r="AM52" s="1375"/>
      <c r="AN52" s="1375" t="str">
        <f>IF(T52="","",T52)</f>
        <v>Добавить источник для дифференциации</v>
      </c>
      <c r="AO52" s="1375"/>
      <c r="AP52" s="1375"/>
      <c r="AQ52" s="1766">
        <v>1</v>
      </c>
    </row>
    <row s="6698" customFormat="1" customHeight="1" ht="1.05">
      <c r="A53" s="1499" t="s">
        <v>318</v>
      </c>
      <c r="B53" s="1499" t="s">
        <v>319</v>
      </c>
      <c r="C53" s="1498"/>
      <c r="D53" s="1498"/>
      <c r="E53" s="2427"/>
      <c r="F53" s="2426"/>
      <c r="G53" s="1498"/>
      <c r="H53" s="1498"/>
      <c r="I53" s="1498"/>
      <c r="J53" s="1498"/>
      <c r="K53" s="1498"/>
      <c r="L53" s="1501"/>
      <c r="M53" s="1503"/>
      <c r="N53" s="1503"/>
      <c r="O53" s="475"/>
      <c r="P53" s="1440"/>
      <c r="Q53" s="1441"/>
      <c r="R53" s="1440"/>
      <c r="S53" s="1446"/>
      <c r="T53" s="1449" t="s">
        <v>527</v>
      </c>
      <c r="U53" s="1448"/>
      <c r="V53" s="1448"/>
      <c r="W53" s="1448"/>
      <c r="X53" s="1448"/>
      <c r="Y53" s="1448"/>
      <c r="Z53" s="1448"/>
      <c r="AA53" s="1448"/>
      <c r="AB53" s="1448"/>
      <c r="AC53" s="1448"/>
      <c r="AD53" s="1448"/>
      <c r="AE53" s="1448"/>
      <c r="AF53" s="1448"/>
      <c r="AG53" s="1448"/>
      <c r="AH53" s="1448"/>
      <c r="AI53" s="1448"/>
      <c r="AJ53" s="1448"/>
      <c r="AK53" s="1448"/>
      <c r="AM53" s="1375"/>
      <c r="AN53" s="1375" t="str">
        <f>IF(T53="","",T53)</f>
        <v>Добавить централизованную систему для дифференциации</v>
      </c>
      <c r="AO53" s="1375"/>
      <c r="AP53" s="1375"/>
      <c r="AQ53" s="1766">
        <v>1</v>
      </c>
    </row>
    <row s="6698" customFormat="1" customHeight="1" ht="1.05">
      <c r="A54" s="1499" t="s">
        <v>318</v>
      </c>
      <c r="B54" s="1499"/>
      <c r="C54" s="1499"/>
      <c r="D54" s="1499"/>
      <c r="E54" s="2427"/>
      <c r="F54" s="1499"/>
      <c r="G54" s="1499"/>
      <c r="H54" s="1499"/>
      <c r="I54" s="1499"/>
      <c r="J54" s="1499"/>
      <c r="K54" s="1499"/>
      <c r="L54" s="1505"/>
      <c r="M54" s="1503"/>
      <c r="N54" s="1503"/>
      <c r="O54" s="475"/>
      <c r="P54" s="504"/>
      <c r="Q54" s="1468"/>
      <c r="R54" s="504"/>
      <c r="S54" s="1446"/>
      <c r="T54" s="1449" t="s">
        <v>528</v>
      </c>
      <c r="U54" s="1448"/>
      <c r="V54" s="1448"/>
      <c r="W54" s="1448"/>
      <c r="X54" s="1448"/>
      <c r="Y54" s="1448"/>
      <c r="Z54" s="1448"/>
      <c r="AA54" s="1448"/>
      <c r="AB54" s="1448"/>
      <c r="AC54" s="1448"/>
      <c r="AD54" s="1448"/>
      <c r="AE54" s="1448"/>
      <c r="AF54" s="1448"/>
      <c r="AG54" s="1448"/>
      <c r="AH54" s="1448"/>
      <c r="AI54" s="1448"/>
      <c r="AJ54" s="1448"/>
      <c r="AK54" s="1448"/>
      <c r="AM54" s="1748"/>
      <c r="AN54" s="1748" t="str">
        <f>IF(T54="","",T54)</f>
        <v>Добавить территорию для дифференциации</v>
      </c>
      <c r="AO54" s="1748"/>
      <c r="AP54" s="1748"/>
      <c r="AQ54" s="1760">
        <v>1</v>
      </c>
    </row>
    <row s="6698" customFormat="1" customHeight="1" ht="1.05">
      <c r="A55" s="1499" t="s">
        <v>318</v>
      </c>
      <c r="B55" s="1499"/>
      <c r="C55" s="1499"/>
      <c r="D55" s="1499"/>
      <c r="E55" s="2426"/>
      <c r="F55" s="1499"/>
      <c r="G55" s="1499"/>
      <c r="H55" s="1499"/>
      <c r="I55" s="1499"/>
      <c r="J55" s="1499"/>
      <c r="K55" s="1499"/>
      <c r="L55" s="1505"/>
      <c r="M55" s="1503"/>
      <c r="N55" s="1503"/>
      <c r="O55" s="475"/>
      <c r="P55" s="504"/>
      <c r="Q55" s="1468"/>
      <c r="R55" s="504"/>
      <c r="S55" s="1446"/>
      <c r="T55" s="1449" t="s">
        <v>528</v>
      </c>
      <c r="U55" s="1448"/>
      <c r="V55" s="1448"/>
      <c r="W55" s="1448"/>
      <c r="X55" s="1448"/>
      <c r="Y55" s="1448"/>
      <c r="Z55" s="1448"/>
      <c r="AA55" s="1448"/>
      <c r="AB55" s="1448"/>
      <c r="AC55" s="1448"/>
      <c r="AD55" s="1448"/>
      <c r="AE55" s="1448"/>
      <c r="AF55" s="1448"/>
      <c r="AG55" s="1448"/>
      <c r="AH55" s="1448"/>
      <c r="AI55" s="1448"/>
      <c r="AJ55" s="1448"/>
      <c r="AK55" s="1448"/>
      <c r="AM55" s="1748"/>
      <c r="AN55" s="1748" t="str">
        <f>IF(T55="","",T55)</f>
        <v>Добавить территорию для дифференциации</v>
      </c>
      <c r="AO55" s="1748"/>
      <c r="AP55" s="1748"/>
      <c r="AQ55" s="1760">
        <v>1</v>
      </c>
    </row>
    <row s="6698" customFormat="1" customHeight="1" ht="1.05">
      <c r="A56" s="1498"/>
      <c r="B56" s="1498"/>
      <c r="C56" s="1498"/>
      <c r="D56" s="1498"/>
      <c r="E56" s="1499"/>
      <c r="F56" s="1498"/>
      <c r="G56" s="1498"/>
      <c r="H56" s="1498"/>
      <c r="I56" s="1498"/>
      <c r="J56" s="1498"/>
      <c r="K56" s="1498"/>
      <c r="L56" s="1501"/>
      <c r="M56" s="1503"/>
      <c r="N56" s="1503"/>
      <c r="O56" s="475"/>
      <c r="P56" s="1440"/>
      <c r="Q56" s="1441"/>
      <c r="R56" s="1440"/>
      <c r="S56" s="1446"/>
      <c r="T56" s="1449" t="s">
        <v>560</v>
      </c>
      <c r="U56" s="1448"/>
      <c r="V56" s="1448"/>
      <c r="W56" s="1448"/>
      <c r="X56" s="1448"/>
      <c r="Y56" s="1448"/>
      <c r="Z56" s="1448"/>
      <c r="AA56" s="1448"/>
      <c r="AB56" s="1448"/>
      <c r="AC56" s="1448"/>
      <c r="AD56" s="1448"/>
      <c r="AE56" s="1448"/>
      <c r="AF56" s="1448"/>
      <c r="AG56" s="1448"/>
      <c r="AH56" s="1448"/>
      <c r="AI56" s="1448"/>
      <c r="AJ56" s="1448"/>
      <c r="AK56" s="1448"/>
      <c r="AM56" s="1375"/>
      <c r="AN56" s="1375" t="str">
        <f>IF(T56="","",T56)</f>
        <v>Добавить наименование тарифа</v>
      </c>
      <c r="AO56" s="1375"/>
      <c r="AP56" s="1375"/>
      <c r="AQ56" s="1766">
        <v>1</v>
      </c>
    </row>
    <row customHeight="1" ht="11.549999999999999">
      <c r="M57" s="1755"/>
      <c r="N57" s="1755"/>
      <c r="O57" s="1759"/>
      <c r="P57" s="1490"/>
      <c r="Q57" s="1490"/>
      <c r="R57" s="1755"/>
      <c r="S57" s="1755"/>
      <c r="AL57" s="1755"/>
      <c r="AM57" s="1755"/>
      <c r="AN57" s="1755"/>
      <c r="AO57" s="1755"/>
      <c r="AP57" s="1755"/>
      <c r="AQ57" s="1755">
        <v>11</v>
      </c>
    </row>
    <row customHeight="1" ht="19.95">
      <c r="O58" s="1759"/>
      <c r="S58" s="1377"/>
      <c r="T58" s="2422"/>
      <c r="U58" s="2422"/>
      <c r="V58" s="2422"/>
      <c r="W58" s="2422"/>
      <c r="X58" s="2422"/>
      <c r="Y58" s="2422"/>
      <c r="Z58" s="2422"/>
      <c r="AA58" s="2422"/>
      <c r="AB58" s="2422"/>
      <c r="AC58" s="2422"/>
      <c r="AD58" s="2422"/>
      <c r="AE58" s="2422"/>
      <c r="AF58" s="2422"/>
      <c r="AG58" s="2422"/>
      <c r="AH58" s="2422"/>
      <c r="AI58" s="2422"/>
      <c r="AJ58" s="2422"/>
      <c r="AK58" s="2422"/>
      <c r="AQ58" s="1755">
        <v>19</v>
      </c>
    </row>
    <row customHeight="1" ht="21">
      <c r="O59" s="1759"/>
      <c r="T59" s="2422"/>
      <c r="U59" s="2422"/>
      <c r="V59" s="2422"/>
      <c r="W59" s="2422"/>
      <c r="X59" s="2422"/>
      <c r="Y59" s="2422"/>
      <c r="Z59" s="2422"/>
      <c r="AA59" s="2422"/>
      <c r="AB59" s="2422"/>
      <c r="AC59" s="2422"/>
      <c r="AD59" s="2422"/>
      <c r="AE59" s="2422"/>
      <c r="AF59" s="2422"/>
      <c r="AG59" s="2422"/>
      <c r="AH59" s="2422"/>
      <c r="AI59" s="2422"/>
      <c r="AJ59" s="2422"/>
      <c r="AK59" s="2422"/>
      <c r="AQ59" s="1755">
        <v>20</v>
      </c>
    </row>
    <row customHeight="1" ht="14.699999999999998">
      <c r="O60" s="1759"/>
      <c r="T60" s="2074"/>
      <c r="U60" s="2074"/>
      <c r="V60" s="2074"/>
      <c r="W60" s="2074"/>
      <c r="X60" s="2074"/>
      <c r="Y60" s="2074"/>
      <c r="Z60" s="2074"/>
      <c r="AA60" s="2074"/>
      <c r="AB60" s="2074"/>
      <c r="AC60" s="2074"/>
      <c r="AD60" s="2074"/>
      <c r="AE60" s="2074"/>
      <c r="AF60" s="2074"/>
      <c r="AG60" s="2074"/>
      <c r="AH60" s="2074"/>
      <c r="AI60" s="2074"/>
      <c r="AJ60" s="2074"/>
      <c r="AK60" s="2074"/>
      <c r="AQ60" s="1755">
        <v>14</v>
      </c>
    </row>
    <row customHeight="1" ht="19.95">
      <c r="O61" s="1759"/>
      <c r="T61" s="2422"/>
      <c r="U61" s="2422"/>
      <c r="V61" s="2422"/>
      <c r="W61" s="2422"/>
      <c r="X61" s="2422"/>
      <c r="Y61" s="2422"/>
      <c r="Z61" s="2422"/>
      <c r="AA61" s="2422"/>
      <c r="AB61" s="2422"/>
      <c r="AC61" s="2422"/>
      <c r="AD61" s="2422"/>
      <c r="AE61" s="2422"/>
      <c r="AF61" s="2422"/>
      <c r="AG61" s="2422"/>
      <c r="AH61" s="2422"/>
      <c r="AI61" s="2422"/>
      <c r="AJ61" s="2422"/>
      <c r="AK61" s="2422"/>
      <c r="AQ61" s="1755">
        <v>19</v>
      </c>
    </row>
    <row customHeight="1" ht="16.8">
      <c r="O62" s="1759"/>
      <c r="T62" s="2422"/>
      <c r="U62" s="2422"/>
      <c r="V62" s="2422"/>
      <c r="W62" s="2422"/>
      <c r="X62" s="2422"/>
      <c r="Y62" s="2422"/>
      <c r="Z62" s="2422"/>
      <c r="AA62" s="2422"/>
      <c r="AB62" s="2422"/>
      <c r="AC62" s="2422"/>
      <c r="AD62" s="2422"/>
      <c r="AE62" s="2422"/>
      <c r="AF62" s="2422"/>
      <c r="AG62" s="2422"/>
      <c r="AH62" s="2422"/>
      <c r="AI62" s="2422"/>
      <c r="AJ62" s="2422"/>
      <c r="AK62" s="2422"/>
      <c r="AQ62" s="1755">
        <v>16</v>
      </c>
    </row>
    <row customHeight="1" ht="14.699999999999998">
      <c r="O63" s="1759"/>
      <c r="AQ63" s="1755">
        <v>14</v>
      </c>
    </row>
    <row customHeight="1" ht="22.5" hidden="1">
      <c r="A64" s="1755" t="s">
        <v>82</v>
      </c>
      <c r="B64" s="1755">
        <v>0</v>
      </c>
      <c r="C64" s="1755">
        <v>0</v>
      </c>
      <c r="D64" s="1755">
        <v>0</v>
      </c>
      <c r="E64" s="1755">
        <v>0</v>
      </c>
      <c r="F64" s="1755">
        <v>0</v>
      </c>
      <c r="G64" s="1755">
        <v>0</v>
      </c>
      <c r="H64" s="1755">
        <v>0</v>
      </c>
      <c r="I64" s="1755">
        <v>0</v>
      </c>
      <c r="J64" s="1755">
        <v>0</v>
      </c>
      <c r="K64" s="1755">
        <v>0</v>
      </c>
      <c r="L64" s="2060">
        <v>0</v>
      </c>
      <c r="M64" s="2086">
        <v>0</v>
      </c>
      <c r="N64" s="2086">
        <v>0</v>
      </c>
      <c r="O64" s="2086">
        <v>0</v>
      </c>
      <c r="P64" s="1486">
        <v>3</v>
      </c>
      <c r="Q64" s="1495">
        <v>3</v>
      </c>
      <c r="R64" s="468">
        <v>3</v>
      </c>
      <c r="S64" s="705">
        <v>12</v>
      </c>
      <c r="T64" s="1755">
        <v>31</v>
      </c>
      <c r="U64" s="1755">
        <v>0</v>
      </c>
      <c r="V64" s="1755">
        <v>0</v>
      </c>
      <c r="W64" s="1755">
        <v>0</v>
      </c>
      <c r="X64" s="1755">
        <v>0</v>
      </c>
      <c r="Y64" s="1755">
        <v>0</v>
      </c>
      <c r="Z64" s="1755">
        <v>0</v>
      </c>
      <c r="AA64" s="1755">
        <v>0</v>
      </c>
      <c r="AB64" s="1755">
        <v>27</v>
      </c>
      <c r="AC64" s="1755">
        <v>24</v>
      </c>
      <c r="AD64" s="1755">
        <v>21</v>
      </c>
      <c r="AE64" s="1755">
        <v>21</v>
      </c>
      <c r="AF64" s="1755">
        <v>11</v>
      </c>
      <c r="AG64" s="1755">
        <v>3</v>
      </c>
      <c r="AH64" s="1755">
        <v>11</v>
      </c>
      <c r="AI64" s="1755">
        <v>8</v>
      </c>
      <c r="AJ64" s="1755">
        <v>4</v>
      </c>
      <c r="AK64" s="1755">
        <v>115</v>
      </c>
      <c r="AL64" s="1760">
        <v>10</v>
      </c>
      <c r="AM64" s="1760">
        <v>10</v>
      </c>
      <c r="AN64" s="1760">
        <v>10</v>
      </c>
      <c r="AO64" s="1760">
        <v>10</v>
      </c>
      <c r="AP64" s="1760">
        <v>10</v>
      </c>
      <c r="AQ64" s="175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E88E8-7289-11CE-EF38-EADB4008896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7158" width="11.57421875" hidden="1" customWidth="1"/>
    <col min="2" max="2" style="7158" width="11.00390625" hidden="1" customWidth="1"/>
    <col min="3" max="3" style="7158" width="10.57421875" hidden="1"/>
    <col min="4" max="4" style="7158" width="12.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6374" width="3.7109375" hidden="1" customWidth="1"/>
    <col min="17" max="17" style="6440" width="3.7109375" hidden="1" customWidth="1"/>
    <col min="18" max="18" style="7183" width="3.00390625" customWidth="1"/>
    <col min="19" max="19" style="7888" width="12.00390625" customWidth="1"/>
    <col min="20" max="20" style="7213" width="31.00390625" customWidth="1"/>
    <col min="21" max="21" style="7213" width="0.140625" customWidth="1"/>
    <col min="22" max="25" style="7213" width="21.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3.7109375" customWidth="1"/>
    <col min="31" max="32" style="7213" width="3.00390625" customWidth="1"/>
    <col min="33" max="33" style="7213" width="24.00390625" customWidth="1"/>
    <col min="34" max="34" style="7213" width="3.7109375" customWidth="1"/>
    <col min="35" max="36" style="7213" width="3.00390625" customWidth="1"/>
    <col min="37" max="37" style="7213" width="24.00390625" customWidth="1"/>
    <col min="38" max="38" style="7213" width="3.7109375" customWidth="1"/>
    <col min="39" max="40" style="7213" width="3.00390625" customWidth="1"/>
    <col min="41" max="41" style="7213" width="18.00390625" customWidth="1"/>
    <col min="42" max="42" style="7213" width="3.7109375" customWidth="1"/>
    <col min="43" max="44" style="7213" width="3.00390625" customWidth="1"/>
    <col min="45" max="45" style="7213" width="18.00390625" customWidth="1"/>
    <col min="46" max="49" style="7213" width="21.00390625" customWidth="1"/>
    <col min="50" max="50" style="7213" width="11.00390625" customWidth="1"/>
    <col min="51" max="51" style="7213" width="3.7109375" customWidth="1"/>
    <col min="52" max="52" style="7213" width="11.00390625" customWidth="1"/>
    <col min="53" max="53" style="7213" width="8.57421875" hidden="1" customWidth="1"/>
    <col min="54" max="54" style="7213" width="4.00390625" customWidth="1"/>
    <col min="55" max="55" style="7213" width="115.00390625" customWidth="1"/>
    <col min="56" max="60" style="6698" width="10.00390625" customWidth="1"/>
    <col min="61" max="61" style="7213" width="10.57421875" hidden="1"/>
  </cols>
  <sheetData>
    <row customHeight="1" ht="22.5" hidden="1">
      <c r="W1" s="451"/>
      <c r="Y1" s="451"/>
      <c r="Z1" s="451"/>
      <c r="AW1" s="451"/>
      <c r="AX1" s="451"/>
      <c r="BI1" s="1279" t="s">
        <v>14</v>
      </c>
    </row>
    <row customHeight="1" ht="21" hidden="1">
      <c r="A2" s="1487"/>
      <c r="B2" s="1487"/>
      <c r="C2" s="1487"/>
      <c r="D2" s="1487"/>
      <c r="E2" s="2395">
        <v>1</v>
      </c>
      <c r="F2" s="1487"/>
      <c r="G2" s="1487"/>
      <c r="H2" s="1487"/>
      <c r="I2" s="1487"/>
      <c r="J2" s="1487"/>
      <c r="K2" s="1487"/>
      <c r="L2" s="1488"/>
      <c r="M2" s="1489"/>
      <c r="N2" s="1489"/>
      <c r="O2" s="1489"/>
      <c r="P2" s="1533"/>
      <c r="Q2" s="997"/>
      <c r="R2" s="479"/>
      <c r="S2" s="1589">
        <f>INDEX(PT_DIFFERENTIATION_NUM_NTAR,MATCH(A2,PT_DIFFERENTIATION_NTAR_ID,0))</f>
      </c>
      <c r="T2" s="422" t="s">
        <v>243</v>
      </c>
      <c r="U2" s="424"/>
      <c r="V2" s="2380"/>
      <c r="W2" s="2380"/>
      <c r="X2" s="2380"/>
      <c r="Y2" s="2380"/>
      <c r="Z2" s="2380"/>
      <c r="AA2" s="2380"/>
      <c r="AB2" s="2380"/>
      <c r="AC2" s="2381"/>
      <c r="AD2" s="2379">
        <f>INDEX(PT_DIFFERENTIATION_NTAR,MATCH(A2,PT_DIFFERENTIATION_NTAR_ID,0))</f>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24"/>
      <c r="BF2" s="624" t="str">
        <f>IF(T2="","",T2)</f>
        <v>Наименование тарифа</v>
      </c>
      <c r="BG2" s="624"/>
      <c r="BH2" s="624"/>
      <c r="BI2" s="1279">
        <v>0</v>
      </c>
    </row>
    <row customHeight="1" ht="21" hidden="1">
      <c r="A3" s="1487"/>
      <c r="B3" s="1487"/>
      <c r="C3" s="1487"/>
      <c r="D3" s="1487"/>
      <c r="E3" s="2396"/>
      <c r="F3" s="2395">
        <v>1</v>
      </c>
      <c r="G3" s="1487"/>
      <c r="H3" s="1487"/>
      <c r="I3" s="1487"/>
      <c r="J3" s="1487"/>
      <c r="K3" s="1487"/>
      <c r="L3" s="1488"/>
      <c r="M3" s="1489"/>
      <c r="N3" s="1489"/>
      <c r="O3" s="1489"/>
      <c r="P3" s="1534"/>
      <c r="Q3" s="1535"/>
      <c r="R3" s="477"/>
      <c r="S3" s="1589">
        <f>INDEX(PT_DIFFERENTIATION_NUM_TER,MATCH(B3,PT_DIFFERENTIATION_TER_ID,0))</f>
      </c>
      <c r="T3" s="432" t="s">
        <v>509</v>
      </c>
      <c r="U3" s="424"/>
      <c r="V3" s="2380"/>
      <c r="W3" s="2380"/>
      <c r="X3" s="2380"/>
      <c r="Y3" s="2380"/>
      <c r="Z3" s="2380"/>
      <c r="AA3" s="2380"/>
      <c r="AB3" s="2380"/>
      <c r="AC3" s="2381"/>
      <c r="AD3" s="2379">
        <f>INDEX(PT_DIFFERENTIATION_TER,MATCH(B3,PT_DIFFERENTIATION_TER_ID,0))</f>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382" t="s">
        <v>510</v>
      </c>
      <c r="BE3" s="624"/>
      <c r="BF3" s="624" t="str">
        <f>IF(T3="","",T3)</f>
        <v>Территория действия тарифа</v>
      </c>
      <c r="BG3" s="624"/>
      <c r="BH3" s="624"/>
      <c r="BI3" s="1279">
        <v>0</v>
      </c>
    </row>
    <row customHeight="1" ht="42" hidden="1">
      <c r="A4" s="1487"/>
      <c r="B4" s="1487"/>
      <c r="C4" s="1487"/>
      <c r="D4" s="1487"/>
      <c r="E4" s="2396"/>
      <c r="F4" s="2396"/>
      <c r="G4" s="2395">
        <v>1</v>
      </c>
      <c r="H4" s="1487"/>
      <c r="I4" s="1487"/>
      <c r="J4" s="1487"/>
      <c r="K4" s="1487"/>
      <c r="L4" s="1488"/>
      <c r="M4" s="1489"/>
      <c r="N4" s="1489"/>
      <c r="O4" s="1489"/>
      <c r="P4" s="1536"/>
      <c r="Q4" s="1535"/>
      <c r="R4" s="477"/>
      <c r="S4" s="1589">
        <f>INDEX(PT_DIFFERENTIATION_NUM_CS,MATCH(C4,PT_DIFFERENTIATION_CS_ID,0))</f>
      </c>
      <c r="T4" s="433" t="s">
        <v>593</v>
      </c>
      <c r="U4" s="424"/>
      <c r="V4" s="2380"/>
      <c r="W4" s="2380"/>
      <c r="X4" s="2380"/>
      <c r="Y4" s="2380"/>
      <c r="Z4" s="2380"/>
      <c r="AA4" s="2380"/>
      <c r="AB4" s="2380"/>
      <c r="AC4" s="2381"/>
      <c r="AD4" s="2379">
        <f>INDEX(PT_DIFFERENTIATION_CS,MATCH(C4,PT_DIFFERENTIATION_CS_ID,0))</f>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382" t="s">
        <v>594</v>
      </c>
      <c r="BE4" s="624"/>
      <c r="BF4" s="624" t="str">
        <f>IF(T4="","",T4)</f>
        <v>Наименование централизованной системы холодного водоснабжения</v>
      </c>
      <c r="BG4" s="624"/>
      <c r="BH4" s="624"/>
      <c r="BI4" s="1279">
        <v>0</v>
      </c>
    </row>
    <row s="6698" customFormat="1" customHeight="1" ht="14.25" hidden="1">
      <c r="A5" s="1467"/>
      <c r="B5" s="1467"/>
      <c r="C5" s="1467"/>
      <c r="D5" s="1467"/>
      <c r="E5" s="2396"/>
      <c r="F5" s="2396"/>
      <c r="G5" s="2396"/>
      <c r="H5" s="2395">
        <v>1</v>
      </c>
      <c r="I5" s="1467"/>
      <c r="J5" s="1467"/>
      <c r="K5" s="1467"/>
      <c r="L5" s="1470"/>
      <c r="M5" s="1439"/>
      <c r="N5" s="1439"/>
      <c r="O5" s="1439"/>
      <c r="P5" s="1621"/>
      <c r="Q5" s="1622"/>
      <c r="R5" s="481"/>
      <c r="S5" s="1166"/>
      <c r="T5" s="1623"/>
      <c r="U5" s="1508"/>
      <c r="V5" s="2434"/>
      <c r="W5" s="2434"/>
      <c r="X5" s="2434"/>
      <c r="Y5" s="2434"/>
      <c r="Z5" s="2434"/>
      <c r="AA5" s="2434"/>
      <c r="AB5" s="2434"/>
      <c r="AC5" s="2435"/>
      <c r="AD5" s="2433"/>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5"/>
      <c r="BC5" s="1509" t="s">
        <v>514</v>
      </c>
      <c r="BE5" s="624"/>
      <c r="BF5" s="624" t="str">
        <f>IF(T5="","",T5)</f>
        <v/>
      </c>
      <c r="BG5" s="624"/>
      <c r="BH5" s="624"/>
      <c r="BI5" s="635">
        <v>0</v>
      </c>
    </row>
    <row s="6698" customFormat="1" customHeight="1" ht="14.25" hidden="1">
      <c r="A6" s="1467"/>
      <c r="B6" s="1467"/>
      <c r="C6" s="1467"/>
      <c r="D6" s="1467"/>
      <c r="E6" s="2396"/>
      <c r="F6" s="2396"/>
      <c r="G6" s="2396"/>
      <c r="H6" s="2396"/>
      <c r="I6" s="2393" t="str">
        <f>S5&amp;".1"</f>
        <v>.1</v>
      </c>
      <c r="J6" s="1467"/>
      <c r="K6" s="1467"/>
      <c r="L6" s="1470" t="s">
        <v>515</v>
      </c>
      <c r="M6" s="634"/>
      <c r="N6" s="634"/>
      <c r="O6" s="634"/>
      <c r="P6" s="2394">
        <v>1</v>
      </c>
      <c r="Q6" s="1586"/>
      <c r="R6" s="480"/>
      <c r="S6" s="1166"/>
      <c r="T6" s="1507"/>
      <c r="U6" s="1508"/>
      <c r="V6" s="2434"/>
      <c r="W6" s="2434"/>
      <c r="X6" s="2434"/>
      <c r="Y6" s="2434"/>
      <c r="Z6" s="2434"/>
      <c r="AA6" s="2434"/>
      <c r="AB6" s="2434"/>
      <c r="AC6" s="2435"/>
      <c r="AD6" s="2433"/>
      <c r="AE6" s="2434"/>
      <c r="AF6" s="2434"/>
      <c r="AG6" s="2434"/>
      <c r="AH6" s="2434"/>
      <c r="AI6" s="2434"/>
      <c r="AJ6" s="2434"/>
      <c r="AK6" s="2434"/>
      <c r="AL6" s="2434"/>
      <c r="AM6" s="2434"/>
      <c r="AN6" s="2434"/>
      <c r="AO6" s="2434"/>
      <c r="AP6" s="2434"/>
      <c r="AQ6" s="2434"/>
      <c r="AR6" s="2434"/>
      <c r="AS6" s="2434"/>
      <c r="AT6" s="2434"/>
      <c r="AU6" s="2434"/>
      <c r="AV6" s="2434"/>
      <c r="AW6" s="2434"/>
      <c r="AX6" s="2434"/>
      <c r="AY6" s="2434"/>
      <c r="AZ6" s="2434"/>
      <c r="BA6" s="2434"/>
      <c r="BB6" s="2435"/>
      <c r="BC6" s="1509"/>
      <c r="BE6" s="624"/>
      <c r="BF6" s="624" t="str">
        <f>IF(T6="","",T6)</f>
        <v/>
      </c>
      <c r="BG6" s="624"/>
      <c r="BH6" s="624"/>
      <c r="BI6" s="635">
        <v>0</v>
      </c>
    </row>
    <row s="6698" customFormat="1" customHeight="1" ht="14.25" hidden="1">
      <c r="A7" s="1467"/>
      <c r="B7" s="1467"/>
      <c r="C7" s="1467"/>
      <c r="D7" s="1467"/>
      <c r="E7" s="2396"/>
      <c r="F7" s="2396"/>
      <c r="G7" s="2396"/>
      <c r="H7" s="2396"/>
      <c r="I7" s="2423"/>
      <c r="J7" s="2393" t="str">
        <f>S5&amp;".1"</f>
        <v>.1</v>
      </c>
      <c r="K7" s="1467"/>
      <c r="L7" s="1470"/>
      <c r="M7" s="634"/>
      <c r="N7" s="634"/>
      <c r="O7" s="634"/>
      <c r="P7" s="2394"/>
      <c r="Q7" s="2394">
        <v>1</v>
      </c>
      <c r="R7" s="481"/>
      <c r="S7" s="1166"/>
      <c r="T7" s="1523"/>
      <c r="U7" s="1508"/>
      <c r="V7" s="2434"/>
      <c r="W7" s="2434"/>
      <c r="X7" s="2434"/>
      <c r="Y7" s="2434"/>
      <c r="Z7" s="2434"/>
      <c r="AA7" s="2434"/>
      <c r="AB7" s="2434"/>
      <c r="AC7" s="2435"/>
      <c r="AD7" s="2433"/>
      <c r="AE7" s="2434"/>
      <c r="AF7" s="2434"/>
      <c r="AG7" s="2434"/>
      <c r="AH7" s="2434"/>
      <c r="AI7" s="2434"/>
      <c r="AJ7" s="2434"/>
      <c r="AK7" s="2434"/>
      <c r="AL7" s="2434"/>
      <c r="AM7" s="2434"/>
      <c r="AN7" s="2434"/>
      <c r="AO7" s="2434"/>
      <c r="AP7" s="2434"/>
      <c r="AQ7" s="2434"/>
      <c r="AR7" s="2434"/>
      <c r="AS7" s="2434"/>
      <c r="AT7" s="2434"/>
      <c r="AU7" s="2434"/>
      <c r="AV7" s="2434"/>
      <c r="AW7" s="2434"/>
      <c r="AX7" s="2434"/>
      <c r="AY7" s="2434"/>
      <c r="AZ7" s="2434"/>
      <c r="BA7" s="2434"/>
      <c r="BB7" s="2435"/>
      <c r="BC7" s="1509"/>
      <c r="BE7" s="624"/>
      <c r="BF7" s="624" t="str">
        <f>IF(T7="","",T7)</f>
        <v/>
      </c>
      <c r="BG7" s="624"/>
      <c r="BH7" s="624"/>
      <c r="BI7" s="635">
        <v>0</v>
      </c>
    </row>
    <row customHeight="1" ht="11.25" hidden="1">
      <c r="A8" s="1487"/>
      <c r="B8" s="1487"/>
      <c r="C8" s="1487"/>
      <c r="D8" s="1487"/>
      <c r="E8" s="2396"/>
      <c r="F8" s="2396"/>
      <c r="G8" s="2396"/>
      <c r="H8" s="2396"/>
      <c r="I8" s="2423"/>
      <c r="J8" s="2423"/>
      <c r="K8" s="2393">
        <f>S4&amp;".1"</f>
      </c>
      <c r="L8" s="1488"/>
      <c r="P8" s="2394"/>
      <c r="Q8" s="2394"/>
      <c r="R8" s="2484">
        <v>1</v>
      </c>
      <c r="S8" s="2478">
        <f>$K8</f>
      </c>
      <c r="T8" s="2497"/>
      <c r="U8" s="424"/>
      <c r="V8" s="875"/>
      <c r="W8" s="1381"/>
      <c r="X8" s="875"/>
      <c r="Y8" s="1381"/>
      <c r="Z8" s="1857"/>
      <c r="AA8" s="1583" t="s">
        <v>62</v>
      </c>
      <c r="AB8" s="1857"/>
      <c r="AC8" s="1583" t="s">
        <v>62</v>
      </c>
      <c r="AD8" s="2322" t="s">
        <v>62</v>
      </c>
      <c r="AE8" s="2463"/>
      <c r="AF8" s="2342">
        <v>1</v>
      </c>
      <c r="AG8" s="2500"/>
      <c r="AH8" s="2244" t="s">
        <v>62</v>
      </c>
      <c r="AI8" s="2463"/>
      <c r="AJ8" s="2342">
        <v>1</v>
      </c>
      <c r="AK8" s="2464" t="s">
        <v>22</v>
      </c>
      <c r="AL8" s="2244" t="s">
        <v>62</v>
      </c>
      <c r="AM8" s="2329"/>
      <c r="AN8" s="2342">
        <v>1</v>
      </c>
      <c r="AO8" s="2494"/>
      <c r="AP8" s="2495" t="s">
        <v>62</v>
      </c>
      <c r="AQ8" s="435"/>
      <c r="AR8" s="1587">
        <v>1</v>
      </c>
      <c r="AS8" s="1590" t="s">
        <v>22</v>
      </c>
      <c r="AT8" s="875"/>
      <c r="AU8" s="1381"/>
      <c r="AV8" s="875"/>
      <c r="AW8" s="1381"/>
      <c r="AX8" s="1857"/>
      <c r="AY8" s="1583" t="s">
        <v>62</v>
      </c>
      <c r="AZ8" s="1857"/>
      <c r="BA8" s="1583" t="s">
        <v>62</v>
      </c>
      <c r="BB8" s="1472"/>
      <c r="BC8" s="2390" t="s">
        <v>613</v>
      </c>
      <c r="BE8" s="624"/>
      <c r="BF8" s="624" t="str">
        <f>IF(T8="","",T8)</f>
        <v/>
      </c>
      <c r="BG8" s="624"/>
      <c r="BH8" s="624"/>
      <c r="BI8" s="1279">
        <v>0</v>
      </c>
    </row>
    <row customHeight="1" ht="11.25" hidden="1">
      <c r="A9" s="1487"/>
      <c r="B9" s="1487"/>
      <c r="C9" s="1487"/>
      <c r="D9" s="1487"/>
      <c r="E9" s="2396"/>
      <c r="F9" s="2396"/>
      <c r="G9" s="2396"/>
      <c r="H9" s="2396"/>
      <c r="I9" s="2423"/>
      <c r="J9" s="2423"/>
      <c r="K9" s="2393"/>
      <c r="L9" s="1488"/>
      <c r="P9" s="2394"/>
      <c r="Q9" s="2394"/>
      <c r="R9" s="2484"/>
      <c r="S9" s="2479"/>
      <c r="T9" s="2498"/>
      <c r="U9" s="424"/>
      <c r="V9" s="1517"/>
      <c r="W9" s="1620"/>
      <c r="X9" s="1517"/>
      <c r="Y9" s="1620"/>
      <c r="Z9" s="1517"/>
      <c r="AA9" s="1517"/>
      <c r="AB9" s="1517"/>
      <c r="AC9" s="1517"/>
      <c r="AD9" s="2323"/>
      <c r="AE9" s="2463"/>
      <c r="AF9" s="2342"/>
      <c r="AG9" s="2500"/>
      <c r="AH9" s="2244"/>
      <c r="AI9" s="2463"/>
      <c r="AJ9" s="2342"/>
      <c r="AK9" s="2464"/>
      <c r="AL9" s="2244"/>
      <c r="AM9" s="2337"/>
      <c r="AN9" s="2342"/>
      <c r="AO9" s="2494"/>
      <c r="AP9" s="2496"/>
      <c r="AQ9" s="440"/>
      <c r="AR9" s="540"/>
      <c r="AS9" s="540" t="s">
        <v>614</v>
      </c>
      <c r="AT9" s="1517"/>
      <c r="AU9" s="1620"/>
      <c r="AV9" s="1517"/>
      <c r="AW9" s="1620"/>
      <c r="AX9" s="1517"/>
      <c r="AY9" s="1517"/>
      <c r="AZ9" s="1517"/>
      <c r="BA9" s="1517"/>
      <c r="BB9" s="1521"/>
      <c r="BC9" s="2391"/>
      <c r="BE9" s="624"/>
      <c r="BF9" s="624"/>
      <c r="BG9" s="624"/>
      <c r="BH9" s="624"/>
      <c r="BI9" s="1279">
        <v>0</v>
      </c>
    </row>
    <row customHeight="1" ht="11.25" hidden="1">
      <c r="A10" s="1487"/>
      <c r="B10" s="1487"/>
      <c r="C10" s="1487"/>
      <c r="D10" s="1487"/>
      <c r="E10" s="2396"/>
      <c r="F10" s="2396"/>
      <c r="G10" s="2396"/>
      <c r="H10" s="2396"/>
      <c r="I10" s="2423"/>
      <c r="J10" s="2423"/>
      <c r="K10" s="2393"/>
      <c r="L10" s="1488"/>
      <c r="P10" s="2394"/>
      <c r="Q10" s="2394"/>
      <c r="R10" s="2484"/>
      <c r="S10" s="2479"/>
      <c r="T10" s="2498"/>
      <c r="U10" s="424"/>
      <c r="V10" s="1517"/>
      <c r="W10" s="1620"/>
      <c r="X10" s="1517"/>
      <c r="Y10" s="1620"/>
      <c r="Z10" s="1517"/>
      <c r="AA10" s="1517"/>
      <c r="AB10" s="1517"/>
      <c r="AC10" s="1517"/>
      <c r="AD10" s="2323"/>
      <c r="AE10" s="2463"/>
      <c r="AF10" s="2342"/>
      <c r="AG10" s="2500"/>
      <c r="AH10" s="2244"/>
      <c r="AI10" s="2463"/>
      <c r="AJ10" s="2342"/>
      <c r="AK10" s="2464"/>
      <c r="AL10" s="2244"/>
      <c r="AM10" s="440"/>
      <c r="AN10" s="1624"/>
      <c r="AO10" s="1624" t="s">
        <v>615</v>
      </c>
      <c r="AP10" s="540"/>
      <c r="AQ10" s="540"/>
      <c r="AR10" s="540"/>
      <c r="AS10" s="1517"/>
      <c r="AT10" s="1517"/>
      <c r="AU10" s="1620"/>
      <c r="AV10" s="1517"/>
      <c r="AW10" s="1620"/>
      <c r="AX10" s="1517"/>
      <c r="AY10" s="1517"/>
      <c r="AZ10" s="1517"/>
      <c r="BA10" s="1517"/>
      <c r="BB10" s="1521"/>
      <c r="BC10" s="2391"/>
      <c r="BE10" s="624"/>
      <c r="BF10" s="624"/>
      <c r="BG10" s="624"/>
      <c r="BH10" s="624"/>
      <c r="BI10" s="1279">
        <v>0</v>
      </c>
    </row>
    <row customHeight="1" ht="11.25" hidden="1">
      <c r="A11" s="1487"/>
      <c r="B11" s="1487"/>
      <c r="C11" s="1487"/>
      <c r="D11" s="1487"/>
      <c r="E11" s="2396"/>
      <c r="F11" s="2396"/>
      <c r="G11" s="2396"/>
      <c r="H11" s="2396"/>
      <c r="I11" s="2423"/>
      <c r="J11" s="2423"/>
      <c r="K11" s="2393"/>
      <c r="L11" s="1488"/>
      <c r="P11" s="2394"/>
      <c r="Q11" s="2394"/>
      <c r="R11" s="2484"/>
      <c r="S11" s="2479"/>
      <c r="T11" s="2498"/>
      <c r="U11" s="424"/>
      <c r="V11" s="1517"/>
      <c r="W11" s="1620"/>
      <c r="X11" s="1517"/>
      <c r="Y11" s="1620"/>
      <c r="Z11" s="1517"/>
      <c r="AA11" s="1517"/>
      <c r="AB11" s="1517"/>
      <c r="AC11" s="1517"/>
      <c r="AD11" s="2323"/>
      <c r="AE11" s="2463"/>
      <c r="AF11" s="2342"/>
      <c r="AG11" s="2500"/>
      <c r="AH11" s="2244"/>
      <c r="AI11" s="418"/>
      <c r="AJ11" s="539"/>
      <c r="AK11" s="437" t="s">
        <v>616</v>
      </c>
      <c r="AL11" s="1517"/>
      <c r="AM11" s="1517"/>
      <c r="AN11" s="1517"/>
      <c r="AO11" s="1517"/>
      <c r="AP11" s="1517"/>
      <c r="AQ11" s="1517"/>
      <c r="AR11" s="1517"/>
      <c r="AS11" s="1517"/>
      <c r="AT11" s="1517"/>
      <c r="AU11" s="1620"/>
      <c r="AV11" s="1517"/>
      <c r="AW11" s="1620"/>
      <c r="AX11" s="1517"/>
      <c r="AY11" s="1517"/>
      <c r="AZ11" s="1517"/>
      <c r="BA11" s="1517"/>
      <c r="BB11" s="1521"/>
      <c r="BC11" s="2391"/>
      <c r="BE11" s="624"/>
      <c r="BF11" s="624"/>
      <c r="BG11" s="624"/>
      <c r="BH11" s="624"/>
      <c r="BI11" s="1279">
        <v>0</v>
      </c>
    </row>
    <row customHeight="1" ht="11.25" hidden="1">
      <c r="A12" s="1487"/>
      <c r="B12" s="1487"/>
      <c r="C12" s="1487"/>
      <c r="D12" s="1487"/>
      <c r="E12" s="2396"/>
      <c r="F12" s="2396"/>
      <c r="G12" s="2396"/>
      <c r="H12" s="2396"/>
      <c r="I12" s="2423"/>
      <c r="J12" s="2423"/>
      <c r="K12" s="2393"/>
      <c r="L12" s="1488"/>
      <c r="P12" s="2394"/>
      <c r="Q12" s="2394"/>
      <c r="R12" s="2484"/>
      <c r="S12" s="2480"/>
      <c r="T12" s="2499"/>
      <c r="U12" s="424"/>
      <c r="V12" s="1517"/>
      <c r="W12" s="1518" t="str">
        <f>Z8&amp;"-"&amp;AB8</f>
        <v>-</v>
      </c>
      <c r="X12" s="1517"/>
      <c r="Y12" s="1518" t="str">
        <f>AB8&amp;"-"&amp;AD8</f>
        <v>-да</v>
      </c>
      <c r="Z12" s="1517"/>
      <c r="AA12" s="1517"/>
      <c r="AB12" s="1517"/>
      <c r="AC12" s="1517"/>
      <c r="AD12" s="2249"/>
      <c r="AE12" s="436"/>
      <c r="AF12" s="438"/>
      <c r="AG12" s="540" t="s">
        <v>617</v>
      </c>
      <c r="AH12" s="1517"/>
      <c r="AI12" s="1517"/>
      <c r="AJ12" s="1517"/>
      <c r="AK12" s="1517"/>
      <c r="AL12" s="1517"/>
      <c r="AM12" s="1517"/>
      <c r="AN12" s="1517"/>
      <c r="AO12" s="1517"/>
      <c r="AP12" s="1517"/>
      <c r="AQ12" s="1517"/>
      <c r="AR12" s="1517"/>
      <c r="AS12" s="1517"/>
      <c r="AT12" s="1517"/>
      <c r="AU12" s="1518" t="str">
        <f>AX8&amp;"-"&amp;AZ8</f>
        <v>-</v>
      </c>
      <c r="AV12" s="1517"/>
      <c r="AW12" s="1518" t="str">
        <f>AZ8&amp;"-"&amp;BB8</f>
        <v>-</v>
      </c>
      <c r="AX12" s="1517"/>
      <c r="AY12" s="1517"/>
      <c r="AZ12" s="1517"/>
      <c r="BA12" s="1517"/>
      <c r="BB12" s="1520" t="str">
        <f>BE8&amp;"-"&amp;BG8</f>
        <v>-</v>
      </c>
      <c r="BC12" s="2391"/>
      <c r="BE12" s="624"/>
      <c r="BF12" s="624" t="str">
        <f>IF(T12="","",T12)</f>
        <v/>
      </c>
      <c r="BG12" s="624"/>
      <c r="BH12" s="624"/>
      <c r="BI12" s="1279">
        <v>0</v>
      </c>
    </row>
    <row customHeight="1" ht="11.25" hidden="1">
      <c r="A13" s="1487"/>
      <c r="B13" s="1487"/>
      <c r="C13" s="1487"/>
      <c r="D13" s="1487"/>
      <c r="E13" s="2396"/>
      <c r="F13" s="2396"/>
      <c r="G13" s="2396"/>
      <c r="H13" s="2396"/>
      <c r="I13" s="2423"/>
      <c r="J13" s="2393"/>
      <c r="K13" s="1487"/>
      <c r="L13" s="1488"/>
      <c r="P13" s="2394"/>
      <c r="Q13" s="2394"/>
      <c r="R13" s="480"/>
      <c r="S13" s="1402"/>
      <c r="T13" s="411" t="s">
        <v>580</v>
      </c>
      <c r="U13" s="491"/>
      <c r="V13" s="491"/>
      <c r="W13" s="491"/>
      <c r="X13" s="491"/>
      <c r="Y13" s="491"/>
      <c r="Z13" s="491"/>
      <c r="AA13" s="491"/>
      <c r="AB13" s="491"/>
      <c r="AC13" s="491"/>
      <c r="AD13" s="1629"/>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48"/>
      <c r="BC13" s="2392"/>
      <c r="BE13" s="624"/>
      <c r="BF13" s="624" t="str">
        <f>IF(T13="","",T13)</f>
        <v>Добавить строку</v>
      </c>
      <c r="BG13" s="624"/>
      <c r="BH13" s="624"/>
      <c r="BI13" s="1279">
        <v>0</v>
      </c>
    </row>
    <row s="6698" customFormat="1" customHeight="1" ht="14.25" hidden="1">
      <c r="A14" s="1467"/>
      <c r="B14" s="1467"/>
      <c r="C14" s="1467"/>
      <c r="D14" s="1467"/>
      <c r="E14" s="2396"/>
      <c r="F14" s="2396"/>
      <c r="G14" s="2396"/>
      <c r="H14" s="2396"/>
      <c r="I14" s="2393"/>
      <c r="J14" s="1467"/>
      <c r="K14" s="1467"/>
      <c r="L14" s="1470"/>
      <c r="M14" s="634"/>
      <c r="N14" s="634"/>
      <c r="O14" s="634"/>
      <c r="P14" s="2394"/>
      <c r="Q14" s="1586"/>
      <c r="R14" s="480"/>
      <c r="S14" s="1510"/>
      <c r="T14" s="1511"/>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c r="AW14" s="1512"/>
      <c r="AX14" s="1512"/>
      <c r="AY14" s="1512"/>
      <c r="AZ14" s="1512"/>
      <c r="BA14" s="1512"/>
      <c r="BB14" s="1512"/>
      <c r="BC14" s="1513"/>
      <c r="BE14" s="624"/>
      <c r="BF14" s="624" t="str">
        <f>IF(T14="","",T14)</f>
        <v/>
      </c>
      <c r="BG14" s="624"/>
      <c r="BH14" s="624"/>
      <c r="BI14" s="635">
        <v>0</v>
      </c>
    </row>
    <row s="6698" customFormat="1" customHeight="1" ht="14.25" hidden="1">
      <c r="A15" s="1467"/>
      <c r="B15" s="1467"/>
      <c r="C15" s="1467"/>
      <c r="D15" s="1467"/>
      <c r="E15" s="2396"/>
      <c r="F15" s="2396"/>
      <c r="G15" s="2396"/>
      <c r="H15" s="2395"/>
      <c r="I15" s="1467"/>
      <c r="J15" s="1467"/>
      <c r="K15" s="1467"/>
      <c r="L15" s="1470"/>
      <c r="M15" s="1439"/>
      <c r="N15" s="1439"/>
      <c r="O15" s="642"/>
      <c r="P15" s="504"/>
      <c r="Q15" s="1468"/>
      <c r="R15" s="1525"/>
      <c r="S15" s="1510"/>
      <c r="T15" s="1511"/>
      <c r="U15" s="1512"/>
      <c r="V15" s="1512"/>
      <c r="W15" s="1512"/>
      <c r="X15" s="1512"/>
      <c r="Y15" s="1512"/>
      <c r="Z15" s="1512"/>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512"/>
      <c r="AV15" s="1512"/>
      <c r="AW15" s="1512"/>
      <c r="AX15" s="1512"/>
      <c r="AY15" s="1512"/>
      <c r="AZ15" s="1512"/>
      <c r="BA15" s="1512"/>
      <c r="BB15" s="1512"/>
      <c r="BC15" s="1513"/>
      <c r="BE15" s="624"/>
      <c r="BF15" s="624" t="str">
        <f>IF(T15="","",T15)</f>
        <v/>
      </c>
      <c r="BG15" s="624"/>
      <c r="BH15" s="624"/>
      <c r="BI15" s="635">
        <v>0</v>
      </c>
    </row>
    <row s="6698" customFormat="1" customHeight="1" ht="14.25" hidden="1">
      <c r="A16" s="1467"/>
      <c r="B16" s="1467"/>
      <c r="C16" s="1467"/>
      <c r="D16" s="1438"/>
      <c r="E16" s="2396"/>
      <c r="F16" s="2396"/>
      <c r="G16" s="2395"/>
      <c r="H16" s="1438"/>
      <c r="I16" s="1438"/>
      <c r="J16" s="1438"/>
      <c r="K16" s="1438"/>
      <c r="L16" s="1588"/>
      <c r="M16" s="1439"/>
      <c r="N16" s="1439"/>
      <c r="P16" s="1440"/>
      <c r="Q16" s="1441"/>
      <c r="R16" s="1440"/>
      <c r="S16" s="1446"/>
      <c r="T16" s="1449"/>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E16" s="913"/>
      <c r="BF16" s="913" t="str">
        <f>IF(T16="","",T16)</f>
        <v/>
      </c>
      <c r="BG16" s="913"/>
      <c r="BH16" s="913"/>
      <c r="BI16" s="642">
        <v>0</v>
      </c>
    </row>
    <row s="6698" customFormat="1" customHeight="1" ht="14.25" hidden="1">
      <c r="A17" s="1467"/>
      <c r="B17" s="1467"/>
      <c r="C17" s="1438"/>
      <c r="D17" s="1438"/>
      <c r="E17" s="2396"/>
      <c r="F17" s="2395"/>
      <c r="G17" s="1438"/>
      <c r="H17" s="1438"/>
      <c r="I17" s="1438"/>
      <c r="J17" s="1438"/>
      <c r="K17" s="1438"/>
      <c r="L17" s="1588"/>
      <c r="M17" s="1445"/>
      <c r="N17" s="1445"/>
      <c r="P17" s="1440"/>
      <c r="Q17" s="1441"/>
      <c r="R17" s="1440"/>
      <c r="S17" s="1446"/>
      <c r="T17" s="1449" t="s">
        <v>527</v>
      </c>
      <c r="U17" s="1448"/>
      <c r="V17" s="1448"/>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E17" s="913"/>
      <c r="BF17" s="913" t="str">
        <f>IF(T17="","",T17)</f>
        <v>Добавить централизованную систему для дифференциации</v>
      </c>
      <c r="BG17" s="913"/>
      <c r="BH17" s="913"/>
      <c r="BI17" s="642">
        <v>0</v>
      </c>
    </row>
    <row s="6698" customFormat="1" customHeight="1" ht="14.25" hidden="1">
      <c r="A18" s="1467"/>
      <c r="B18" s="1467"/>
      <c r="C18" s="1467"/>
      <c r="D18" s="1467"/>
      <c r="E18" s="2395"/>
      <c r="F18" s="1467"/>
      <c r="G18" s="1467"/>
      <c r="H18" s="1467"/>
      <c r="I18" s="1467"/>
      <c r="J18" s="1467"/>
      <c r="K18" s="1467"/>
      <c r="L18" s="1470"/>
      <c r="M18" s="1445"/>
      <c r="N18" s="1445"/>
      <c r="O18" s="642"/>
      <c r="P18" s="504"/>
      <c r="Q18" s="1468"/>
      <c r="R18" s="504"/>
      <c r="S18" s="1446"/>
      <c r="T18" s="1449" t="s">
        <v>528</v>
      </c>
      <c r="U18" s="1448"/>
      <c r="V18" s="1448"/>
      <c r="W18" s="1448"/>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E18" s="624"/>
      <c r="BF18" s="624" t="str">
        <f>IF(T18="","",T18)</f>
        <v>Добавить территорию для дифференциации</v>
      </c>
      <c r="BG18" s="624"/>
      <c r="BH18" s="624"/>
      <c r="BI18" s="635">
        <v>0</v>
      </c>
    </row>
    <row customHeight="1" ht="14.25" hidden="1">
      <c r="AC19" s="451"/>
      <c r="BA19" s="451"/>
      <c r="BI19" s="1279">
        <v>0</v>
      </c>
    </row>
    <row customHeight="1" ht="14.25" hidden="1">
      <c r="AD20" s="1448" t="s">
        <v>19</v>
      </c>
      <c r="AE20" s="1625"/>
      <c r="AF20" s="672">
        <v>1</v>
      </c>
      <c r="AG20" s="1626"/>
      <c r="AH20" s="1448" t="s">
        <v>19</v>
      </c>
      <c r="AI20" s="1625"/>
      <c r="AJ20" s="672">
        <v>1</v>
      </c>
      <c r="AK20" s="1626"/>
      <c r="AL20" s="1448" t="s">
        <v>19</v>
      </c>
      <c r="AM20" s="1627"/>
      <c r="AN20" s="672">
        <v>1</v>
      </c>
      <c r="AO20" s="1628"/>
      <c r="AP20" s="1448" t="s">
        <v>19</v>
      </c>
      <c r="AQ20" s="1627"/>
      <c r="AR20" s="672">
        <v>1</v>
      </c>
      <c r="AS20" s="1628"/>
      <c r="AT20" s="449"/>
      <c r="AU20" s="508"/>
      <c r="AV20" s="449"/>
      <c r="AW20" s="508"/>
      <c r="AX20" s="1859"/>
      <c r="AY20" s="1584" t="s">
        <v>62</v>
      </c>
      <c r="AZ20" s="1859"/>
      <c r="BA20" s="1584" t="s">
        <v>62</v>
      </c>
      <c r="BI20" s="1279">
        <v>0</v>
      </c>
    </row>
    <row customHeight="1" ht="14.25" hidden="1">
      <c r="BD21" s="620"/>
      <c r="BE21" s="620"/>
      <c r="BF21" s="620"/>
      <c r="BG21" s="620"/>
      <c r="BH21" s="620"/>
      <c r="BI21" s="1279">
        <v>0</v>
      </c>
    </row>
    <row customHeight="1" ht="14.25" hidden="1">
      <c r="O22" s="1491" t="s">
        <v>529</v>
      </c>
      <c r="Z22" s="1469"/>
      <c r="AB22" s="1469"/>
      <c r="AC22" s="451"/>
      <c r="AX22" s="1469"/>
      <c r="AZ22" s="1469"/>
      <c r="BA22" s="451"/>
      <c r="BD22" s="620"/>
      <c r="BE22" s="620"/>
      <c r="BF22" s="620"/>
      <c r="BG22" s="620"/>
      <c r="BH22" s="620"/>
      <c r="BI22" s="1279">
        <v>0</v>
      </c>
    </row>
    <row customHeight="1" ht="14.25" hidden="1">
      <c r="AC23" s="451"/>
      <c r="BA23" s="451"/>
      <c r="BD23" s="620"/>
      <c r="BE23" s="620"/>
      <c r="BF23" s="620"/>
      <c r="BG23" s="620"/>
      <c r="BH23" s="620"/>
      <c r="BI23" s="1279">
        <v>0</v>
      </c>
    </row>
    <row s="6415" customFormat="1" customHeight="1" ht="14.25" hidden="1">
      <c r="M24" s="1632"/>
      <c r="N24" s="1632"/>
      <c r="O24" s="1633" t="s">
        <v>530</v>
      </c>
      <c r="P24" s="1632"/>
      <c r="Q24" s="1634"/>
      <c r="R24" s="1634"/>
      <c r="AA24" s="1631" t="s">
        <v>532</v>
      </c>
      <c r="AC24" s="1631" t="s">
        <v>533</v>
      </c>
      <c r="AD24" s="1631" t="s">
        <v>581</v>
      </c>
      <c r="AH24" s="1631" t="s">
        <v>581</v>
      </c>
      <c r="AK24" s="1631" t="s">
        <v>618</v>
      </c>
      <c r="AL24" s="1631" t="s">
        <v>581</v>
      </c>
      <c r="AP24" s="1631" t="s">
        <v>581</v>
      </c>
      <c r="AY24" s="1631" t="s">
        <v>532</v>
      </c>
      <c r="BA24" s="1631" t="s">
        <v>533</v>
      </c>
      <c r="BD24" s="1635"/>
      <c r="BE24" s="1635"/>
      <c r="BF24" s="1635"/>
      <c r="BG24" s="1635"/>
      <c r="BH24" s="1635"/>
      <c r="BI24" s="1631">
        <v>0</v>
      </c>
    </row>
    <row customHeight="1" ht="14.25" hidden="1">
      <c r="O25" s="1488"/>
      <c r="BD25" s="620"/>
      <c r="BE25" s="620"/>
      <c r="BF25" s="620"/>
      <c r="BG25" s="620"/>
      <c r="BH25" s="620"/>
      <c r="BI25" s="1279">
        <v>0</v>
      </c>
    </row>
    <row customHeight="1" ht="14.25" hidden="1">
      <c r="O26" s="1488"/>
      <c r="BD26" s="620"/>
      <c r="BE26" s="620"/>
      <c r="BF26" s="620"/>
      <c r="BG26" s="620"/>
      <c r="BH26" s="620"/>
      <c r="BI26" s="1279">
        <v>0</v>
      </c>
    </row>
    <row customHeight="1" ht="14.699999999999998">
      <c r="Q27" s="415"/>
      <c r="R27" s="500"/>
      <c r="S27" s="1399"/>
      <c r="T27" s="487"/>
      <c r="U27" s="487"/>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c r="BI27" s="1279">
        <v>14</v>
      </c>
    </row>
    <row customHeight="1" ht="14.699999999999998">
      <c r="Q28" s="415"/>
      <c r="R28" s="500"/>
      <c r="S28" s="238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85"/>
      <c r="AT28" s="2385"/>
      <c r="AU28" s="2385"/>
      <c r="AV28" s="2385"/>
      <c r="AW28" s="2385"/>
      <c r="AX28" s="2385"/>
      <c r="AY28" s="2385"/>
      <c r="AZ28" s="2385"/>
      <c r="BA28" s="1367"/>
      <c r="BI28" s="1279">
        <v>14</v>
      </c>
    </row>
    <row customHeight="1" ht="14.699999999999998">
      <c r="Q29" s="415"/>
      <c r="R29" s="500"/>
      <c r="S29" s="2386" t="str">
        <f>IF(org=0,"Не определено",org)</f>
        <v>ООО "СамРЭК-Эксплуатация"</v>
      </c>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86"/>
      <c r="AT29" s="2386"/>
      <c r="AU29" s="2386"/>
      <c r="AV29" s="2386"/>
      <c r="AW29" s="2386"/>
      <c r="AX29" s="2386"/>
      <c r="AY29" s="2386"/>
      <c r="AZ29" s="2386"/>
      <c r="BA29" s="1367"/>
      <c r="BI29" s="1279">
        <v>14</v>
      </c>
    </row>
    <row customHeight="1" ht="14.25" hidden="1">
      <c r="Q30" s="415"/>
      <c r="R30" s="500"/>
      <c r="S30" s="1399"/>
      <c r="T30" s="487"/>
      <c r="U30" s="487"/>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633"/>
      <c r="BI30" s="1279">
        <v>0</v>
      </c>
    </row>
    <row s="7787" customFormat="1" customHeight="1" ht="25.5" hidden="1">
      <c r="A31" s="1492"/>
      <c r="B31" s="1492"/>
      <c r="C31" s="1492"/>
      <c r="D31" s="1492"/>
      <c r="E31" s="1492"/>
      <c r="F31" s="1492"/>
      <c r="G31" s="1492"/>
      <c r="H31" s="1492"/>
      <c r="I31" s="1492"/>
      <c r="J31" s="1492"/>
      <c r="K31" s="1492"/>
      <c r="L31" s="1493"/>
      <c r="M31" s="1492"/>
      <c r="N31" s="1492"/>
      <c r="O31" s="1492"/>
      <c r="P31" s="1492"/>
      <c r="Q31" s="1492"/>
      <c r="S31" s="2387" t="s">
        <v>41</v>
      </c>
      <c r="T31" s="2387"/>
      <c r="U31" s="1496"/>
      <c r="V31" s="2388" t="str">
        <f>IF(TITLE_NAME_OR_PR_CHANGE="",IF(TITLE_NAME_OR_PR="","",TITLE_NAME_OR_PR),TITLE_NAME_OR_PR_CHANGE)</f>
        <v/>
      </c>
      <c r="W31" s="2388"/>
      <c r="X31" s="2388"/>
      <c r="Y31" s="2388"/>
      <c r="Z31" s="2388"/>
      <c r="AA31" s="2388"/>
      <c r="AB31" s="2388"/>
      <c r="AC31" s="45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450"/>
      <c r="BB31" s="450"/>
      <c r="BC31" s="404"/>
      <c r="BD31" s="492"/>
      <c r="BE31" s="492"/>
      <c r="BF31" s="492"/>
      <c r="BG31" s="492"/>
      <c r="BH31" s="492"/>
      <c r="BI31" s="542">
        <v>0</v>
      </c>
    </row>
    <row s="7787" customFormat="1" customHeight="1" ht="18.75" hidden="1">
      <c r="A32" s="1492"/>
      <c r="B32" s="1492"/>
      <c r="C32" s="1492"/>
      <c r="D32" s="1492"/>
      <c r="E32" s="1492"/>
      <c r="F32" s="1492"/>
      <c r="G32" s="1492"/>
      <c r="H32" s="1492"/>
      <c r="I32" s="1492"/>
      <c r="J32" s="1492"/>
      <c r="K32" s="1492"/>
      <c r="L32" s="1493"/>
      <c r="M32" s="1492"/>
      <c r="N32" s="1492"/>
      <c r="O32" s="1492"/>
      <c r="P32" s="1492"/>
      <c r="Q32" s="1492"/>
      <c r="S32" s="2387" t="s">
        <v>535</v>
      </c>
      <c r="T32" s="2387"/>
      <c r="U32" s="1496"/>
      <c r="V32" s="2401" t="str">
        <f>IF(TITLE_DATE_PR_CHANGE="",IF(TITLE_DATE_PR="","",TITLE_DATE_PR),TITLE_DATE_PR_CHANGE)</f>
        <v/>
      </c>
      <c r="W32" s="2401"/>
      <c r="X32" s="2401"/>
      <c r="Y32" s="2401"/>
      <c r="Z32" s="2401"/>
      <c r="AA32" s="2401"/>
      <c r="AB32" s="2401"/>
      <c r="AC32" s="450"/>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450"/>
      <c r="BB32" s="450"/>
      <c r="BC32" s="404"/>
      <c r="BD32" s="492"/>
      <c r="BE32" s="492"/>
      <c r="BF32" s="492"/>
      <c r="BG32" s="492"/>
      <c r="BH32" s="492"/>
      <c r="BI32" s="542">
        <v>0</v>
      </c>
    </row>
    <row s="7787" customFormat="1" customHeight="1" ht="18.75" hidden="1">
      <c r="A33" s="1492"/>
      <c r="B33" s="1492"/>
      <c r="C33" s="1492"/>
      <c r="D33" s="1492"/>
      <c r="E33" s="1492"/>
      <c r="F33" s="1492"/>
      <c r="G33" s="1492"/>
      <c r="H33" s="1492"/>
      <c r="I33" s="1492"/>
      <c r="J33" s="1492"/>
      <c r="K33" s="1492"/>
      <c r="L33" s="1493"/>
      <c r="M33" s="1492"/>
      <c r="N33" s="1492"/>
      <c r="O33" s="1492"/>
      <c r="P33" s="1492"/>
      <c r="Q33" s="1492"/>
      <c r="S33" s="2387" t="s">
        <v>536</v>
      </c>
      <c r="T33" s="2387"/>
      <c r="U33" s="1496"/>
      <c r="V33" s="2388" t="str">
        <f>IF(TITLE_NUMBER_PR_CHANGE="",IF(TITLE_NUMBER_PR="","",TITLE_NUMBER_PR),TITLE_NUMBER_PR_CHANGE)</f>
        <v/>
      </c>
      <c r="W33" s="2388"/>
      <c r="X33" s="2388"/>
      <c r="Y33" s="2388"/>
      <c r="Z33" s="2388"/>
      <c r="AA33" s="2388"/>
      <c r="AB33" s="2388"/>
      <c r="AC33" s="45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450"/>
      <c r="BB33" s="450"/>
      <c r="BC33" s="404"/>
      <c r="BD33" s="492"/>
      <c r="BE33" s="492"/>
      <c r="BF33" s="492"/>
      <c r="BG33" s="492"/>
      <c r="BH33" s="492"/>
      <c r="BI33" s="542">
        <v>0</v>
      </c>
    </row>
    <row s="7787" customFormat="1" customHeight="1" ht="18.75" hidden="1">
      <c r="A34" s="1492"/>
      <c r="B34" s="1492"/>
      <c r="C34" s="1492"/>
      <c r="D34" s="1492"/>
      <c r="E34" s="1492"/>
      <c r="F34" s="1492"/>
      <c r="G34" s="1492"/>
      <c r="H34" s="1492"/>
      <c r="I34" s="1492"/>
      <c r="J34" s="1492"/>
      <c r="K34" s="1492"/>
      <c r="L34" s="1493"/>
      <c r="M34" s="1492"/>
      <c r="N34" s="1492"/>
      <c r="O34" s="1492"/>
      <c r="P34" s="1492"/>
      <c r="Q34" s="1492"/>
      <c r="S34" s="2387" t="s">
        <v>42</v>
      </c>
      <c r="T34" s="2387"/>
      <c r="U34" s="1496"/>
      <c r="V34" s="2388" t="str">
        <f>IF(TITLE_IST_PUB_CHANGE="",IF(TITLE_IST_PUB="","",TITLE_IST_PUB),TITLE_IST_PUB_CHANGE)</f>
        <v/>
      </c>
      <c r="W34" s="2388"/>
      <c r="X34" s="2388"/>
      <c r="Y34" s="2388"/>
      <c r="Z34" s="2388"/>
      <c r="AA34" s="2388"/>
      <c r="AB34" s="2388"/>
      <c r="AC34" s="45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450"/>
      <c r="BB34" s="450"/>
      <c r="BC34" s="404"/>
      <c r="BD34" s="492"/>
      <c r="BE34" s="492"/>
      <c r="BF34" s="492"/>
      <c r="BG34" s="492"/>
      <c r="BH34" s="492"/>
      <c r="BI34" s="542">
        <v>0</v>
      </c>
    </row>
    <row customHeight="1" ht="14.25" hidden="1">
      <c r="Q35" s="415"/>
      <c r="R35" s="500"/>
      <c r="S35" s="1399"/>
      <c r="T35" s="487"/>
      <c r="U35" s="487"/>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633"/>
      <c r="BI35" s="1279">
        <v>0</v>
      </c>
    </row>
    <row s="7787" customFormat="1" customHeight="1" ht="18.75" hidden="1">
      <c r="A36" s="1492"/>
      <c r="B36" s="1492"/>
      <c r="C36" s="1492"/>
      <c r="D36" s="1492"/>
      <c r="E36" s="1492"/>
      <c r="F36" s="1492"/>
      <c r="G36" s="1492"/>
      <c r="H36" s="1492"/>
      <c r="I36" s="1492"/>
      <c r="J36" s="1492"/>
      <c r="K36" s="1492"/>
      <c r="L36" s="1493"/>
      <c r="M36" s="1492"/>
      <c r="N36" s="1492"/>
      <c r="O36" s="1492"/>
      <c r="P36" s="1492"/>
      <c r="Q36" s="1492"/>
      <c r="S36" s="2387" t="s">
        <v>535</v>
      </c>
      <c r="T36" s="2387"/>
      <c r="U36" s="1496"/>
      <c r="V36" s="2401" t="str">
        <f>IF(TITLE_DATE_PR_CHANGE="",IF(TITLE_DATE_PR="","",TITLE_DATE_PR),TITLE_DATE_PR_CHANGE)</f>
        <v/>
      </c>
      <c r="W36" s="2401"/>
      <c r="X36" s="2401"/>
      <c r="Y36" s="2401"/>
      <c r="Z36" s="2401"/>
      <c r="AA36" s="2401"/>
      <c r="AB36" s="2401"/>
      <c r="AC36" s="450"/>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450"/>
      <c r="BB36" s="450"/>
      <c r="BC36" s="404"/>
      <c r="BD36" s="492"/>
      <c r="BE36" s="492"/>
      <c r="BF36" s="492"/>
      <c r="BG36" s="492"/>
      <c r="BH36" s="492"/>
      <c r="BI36" s="542">
        <v>0</v>
      </c>
    </row>
    <row s="7787" customFormat="1" customHeight="1" ht="18.75" hidden="1">
      <c r="A37" s="1492"/>
      <c r="B37" s="1492"/>
      <c r="C37" s="1492"/>
      <c r="D37" s="1492"/>
      <c r="E37" s="1492"/>
      <c r="F37" s="1492"/>
      <c r="G37" s="1492"/>
      <c r="H37" s="1492"/>
      <c r="I37" s="1492"/>
      <c r="J37" s="1492"/>
      <c r="K37" s="1492"/>
      <c r="L37" s="1493"/>
      <c r="M37" s="1492"/>
      <c r="N37" s="1492"/>
      <c r="O37" s="1492"/>
      <c r="P37" s="1492"/>
      <c r="Q37" s="1492"/>
      <c r="S37" s="2387" t="s">
        <v>536</v>
      </c>
      <c r="T37" s="2387"/>
      <c r="U37" s="1496"/>
      <c r="V37" s="2388" t="str">
        <f>IF(TITLE_NUMBER_PR_CHANGE="",IF(TITLE_NUMBER_PR="","",TITLE_NUMBER_PR),TITLE_NUMBER_PR_CHANGE)</f>
        <v/>
      </c>
      <c r="W37" s="2388"/>
      <c r="X37" s="2388"/>
      <c r="Y37" s="2388"/>
      <c r="Z37" s="2388"/>
      <c r="AA37" s="2388"/>
      <c r="AB37" s="2388"/>
      <c r="AC37" s="45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450"/>
      <c r="BB37" s="450"/>
      <c r="BC37" s="404"/>
      <c r="BD37" s="492"/>
      <c r="BE37" s="492"/>
      <c r="BF37" s="492"/>
      <c r="BG37" s="492"/>
      <c r="BH37" s="492"/>
      <c r="BI37" s="542">
        <v>0</v>
      </c>
    </row>
    <row s="7787" customFormat="1" customHeight="1" ht="0">
      <c r="A38" s="1492"/>
      <c r="B38" s="1492"/>
      <c r="C38" s="1492"/>
      <c r="D38" s="1492"/>
      <c r="E38" s="1492"/>
      <c r="F38" s="1492"/>
      <c r="G38" s="1492"/>
      <c r="H38" s="1492"/>
      <c r="I38" s="1492"/>
      <c r="J38" s="1492"/>
      <c r="K38" s="1492"/>
      <c r="L38" s="1493"/>
      <c r="M38" s="1492"/>
      <c r="N38" s="1492"/>
      <c r="O38" s="1492"/>
      <c r="P38" s="1492"/>
      <c r="Q38" s="1492"/>
      <c r="S38" s="447"/>
      <c r="T38" s="447"/>
      <c r="U38" s="1578"/>
      <c r="V38" s="450"/>
      <c r="W38" s="450"/>
      <c r="X38" s="450"/>
      <c r="Y38" s="450"/>
      <c r="Z38" s="450"/>
      <c r="AA38" s="450"/>
      <c r="AB38" s="450"/>
      <c r="AC38" s="402" t="s">
        <v>539</v>
      </c>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02" t="s">
        <v>539</v>
      </c>
      <c r="BD38" s="492"/>
      <c r="BE38" s="492"/>
      <c r="BF38" s="492"/>
      <c r="BG38" s="492"/>
      <c r="BH38" s="492"/>
      <c r="BI38" s="542">
        <v>0</v>
      </c>
    </row>
    <row customHeight="1" ht="14.699999999999998">
      <c r="Q39" s="415"/>
      <c r="R39" s="500"/>
      <c r="S39" s="1399"/>
      <c r="T39" s="487"/>
      <c r="U39" s="1368"/>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279">
        <v>14</v>
      </c>
    </row>
    <row customHeight="1" ht="14.699999999999998">
      <c r="Q40" s="415"/>
      <c r="R40" s="500"/>
      <c r="S40" s="2264" t="s">
        <v>412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413</v>
      </c>
      <c r="BI40" s="1279">
        <v>14</v>
      </c>
    </row>
    <row customHeight="1" ht="14.699999999999998">
      <c r="Q41" s="415"/>
      <c r="R41" s="500"/>
      <c r="S41" s="2410" t="s">
        <v>88</v>
      </c>
      <c r="T41" s="2346" t="s">
        <v>619</v>
      </c>
      <c r="U41" s="425"/>
      <c r="V41" s="2411" t="s">
        <v>541</v>
      </c>
      <c r="W41" s="2412"/>
      <c r="X41" s="2412"/>
      <c r="Y41" s="2412"/>
      <c r="Z41" s="2412"/>
      <c r="AA41" s="2412"/>
      <c r="AB41" s="2413"/>
      <c r="AC41" s="2414" t="s">
        <v>542</v>
      </c>
      <c r="AD41" s="2465" t="s">
        <v>620</v>
      </c>
      <c r="AE41" s="2428"/>
      <c r="AF41" s="2428"/>
      <c r="AG41" s="2466"/>
      <c r="AH41" s="2465" t="s">
        <v>621</v>
      </c>
      <c r="AI41" s="2428"/>
      <c r="AJ41" s="2428"/>
      <c r="AK41" s="2466"/>
      <c r="AL41" s="2465" t="s">
        <v>622</v>
      </c>
      <c r="AM41" s="2428"/>
      <c r="AN41" s="2428"/>
      <c r="AO41" s="2466"/>
      <c r="AP41" s="2465" t="s">
        <v>623</v>
      </c>
      <c r="AQ41" s="2428"/>
      <c r="AR41" s="2428"/>
      <c r="AS41" s="2466"/>
      <c r="AT41" s="2411" t="s">
        <v>541</v>
      </c>
      <c r="AU41" s="2412"/>
      <c r="AV41" s="2412"/>
      <c r="AW41" s="2412"/>
      <c r="AX41" s="2412"/>
      <c r="AY41" s="2412"/>
      <c r="AZ41" s="2413"/>
      <c r="BA41" s="2414" t="s">
        <v>542</v>
      </c>
      <c r="BB41" s="2417" t="s">
        <v>544</v>
      </c>
      <c r="BC41" s="2264"/>
      <c r="BI41" s="1279">
        <v>14</v>
      </c>
    </row>
    <row customHeight="1" ht="35.699999999999996">
      <c r="Q42" s="415"/>
      <c r="R42" s="500"/>
      <c r="S42" s="2410"/>
      <c r="T42" s="2346"/>
      <c r="U42" s="1155"/>
      <c r="V42" s="2329" t="s">
        <v>624</v>
      </c>
      <c r="W42" s="2330"/>
      <c r="X42" s="2329" t="s">
        <v>625</v>
      </c>
      <c r="Y42" s="2330"/>
      <c r="Z42" s="2431" t="s">
        <v>626</v>
      </c>
      <c r="AA42" s="2450"/>
      <c r="AB42" s="2451"/>
      <c r="AC42" s="2415"/>
      <c r="AD42" s="2467"/>
      <c r="AE42" s="2468"/>
      <c r="AF42" s="2468"/>
      <c r="AG42" s="2469"/>
      <c r="AH42" s="2467"/>
      <c r="AI42" s="2468"/>
      <c r="AJ42" s="2468"/>
      <c r="AK42" s="2469"/>
      <c r="AL42" s="2467"/>
      <c r="AM42" s="2468"/>
      <c r="AN42" s="2468"/>
      <c r="AO42" s="2469"/>
      <c r="AP42" s="2467"/>
      <c r="AQ42" s="2468"/>
      <c r="AR42" s="2468"/>
      <c r="AS42" s="2469"/>
      <c r="AT42" s="2329" t="s">
        <v>624</v>
      </c>
      <c r="AU42" s="2330"/>
      <c r="AV42" s="2329" t="s">
        <v>625</v>
      </c>
      <c r="AW42" s="2330"/>
      <c r="AX42" s="2431" t="s">
        <v>626</v>
      </c>
      <c r="AY42" s="2450"/>
      <c r="AZ42" s="2451"/>
      <c r="BA42" s="2415"/>
      <c r="BB42" s="2418"/>
      <c r="BC42" s="2264"/>
      <c r="BI42" s="1279">
        <v>34</v>
      </c>
    </row>
    <row customHeight="1" ht="14.699999999999998">
      <c r="Q43" s="415"/>
      <c r="R43" s="500"/>
      <c r="S43" s="2410"/>
      <c r="T43" s="2346"/>
      <c r="U43" s="1155"/>
      <c r="V43" s="2337"/>
      <c r="W43" s="2338"/>
      <c r="X43" s="2337"/>
      <c r="Y43" s="2338"/>
      <c r="Z43" s="2432"/>
      <c r="AA43" s="2452"/>
      <c r="AB43" s="2453"/>
      <c r="AC43" s="2415"/>
      <c r="AD43" s="2467"/>
      <c r="AE43" s="2468"/>
      <c r="AF43" s="2468"/>
      <c r="AG43" s="2469"/>
      <c r="AH43" s="2467"/>
      <c r="AI43" s="2468"/>
      <c r="AJ43" s="2468"/>
      <c r="AK43" s="2469"/>
      <c r="AL43" s="2467"/>
      <c r="AM43" s="2468"/>
      <c r="AN43" s="2468"/>
      <c r="AO43" s="2469"/>
      <c r="AP43" s="2467"/>
      <c r="AQ43" s="2468"/>
      <c r="AR43" s="2468"/>
      <c r="AS43" s="2469"/>
      <c r="AT43" s="2337"/>
      <c r="AU43" s="2338"/>
      <c r="AV43" s="2337"/>
      <c r="AW43" s="2338"/>
      <c r="AX43" s="2432"/>
      <c r="AY43" s="2452"/>
      <c r="AZ43" s="2453"/>
      <c r="BA43" s="2415"/>
      <c r="BB43" s="2418"/>
      <c r="BC43" s="2264"/>
      <c r="BI43" s="1279">
        <v>14</v>
      </c>
    </row>
    <row customHeight="1" ht="14.699999999999998">
      <c r="A44" s="1494"/>
      <c r="B44" s="1494" t="s">
        <v>255</v>
      </c>
      <c r="C44" s="1494" t="s">
        <v>256</v>
      </c>
      <c r="D44" s="1494" t="s">
        <v>257</v>
      </c>
      <c r="E44" s="1488" t="s">
        <v>549</v>
      </c>
      <c r="F44" s="1488" t="s">
        <v>550</v>
      </c>
      <c r="G44" s="1488" t="s">
        <v>551</v>
      </c>
      <c r="H44" s="1488" t="s">
        <v>552</v>
      </c>
      <c r="I44" s="1488" t="s">
        <v>553</v>
      </c>
      <c r="J44" s="1488" t="s">
        <v>554</v>
      </c>
      <c r="K44" s="1488" t="s">
        <v>555</v>
      </c>
      <c r="L44" s="1488" t="s">
        <v>530</v>
      </c>
      <c r="Q44" s="415"/>
      <c r="R44" s="500"/>
      <c r="S44" s="2410"/>
      <c r="T44" s="2346"/>
      <c r="U44" s="426"/>
      <c r="V44" s="1572" t="s">
        <v>590</v>
      </c>
      <c r="W44" s="1572" t="s">
        <v>591</v>
      </c>
      <c r="X44" s="1572" t="s">
        <v>590</v>
      </c>
      <c r="Y44" s="1572" t="s">
        <v>591</v>
      </c>
      <c r="Z44" s="1579" t="s">
        <v>558</v>
      </c>
      <c r="AA44" s="2407" t="s">
        <v>559</v>
      </c>
      <c r="AB44" s="2408"/>
      <c r="AC44" s="2416"/>
      <c r="AD44" s="2470"/>
      <c r="AE44" s="2471"/>
      <c r="AF44" s="2471"/>
      <c r="AG44" s="2472"/>
      <c r="AH44" s="2470"/>
      <c r="AI44" s="2471"/>
      <c r="AJ44" s="2471"/>
      <c r="AK44" s="2472"/>
      <c r="AL44" s="2470"/>
      <c r="AM44" s="2471"/>
      <c r="AN44" s="2471"/>
      <c r="AO44" s="2472"/>
      <c r="AP44" s="2470"/>
      <c r="AQ44" s="2471"/>
      <c r="AR44" s="2471"/>
      <c r="AS44" s="2472"/>
      <c r="AT44" s="1572" t="s">
        <v>590</v>
      </c>
      <c r="AU44" s="1572" t="s">
        <v>591</v>
      </c>
      <c r="AV44" s="1572" t="s">
        <v>590</v>
      </c>
      <c r="AW44" s="1572" t="s">
        <v>591</v>
      </c>
      <c r="AX44" s="1579" t="s">
        <v>558</v>
      </c>
      <c r="AY44" s="2407" t="s">
        <v>559</v>
      </c>
      <c r="AZ44" s="2408"/>
      <c r="BA44" s="2416"/>
      <c r="BB44" s="2419"/>
      <c r="BC44" s="2264"/>
      <c r="BI44" s="1279">
        <v>14</v>
      </c>
    </row>
    <row s="6292" customFormat="1" customHeight="1" ht="11.25" hidden="1">
      <c r="A45" s="1494"/>
      <c r="B45" s="1494"/>
      <c r="C45" s="1494"/>
      <c r="D45" s="1494"/>
      <c r="E45" s="1494"/>
      <c r="F45" s="1494"/>
      <c r="G45" s="1494"/>
      <c r="H45" s="1494"/>
      <c r="I45" s="1494"/>
      <c r="J45" s="1494"/>
      <c r="K45" s="1494"/>
      <c r="L45" s="1488"/>
      <c r="M45" s="1486"/>
      <c r="N45" s="1486"/>
      <c r="O45" s="1486"/>
      <c r="P45" s="634"/>
      <c r="Q45" s="1378"/>
      <c r="R45" s="1378">
        <v>1</v>
      </c>
      <c r="S45" s="1401" t="s">
        <v>210</v>
      </c>
      <c r="T45" s="1379" t="s">
        <v>102</v>
      </c>
      <c r="U45" s="1369" t="str">
        <f>OFFSET(U45,0,-1)</f>
        <v>2</v>
      </c>
      <c r="V45" s="1575">
        <f>OFFSET(V45,0,-1)+1</f>
        <v>3</v>
      </c>
      <c r="W45" s="1575">
        <f>OFFSET(W45,0,-1)+1</f>
        <v>4</v>
      </c>
      <c r="X45" s="1575">
        <f>OFFSET(X45,0,-1)+1</f>
        <v>5</v>
      </c>
      <c r="Y45" s="1575">
        <f>OFFSET(Y45,0,-1)+1</f>
        <v>6</v>
      </c>
      <c r="Z45" s="1575">
        <f>OFFSET(Z45,0,-1)+1</f>
        <v>7</v>
      </c>
      <c r="AA45" s="2409">
        <f>OFFSET(AA45,0,-1)+1</f>
        <v>8</v>
      </c>
      <c r="AB45" s="2409"/>
      <c r="AC45" s="1575">
        <f>OFFSET(AC45,0,-2)+1</f>
        <v>9</v>
      </c>
      <c r="AD45" s="1575">
        <f>OFFSET(AD45,0,-1)+1</f>
        <v>10</v>
      </c>
      <c r="AE45" s="1575"/>
      <c r="AF45" s="1575"/>
      <c r="AG45" s="1575"/>
      <c r="AH45" s="1575"/>
      <c r="AI45" s="1575"/>
      <c r="AJ45" s="1575"/>
      <c r="AK45" s="1575"/>
      <c r="AL45" s="1575"/>
      <c r="AM45" s="1575"/>
      <c r="AN45" s="1575"/>
      <c r="AO45" s="1575"/>
      <c r="AP45" s="1575"/>
      <c r="AQ45" s="1575"/>
      <c r="AR45" s="1575"/>
      <c r="AS45" s="1575"/>
      <c r="AT45" s="1575"/>
      <c r="AU45" s="1575"/>
      <c r="AV45" s="1575"/>
      <c r="AW45" s="1575">
        <f>OFFSET(AW45,0,-1)+1</f>
        <v>1</v>
      </c>
      <c r="AX45" s="1575">
        <f>OFFSET(AX45,0,-1)+1</f>
        <v>2</v>
      </c>
      <c r="AY45" s="2409">
        <f>OFFSET(AY45,0,-1)+1</f>
        <v>3</v>
      </c>
      <c r="AZ45" s="2409"/>
      <c r="BA45" s="1575">
        <f>OFFSET(BA45,0,-2)+1</f>
        <v>4</v>
      </c>
      <c r="BB45" s="1369">
        <f>OFFSET(BB45,0,-1)</f>
        <v>4</v>
      </c>
      <c r="BC45" s="1575">
        <f>OFFSET(BC45,0,-1)+1</f>
        <v>5</v>
      </c>
      <c r="BD45" s="635"/>
      <c r="BE45" s="635"/>
      <c r="BF45" s="635"/>
      <c r="BG45" s="635"/>
      <c r="BH45" s="635"/>
      <c r="BI45" s="620">
        <v>0</v>
      </c>
    </row>
    <row customHeight="1" ht="22.049999999999997">
      <c r="A46" s="1487" t="s">
        <v>358</v>
      </c>
      <c r="B46" s="1487"/>
      <c r="C46" s="1487"/>
      <c r="D46" s="1487"/>
      <c r="E46" s="2395">
        <v>1</v>
      </c>
      <c r="F46" s="1487"/>
      <c r="G46" s="1487"/>
      <c r="H46" s="1487"/>
      <c r="I46" s="1487"/>
      <c r="J46" s="1487"/>
      <c r="K46" s="1487"/>
      <c r="L46" s="1488"/>
      <c r="M46" s="1489"/>
      <c r="N46" s="1489"/>
      <c r="O46" s="1489"/>
      <c r="P46" s="1533"/>
      <c r="Q46" s="997"/>
      <c r="R46" s="479"/>
      <c r="S46" s="1581">
        <f>INDEX(PT_DIFFERENTIATION_NUM_NTAR,MATCH(A46,PT_DIFFERENTIATION_NTAR_ID,0))</f>
        <v>0</v>
      </c>
      <c r="T46" s="422" t="s">
        <v>243</v>
      </c>
      <c r="U46" s="424"/>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24"/>
      <c r="BF46" s="624" t="str">
        <f>IF(T46="","",T46)</f>
        <v>Наименование тарифа</v>
      </c>
      <c r="BG46" s="624"/>
      <c r="BH46" s="624"/>
      <c r="BI46" s="1279">
        <v>21</v>
      </c>
    </row>
    <row customHeight="1" ht="22.049999999999997">
      <c r="A47" s="1487" t="s">
        <v>358</v>
      </c>
      <c r="B47" s="1487" t="s">
        <v>359</v>
      </c>
      <c r="C47" s="1487"/>
      <c r="D47" s="1487"/>
      <c r="E47" s="2396"/>
      <c r="F47" s="2395">
        <v>1</v>
      </c>
      <c r="G47" s="1487"/>
      <c r="H47" s="1487"/>
      <c r="I47" s="1487"/>
      <c r="J47" s="1487"/>
      <c r="K47" s="1487"/>
      <c r="L47" s="1488"/>
      <c r="M47" s="1489"/>
      <c r="N47" s="1489"/>
      <c r="O47" s="1489"/>
      <c r="P47" s="1534"/>
      <c r="Q47" s="1535"/>
      <c r="R47" s="477"/>
      <c r="S47" s="1581" t="str">
        <f>INDEX(PT_DIFFERENTIATION_NUM_TER,MATCH(B47,PT_DIFFERENTIATION_TER_ID,0))</f>
        <v>.</v>
      </c>
      <c r="T47" s="432" t="s">
        <v>509</v>
      </c>
      <c r="U47" s="424"/>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382" t="s">
        <v>510</v>
      </c>
      <c r="BE47" s="624"/>
      <c r="BF47" s="624" t="str">
        <f>IF(T47="","",T47)</f>
        <v>Территория действия тарифа</v>
      </c>
      <c r="BG47" s="624"/>
      <c r="BH47" s="624"/>
      <c r="BI47" s="1279">
        <v>21</v>
      </c>
    </row>
    <row customHeight="1" ht="43.050000000000004">
      <c r="A48" s="1487" t="s">
        <v>358</v>
      </c>
      <c r="B48" s="1487" t="s">
        <v>359</v>
      </c>
      <c r="C48" s="1487" t="s">
        <v>360</v>
      </c>
      <c r="D48" s="1487"/>
      <c r="E48" s="2396"/>
      <c r="F48" s="2396"/>
      <c r="G48" s="2395">
        <v>1</v>
      </c>
      <c r="H48" s="1487"/>
      <c r="I48" s="1487"/>
      <c r="J48" s="1487"/>
      <c r="K48" s="1487"/>
      <c r="L48" s="1488"/>
      <c r="M48" s="1489"/>
      <c r="N48" s="1489"/>
      <c r="O48" s="1489"/>
      <c r="P48" s="1536"/>
      <c r="Q48" s="1535"/>
      <c r="R48" s="477"/>
      <c r="S48" s="1581" t="str">
        <f>INDEX(PT_DIFFERENTIATION_NUM_CS,MATCH(C48,PT_DIFFERENTIATION_CS_ID,0))</f>
        <v>..</v>
      </c>
      <c r="T48" s="433" t="s">
        <v>593</v>
      </c>
      <c r="U48" s="424"/>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382" t="s">
        <v>594</v>
      </c>
      <c r="BE48" s="624"/>
      <c r="BF48" s="624" t="str">
        <f>IF(T48="","",T48)</f>
        <v>Наименование централизованной системы холодного водоснабжения</v>
      </c>
      <c r="BG48" s="624"/>
      <c r="BH48" s="624"/>
      <c r="BI48" s="1279">
        <v>41</v>
      </c>
    </row>
    <row s="6698" customFormat="1" customHeight="1" ht="0">
      <c r="A49" s="1467" t="s">
        <v>358</v>
      </c>
      <c r="B49" s="1467" t="s">
        <v>359</v>
      </c>
      <c r="C49" s="1467" t="s">
        <v>360</v>
      </c>
      <c r="D49" s="1467" t="s">
        <v>627</v>
      </c>
      <c r="E49" s="2396"/>
      <c r="F49" s="2396"/>
      <c r="G49" s="2396"/>
      <c r="H49" s="2395">
        <v>1</v>
      </c>
      <c r="I49" s="1467"/>
      <c r="J49" s="1467"/>
      <c r="K49" s="1467"/>
      <c r="L49" s="1470"/>
      <c r="M49" s="1439"/>
      <c r="N49" s="1439"/>
      <c r="O49" s="1439"/>
      <c r="P49" s="1621"/>
      <c r="Q49" s="1622"/>
      <c r="R49" s="481"/>
      <c r="S49" s="1166"/>
      <c r="T49" s="1623"/>
      <c r="U49" s="1508"/>
      <c r="V49" s="2434"/>
      <c r="W49" s="2434"/>
      <c r="X49" s="2434"/>
      <c r="Y49" s="2434"/>
      <c r="Z49" s="2434"/>
      <c r="AA49" s="2434"/>
      <c r="AB49" s="2434"/>
      <c r="AC49" s="2435"/>
      <c r="AD49" s="2433"/>
      <c r="AE49" s="2434"/>
      <c r="AF49" s="2434"/>
      <c r="AG49" s="2434"/>
      <c r="AH49" s="2434"/>
      <c r="AI49" s="2434"/>
      <c r="AJ49" s="2434"/>
      <c r="AK49" s="2434"/>
      <c r="AL49" s="2434"/>
      <c r="AM49" s="2434"/>
      <c r="AN49" s="2434"/>
      <c r="AO49" s="2434"/>
      <c r="AP49" s="2434"/>
      <c r="AQ49" s="2434"/>
      <c r="AR49" s="2434"/>
      <c r="AS49" s="2434"/>
      <c r="AT49" s="2434"/>
      <c r="AU49" s="2434"/>
      <c r="AV49" s="2434"/>
      <c r="AW49" s="2434"/>
      <c r="AX49" s="2434"/>
      <c r="AY49" s="2434"/>
      <c r="AZ49" s="2434"/>
      <c r="BA49" s="2434"/>
      <c r="BB49" s="2435"/>
      <c r="BC49" s="1509" t="s">
        <v>514</v>
      </c>
      <c r="BE49" s="624"/>
      <c r="BF49" s="624" t="str">
        <f>IF(T49="","",T49)</f>
        <v/>
      </c>
      <c r="BG49" s="624"/>
      <c r="BH49" s="624"/>
      <c r="BI49" s="635">
        <v>0</v>
      </c>
    </row>
    <row s="6698" customFormat="1" customHeight="1" ht="0">
      <c r="A50" s="1467" t="s">
        <v>358</v>
      </c>
      <c r="B50" s="1467" t="s">
        <v>359</v>
      </c>
      <c r="C50" s="1467" t="s">
        <v>360</v>
      </c>
      <c r="D50" s="1467" t="s">
        <v>627</v>
      </c>
      <c r="E50" s="2396"/>
      <c r="F50" s="2396"/>
      <c r="G50" s="2396"/>
      <c r="H50" s="2396"/>
      <c r="I50" s="2393" t="str">
        <f>S49&amp;".1"</f>
        <v>.1</v>
      </c>
      <c r="J50" s="1467"/>
      <c r="K50" s="1467"/>
      <c r="L50" s="1470" t="s">
        <v>515</v>
      </c>
      <c r="M50" s="634"/>
      <c r="N50" s="634"/>
      <c r="O50" s="634"/>
      <c r="P50" s="2394">
        <v>1</v>
      </c>
      <c r="Q50" s="1586"/>
      <c r="R50" s="480"/>
      <c r="S50" s="1166"/>
      <c r="T50" s="1507"/>
      <c r="U50" s="1508"/>
      <c r="V50" s="2434"/>
      <c r="W50" s="2434"/>
      <c r="X50" s="2434"/>
      <c r="Y50" s="2434"/>
      <c r="Z50" s="2434"/>
      <c r="AA50" s="2434"/>
      <c r="AB50" s="2434"/>
      <c r="AC50" s="2435"/>
      <c r="AD50" s="2433"/>
      <c r="AE50" s="2434"/>
      <c r="AF50" s="2434"/>
      <c r="AG50" s="2434"/>
      <c r="AH50" s="2434"/>
      <c r="AI50" s="2434"/>
      <c r="AJ50" s="2434"/>
      <c r="AK50" s="2434"/>
      <c r="AL50" s="2434"/>
      <c r="AM50" s="2434"/>
      <c r="AN50" s="2434"/>
      <c r="AO50" s="2434"/>
      <c r="AP50" s="2434"/>
      <c r="AQ50" s="2434"/>
      <c r="AR50" s="2434"/>
      <c r="AS50" s="2434"/>
      <c r="AT50" s="2434"/>
      <c r="AU50" s="2434"/>
      <c r="AV50" s="2434"/>
      <c r="AW50" s="2434"/>
      <c r="AX50" s="2434"/>
      <c r="AY50" s="2434"/>
      <c r="AZ50" s="2434"/>
      <c r="BA50" s="2434"/>
      <c r="BB50" s="2435"/>
      <c r="BC50" s="1509"/>
      <c r="BE50" s="624"/>
      <c r="BF50" s="624" t="str">
        <f>IF(T50="","",T50)</f>
        <v/>
      </c>
      <c r="BG50" s="624"/>
      <c r="BH50" s="624"/>
      <c r="BI50" s="635">
        <v>0</v>
      </c>
    </row>
    <row s="6698" customFormat="1" customHeight="1" ht="0">
      <c r="A51" s="1467" t="s">
        <v>358</v>
      </c>
      <c r="B51" s="1467" t="s">
        <v>359</v>
      </c>
      <c r="C51" s="1467" t="s">
        <v>360</v>
      </c>
      <c r="D51" s="1467" t="s">
        <v>627</v>
      </c>
      <c r="E51" s="2396"/>
      <c r="F51" s="2396"/>
      <c r="G51" s="2396"/>
      <c r="H51" s="2396"/>
      <c r="I51" s="2423"/>
      <c r="J51" s="2393" t="str">
        <f>S49&amp;".1"</f>
        <v>.1</v>
      </c>
      <c r="K51" s="1467"/>
      <c r="L51" s="1470"/>
      <c r="M51" s="634"/>
      <c r="N51" s="634"/>
      <c r="O51" s="634"/>
      <c r="P51" s="2394"/>
      <c r="Q51" s="2394">
        <v>1</v>
      </c>
      <c r="R51" s="481"/>
      <c r="S51" s="1166"/>
      <c r="T51" s="1523"/>
      <c r="U51" s="1508"/>
      <c r="V51" s="2434"/>
      <c r="W51" s="2434"/>
      <c r="X51" s="2434"/>
      <c r="Y51" s="2434"/>
      <c r="Z51" s="2434"/>
      <c r="AA51" s="2434"/>
      <c r="AB51" s="2434"/>
      <c r="AC51" s="2435"/>
      <c r="AD51" s="2433"/>
      <c r="AE51" s="2434"/>
      <c r="AF51" s="2434"/>
      <c r="AG51" s="2434"/>
      <c r="AH51" s="2434"/>
      <c r="AI51" s="2434"/>
      <c r="AJ51" s="2434"/>
      <c r="AK51" s="2434"/>
      <c r="AL51" s="2434"/>
      <c r="AM51" s="2434"/>
      <c r="AN51" s="2501"/>
      <c r="AO51" s="2501"/>
      <c r="AP51" s="2434"/>
      <c r="AQ51" s="2434"/>
      <c r="AR51" s="2434"/>
      <c r="AS51" s="2434"/>
      <c r="AT51" s="2434"/>
      <c r="AU51" s="2434"/>
      <c r="AV51" s="2434"/>
      <c r="AW51" s="2434"/>
      <c r="AX51" s="2434"/>
      <c r="AY51" s="2434"/>
      <c r="AZ51" s="2434"/>
      <c r="BA51" s="2434"/>
      <c r="BB51" s="2435"/>
      <c r="BC51" s="1509"/>
      <c r="BE51" s="624"/>
      <c r="BF51" s="624" t="str">
        <f>IF(T51="","",T51)</f>
        <v/>
      </c>
      <c r="BG51" s="624"/>
      <c r="BH51" s="624"/>
      <c r="BI51" s="635">
        <v>0</v>
      </c>
    </row>
    <row customHeight="1" ht="11.549999999999999">
      <c r="A52" s="1487" t="s">
        <v>358</v>
      </c>
      <c r="B52" s="1487" t="s">
        <v>359</v>
      </c>
      <c r="C52" s="1487" t="s">
        <v>360</v>
      </c>
      <c r="D52" s="1487" t="s">
        <v>627</v>
      </c>
      <c r="E52" s="2396"/>
      <c r="F52" s="2396"/>
      <c r="G52" s="2396"/>
      <c r="H52" s="2396"/>
      <c r="I52" s="2423"/>
      <c r="J52" s="2423"/>
      <c r="K52" s="2393" t="str">
        <f>S48&amp;".1"</f>
        <v>...1</v>
      </c>
      <c r="L52" s="1488"/>
      <c r="P52" s="2394"/>
      <c r="Q52" s="2394"/>
      <c r="R52" s="481">
        <v>1</v>
      </c>
      <c r="S52" s="2478" t="str">
        <f>$K52</f>
        <v>...1</v>
      </c>
      <c r="T52" s="2497"/>
      <c r="U52" s="424"/>
      <c r="V52" s="875"/>
      <c r="W52" s="1381"/>
      <c r="X52" s="875"/>
      <c r="Y52" s="1381"/>
      <c r="Z52" s="1857"/>
      <c r="AA52" s="1583" t="s">
        <v>62</v>
      </c>
      <c r="AB52" s="1857"/>
      <c r="AC52" s="1583" t="s">
        <v>62</v>
      </c>
      <c r="AD52" s="2322" t="s">
        <v>62</v>
      </c>
      <c r="AE52" s="2463"/>
      <c r="AF52" s="2342">
        <v>1</v>
      </c>
      <c r="AG52" s="2500"/>
      <c r="AH52" s="2244" t="s">
        <v>62</v>
      </c>
      <c r="AI52" s="2463"/>
      <c r="AJ52" s="2342">
        <v>1</v>
      </c>
      <c r="AK52" s="2464" t="s">
        <v>22</v>
      </c>
      <c r="AL52" s="2244" t="s">
        <v>62</v>
      </c>
      <c r="AM52" s="2329"/>
      <c r="AN52" s="2342">
        <v>1</v>
      </c>
      <c r="AO52" s="2494"/>
      <c r="AP52" s="2495" t="s">
        <v>62</v>
      </c>
      <c r="AQ52" s="435"/>
      <c r="AR52" s="1587">
        <v>1</v>
      </c>
      <c r="AS52" s="1590" t="s">
        <v>22</v>
      </c>
      <c r="AT52" s="875"/>
      <c r="AU52" s="1381"/>
      <c r="AV52" s="875"/>
      <c r="AW52" s="1381"/>
      <c r="AX52" s="1857"/>
      <c r="AY52" s="1583" t="s">
        <v>62</v>
      </c>
      <c r="AZ52" s="1857"/>
      <c r="BA52" s="1583" t="s">
        <v>62</v>
      </c>
      <c r="BB52" s="1472"/>
      <c r="BC52" s="2390" t="s">
        <v>613</v>
      </c>
      <c r="BE52" s="624"/>
      <c r="BF52" s="624" t="str">
        <f>IF(T52="","",T52)</f>
        <v/>
      </c>
      <c r="BG52" s="624"/>
      <c r="BH52" s="624"/>
      <c r="BI52" s="1279">
        <v>11</v>
      </c>
    </row>
    <row customHeight="1" ht="11.549999999999999">
      <c r="A53" s="1487"/>
      <c r="B53" s="1487"/>
      <c r="C53" s="1487"/>
      <c r="D53" s="1487"/>
      <c r="E53" s="2396"/>
      <c r="F53" s="2396"/>
      <c r="G53" s="2396"/>
      <c r="H53" s="2396"/>
      <c r="I53" s="2423"/>
      <c r="J53" s="2423"/>
      <c r="K53" s="2393"/>
      <c r="L53" s="1488"/>
      <c r="P53" s="2394"/>
      <c r="Q53" s="2394"/>
      <c r="R53" s="481"/>
      <c r="S53" s="2479"/>
      <c r="T53" s="2498"/>
      <c r="U53" s="424"/>
      <c r="V53" s="1517"/>
      <c r="W53" s="1620"/>
      <c r="X53" s="1517"/>
      <c r="Y53" s="1620"/>
      <c r="Z53" s="1517"/>
      <c r="AA53" s="1517"/>
      <c r="AB53" s="1517"/>
      <c r="AC53" s="1517"/>
      <c r="AD53" s="2323"/>
      <c r="AE53" s="2463"/>
      <c r="AF53" s="2342"/>
      <c r="AG53" s="2500"/>
      <c r="AH53" s="2244"/>
      <c r="AI53" s="2463"/>
      <c r="AJ53" s="2342"/>
      <c r="AK53" s="2464"/>
      <c r="AL53" s="2244"/>
      <c r="AM53" s="2337"/>
      <c r="AN53" s="2342"/>
      <c r="AO53" s="2494"/>
      <c r="AP53" s="2496"/>
      <c r="AQ53" s="440"/>
      <c r="AR53" s="540"/>
      <c r="AS53" s="540" t="s">
        <v>614</v>
      </c>
      <c r="AT53" s="1517"/>
      <c r="AU53" s="1620"/>
      <c r="AV53" s="1517"/>
      <c r="AW53" s="1620"/>
      <c r="AX53" s="1517"/>
      <c r="AY53" s="1517"/>
      <c r="AZ53" s="1517"/>
      <c r="BA53" s="1517"/>
      <c r="BB53" s="1521"/>
      <c r="BC53" s="2391"/>
      <c r="BE53" s="624"/>
      <c r="BF53" s="624"/>
      <c r="BG53" s="624"/>
      <c r="BH53" s="624"/>
      <c r="BI53" s="1279">
        <v>11</v>
      </c>
    </row>
    <row customHeight="1" ht="11.549999999999999">
      <c r="A54" s="1487" t="s">
        <v>358</v>
      </c>
      <c r="B54" s="1487"/>
      <c r="C54" s="1487"/>
      <c r="D54" s="1487"/>
      <c r="E54" s="2396"/>
      <c r="F54" s="2396"/>
      <c r="G54" s="2396"/>
      <c r="H54" s="2396"/>
      <c r="I54" s="2423"/>
      <c r="J54" s="2423"/>
      <c r="K54" s="2393"/>
      <c r="L54" s="1488"/>
      <c r="P54" s="2394"/>
      <c r="Q54" s="2394"/>
      <c r="R54" s="481"/>
      <c r="S54" s="2479"/>
      <c r="T54" s="2498"/>
      <c r="U54" s="424"/>
      <c r="V54" s="1517"/>
      <c r="W54" s="1620"/>
      <c r="X54" s="1517"/>
      <c r="Y54" s="1620"/>
      <c r="Z54" s="1517"/>
      <c r="AA54" s="1517"/>
      <c r="AB54" s="1517"/>
      <c r="AC54" s="1517"/>
      <c r="AD54" s="2323"/>
      <c r="AE54" s="2463"/>
      <c r="AF54" s="2342"/>
      <c r="AG54" s="2500"/>
      <c r="AH54" s="2244"/>
      <c r="AI54" s="2463"/>
      <c r="AJ54" s="2342"/>
      <c r="AK54" s="2464"/>
      <c r="AL54" s="2244"/>
      <c r="AM54" s="440"/>
      <c r="AN54" s="1624"/>
      <c r="AO54" s="1624" t="s">
        <v>615</v>
      </c>
      <c r="AP54" s="540"/>
      <c r="AQ54" s="540"/>
      <c r="AR54" s="540"/>
      <c r="AS54" s="1517"/>
      <c r="AT54" s="1517"/>
      <c r="AU54" s="1620"/>
      <c r="AV54" s="1517"/>
      <c r="AW54" s="1620"/>
      <c r="AX54" s="1517"/>
      <c r="AY54" s="1517"/>
      <c r="AZ54" s="1517"/>
      <c r="BA54" s="1517"/>
      <c r="BB54" s="1521"/>
      <c r="BC54" s="2391"/>
      <c r="BE54" s="624"/>
      <c r="BF54" s="624"/>
      <c r="BG54" s="624"/>
      <c r="BH54" s="624"/>
      <c r="BI54" s="1279">
        <v>11</v>
      </c>
    </row>
    <row customHeight="1" ht="11.549999999999999">
      <c r="A55" s="1487" t="s">
        <v>358</v>
      </c>
      <c r="B55" s="1487"/>
      <c r="C55" s="1487"/>
      <c r="D55" s="1487"/>
      <c r="E55" s="2396"/>
      <c r="F55" s="2396"/>
      <c r="G55" s="2396"/>
      <c r="H55" s="2396"/>
      <c r="I55" s="2423"/>
      <c r="J55" s="2423"/>
      <c r="K55" s="2393"/>
      <c r="L55" s="1488"/>
      <c r="P55" s="2394"/>
      <c r="Q55" s="2394"/>
      <c r="R55" s="481"/>
      <c r="S55" s="2479"/>
      <c r="T55" s="2498"/>
      <c r="U55" s="424"/>
      <c r="V55" s="1517"/>
      <c r="W55" s="1620"/>
      <c r="X55" s="1517"/>
      <c r="Y55" s="1620"/>
      <c r="Z55" s="1517"/>
      <c r="AA55" s="1517"/>
      <c r="AB55" s="1517"/>
      <c r="AC55" s="1517"/>
      <c r="AD55" s="2323"/>
      <c r="AE55" s="2463"/>
      <c r="AF55" s="2342"/>
      <c r="AG55" s="2500"/>
      <c r="AH55" s="2244"/>
      <c r="AI55" s="418"/>
      <c r="AJ55" s="539"/>
      <c r="AK55" s="437" t="s">
        <v>616</v>
      </c>
      <c r="AL55" s="1517"/>
      <c r="AM55" s="1517"/>
      <c r="AN55" s="1517"/>
      <c r="AO55" s="1517"/>
      <c r="AP55" s="1517"/>
      <c r="AQ55" s="1517"/>
      <c r="AR55" s="1517"/>
      <c r="AS55" s="1517"/>
      <c r="AT55" s="1517"/>
      <c r="AU55" s="1620"/>
      <c r="AV55" s="1517"/>
      <c r="AW55" s="1620"/>
      <c r="AX55" s="1517"/>
      <c r="AY55" s="1517"/>
      <c r="AZ55" s="1517"/>
      <c r="BA55" s="1517"/>
      <c r="BB55" s="1521"/>
      <c r="BC55" s="2391"/>
      <c r="BE55" s="624"/>
      <c r="BF55" s="624"/>
      <c r="BG55" s="624"/>
      <c r="BH55" s="624"/>
      <c r="BI55" s="1279">
        <v>11</v>
      </c>
    </row>
    <row customHeight="1" ht="11.549999999999999">
      <c r="A56" s="1487" t="s">
        <v>358</v>
      </c>
      <c r="B56" s="1487" t="s">
        <v>359</v>
      </c>
      <c r="C56" s="1487" t="s">
        <v>360</v>
      </c>
      <c r="D56" s="1487" t="s">
        <v>627</v>
      </c>
      <c r="E56" s="2396"/>
      <c r="F56" s="2396"/>
      <c r="G56" s="2396"/>
      <c r="H56" s="2396"/>
      <c r="I56" s="2423"/>
      <c r="J56" s="2423"/>
      <c r="K56" s="2393"/>
      <c r="L56" s="1488"/>
      <c r="P56" s="2394"/>
      <c r="Q56" s="2394"/>
      <c r="R56" s="481"/>
      <c r="S56" s="2480"/>
      <c r="T56" s="2499"/>
      <c r="U56" s="424"/>
      <c r="V56" s="1517"/>
      <c r="W56" s="1518" t="str">
        <f>Z52&amp;"-"&amp;AB52</f>
        <v>-</v>
      </c>
      <c r="X56" s="1517"/>
      <c r="Y56" s="1518" t="str">
        <f>AB52&amp;"-"&amp;AD52</f>
        <v>-да</v>
      </c>
      <c r="Z56" s="1517"/>
      <c r="AA56" s="1517"/>
      <c r="AB56" s="1517"/>
      <c r="AC56" s="1517"/>
      <c r="AD56" s="2249"/>
      <c r="AE56" s="436"/>
      <c r="AF56" s="438"/>
      <c r="AG56" s="540" t="s">
        <v>617</v>
      </c>
      <c r="AH56" s="1517"/>
      <c r="AI56" s="1517"/>
      <c r="AJ56" s="1517"/>
      <c r="AK56" s="1517"/>
      <c r="AL56" s="1517"/>
      <c r="AM56" s="1517"/>
      <c r="AN56" s="1517"/>
      <c r="AO56" s="1517"/>
      <c r="AP56" s="1517"/>
      <c r="AQ56" s="1517"/>
      <c r="AR56" s="1517"/>
      <c r="AS56" s="1517"/>
      <c r="AT56" s="1517"/>
      <c r="AU56" s="1518" t="str">
        <f>AX52&amp;"-"&amp;AZ52</f>
        <v>-</v>
      </c>
      <c r="AV56" s="1517"/>
      <c r="AW56" s="1518" t="str">
        <f>AZ52&amp;"-"&amp;BB52</f>
        <v>-</v>
      </c>
      <c r="AX56" s="1517"/>
      <c r="AY56" s="1517"/>
      <c r="AZ56" s="1517"/>
      <c r="BA56" s="1517"/>
      <c r="BB56" s="1520" t="str">
        <f>BE52&amp;"-"&amp;BG52</f>
        <v>-</v>
      </c>
      <c r="BC56" s="2391"/>
      <c r="BE56" s="624"/>
      <c r="BF56" s="624" t="str">
        <f>IF(T56="","",T56)</f>
        <v/>
      </c>
      <c r="BG56" s="624"/>
      <c r="BH56" s="624"/>
      <c r="BI56" s="1279">
        <v>11</v>
      </c>
    </row>
    <row customHeight="1" ht="11.549999999999999">
      <c r="A57" s="1487" t="s">
        <v>358</v>
      </c>
      <c r="B57" s="1487" t="s">
        <v>359</v>
      </c>
      <c r="C57" s="1487" t="s">
        <v>360</v>
      </c>
      <c r="D57" s="1487" t="s">
        <v>627</v>
      </c>
      <c r="E57" s="2396"/>
      <c r="F57" s="2396"/>
      <c r="G57" s="2396"/>
      <c r="H57" s="2396"/>
      <c r="I57" s="2423"/>
      <c r="J57" s="2393"/>
      <c r="K57" s="1487"/>
      <c r="L57" s="1488"/>
      <c r="P57" s="2394"/>
      <c r="Q57" s="2394"/>
      <c r="R57" s="480"/>
      <c r="S57" s="1402"/>
      <c r="T57" s="411" t="s">
        <v>580</v>
      </c>
      <c r="U57" s="491"/>
      <c r="V57" s="491"/>
      <c r="W57" s="491"/>
      <c r="X57" s="491"/>
      <c r="Y57" s="491"/>
      <c r="Z57" s="491"/>
      <c r="AA57" s="491"/>
      <c r="AB57" s="491"/>
      <c r="AC57" s="448"/>
      <c r="AD57" s="1629"/>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48"/>
      <c r="BC57" s="2392"/>
      <c r="BE57" s="624"/>
      <c r="BF57" s="624" t="str">
        <f>IF(T57="","",T57)</f>
        <v>Добавить строку</v>
      </c>
      <c r="BG57" s="624"/>
      <c r="BH57" s="624"/>
      <c r="BI57" s="1279">
        <v>11</v>
      </c>
    </row>
    <row s="6698" customFormat="1" customHeight="1" ht="0">
      <c r="A58" s="1467" t="s">
        <v>358</v>
      </c>
      <c r="B58" s="1467" t="s">
        <v>359</v>
      </c>
      <c r="C58" s="1467" t="s">
        <v>360</v>
      </c>
      <c r="D58" s="1467" t="s">
        <v>627</v>
      </c>
      <c r="E58" s="2396"/>
      <c r="F58" s="2396"/>
      <c r="G58" s="2396"/>
      <c r="H58" s="2396"/>
      <c r="I58" s="2393"/>
      <c r="J58" s="1467"/>
      <c r="K58" s="1467"/>
      <c r="L58" s="1470"/>
      <c r="M58" s="634"/>
      <c r="N58" s="634"/>
      <c r="O58" s="634"/>
      <c r="P58" s="2394"/>
      <c r="Q58" s="1586"/>
      <c r="R58" s="480"/>
      <c r="S58" s="1510"/>
      <c r="T58" s="1511"/>
      <c r="U58" s="1512"/>
      <c r="V58" s="1512"/>
      <c r="W58" s="1512"/>
      <c r="X58" s="1512"/>
      <c r="Y58" s="1512"/>
      <c r="Z58" s="1512"/>
      <c r="AA58" s="1512"/>
      <c r="AB58" s="1512"/>
      <c r="AC58" s="1512"/>
      <c r="AD58" s="1512"/>
      <c r="AE58" s="1512"/>
      <c r="AF58" s="1512"/>
      <c r="AG58" s="1512"/>
      <c r="AH58" s="1512"/>
      <c r="AI58" s="1512"/>
      <c r="AJ58" s="1512"/>
      <c r="AK58" s="1512"/>
      <c r="AL58" s="1512"/>
      <c r="AM58" s="1512"/>
      <c r="AN58" s="1512"/>
      <c r="AO58" s="1512"/>
      <c r="AP58" s="1512"/>
      <c r="AQ58" s="1512"/>
      <c r="AR58" s="1512"/>
      <c r="AS58" s="1512"/>
      <c r="AT58" s="1512"/>
      <c r="AU58" s="1512"/>
      <c r="AV58" s="1512"/>
      <c r="AW58" s="1512"/>
      <c r="AX58" s="1512"/>
      <c r="AY58" s="1512"/>
      <c r="AZ58" s="1512"/>
      <c r="BA58" s="1512"/>
      <c r="BB58" s="1512"/>
      <c r="BC58" s="1513"/>
      <c r="BE58" s="624"/>
      <c r="BF58" s="624" t="str">
        <f>IF(T58="","",T58)</f>
        <v/>
      </c>
      <c r="BG58" s="624"/>
      <c r="BH58" s="624"/>
      <c r="BI58" s="635">
        <v>0</v>
      </c>
    </row>
    <row s="6698" customFormat="1" customHeight="1" ht="0">
      <c r="A59" s="1467" t="s">
        <v>358</v>
      </c>
      <c r="B59" s="1467" t="s">
        <v>359</v>
      </c>
      <c r="C59" s="1467" t="s">
        <v>360</v>
      </c>
      <c r="D59" s="1467" t="s">
        <v>627</v>
      </c>
      <c r="E59" s="2396"/>
      <c r="F59" s="2396"/>
      <c r="G59" s="2396"/>
      <c r="H59" s="2395"/>
      <c r="I59" s="1467"/>
      <c r="J59" s="1467"/>
      <c r="K59" s="1467"/>
      <c r="L59" s="1470"/>
      <c r="M59" s="1439"/>
      <c r="N59" s="1439"/>
      <c r="O59" s="642"/>
      <c r="P59" s="504"/>
      <c r="Q59" s="1468"/>
      <c r="R59" s="1525"/>
      <c r="S59" s="1510"/>
      <c r="T59" s="1511"/>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c r="BB59" s="1512"/>
      <c r="BC59" s="1513"/>
      <c r="BE59" s="624"/>
      <c r="BF59" s="624" t="str">
        <f>IF(T59="","",T59)</f>
        <v/>
      </c>
      <c r="BG59" s="624"/>
      <c r="BH59" s="624"/>
      <c r="BI59" s="635">
        <v>0</v>
      </c>
    </row>
    <row s="6698" customFormat="1" customHeight="1" ht="0">
      <c r="A60" s="1467" t="s">
        <v>358</v>
      </c>
      <c r="B60" s="1467" t="s">
        <v>359</v>
      </c>
      <c r="C60" s="1467" t="s">
        <v>360</v>
      </c>
      <c r="D60" s="1438"/>
      <c r="E60" s="2396"/>
      <c r="F60" s="2396"/>
      <c r="G60" s="2395"/>
      <c r="H60" s="1438"/>
      <c r="I60" s="1438"/>
      <c r="J60" s="1438"/>
      <c r="K60" s="1438"/>
      <c r="L60" s="1588"/>
      <c r="M60" s="1439"/>
      <c r="N60" s="1439"/>
      <c r="P60" s="1440"/>
      <c r="Q60" s="1441"/>
      <c r="R60" s="1440"/>
      <c r="S60" s="1446"/>
      <c r="T60" s="1449"/>
      <c r="U60" s="1448"/>
      <c r="V60" s="1448"/>
      <c r="W60" s="1448"/>
      <c r="X60" s="1448"/>
      <c r="Y60" s="1448"/>
      <c r="Z60" s="1448"/>
      <c r="AA60" s="1448"/>
      <c r="AB60" s="1448"/>
      <c r="AC60" s="1448"/>
      <c r="AD60" s="1448"/>
      <c r="AE60" s="1448"/>
      <c r="AF60" s="1448"/>
      <c r="AG60" s="1448"/>
      <c r="AH60" s="1448"/>
      <c r="AI60" s="1448"/>
      <c r="AJ60" s="1448"/>
      <c r="AK60" s="1448"/>
      <c r="AL60" s="1448"/>
      <c r="AM60" s="1448"/>
      <c r="AN60" s="1448"/>
      <c r="AO60" s="1448"/>
      <c r="AP60" s="1448"/>
      <c r="AQ60" s="1448"/>
      <c r="AR60" s="1448"/>
      <c r="AS60" s="1448"/>
      <c r="AT60" s="1448"/>
      <c r="AU60" s="1448"/>
      <c r="AV60" s="1448"/>
      <c r="AW60" s="1448"/>
      <c r="AX60" s="1448"/>
      <c r="AY60" s="1448"/>
      <c r="AZ60" s="1448"/>
      <c r="BA60" s="1448"/>
      <c r="BB60" s="1448"/>
      <c r="BC60" s="1448"/>
      <c r="BE60" s="913"/>
      <c r="BF60" s="913" t="str">
        <f>IF(T60="","",T60)</f>
        <v/>
      </c>
      <c r="BG60" s="913"/>
      <c r="BH60" s="913"/>
      <c r="BI60" s="642">
        <v>0</v>
      </c>
    </row>
    <row s="6698" customFormat="1" customHeight="1" ht="0">
      <c r="A61" s="1467" t="s">
        <v>358</v>
      </c>
      <c r="B61" s="1467" t="s">
        <v>359</v>
      </c>
      <c r="C61" s="1438"/>
      <c r="D61" s="1438"/>
      <c r="E61" s="2396"/>
      <c r="F61" s="2395"/>
      <c r="G61" s="1438"/>
      <c r="H61" s="1438"/>
      <c r="I61" s="1438"/>
      <c r="J61" s="1438"/>
      <c r="K61" s="1438"/>
      <c r="L61" s="1588"/>
      <c r="M61" s="1445"/>
      <c r="N61" s="1445"/>
      <c r="P61" s="1440"/>
      <c r="Q61" s="1441"/>
      <c r="R61" s="1440"/>
      <c r="S61" s="1446"/>
      <c r="T61" s="1449" t="s">
        <v>527</v>
      </c>
      <c r="U61" s="1448"/>
      <c r="V61" s="1448"/>
      <c r="W61" s="1448"/>
      <c r="X61" s="1448"/>
      <c r="Y61" s="1448"/>
      <c r="Z61" s="1448"/>
      <c r="AA61" s="1448"/>
      <c r="AB61" s="1448"/>
      <c r="AC61" s="1448"/>
      <c r="AD61" s="1448"/>
      <c r="AE61" s="1448"/>
      <c r="AF61" s="1448"/>
      <c r="AG61" s="1448"/>
      <c r="AH61" s="1448"/>
      <c r="AI61" s="1448"/>
      <c r="AJ61" s="1448"/>
      <c r="AK61" s="1448"/>
      <c r="AL61" s="1448"/>
      <c r="AM61" s="1448"/>
      <c r="AN61" s="1448"/>
      <c r="AO61" s="1448"/>
      <c r="AP61" s="1448"/>
      <c r="AQ61" s="1448"/>
      <c r="AR61" s="1448"/>
      <c r="AS61" s="1448"/>
      <c r="AT61" s="1448"/>
      <c r="AU61" s="1448"/>
      <c r="AV61" s="1448"/>
      <c r="AW61" s="1448"/>
      <c r="AX61" s="1448"/>
      <c r="AY61" s="1448"/>
      <c r="AZ61" s="1448"/>
      <c r="BA61" s="1448"/>
      <c r="BB61" s="1448"/>
      <c r="BC61" s="1448"/>
      <c r="BE61" s="913"/>
      <c r="BF61" s="913" t="str">
        <f>IF(T61="","",T61)</f>
        <v>Добавить централизованную систему для дифференциации</v>
      </c>
      <c r="BG61" s="913"/>
      <c r="BH61" s="913"/>
      <c r="BI61" s="642">
        <v>0</v>
      </c>
    </row>
    <row s="6698" customFormat="1" customHeight="1" ht="0">
      <c r="A62" s="1467" t="s">
        <v>358</v>
      </c>
      <c r="B62" s="1467"/>
      <c r="C62" s="1467"/>
      <c r="D62" s="1467"/>
      <c r="E62" s="2395"/>
      <c r="F62" s="1467"/>
      <c r="G62" s="1467"/>
      <c r="H62" s="1467"/>
      <c r="I62" s="1467"/>
      <c r="J62" s="1467"/>
      <c r="K62" s="1467"/>
      <c r="L62" s="1470"/>
      <c r="M62" s="1445"/>
      <c r="N62" s="1445"/>
      <c r="O62" s="642"/>
      <c r="P62" s="504"/>
      <c r="Q62" s="1468"/>
      <c r="R62" s="504"/>
      <c r="S62" s="1446"/>
      <c r="T62" s="1449" t="s">
        <v>528</v>
      </c>
      <c r="U62" s="1448"/>
      <c r="V62" s="1448"/>
      <c r="W62" s="1448"/>
      <c r="X62" s="1448"/>
      <c r="Y62" s="1448"/>
      <c r="Z62" s="1448"/>
      <c r="AA62" s="1448"/>
      <c r="AB62" s="1448"/>
      <c r="AC62" s="1448"/>
      <c r="AD62" s="1448"/>
      <c r="AE62" s="1448"/>
      <c r="AF62" s="1448"/>
      <c r="AG62" s="1448"/>
      <c r="AH62" s="1448"/>
      <c r="AI62" s="1448"/>
      <c r="AJ62" s="1448"/>
      <c r="AK62" s="1448"/>
      <c r="AL62" s="1448"/>
      <c r="AM62" s="1448"/>
      <c r="AN62" s="1448"/>
      <c r="AO62" s="1448"/>
      <c r="AP62" s="1448"/>
      <c r="AQ62" s="1448"/>
      <c r="AR62" s="1448"/>
      <c r="AS62" s="1448"/>
      <c r="AT62" s="1448"/>
      <c r="AU62" s="1448"/>
      <c r="AV62" s="1448"/>
      <c r="AW62" s="1448"/>
      <c r="AX62" s="1448"/>
      <c r="AY62" s="1448"/>
      <c r="AZ62" s="1448"/>
      <c r="BA62" s="1448"/>
      <c r="BB62" s="1448"/>
      <c r="BC62" s="1448"/>
      <c r="BE62" s="624"/>
      <c r="BF62" s="624" t="str">
        <f>IF(T62="","",T62)</f>
        <v>Добавить территорию для дифференциации</v>
      </c>
      <c r="BG62" s="624"/>
      <c r="BH62" s="624"/>
      <c r="BI62" s="635">
        <v>0</v>
      </c>
    </row>
    <row s="6698" customFormat="1" customHeight="1" ht="0">
      <c r="A63" s="1438"/>
      <c r="B63" s="1438"/>
      <c r="C63" s="1438"/>
      <c r="D63" s="1438"/>
      <c r="E63" s="1467"/>
      <c r="F63" s="1438"/>
      <c r="G63" s="1438"/>
      <c r="H63" s="1438"/>
      <c r="I63" s="1438"/>
      <c r="J63" s="1438"/>
      <c r="K63" s="1438"/>
      <c r="L63" s="1588"/>
      <c r="M63" s="1445"/>
      <c r="N63" s="1445"/>
      <c r="P63" s="1440"/>
      <c r="Q63" s="1441"/>
      <c r="R63" s="1440"/>
      <c r="S63" s="1446"/>
      <c r="T63" s="1449" t="s">
        <v>560</v>
      </c>
      <c r="U63" s="1448"/>
      <c r="V63" s="1448"/>
      <c r="W63" s="1448"/>
      <c r="X63" s="1448"/>
      <c r="Y63" s="1448"/>
      <c r="Z63" s="1448"/>
      <c r="AA63" s="1448"/>
      <c r="AB63" s="1448"/>
      <c r="AC63" s="1448"/>
      <c r="AD63" s="1448"/>
      <c r="AE63" s="1448"/>
      <c r="AF63" s="1448"/>
      <c r="AG63" s="1448"/>
      <c r="AH63" s="1448"/>
      <c r="AI63" s="1448"/>
      <c r="AJ63" s="1448"/>
      <c r="AK63" s="1448"/>
      <c r="AL63" s="1448"/>
      <c r="AM63" s="1448"/>
      <c r="AN63" s="1448"/>
      <c r="AO63" s="1448"/>
      <c r="AP63" s="1448"/>
      <c r="AQ63" s="1448"/>
      <c r="AR63" s="1448"/>
      <c r="AS63" s="1448"/>
      <c r="AT63" s="1448"/>
      <c r="AU63" s="1448"/>
      <c r="AV63" s="1448"/>
      <c r="AW63" s="1448"/>
      <c r="AX63" s="1448"/>
      <c r="AY63" s="1448"/>
      <c r="AZ63" s="1448"/>
      <c r="BA63" s="1448"/>
      <c r="BB63" s="1448"/>
      <c r="BC63" s="1448"/>
      <c r="BE63" s="913"/>
      <c r="BF63" s="913" t="str">
        <f>IF(T63="","",T63)</f>
        <v>Добавить наименование тарифа</v>
      </c>
      <c r="BG63" s="913"/>
      <c r="BH63" s="913"/>
      <c r="BI63" s="642">
        <v>0</v>
      </c>
    </row>
    <row customHeight="1" ht="11.549999999999999">
      <c r="M64" s="1284"/>
      <c r="N64" s="1284"/>
      <c r="O64" s="661"/>
      <c r="P64" s="1284"/>
      <c r="Q64" s="1284"/>
      <c r="R64" s="1279"/>
      <c r="S64" s="1279"/>
      <c r="BD64" s="1279"/>
      <c r="BE64" s="1279"/>
      <c r="BF64" s="1279"/>
      <c r="BG64" s="1279"/>
      <c r="BH64" s="1279"/>
      <c r="BI64" s="1279">
        <v>11</v>
      </c>
    </row>
    <row customHeight="1" ht="19.95">
      <c r="O65" s="661"/>
      <c r="S65" s="1377"/>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c r="AS65" s="2422"/>
      <c r="AT65" s="2422"/>
      <c r="AU65" s="2422"/>
      <c r="AV65" s="2422"/>
      <c r="AW65" s="2422"/>
      <c r="AX65" s="2422"/>
      <c r="AY65" s="2422"/>
      <c r="AZ65" s="2422"/>
      <c r="BA65" s="2422"/>
      <c r="BB65" s="2422"/>
      <c r="BC65" s="2422"/>
      <c r="BI65" s="1279">
        <v>19</v>
      </c>
    </row>
    <row customHeight="1" ht="14.699999999999998">
      <c r="O66" s="661"/>
      <c r="T66" s="1573"/>
      <c r="U66" s="1573"/>
      <c r="V66" s="1573"/>
      <c r="W66" s="1573"/>
      <c r="X66" s="1573"/>
      <c r="Y66" s="1573"/>
      <c r="Z66" s="1573"/>
      <c r="AA66" s="1573"/>
      <c r="AB66" s="1573"/>
      <c r="AC66" s="1573"/>
      <c r="AD66" s="1573"/>
      <c r="AE66" s="1573"/>
      <c r="AF66" s="1573"/>
      <c r="AG66" s="1573"/>
      <c r="AH66" s="1573"/>
      <c r="AI66" s="1573"/>
      <c r="AJ66" s="1573"/>
      <c r="AK66" s="1573"/>
      <c r="AL66" s="1573"/>
      <c r="AM66" s="1573"/>
      <c r="AN66" s="1573"/>
      <c r="AO66" s="1573"/>
      <c r="AP66" s="1573"/>
      <c r="AQ66" s="1573"/>
      <c r="AR66" s="1573"/>
      <c r="AS66" s="1573"/>
      <c r="AT66" s="1573"/>
      <c r="AU66" s="1573"/>
      <c r="AV66" s="1573"/>
      <c r="AW66" s="1573"/>
      <c r="AX66" s="1573"/>
      <c r="AY66" s="1573"/>
      <c r="AZ66" s="1573"/>
      <c r="BA66" s="1573"/>
      <c r="BB66" s="1573"/>
      <c r="BC66" s="1573"/>
      <c r="BI66" s="1279">
        <v>14</v>
      </c>
    </row>
    <row customHeight="1" ht="19.95">
      <c r="O67" s="661"/>
      <c r="S67" s="1377"/>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c r="AS67" s="2422"/>
      <c r="AT67" s="2422"/>
      <c r="AU67" s="2422"/>
      <c r="AV67" s="2422"/>
      <c r="AW67" s="2422"/>
      <c r="AX67" s="2422"/>
      <c r="AY67" s="2422"/>
      <c r="AZ67" s="2422"/>
      <c r="BA67" s="2422"/>
      <c r="BB67" s="2422"/>
      <c r="BC67" s="2422"/>
      <c r="BI67" s="1279">
        <v>19</v>
      </c>
    </row>
    <row customHeight="1" ht="14.699999999999998">
      <c r="O68" s="661"/>
      <c r="BI68" s="1279">
        <v>14</v>
      </c>
    </row>
    <row customHeight="1" ht="14.25" hidden="1">
      <c r="A69" s="1284" t="s">
        <v>82</v>
      </c>
      <c r="B69" s="1284">
        <v>0</v>
      </c>
      <c r="C69" s="1284">
        <v>0</v>
      </c>
      <c r="D69" s="1284">
        <v>0</v>
      </c>
      <c r="E69" s="1284">
        <v>0</v>
      </c>
      <c r="F69" s="1284">
        <v>0</v>
      </c>
      <c r="G69" s="1284">
        <v>0</v>
      </c>
      <c r="H69" s="1284">
        <v>0</v>
      </c>
      <c r="I69" s="1284">
        <v>0</v>
      </c>
      <c r="J69" s="1284">
        <v>0</v>
      </c>
      <c r="K69" s="1284">
        <v>0</v>
      </c>
      <c r="L69" s="1585">
        <v>0</v>
      </c>
      <c r="M69" s="1486">
        <v>0</v>
      </c>
      <c r="N69" s="1486">
        <v>0</v>
      </c>
      <c r="O69" s="1486">
        <v>0</v>
      </c>
      <c r="P69" s="1486">
        <v>0</v>
      </c>
      <c r="Q69" s="1495">
        <v>0</v>
      </c>
      <c r="R69" s="468">
        <v>3</v>
      </c>
      <c r="S69" s="705">
        <v>12</v>
      </c>
      <c r="T69" s="1279">
        <v>31</v>
      </c>
      <c r="U69" s="1279">
        <v>0</v>
      </c>
      <c r="V69" s="1279">
        <v>0</v>
      </c>
      <c r="W69" s="1279">
        <v>0</v>
      </c>
      <c r="X69" s="1279">
        <v>0</v>
      </c>
      <c r="Y69" s="1279">
        <v>0</v>
      </c>
      <c r="Z69" s="1279">
        <v>0</v>
      </c>
      <c r="AA69" s="1279">
        <v>0</v>
      </c>
      <c r="AB69" s="1279">
        <v>0</v>
      </c>
      <c r="AC69" s="1279">
        <v>0</v>
      </c>
      <c r="AD69" s="1279">
        <v>3</v>
      </c>
      <c r="AE69" s="1279">
        <v>3</v>
      </c>
      <c r="AF69" s="1279">
        <v>3</v>
      </c>
      <c r="AG69" s="1279">
        <v>24</v>
      </c>
      <c r="AH69" s="1279">
        <v>3</v>
      </c>
      <c r="AI69" s="1279">
        <v>3</v>
      </c>
      <c r="AJ69" s="1279">
        <v>3</v>
      </c>
      <c r="AK69" s="1279">
        <v>24</v>
      </c>
      <c r="AL69" s="1279">
        <v>3</v>
      </c>
      <c r="AM69" s="1279">
        <v>3</v>
      </c>
      <c r="AN69" s="1279">
        <v>3</v>
      </c>
      <c r="AO69" s="1279">
        <v>18</v>
      </c>
      <c r="AP69" s="1279">
        <v>3</v>
      </c>
      <c r="AQ69" s="1279">
        <v>3</v>
      </c>
      <c r="AR69" s="1279">
        <v>3</v>
      </c>
      <c r="AS69" s="1279">
        <v>18</v>
      </c>
      <c r="AT69" s="1279">
        <v>21</v>
      </c>
      <c r="AU69" s="1279">
        <v>21</v>
      </c>
      <c r="AV69" s="1279">
        <v>21</v>
      </c>
      <c r="AW69" s="1279">
        <v>21</v>
      </c>
      <c r="AX69" s="1279">
        <v>11</v>
      </c>
      <c r="AY69" s="1279">
        <v>3</v>
      </c>
      <c r="AZ69" s="1279">
        <v>11</v>
      </c>
      <c r="BA69" s="1279">
        <v>0</v>
      </c>
      <c r="BB69" s="1279">
        <v>4</v>
      </c>
      <c r="BC69" s="1279">
        <v>115</v>
      </c>
      <c r="BD69" s="635">
        <v>10</v>
      </c>
      <c r="BE69" s="635">
        <v>10</v>
      </c>
      <c r="BF69" s="635">
        <v>10</v>
      </c>
      <c r="BG69" s="635">
        <v>10</v>
      </c>
      <c r="BH69" s="635">
        <v>10</v>
      </c>
      <c r="BI69" s="127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7946C2-5153-B608-2CED-49F4EBB3C63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617">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611"/>
      <c r="Q3" s="476"/>
      <c r="R3" s="477"/>
      <c r="S3" s="1617">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617">
        <f>INDEX(PT_DIFFERENTIATION_NUM_CS,MATCH(C4,PT_DIFFERENTIATION_CS_ID,0))</f>
      </c>
      <c r="T4" s="433" t="s">
        <v>628</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629</v>
      </c>
      <c r="AM4" s="624"/>
      <c r="AN4" s="624" t="str">
        <f>IF(T4="","",T4)</f>
        <v>Наименование централизованной системы водоотведения</v>
      </c>
      <c r="AO4" s="624"/>
      <c r="AP4" s="624"/>
      <c r="AQ4" s="1279">
        <v>0</v>
      </c>
    </row>
    <row customHeight="1" ht="23.25" hidden="1">
      <c r="A5" s="1487"/>
      <c r="B5" s="1487"/>
      <c r="C5" s="1487"/>
      <c r="D5" s="1487"/>
      <c r="E5" s="2396"/>
      <c r="F5" s="2396"/>
      <c r="G5" s="2396"/>
      <c r="H5" s="2396"/>
      <c r="I5" s="2393">
        <f>S4&amp;".1"</f>
      </c>
      <c r="J5" s="1487"/>
      <c r="K5" s="1487"/>
      <c r="L5" s="1488"/>
      <c r="P5" s="2394">
        <v>1</v>
      </c>
      <c r="Q5" s="1605"/>
      <c r="R5" s="480"/>
      <c r="S5" s="1617">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617">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617">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614"/>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605"/>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618"/>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602"/>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602"/>
      <c r="M19" s="1486"/>
      <c r="N19" s="1486"/>
      <c r="O19" s="1486"/>
      <c r="P19" s="1486"/>
      <c r="Q19" s="1495"/>
      <c r="R19" s="1495"/>
      <c r="S19" s="853"/>
      <c r="AB19" s="1490"/>
      <c r="AI19" s="1490"/>
      <c r="AL19" s="635"/>
      <c r="AM19" s="635"/>
      <c r="AN19" s="635"/>
      <c r="AO19" s="635"/>
      <c r="AP19" s="635"/>
      <c r="AQ19" s="1284">
        <v>0</v>
      </c>
    </row>
    <row s="7158" customFormat="1" customHeight="1" ht="12" hidden="1">
      <c r="L20" s="1602"/>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612"/>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607" t="s">
        <v>601</v>
      </c>
      <c r="W38" s="2399" t="s">
        <v>547</v>
      </c>
      <c r="X38" s="2400"/>
      <c r="Y38" s="2399" t="s">
        <v>548</v>
      </c>
      <c r="Z38" s="2406"/>
      <c r="AA38" s="2400"/>
      <c r="AB38" s="2415"/>
      <c r="AC38" s="1607" t="s">
        <v>601</v>
      </c>
      <c r="AD38" s="2399" t="s">
        <v>547</v>
      </c>
      <c r="AE38" s="2400"/>
      <c r="AF38" s="2399" t="s">
        <v>548</v>
      </c>
      <c r="AG38" s="2406"/>
      <c r="AH38" s="2400"/>
      <c r="AI38" s="2415"/>
      <c r="AJ38" s="2418"/>
      <c r="AK38" s="2264"/>
      <c r="AQ38" s="1279">
        <v>34</v>
      </c>
    </row>
    <row customHeight="1" ht="90.3">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607" t="s">
        <v>630</v>
      </c>
      <c r="W39" s="1346" t="s">
        <v>631</v>
      </c>
      <c r="X39" s="1346" t="s">
        <v>606</v>
      </c>
      <c r="Y39" s="1613" t="s">
        <v>558</v>
      </c>
      <c r="Z39" s="2407" t="s">
        <v>559</v>
      </c>
      <c r="AA39" s="2408"/>
      <c r="AB39" s="2416"/>
      <c r="AC39" s="1607" t="s">
        <v>630</v>
      </c>
      <c r="AD39" s="1346" t="s">
        <v>631</v>
      </c>
      <c r="AE39" s="1346" t="s">
        <v>606</v>
      </c>
      <c r="AF39" s="1613" t="s">
        <v>558</v>
      </c>
      <c r="AG39" s="2407" t="s">
        <v>559</v>
      </c>
      <c r="AH39" s="2408"/>
      <c r="AI39" s="2416"/>
      <c r="AJ39" s="2419"/>
      <c r="AK39" s="2264"/>
      <c r="AQ39" s="1279">
        <v>86</v>
      </c>
    </row>
    <row s="6292" customFormat="1" customHeight="1" ht="11.25" hidden="1">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606">
        <f>OFFSET(V40,0,-1)+1</f>
        <v>3</v>
      </c>
      <c r="W40" s="1606">
        <f>OFFSET(W40,0,-1)+1</f>
        <v>4</v>
      </c>
      <c r="X40" s="1606">
        <f>OFFSET(X40,0,-1)+1</f>
        <v>5</v>
      </c>
      <c r="Y40" s="1606">
        <f>OFFSET(Y40,0,-1)+1</f>
        <v>6</v>
      </c>
      <c r="Z40" s="2409">
        <f>OFFSET(Z40,0,-1)+1</f>
        <v>7</v>
      </c>
      <c r="AA40" s="2409"/>
      <c r="AB40" s="1606">
        <f>OFFSET(AB40,0,-2)+1</f>
        <v>8</v>
      </c>
      <c r="AC40" s="1606">
        <f>OFFSET(AC40,0,-1)+1</f>
        <v>9</v>
      </c>
      <c r="AD40" s="1606">
        <f>OFFSET(AD40,0,-1)+1</f>
        <v>10</v>
      </c>
      <c r="AE40" s="1606">
        <f>OFFSET(AE40,0,-1)+1</f>
        <v>11</v>
      </c>
      <c r="AF40" s="1606">
        <f>OFFSET(AF40,0,-1)+1</f>
        <v>12</v>
      </c>
      <c r="AG40" s="2409">
        <f>OFFSET(AG40,0,-1)+1</f>
        <v>13</v>
      </c>
      <c r="AH40" s="2409"/>
      <c r="AI40" s="1606">
        <f>OFFSET(AI40,0,-2)+1</f>
        <v>14</v>
      </c>
      <c r="AJ40" s="1369">
        <f>OFFSET(AJ40,0,-1)</f>
        <v>14</v>
      </c>
      <c r="AK40" s="1606">
        <f>OFFSET(AK40,0,-1)+1</f>
        <v>15</v>
      </c>
      <c r="AL40" s="635"/>
      <c r="AM40" s="635"/>
      <c r="AN40" s="635"/>
      <c r="AO40" s="635"/>
      <c r="AP40" s="635"/>
      <c r="AQ40" s="620">
        <v>0</v>
      </c>
    </row>
    <row customHeight="1" ht="24">
      <c r="A41" s="1487" t="s">
        <v>378</v>
      </c>
      <c r="B41" s="1487"/>
      <c r="C41" s="1487"/>
      <c r="D41" s="1487"/>
      <c r="E41" s="2395">
        <v>1</v>
      </c>
      <c r="F41" s="1487"/>
      <c r="G41" s="1487"/>
      <c r="H41" s="1487"/>
      <c r="I41" s="1487"/>
      <c r="J41" s="1487"/>
      <c r="K41" s="1487"/>
      <c r="L41" s="1488"/>
      <c r="M41" s="1489"/>
      <c r="N41" s="1489"/>
      <c r="O41" s="1489"/>
      <c r="P41" s="485"/>
      <c r="Q41" s="484"/>
      <c r="R41" s="479"/>
      <c r="S41" s="1617">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378</v>
      </c>
      <c r="B42" s="1487" t="s">
        <v>379</v>
      </c>
      <c r="C42" s="1487"/>
      <c r="D42" s="1487"/>
      <c r="E42" s="2396"/>
      <c r="F42" s="2395">
        <v>1</v>
      </c>
      <c r="G42" s="1487"/>
      <c r="H42" s="1487"/>
      <c r="I42" s="1487"/>
      <c r="J42" s="1487"/>
      <c r="K42" s="1487"/>
      <c r="L42" s="1488"/>
      <c r="M42" s="1489"/>
      <c r="N42" s="1489"/>
      <c r="O42" s="1489"/>
      <c r="P42" s="1611"/>
      <c r="Q42" s="476"/>
      <c r="R42" s="477"/>
      <c r="S42" s="1617"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378</v>
      </c>
      <c r="B43" s="1487" t="s">
        <v>379</v>
      </c>
      <c r="C43" s="1487" t="s">
        <v>380</v>
      </c>
      <c r="D43" s="1487"/>
      <c r="E43" s="2396"/>
      <c r="F43" s="2396"/>
      <c r="G43" s="2395">
        <v>1</v>
      </c>
      <c r="H43" s="1487"/>
      <c r="I43" s="1487"/>
      <c r="J43" s="1487"/>
      <c r="K43" s="1487"/>
      <c r="L43" s="1488"/>
      <c r="M43" s="1489"/>
      <c r="N43" s="1489"/>
      <c r="O43" s="1489"/>
      <c r="P43" s="478"/>
      <c r="Q43" s="476"/>
      <c r="R43" s="477"/>
      <c r="S43" s="1617" t="str">
        <f>INDEX(PT_DIFFERENTIATION_NUM_CS,MATCH(C43,PT_DIFFERENTIATION_CS_ID,0))</f>
        <v>..</v>
      </c>
      <c r="T43" s="433" t="s">
        <v>628</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629</v>
      </c>
      <c r="AM43" s="624"/>
      <c r="AN43" s="624" t="str">
        <f>IF(T43="","",T43)</f>
        <v>Наименование централизованной системы водоотведения</v>
      </c>
      <c r="AO43" s="624"/>
      <c r="AP43" s="624"/>
      <c r="AQ43" s="1279">
        <v>23</v>
      </c>
    </row>
    <row customHeight="1" ht="24">
      <c r="A44" s="1487" t="s">
        <v>378</v>
      </c>
      <c r="B44" s="1487" t="s">
        <v>379</v>
      </c>
      <c r="C44" s="1487" t="s">
        <v>380</v>
      </c>
      <c r="D44" s="1487" t="s">
        <v>632</v>
      </c>
      <c r="E44" s="2396"/>
      <c r="F44" s="2396"/>
      <c r="G44" s="2396"/>
      <c r="H44" s="2396"/>
      <c r="I44" s="2393" t="str">
        <f>S43&amp;".1"</f>
        <v>...1</v>
      </c>
      <c r="J44" s="1487"/>
      <c r="K44" s="1487"/>
      <c r="L44" s="1488"/>
      <c r="P44" s="2394">
        <v>1</v>
      </c>
      <c r="Q44" s="1605"/>
      <c r="R44" s="480"/>
      <c r="S44" s="1617"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378</v>
      </c>
      <c r="B45" s="1487" t="s">
        <v>379</v>
      </c>
      <c r="C45" s="1487" t="s">
        <v>380</v>
      </c>
      <c r="D45" s="1487" t="s">
        <v>632</v>
      </c>
      <c r="E45" s="2396"/>
      <c r="F45" s="2396"/>
      <c r="G45" s="2396"/>
      <c r="H45" s="2396"/>
      <c r="I45" s="2423"/>
      <c r="J45" s="2393" t="str">
        <f>I44&amp;".1"</f>
        <v>...1.1</v>
      </c>
      <c r="K45" s="1487"/>
      <c r="L45" s="1488" t="s">
        <v>518</v>
      </c>
      <c r="P45" s="2394"/>
      <c r="Q45" s="2394">
        <v>1</v>
      </c>
      <c r="R45" s="481"/>
      <c r="S45" s="1617"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378</v>
      </c>
      <c r="B46" s="1487" t="s">
        <v>379</v>
      </c>
      <c r="C46" s="1487" t="s">
        <v>380</v>
      </c>
      <c r="D46" s="1487" t="s">
        <v>632</v>
      </c>
      <c r="E46" s="2396"/>
      <c r="F46" s="2396"/>
      <c r="G46" s="2396"/>
      <c r="H46" s="2396"/>
      <c r="I46" s="2423"/>
      <c r="J46" s="2423"/>
      <c r="K46" s="2393" t="str">
        <f>J45&amp;".1"</f>
        <v>...1.1.1</v>
      </c>
      <c r="L46" s="1488"/>
      <c r="P46" s="2394"/>
      <c r="Q46" s="2394"/>
      <c r="R46" s="481">
        <v>1</v>
      </c>
      <c r="S46" s="1617" t="str">
        <f>$K46</f>
        <v>...1.1.1</v>
      </c>
      <c r="T46" s="1561"/>
      <c r="U46" s="424"/>
      <c r="V46" s="1484"/>
      <c r="W46" s="1484"/>
      <c r="X46" s="1485"/>
      <c r="Y46" s="2404"/>
      <c r="Z46" s="2405" t="s">
        <v>62</v>
      </c>
      <c r="AA46" s="2404"/>
      <c r="AB46" s="2405" t="s">
        <v>62</v>
      </c>
      <c r="AC46" s="875"/>
      <c r="AD46" s="875"/>
      <c r="AE46" s="1381"/>
      <c r="AF46" s="2402"/>
      <c r="AG46" s="2244" t="s">
        <v>62</v>
      </c>
      <c r="AH46" s="2424"/>
      <c r="AI46" s="2244" t="s">
        <v>19</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378</v>
      </c>
      <c r="B47" s="1487" t="s">
        <v>379</v>
      </c>
      <c r="C47" s="1487" t="s">
        <v>380</v>
      </c>
      <c r="D47" s="1487" t="s">
        <v>632</v>
      </c>
      <c r="E47" s="2396"/>
      <c r="F47" s="2396"/>
      <c r="G47" s="2396"/>
      <c r="H47" s="2396"/>
      <c r="I47" s="2423"/>
      <c r="J47" s="2423"/>
      <c r="K47" s="2393"/>
      <c r="L47" s="1488"/>
      <c r="P47" s="2394"/>
      <c r="Q47" s="2394"/>
      <c r="R47" s="481"/>
      <c r="S47" s="1614"/>
      <c r="T47" s="424"/>
      <c r="U47" s="424"/>
      <c r="V47" s="1484"/>
      <c r="W47" s="1484"/>
      <c r="X47" s="452" t="str">
        <f>Y46&amp;"-"&amp;AA46</f>
        <v>-</v>
      </c>
      <c r="Y47" s="2405"/>
      <c r="Z47" s="2405"/>
      <c r="AA47" s="2405"/>
      <c r="AB47" s="2405"/>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378</v>
      </c>
      <c r="B48" s="1487" t="s">
        <v>379</v>
      </c>
      <c r="C48" s="1487" t="s">
        <v>380</v>
      </c>
      <c r="D48" s="1487" t="s">
        <v>632</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378</v>
      </c>
      <c r="B49" s="1487" t="s">
        <v>379</v>
      </c>
      <c r="C49" s="1487" t="s">
        <v>380</v>
      </c>
      <c r="D49" s="1487" t="s">
        <v>632</v>
      </c>
      <c r="E49" s="2396"/>
      <c r="F49" s="2396"/>
      <c r="G49" s="2396"/>
      <c r="H49" s="2396"/>
      <c r="I49" s="2393"/>
      <c r="J49" s="1487"/>
      <c r="K49" s="1487"/>
      <c r="L49" s="1488"/>
      <c r="P49" s="2394"/>
      <c r="Q49" s="1605"/>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378</v>
      </c>
      <c r="B50" s="1487" t="s">
        <v>379</v>
      </c>
      <c r="C50" s="1487" t="s">
        <v>380</v>
      </c>
      <c r="D50" s="1487" t="s">
        <v>632</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378</v>
      </c>
      <c r="B51" s="1467" t="s">
        <v>379</v>
      </c>
      <c r="C51" s="1438"/>
      <c r="D51" s="1438"/>
      <c r="E51" s="2396"/>
      <c r="F51" s="2395"/>
      <c r="G51" s="1438"/>
      <c r="H51" s="1438"/>
      <c r="I51" s="1438"/>
      <c r="J51" s="1438"/>
      <c r="K51" s="1438"/>
      <c r="L51" s="1618"/>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378</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618"/>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602">
        <v>0</v>
      </c>
      <c r="M58" s="1486">
        <v>0</v>
      </c>
      <c r="N58" s="1486">
        <v>0</v>
      </c>
      <c r="O58" s="1486">
        <v>0</v>
      </c>
      <c r="P58" s="1597">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A50EE8-D8C1-FD08-F738-20FD096C403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4" style="7213" width="24.7109375" hidden="1" customWidth="1"/>
    <col min="25" max="25" style="7213" width="11.7109375" hidden="1" customWidth="1"/>
    <col min="26" max="26" style="7213" width="3.7109375" hidden="1" customWidth="1"/>
    <col min="27" max="27" style="7213" width="11.7109375" hidden="1" customWidth="1"/>
    <col min="28" max="28" style="7213" width="8.57421875" hidden="1" customWidth="1"/>
    <col min="29" max="29" style="7213" width="24.7109375" customWidth="1"/>
    <col min="30" max="31" style="7213" width="24.00390625" customWidth="1"/>
    <col min="32" max="32" style="7213" width="11.00390625" customWidth="1"/>
    <col min="33" max="33" style="7213" width="3.7109375" customWidth="1"/>
    <col min="34" max="34" style="7213" width="11.00390625" customWidth="1"/>
    <col min="35" max="35" style="7213" width="8.57421875" hidden="1" customWidth="1"/>
    <col min="36" max="36" style="7213" width="4.00390625" customWidth="1"/>
    <col min="37" max="37" style="7213" width="115.00390625" customWidth="1"/>
    <col min="38" max="42" style="6698" width="10.00390625" customWidth="1"/>
    <col min="43" max="43" style="7213" width="10.57421875" hidden="1"/>
  </cols>
  <sheetData>
    <row customHeight="1" ht="22.5" hidden="1">
      <c r="X1" s="451"/>
      <c r="Y1" s="451"/>
      <c r="AE1" s="451"/>
      <c r="AF1" s="451"/>
      <c r="AQ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617">
        <f>INDEX(PT_DIFFERENTIATION_NUM_NTAR,MATCH(A2,PT_DIFFERENTIATION_NTAR_ID,0))</f>
      </c>
      <c r="T2" s="422" t="s">
        <v>243</v>
      </c>
      <c r="U2" s="424"/>
      <c r="V2" s="2379"/>
      <c r="W2" s="2380"/>
      <c r="X2" s="2380"/>
      <c r="Y2" s="2380"/>
      <c r="Z2" s="2380"/>
      <c r="AA2" s="2380"/>
      <c r="AB2" s="2381"/>
      <c r="AC2" s="2379">
        <f>INDEX(PT_DIFFERENTIATION_NTAR,MATCH(A2,PT_DIFFERENTIATION_NTAR_ID,0))</f>
      </c>
      <c r="AD2" s="2380"/>
      <c r="AE2" s="2380"/>
      <c r="AF2" s="2380"/>
      <c r="AG2" s="2380"/>
      <c r="AH2" s="2380"/>
      <c r="AI2" s="2380"/>
      <c r="AJ2" s="2381"/>
      <c r="AK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24"/>
      <c r="AN2" s="624" t="str">
        <f>IF(T2="","",T2)</f>
        <v>Наименование тарифа</v>
      </c>
      <c r="AO2" s="624"/>
      <c r="AP2" s="624"/>
      <c r="AQ2" s="1279">
        <v>0</v>
      </c>
    </row>
    <row customHeight="1" ht="23.25" hidden="1">
      <c r="A3" s="1487"/>
      <c r="B3" s="1487"/>
      <c r="C3" s="1487"/>
      <c r="D3" s="1487"/>
      <c r="E3" s="2396"/>
      <c r="F3" s="2395">
        <v>1</v>
      </c>
      <c r="G3" s="1487"/>
      <c r="H3" s="1487"/>
      <c r="I3" s="1487"/>
      <c r="J3" s="1487"/>
      <c r="K3" s="1487"/>
      <c r="L3" s="1488"/>
      <c r="M3" s="1489"/>
      <c r="N3" s="1489"/>
      <c r="O3" s="1489"/>
      <c r="P3" s="1611"/>
      <c r="Q3" s="476"/>
      <c r="R3" s="477"/>
      <c r="S3" s="1617">
        <f>INDEX(PT_DIFFERENTIATION_NUM_TER,MATCH(B3,PT_DIFFERENTIATION_TER_ID,0))</f>
      </c>
      <c r="T3" s="432" t="s">
        <v>509</v>
      </c>
      <c r="U3" s="424"/>
      <c r="V3" s="2379"/>
      <c r="W3" s="2380"/>
      <c r="X3" s="2380"/>
      <c r="Y3" s="2380"/>
      <c r="Z3" s="2380"/>
      <c r="AA3" s="2380"/>
      <c r="AB3" s="2381"/>
      <c r="AC3" s="2379">
        <f>INDEX(PT_DIFFERENTIATION_TER,MATCH(B3,PT_DIFFERENTIATION_TER_ID,0))</f>
      </c>
      <c r="AD3" s="2380"/>
      <c r="AE3" s="2380"/>
      <c r="AF3" s="2380"/>
      <c r="AG3" s="2380"/>
      <c r="AH3" s="2380"/>
      <c r="AI3" s="2380"/>
      <c r="AJ3" s="2381"/>
      <c r="AK3" s="1382" t="s">
        <v>510</v>
      </c>
      <c r="AM3" s="624"/>
      <c r="AN3" s="624" t="str">
        <f>IF(T3="","",T3)</f>
        <v>Территория действия тарифа</v>
      </c>
      <c r="AO3" s="624"/>
      <c r="AP3" s="624"/>
      <c r="AQ3" s="1279">
        <v>0</v>
      </c>
    </row>
    <row customHeight="1" ht="23.25" hidden="1">
      <c r="A4" s="1487"/>
      <c r="B4" s="1487"/>
      <c r="C4" s="1487"/>
      <c r="D4" s="1487"/>
      <c r="E4" s="2396"/>
      <c r="F4" s="2396"/>
      <c r="G4" s="2395">
        <v>1</v>
      </c>
      <c r="H4" s="1487"/>
      <c r="I4" s="1487"/>
      <c r="J4" s="1487"/>
      <c r="K4" s="1487"/>
      <c r="L4" s="1488"/>
      <c r="M4" s="1489"/>
      <c r="N4" s="1489"/>
      <c r="O4" s="1489"/>
      <c r="P4" s="478"/>
      <c r="Q4" s="476"/>
      <c r="R4" s="477"/>
      <c r="S4" s="1617">
        <f>INDEX(PT_DIFFERENTIATION_NUM_CS,MATCH(C4,PT_DIFFERENTIATION_CS_ID,0))</f>
      </c>
      <c r="T4" s="433" t="s">
        <v>628</v>
      </c>
      <c r="U4" s="424"/>
      <c r="V4" s="2379"/>
      <c r="W4" s="2380"/>
      <c r="X4" s="2380"/>
      <c r="Y4" s="2380"/>
      <c r="Z4" s="2380"/>
      <c r="AA4" s="2380"/>
      <c r="AB4" s="2381"/>
      <c r="AC4" s="2379">
        <f>INDEX(PT_DIFFERENTIATION_CS,MATCH(C4,PT_DIFFERENTIATION_CS_ID,0))</f>
      </c>
      <c r="AD4" s="2380"/>
      <c r="AE4" s="2380"/>
      <c r="AF4" s="2380"/>
      <c r="AG4" s="2380"/>
      <c r="AH4" s="2380"/>
      <c r="AI4" s="2380"/>
      <c r="AJ4" s="2381"/>
      <c r="AK4" s="1382" t="s">
        <v>629</v>
      </c>
      <c r="AM4" s="624"/>
      <c r="AN4" s="624" t="str">
        <f>IF(T4="","",T4)</f>
        <v>Наименование централизованной системы водоотведения</v>
      </c>
      <c r="AO4" s="624"/>
      <c r="AP4" s="624"/>
      <c r="AQ4" s="1279">
        <v>0</v>
      </c>
    </row>
    <row customHeight="1" ht="23.25" hidden="1">
      <c r="A5" s="1487"/>
      <c r="B5" s="1487"/>
      <c r="C5" s="1487"/>
      <c r="D5" s="1487"/>
      <c r="E5" s="2396"/>
      <c r="F5" s="2396"/>
      <c r="G5" s="2396"/>
      <c r="H5" s="2396"/>
      <c r="I5" s="2393">
        <f>S4&amp;".1"</f>
      </c>
      <c r="J5" s="1487"/>
      <c r="K5" s="1487"/>
      <c r="L5" s="1488"/>
      <c r="P5" s="2394">
        <v>1</v>
      </c>
      <c r="Q5" s="1605"/>
      <c r="R5" s="480"/>
      <c r="S5" s="1617">
        <f>$I5</f>
      </c>
      <c r="T5" s="409" t="s">
        <v>595</v>
      </c>
      <c r="U5" s="424"/>
      <c r="V5" s="2487"/>
      <c r="W5" s="2488"/>
      <c r="X5" s="2488"/>
      <c r="Y5" s="2488"/>
      <c r="Z5" s="2488"/>
      <c r="AA5" s="2488"/>
      <c r="AB5" s="2489"/>
      <c r="AC5" s="2490"/>
      <c r="AD5" s="2491"/>
      <c r="AE5" s="2491"/>
      <c r="AF5" s="2491"/>
      <c r="AG5" s="2491"/>
      <c r="AH5" s="2491"/>
      <c r="AI5" s="2491"/>
      <c r="AJ5" s="2492"/>
      <c r="AK5" s="1382" t="s">
        <v>596</v>
      </c>
      <c r="AM5" s="624"/>
      <c r="AN5" s="624" t="str">
        <f>IF(T5="","",T5)</f>
        <v>Наименование признака дифференциации</v>
      </c>
      <c r="AO5" s="624"/>
      <c r="AP5" s="624"/>
      <c r="AQ5" s="1279">
        <v>0</v>
      </c>
    </row>
    <row customHeight="1" ht="23.25" hidden="1">
      <c r="A6" s="1487"/>
      <c r="B6" s="1487"/>
      <c r="C6" s="1487"/>
      <c r="D6" s="1487"/>
      <c r="E6" s="2396"/>
      <c r="F6" s="2396"/>
      <c r="G6" s="2396"/>
      <c r="H6" s="2396"/>
      <c r="I6" s="2423"/>
      <c r="J6" s="2393">
        <f>I5&amp;".1"</f>
      </c>
      <c r="K6" s="1487"/>
      <c r="L6" s="1488" t="s">
        <v>518</v>
      </c>
      <c r="P6" s="2394"/>
      <c r="Q6" s="2394">
        <v>1</v>
      </c>
      <c r="R6" s="481"/>
      <c r="S6" s="1617">
        <f>$J6</f>
      </c>
      <c r="T6" s="410" t="s">
        <v>519</v>
      </c>
      <c r="U6" s="424"/>
      <c r="V6" s="2382"/>
      <c r="W6" s="2383"/>
      <c r="X6" s="2383"/>
      <c r="Y6" s="2383"/>
      <c r="Z6" s="2383"/>
      <c r="AA6" s="2383"/>
      <c r="AB6" s="2384"/>
      <c r="AC6" s="2382"/>
      <c r="AD6" s="2383"/>
      <c r="AE6" s="2383"/>
      <c r="AF6" s="2383"/>
      <c r="AG6" s="2383"/>
      <c r="AH6" s="2383"/>
      <c r="AI6" s="2383"/>
      <c r="AJ6" s="2384"/>
      <c r="AK6" s="1431" t="s">
        <v>597</v>
      </c>
      <c r="AM6" s="624"/>
      <c r="AN6" s="624" t="str">
        <f>IF(T6="","",T6)</f>
        <v>Группа потребителей</v>
      </c>
      <c r="AO6" s="624"/>
      <c r="AP6" s="624"/>
      <c r="AQ6" s="1279">
        <v>0</v>
      </c>
    </row>
    <row customHeight="1" ht="23.25" hidden="1">
      <c r="A7" s="1487"/>
      <c r="B7" s="1487"/>
      <c r="C7" s="1487"/>
      <c r="D7" s="1487"/>
      <c r="E7" s="2396"/>
      <c r="F7" s="2396"/>
      <c r="G7" s="2396"/>
      <c r="H7" s="2396"/>
      <c r="I7" s="2423"/>
      <c r="J7" s="2423"/>
      <c r="K7" s="2393">
        <f>J6&amp;".1"</f>
      </c>
      <c r="L7" s="1488"/>
      <c r="P7" s="2394"/>
      <c r="Q7" s="2394"/>
      <c r="R7" s="481">
        <v>1</v>
      </c>
      <c r="S7" s="1617">
        <f>$K7</f>
      </c>
      <c r="T7" s="1561"/>
      <c r="U7" s="424"/>
      <c r="V7" s="875"/>
      <c r="W7" s="875"/>
      <c r="X7" s="1381"/>
      <c r="Y7" s="2402"/>
      <c r="Z7" s="2244" t="s">
        <v>62</v>
      </c>
      <c r="AA7" s="2402"/>
      <c r="AB7" s="2244" t="s">
        <v>62</v>
      </c>
      <c r="AC7" s="875"/>
      <c r="AD7" s="875"/>
      <c r="AE7" s="1381"/>
      <c r="AF7" s="2402"/>
      <c r="AG7" s="2244" t="s">
        <v>62</v>
      </c>
      <c r="AH7" s="2424"/>
      <c r="AI7" s="2244" t="s">
        <v>62</v>
      </c>
      <c r="AJ7" s="1562"/>
      <c r="AK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35">
        <f>STRCHECKDATE(V8:AJ8)</f>
      </c>
      <c r="AM7" s="624"/>
      <c r="AN7" s="624" t="str">
        <f>IF(T7="","",T7)</f>
        <v/>
      </c>
      <c r="AO7" s="624"/>
      <c r="AP7" s="624"/>
      <c r="AQ7" s="1279">
        <v>0</v>
      </c>
    </row>
    <row customHeight="1" ht="14.25" hidden="1">
      <c r="A8" s="1487"/>
      <c r="B8" s="1487"/>
      <c r="C8" s="1487"/>
      <c r="D8" s="1487"/>
      <c r="E8" s="2396"/>
      <c r="F8" s="2396"/>
      <c r="G8" s="2396"/>
      <c r="H8" s="2396"/>
      <c r="I8" s="2423"/>
      <c r="J8" s="2423"/>
      <c r="K8" s="2393"/>
      <c r="L8" s="1488"/>
      <c r="P8" s="2394"/>
      <c r="Q8" s="2394"/>
      <c r="R8" s="481"/>
      <c r="S8" s="1614"/>
      <c r="T8" s="424"/>
      <c r="U8" s="424"/>
      <c r="V8" s="449"/>
      <c r="W8" s="449"/>
      <c r="X8" s="452" t="str">
        <f>Y7&amp;"-"&amp;AA7</f>
        <v>-</v>
      </c>
      <c r="Y8" s="2403"/>
      <c r="Z8" s="2244"/>
      <c r="AA8" s="2403"/>
      <c r="AB8" s="2244"/>
      <c r="AC8" s="449"/>
      <c r="AD8" s="449"/>
      <c r="AE8" s="452" t="str">
        <f>AF7&amp;"-"&amp;AH7</f>
        <v>-</v>
      </c>
      <c r="AF8" s="2403"/>
      <c r="AG8" s="2244"/>
      <c r="AH8" s="2425"/>
      <c r="AI8" s="2244"/>
      <c r="AJ8" s="1563"/>
      <c r="AK8" s="2486"/>
      <c r="AM8" s="624"/>
      <c r="AN8" s="624" t="str">
        <f>IF(T8="","",T8)</f>
        <v/>
      </c>
      <c r="AO8" s="624"/>
      <c r="AP8" s="624"/>
      <c r="AQ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491"/>
      <c r="X9" s="491"/>
      <c r="Y9" s="491"/>
      <c r="Z9" s="491"/>
      <c r="AA9" s="491"/>
      <c r="AB9" s="491"/>
      <c r="AC9" s="491"/>
      <c r="AD9" s="491"/>
      <c r="AE9" s="491"/>
      <c r="AF9" s="491"/>
      <c r="AG9" s="491"/>
      <c r="AH9" s="491"/>
      <c r="AI9" s="491"/>
      <c r="AJ9" s="491"/>
      <c r="AK9" s="1382" t="s">
        <v>599</v>
      </c>
      <c r="AM9" s="624"/>
      <c r="AN9" s="624" t="str">
        <f>IF(T9="","",T9)</f>
        <v>Добавить значение признака дифференциации</v>
      </c>
      <c r="AO9" s="624"/>
      <c r="AP9" s="624"/>
      <c r="AQ9" s="1279">
        <v>0</v>
      </c>
    </row>
    <row customHeight="1" ht="21" hidden="1">
      <c r="A10" s="1487"/>
      <c r="B10" s="1487"/>
      <c r="C10" s="1487"/>
      <c r="D10" s="1487"/>
      <c r="E10" s="2396"/>
      <c r="F10" s="2396"/>
      <c r="G10" s="2396"/>
      <c r="H10" s="2396"/>
      <c r="I10" s="2393"/>
      <c r="J10" s="1487"/>
      <c r="K10" s="1487"/>
      <c r="L10" s="1488"/>
      <c r="P10" s="2394"/>
      <c r="Q10" s="1605"/>
      <c r="R10" s="480"/>
      <c r="S10" s="1402"/>
      <c r="T10" s="489" t="s">
        <v>524</v>
      </c>
      <c r="U10" s="491"/>
      <c r="V10" s="491"/>
      <c r="W10" s="491"/>
      <c r="X10" s="491"/>
      <c r="Y10" s="491"/>
      <c r="Z10" s="491"/>
      <c r="AA10" s="491"/>
      <c r="AB10" s="490"/>
      <c r="AC10" s="491"/>
      <c r="AD10" s="491"/>
      <c r="AE10" s="491"/>
      <c r="AF10" s="491"/>
      <c r="AG10" s="491"/>
      <c r="AH10" s="491"/>
      <c r="AI10" s="490"/>
      <c r="AJ10" s="491"/>
      <c r="AK10" s="1564"/>
      <c r="AM10" s="624"/>
      <c r="AN10" s="624" t="str">
        <f>IF(T10="","",T10)</f>
        <v>Добавить группу потребителей</v>
      </c>
      <c r="AO10" s="624"/>
      <c r="AP10" s="624"/>
      <c r="AQ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491"/>
      <c r="X11" s="491"/>
      <c r="Y11" s="491"/>
      <c r="Z11" s="491"/>
      <c r="AA11" s="491"/>
      <c r="AB11" s="490"/>
      <c r="AC11" s="491"/>
      <c r="AD11" s="491"/>
      <c r="AE11" s="491"/>
      <c r="AF11" s="491"/>
      <c r="AG11" s="491"/>
      <c r="AH11" s="491"/>
      <c r="AI11" s="490"/>
      <c r="AJ11" s="491"/>
      <c r="AK11" s="427"/>
      <c r="AM11" s="624"/>
      <c r="AN11" s="624" t="str">
        <f>IF(T11="","",T11)</f>
        <v>Добавить наименование признака дифференциации</v>
      </c>
      <c r="AO11" s="624"/>
      <c r="AP11" s="624"/>
      <c r="AQ11" s="1279">
        <v>0</v>
      </c>
    </row>
    <row s="6698" customFormat="1" customHeight="1" ht="14.25" hidden="1">
      <c r="A12" s="1467"/>
      <c r="B12" s="1467"/>
      <c r="C12" s="1438"/>
      <c r="D12" s="1438"/>
      <c r="E12" s="2396"/>
      <c r="F12" s="2395"/>
      <c r="G12" s="1438"/>
      <c r="H12" s="1438"/>
      <c r="I12" s="1438"/>
      <c r="J12" s="1438"/>
      <c r="K12" s="1438"/>
      <c r="L12" s="1618"/>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M12" s="913"/>
      <c r="AN12" s="913" t="str">
        <f>IF(T12="","",T12)</f>
        <v>Добавить централизованную систему для дифференциации</v>
      </c>
      <c r="AO12" s="913"/>
      <c r="AP12" s="913"/>
      <c r="AQ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M13" s="624"/>
      <c r="AN13" s="624" t="str">
        <f>IF(T13="","",T13)</f>
        <v>Добавить территорию для дифференциации</v>
      </c>
      <c r="AO13" s="624"/>
      <c r="AP13" s="624"/>
      <c r="AQ13" s="635">
        <v>0</v>
      </c>
    </row>
    <row customHeight="1" ht="14.25" hidden="1">
      <c r="AB14" s="451"/>
      <c r="AI14" s="451"/>
      <c r="AQ14" s="1279">
        <v>0</v>
      </c>
    </row>
    <row customHeight="1" ht="14.25" hidden="1">
      <c r="AC15" s="1484"/>
      <c r="AD15" s="1484"/>
      <c r="AE15" s="1485"/>
      <c r="AF15" s="2404"/>
      <c r="AG15" s="2405" t="s">
        <v>62</v>
      </c>
      <c r="AH15" s="2404"/>
      <c r="AI15" s="2405" t="s">
        <v>62</v>
      </c>
      <c r="AQ15" s="1279">
        <v>0</v>
      </c>
    </row>
    <row customHeight="1" ht="14.25" hidden="1">
      <c r="AC16" s="1484"/>
      <c r="AD16" s="1484"/>
      <c r="AE16" s="452" t="str">
        <f>AF15&amp;"-"&amp;AH15</f>
        <v>-</v>
      </c>
      <c r="AF16" s="2405"/>
      <c r="AG16" s="2405"/>
      <c r="AH16" s="2405"/>
      <c r="AI16" s="2405"/>
      <c r="AQ16" s="1279">
        <v>0</v>
      </c>
    </row>
    <row customHeight="1" ht="14.25" hidden="1">
      <c r="AI17" s="451"/>
      <c r="AQ17" s="1279">
        <v>0</v>
      </c>
    </row>
    <row s="7158" customFormat="1" customHeight="1" ht="22.5" hidden="1">
      <c r="L18" s="1602"/>
      <c r="M18" s="1486"/>
      <c r="N18" s="1486"/>
      <c r="O18" s="1491" t="s">
        <v>529</v>
      </c>
      <c r="P18" s="1486"/>
      <c r="Q18" s="1495"/>
      <c r="R18" s="1495"/>
      <c r="S18" s="853"/>
      <c r="Y18" s="1491"/>
      <c r="AA18" s="1491"/>
      <c r="AB18" s="1490"/>
      <c r="AF18" s="1491"/>
      <c r="AH18" s="1491"/>
      <c r="AI18" s="1490"/>
      <c r="AL18" s="635"/>
      <c r="AM18" s="635"/>
      <c r="AN18" s="635"/>
      <c r="AO18" s="635"/>
      <c r="AP18" s="635"/>
      <c r="AQ18" s="1284">
        <v>0</v>
      </c>
    </row>
    <row s="7158" customFormat="1" customHeight="1" ht="14.25" hidden="1">
      <c r="L19" s="1602"/>
      <c r="M19" s="1486"/>
      <c r="N19" s="1486"/>
      <c r="O19" s="1486"/>
      <c r="P19" s="1486"/>
      <c r="Q19" s="1495"/>
      <c r="R19" s="1495"/>
      <c r="S19" s="853"/>
      <c r="AB19" s="1490"/>
      <c r="AI19" s="1490"/>
      <c r="AL19" s="635"/>
      <c r="AM19" s="635"/>
      <c r="AN19" s="635"/>
      <c r="AO19" s="635"/>
      <c r="AP19" s="635"/>
      <c r="AQ19" s="1284">
        <v>0</v>
      </c>
    </row>
    <row s="7158" customFormat="1" customHeight="1" ht="12" hidden="1">
      <c r="L20" s="1602"/>
      <c r="M20" s="1486"/>
      <c r="N20" s="1486"/>
      <c r="O20" s="1488" t="s">
        <v>530</v>
      </c>
      <c r="P20" s="1486"/>
      <c r="Q20" s="1566"/>
      <c r="R20" s="1566"/>
      <c r="S20" s="853"/>
      <c r="T20" s="1284" t="s">
        <v>531</v>
      </c>
      <c r="Z20" s="310" t="s">
        <v>532</v>
      </c>
      <c r="AB20" s="310" t="s">
        <v>533</v>
      </c>
      <c r="AC20" s="1284" t="s">
        <v>531</v>
      </c>
      <c r="AG20" s="310" t="s">
        <v>534</v>
      </c>
      <c r="AI20" s="310" t="s">
        <v>533</v>
      </c>
      <c r="AQ20" s="1284">
        <v>0</v>
      </c>
    </row>
    <row customHeight="1" ht="14.25" hidden="1">
      <c r="O21" s="1488"/>
      <c r="AQ21" s="1279">
        <v>0</v>
      </c>
    </row>
    <row customHeight="1" ht="14.25" hidden="1">
      <c r="O22" s="1488"/>
      <c r="AQ22" s="1279">
        <v>0</v>
      </c>
    </row>
    <row customHeight="1" ht="14.699999999999998">
      <c r="Q23" s="500"/>
      <c r="R23" s="500"/>
      <c r="S23" s="1399"/>
      <c r="T23" s="487"/>
      <c r="U23" s="487"/>
      <c r="V23" s="633"/>
      <c r="W23" s="633"/>
      <c r="X23" s="633"/>
      <c r="Y23" s="633"/>
      <c r="Z23" s="633"/>
      <c r="AA23" s="633"/>
      <c r="AB23" s="633"/>
      <c r="AC23" s="633"/>
      <c r="AD23" s="633"/>
      <c r="AE23" s="633"/>
      <c r="AF23" s="633"/>
      <c r="AG23" s="633"/>
      <c r="AH23" s="633"/>
      <c r="AI23" s="633"/>
      <c r="AQ23" s="1279">
        <v>14</v>
      </c>
    </row>
    <row customHeight="1" ht="14.699999999999998">
      <c r="Q24" s="500"/>
      <c r="R24" s="500"/>
      <c r="S24" s="238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85"/>
      <c r="U24" s="2385"/>
      <c r="V24" s="2385"/>
      <c r="W24" s="2385"/>
      <c r="X24" s="2385"/>
      <c r="Y24" s="2385"/>
      <c r="Z24" s="2385"/>
      <c r="AA24" s="2385"/>
      <c r="AB24" s="2385"/>
      <c r="AC24" s="2385"/>
      <c r="AD24" s="2385"/>
      <c r="AE24" s="2385"/>
      <c r="AF24" s="2385"/>
      <c r="AG24" s="2385"/>
      <c r="AH24" s="2385"/>
      <c r="AI24" s="1367"/>
      <c r="AQ24" s="1279">
        <v>14</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1367"/>
      <c r="AQ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633"/>
      <c r="AQ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450"/>
      <c r="AC27" s="2388" t="str">
        <f>IF(TITLE_NAME_OR_PR_CHANGE="",IF(TITLE_NAME_OR_PR="","",TITLE_NAME_OR_PR),TITLE_NAME_OR_PR_CHANGE)</f>
        <v/>
      </c>
      <c r="AD27" s="2388"/>
      <c r="AE27" s="2388"/>
      <c r="AF27" s="2388"/>
      <c r="AG27" s="2388"/>
      <c r="AH27" s="2388"/>
      <c r="AI27" s="450"/>
      <c r="AJ27" s="450"/>
      <c r="AK27" s="404"/>
      <c r="AL27" s="492"/>
      <c r="AM27" s="492"/>
      <c r="AN27" s="492"/>
      <c r="AO27" s="492"/>
      <c r="AP27" s="492"/>
      <c r="AQ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450"/>
      <c r="AC28" s="2401" t="str">
        <f>IF(TITLE_DATE_PR_CHANGE="",IF(TITLE_DATE_PR="","",TITLE_DATE_PR),TITLE_DATE_PR_CHANGE)</f>
        <v/>
      </c>
      <c r="AD28" s="2401"/>
      <c r="AE28" s="2401"/>
      <c r="AF28" s="2401"/>
      <c r="AG28" s="2401"/>
      <c r="AH28" s="2401"/>
      <c r="AI28" s="450"/>
      <c r="AJ28" s="450"/>
      <c r="AK28" s="404"/>
      <c r="AL28" s="492"/>
      <c r="AM28" s="492"/>
      <c r="AN28" s="492"/>
      <c r="AO28" s="492"/>
      <c r="AP28" s="492"/>
      <c r="AQ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450"/>
      <c r="AC29" s="2388" t="str">
        <f>IF(TITLE_NUMBER_PR_CHANGE="",IF(TITLE_NUMBER_PR="","",TITLE_NUMBER_PR),TITLE_NUMBER_PR_CHANGE)</f>
        <v/>
      </c>
      <c r="AD29" s="2388"/>
      <c r="AE29" s="2388"/>
      <c r="AF29" s="2388"/>
      <c r="AG29" s="2388"/>
      <c r="AH29" s="2388"/>
      <c r="AI29" s="450"/>
      <c r="AJ29" s="450"/>
      <c r="AK29" s="404"/>
      <c r="AL29" s="492"/>
      <c r="AM29" s="492"/>
      <c r="AN29" s="492"/>
      <c r="AO29" s="492"/>
      <c r="AP29" s="492"/>
      <c r="AQ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450"/>
      <c r="AC30" s="2388" t="str">
        <f>IF(TITLE_IST_PUB_CHANGE="",IF(TITLE_IST_PUB="","",TITLE_IST_PUB),TITLE_IST_PUB_CHANGE)</f>
        <v/>
      </c>
      <c r="AD30" s="2388"/>
      <c r="AE30" s="2388"/>
      <c r="AF30" s="2388"/>
      <c r="AG30" s="2388"/>
      <c r="AH30" s="2388"/>
      <c r="AI30" s="450"/>
      <c r="AJ30" s="450"/>
      <c r="AK30" s="404"/>
      <c r="AL30" s="492"/>
      <c r="AM30" s="492"/>
      <c r="AN30" s="492"/>
      <c r="AO30" s="492"/>
      <c r="AP30" s="492"/>
      <c r="AQ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633"/>
      <c r="AQ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450"/>
      <c r="AC32" s="2401" t="str">
        <f>IF(TITLE_DATE_PR_CHANGE="",IF(TITLE_DATE_PR="","",TITLE_DATE_PR),TITLE_DATE_PR_CHANGE)</f>
        <v/>
      </c>
      <c r="AD32" s="2401"/>
      <c r="AE32" s="2401"/>
      <c r="AF32" s="2401"/>
      <c r="AG32" s="2401"/>
      <c r="AH32" s="2401"/>
      <c r="AI32" s="450"/>
      <c r="AJ32" s="450"/>
      <c r="AK32" s="404"/>
      <c r="AL32" s="492"/>
      <c r="AM32" s="492"/>
      <c r="AN32" s="492"/>
      <c r="AO32" s="492"/>
      <c r="AP32" s="492"/>
      <c r="AQ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450"/>
      <c r="AC33" s="2388" t="str">
        <f>IF(TITLE_NUMBER_PR_CHANGE="",IF(TITLE_NUMBER_PR="","",TITLE_NUMBER_PR),TITLE_NUMBER_PR_CHANGE)</f>
        <v/>
      </c>
      <c r="AD33" s="2388"/>
      <c r="AE33" s="2388"/>
      <c r="AF33" s="2388"/>
      <c r="AG33" s="2388"/>
      <c r="AH33" s="2388"/>
      <c r="AI33" s="450"/>
      <c r="AJ33" s="450"/>
      <c r="AK33" s="404"/>
      <c r="AL33" s="492"/>
      <c r="AM33" s="492"/>
      <c r="AN33" s="492"/>
      <c r="AO33" s="492"/>
      <c r="AP33" s="492"/>
      <c r="AQ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612"/>
      <c r="V34" s="450"/>
      <c r="W34" s="450"/>
      <c r="X34" s="450"/>
      <c r="Y34" s="450"/>
      <c r="Z34" s="450"/>
      <c r="AA34" s="450"/>
      <c r="AB34" s="402" t="s">
        <v>539</v>
      </c>
      <c r="AC34" s="450"/>
      <c r="AD34" s="450"/>
      <c r="AE34" s="450"/>
      <c r="AF34" s="450"/>
      <c r="AG34" s="450"/>
      <c r="AH34" s="450"/>
      <c r="AI34" s="402" t="s">
        <v>539</v>
      </c>
      <c r="AL34" s="492"/>
      <c r="AM34" s="492"/>
      <c r="AN34" s="492"/>
      <c r="AO34" s="492"/>
      <c r="AP34" s="492"/>
      <c r="AQ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Q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t="s">
        <v>413</v>
      </c>
      <c r="AQ36" s="1279">
        <v>14</v>
      </c>
    </row>
    <row customHeight="1" ht="14.699999999999998">
      <c r="Q37" s="500"/>
      <c r="R37" s="500"/>
      <c r="S37" s="2410" t="s">
        <v>88</v>
      </c>
      <c r="T37" s="2346" t="s">
        <v>540</v>
      </c>
      <c r="U37" s="425"/>
      <c r="V37" s="2411" t="s">
        <v>541</v>
      </c>
      <c r="W37" s="2412"/>
      <c r="X37" s="2412"/>
      <c r="Y37" s="2412"/>
      <c r="Z37" s="2412"/>
      <c r="AA37" s="2413"/>
      <c r="AB37" s="2414" t="s">
        <v>542</v>
      </c>
      <c r="AC37" s="2411" t="s">
        <v>541</v>
      </c>
      <c r="AD37" s="2412"/>
      <c r="AE37" s="2412"/>
      <c r="AF37" s="2412"/>
      <c r="AG37" s="2412"/>
      <c r="AH37" s="2413"/>
      <c r="AI37" s="2414" t="s">
        <v>543</v>
      </c>
      <c r="AJ37" s="2417" t="s">
        <v>544</v>
      </c>
      <c r="AK37" s="2264"/>
      <c r="AQ37" s="1279">
        <v>14</v>
      </c>
    </row>
    <row customHeight="1" ht="35.699999999999996">
      <c r="Q38" s="500"/>
      <c r="R38" s="500"/>
      <c r="S38" s="2410"/>
      <c r="T38" s="2346"/>
      <c r="U38" s="1155"/>
      <c r="V38" s="1607" t="s">
        <v>601</v>
      </c>
      <c r="W38" s="2399" t="s">
        <v>547</v>
      </c>
      <c r="X38" s="2400"/>
      <c r="Y38" s="2399" t="s">
        <v>548</v>
      </c>
      <c r="Z38" s="2406"/>
      <c r="AA38" s="2400"/>
      <c r="AB38" s="2415"/>
      <c r="AC38" s="1607" t="s">
        <v>601</v>
      </c>
      <c r="AD38" s="2399" t="s">
        <v>547</v>
      </c>
      <c r="AE38" s="2400"/>
      <c r="AF38" s="2399" t="s">
        <v>548</v>
      </c>
      <c r="AG38" s="2406"/>
      <c r="AH38" s="2400"/>
      <c r="AI38" s="2415"/>
      <c r="AJ38" s="2418"/>
      <c r="AK38" s="2264"/>
      <c r="AQ38" s="1279">
        <v>34</v>
      </c>
    </row>
    <row customHeight="1" ht="90.3">
      <c r="A39" s="1494"/>
      <c r="B39" s="1494" t="s">
        <v>255</v>
      </c>
      <c r="C39" s="1494" t="s">
        <v>256</v>
      </c>
      <c r="D39" s="1494" t="s">
        <v>257</v>
      </c>
      <c r="E39" s="1488" t="s">
        <v>549</v>
      </c>
      <c r="F39" s="1488" t="s">
        <v>550</v>
      </c>
      <c r="G39" s="1488" t="s">
        <v>551</v>
      </c>
      <c r="H39" s="1488"/>
      <c r="I39" s="1488" t="s">
        <v>602</v>
      </c>
      <c r="J39" s="1488" t="s">
        <v>554</v>
      </c>
      <c r="K39" s="1488" t="s">
        <v>603</v>
      </c>
      <c r="L39" s="1488" t="s">
        <v>530</v>
      </c>
      <c r="Q39" s="500"/>
      <c r="R39" s="500"/>
      <c r="S39" s="2410"/>
      <c r="T39" s="2346"/>
      <c r="U39" s="426"/>
      <c r="V39" s="1607" t="s">
        <v>630</v>
      </c>
      <c r="W39" s="1346" t="s">
        <v>631</v>
      </c>
      <c r="X39" s="1346" t="s">
        <v>606</v>
      </c>
      <c r="Y39" s="1613" t="s">
        <v>558</v>
      </c>
      <c r="Z39" s="2407" t="s">
        <v>559</v>
      </c>
      <c r="AA39" s="2408"/>
      <c r="AB39" s="2416"/>
      <c r="AC39" s="1607" t="s">
        <v>630</v>
      </c>
      <c r="AD39" s="1346" t="s">
        <v>631</v>
      </c>
      <c r="AE39" s="1346" t="s">
        <v>606</v>
      </c>
      <c r="AF39" s="1613" t="s">
        <v>558</v>
      </c>
      <c r="AG39" s="2407" t="s">
        <v>559</v>
      </c>
      <c r="AH39" s="2408"/>
      <c r="AI39" s="2416"/>
      <c r="AJ39" s="2419"/>
      <c r="AK39" s="2264"/>
      <c r="AQ39" s="1279">
        <v>86</v>
      </c>
    </row>
    <row s="6292" customFormat="1" customHeight="1" ht="0">
      <c r="A40" s="1494"/>
      <c r="B40" s="1494"/>
      <c r="C40" s="1494"/>
      <c r="D40" s="1494"/>
      <c r="E40" s="1494"/>
      <c r="F40" s="1494"/>
      <c r="G40" s="1494"/>
      <c r="H40" s="1494"/>
      <c r="I40" s="1494"/>
      <c r="J40" s="1494"/>
      <c r="K40" s="1494"/>
      <c r="L40" s="1488"/>
      <c r="M40" s="1486"/>
      <c r="N40" s="1486"/>
      <c r="O40" s="1486"/>
      <c r="P40" s="1370"/>
      <c r="Q40" s="1371"/>
      <c r="R40" s="1378">
        <v>1</v>
      </c>
      <c r="S40" s="1401" t="s">
        <v>210</v>
      </c>
      <c r="T40" s="1379" t="s">
        <v>102</v>
      </c>
      <c r="U40" s="1369" t="str">
        <f>OFFSET(U40,0,-1)</f>
        <v>2</v>
      </c>
      <c r="V40" s="1606">
        <f>OFFSET(V40,0,-1)+1</f>
        <v>3</v>
      </c>
      <c r="W40" s="1606">
        <f>OFFSET(W40,0,-1)+1</f>
        <v>4</v>
      </c>
      <c r="X40" s="1606">
        <f>OFFSET(X40,0,-1)+1</f>
        <v>5</v>
      </c>
      <c r="Y40" s="1606">
        <f>OFFSET(Y40,0,-1)+1</f>
        <v>6</v>
      </c>
      <c r="Z40" s="2409">
        <f>OFFSET(Z40,0,-1)+1</f>
        <v>7</v>
      </c>
      <c r="AA40" s="2409"/>
      <c r="AB40" s="1606">
        <f>OFFSET(AB40,0,-2)+1</f>
        <v>8</v>
      </c>
      <c r="AC40" s="1606">
        <f>OFFSET(AC40,0,-1)+1</f>
        <v>9</v>
      </c>
      <c r="AD40" s="1606">
        <f>OFFSET(AD40,0,-1)+1</f>
        <v>10</v>
      </c>
      <c r="AE40" s="1606">
        <f>OFFSET(AE40,0,-1)+1</f>
        <v>11</v>
      </c>
      <c r="AF40" s="1606">
        <f>OFFSET(AF40,0,-1)+1</f>
        <v>12</v>
      </c>
      <c r="AG40" s="2409">
        <f>OFFSET(AG40,0,-1)+1</f>
        <v>13</v>
      </c>
      <c r="AH40" s="2409"/>
      <c r="AI40" s="1606">
        <f>OFFSET(AI40,0,-2)+1</f>
        <v>14</v>
      </c>
      <c r="AJ40" s="1369">
        <f>OFFSET(AJ40,0,-1)</f>
        <v>14</v>
      </c>
      <c r="AK40" s="1606">
        <f>OFFSET(AK40,0,-1)+1</f>
        <v>15</v>
      </c>
      <c r="AL40" s="635"/>
      <c r="AM40" s="635"/>
      <c r="AN40" s="635"/>
      <c r="AO40" s="635"/>
      <c r="AP40" s="635"/>
      <c r="AQ40" s="620">
        <v>0</v>
      </c>
    </row>
    <row customHeight="1" ht="24">
      <c r="A41" s="1487" t="s">
        <v>383</v>
      </c>
      <c r="B41" s="1487"/>
      <c r="C41" s="1487"/>
      <c r="D41" s="1487"/>
      <c r="E41" s="2395">
        <v>1</v>
      </c>
      <c r="F41" s="1487"/>
      <c r="G41" s="1487"/>
      <c r="H41" s="1487"/>
      <c r="I41" s="1487"/>
      <c r="J41" s="1487"/>
      <c r="K41" s="1487"/>
      <c r="L41" s="1488"/>
      <c r="M41" s="1489"/>
      <c r="N41" s="1489"/>
      <c r="O41" s="1489"/>
      <c r="P41" s="485"/>
      <c r="Q41" s="484"/>
      <c r="R41" s="479"/>
      <c r="S41" s="1617">
        <f>INDEX(PT_DIFFERENTIATION_NUM_NTAR,MATCH(A41,PT_DIFFERENTIATION_NTAR_ID,0))</f>
        <v>0</v>
      </c>
      <c r="T41" s="422" t="s">
        <v>243</v>
      </c>
      <c r="U41" s="424"/>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24"/>
      <c r="AN41" s="624" t="str">
        <f>IF(T41="","",T41)</f>
        <v>Наименование тарифа</v>
      </c>
      <c r="AO41" s="624"/>
      <c r="AP41" s="624"/>
      <c r="AQ41" s="1279">
        <v>23</v>
      </c>
    </row>
    <row customHeight="1" ht="24">
      <c r="A42" s="1487" t="s">
        <v>383</v>
      </c>
      <c r="B42" s="1487" t="s">
        <v>384</v>
      </c>
      <c r="C42" s="1487"/>
      <c r="D42" s="1487"/>
      <c r="E42" s="2396"/>
      <c r="F42" s="2395">
        <v>1</v>
      </c>
      <c r="G42" s="1487"/>
      <c r="H42" s="1487"/>
      <c r="I42" s="1487"/>
      <c r="J42" s="1487"/>
      <c r="K42" s="1487"/>
      <c r="L42" s="1488"/>
      <c r="M42" s="1489"/>
      <c r="N42" s="1489"/>
      <c r="O42" s="1489"/>
      <c r="P42" s="1611"/>
      <c r="Q42" s="476"/>
      <c r="R42" s="477"/>
      <c r="S42" s="1617" t="str">
        <f>INDEX(PT_DIFFERENTIATION_NUM_TER,MATCH(B42,PT_DIFFERENTIATION_TER_ID,0))</f>
        <v>.</v>
      </c>
      <c r="T42" s="432" t="s">
        <v>509</v>
      </c>
      <c r="U42" s="424"/>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382" t="s">
        <v>510</v>
      </c>
      <c r="AM42" s="624"/>
      <c r="AN42" s="624" t="str">
        <f>IF(T42="","",T42)</f>
        <v>Территория действия тарифа</v>
      </c>
      <c r="AO42" s="624"/>
      <c r="AP42" s="624"/>
      <c r="AQ42" s="1279">
        <v>23</v>
      </c>
    </row>
    <row customHeight="1" ht="24">
      <c r="A43" s="1487" t="s">
        <v>383</v>
      </c>
      <c r="B43" s="1487" t="s">
        <v>384</v>
      </c>
      <c r="C43" s="1487" t="s">
        <v>385</v>
      </c>
      <c r="D43" s="1487"/>
      <c r="E43" s="2396"/>
      <c r="F43" s="2396"/>
      <c r="G43" s="2395">
        <v>1</v>
      </c>
      <c r="H43" s="1487"/>
      <c r="I43" s="1487"/>
      <c r="J43" s="1487"/>
      <c r="K43" s="1487"/>
      <c r="L43" s="1488"/>
      <c r="M43" s="1489"/>
      <c r="N43" s="1489"/>
      <c r="O43" s="1489"/>
      <c r="P43" s="478"/>
      <c r="Q43" s="476"/>
      <c r="R43" s="477"/>
      <c r="S43" s="1617" t="str">
        <f>INDEX(PT_DIFFERENTIATION_NUM_CS,MATCH(C43,PT_DIFFERENTIATION_CS_ID,0))</f>
        <v>..</v>
      </c>
      <c r="T43" s="433" t="s">
        <v>628</v>
      </c>
      <c r="U43" s="424"/>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382" t="s">
        <v>629</v>
      </c>
      <c r="AM43" s="624"/>
      <c r="AN43" s="624" t="str">
        <f>IF(T43="","",T43)</f>
        <v>Наименование централизованной системы водоотведения</v>
      </c>
      <c r="AO43" s="624"/>
      <c r="AP43" s="624"/>
      <c r="AQ43" s="1279">
        <v>23</v>
      </c>
    </row>
    <row customHeight="1" ht="24">
      <c r="A44" s="1487" t="s">
        <v>383</v>
      </c>
      <c r="B44" s="1487" t="s">
        <v>384</v>
      </c>
      <c r="C44" s="1487" t="s">
        <v>385</v>
      </c>
      <c r="D44" s="1487" t="s">
        <v>633</v>
      </c>
      <c r="E44" s="2396"/>
      <c r="F44" s="2396"/>
      <c r="G44" s="2396"/>
      <c r="H44" s="2396"/>
      <c r="I44" s="2393" t="str">
        <f>S43&amp;".1"</f>
        <v>...1</v>
      </c>
      <c r="J44" s="1487"/>
      <c r="K44" s="1487"/>
      <c r="L44" s="1488"/>
      <c r="P44" s="2394">
        <v>1</v>
      </c>
      <c r="Q44" s="1605"/>
      <c r="R44" s="480"/>
      <c r="S44" s="1617" t="str">
        <f>$I44</f>
        <v>...1</v>
      </c>
      <c r="T44" s="409" t="s">
        <v>595</v>
      </c>
      <c r="U44" s="424"/>
      <c r="V44" s="2487"/>
      <c r="W44" s="2488"/>
      <c r="X44" s="2488"/>
      <c r="Y44" s="2488"/>
      <c r="Z44" s="2488"/>
      <c r="AA44" s="2488"/>
      <c r="AB44" s="2489"/>
      <c r="AC44" s="2490"/>
      <c r="AD44" s="2491"/>
      <c r="AE44" s="2491"/>
      <c r="AF44" s="2491"/>
      <c r="AG44" s="2491"/>
      <c r="AH44" s="2491"/>
      <c r="AI44" s="2491"/>
      <c r="AJ44" s="2492"/>
      <c r="AK44" s="1382" t="s">
        <v>596</v>
      </c>
      <c r="AM44" s="624"/>
      <c r="AN44" s="624" t="str">
        <f>IF(T44="","",T44)</f>
        <v>Наименование признака дифференциации</v>
      </c>
      <c r="AO44" s="624"/>
      <c r="AP44" s="624"/>
      <c r="AQ44" s="1279">
        <v>23</v>
      </c>
    </row>
    <row customHeight="1" ht="24">
      <c r="A45" s="1487" t="s">
        <v>383</v>
      </c>
      <c r="B45" s="1487" t="s">
        <v>384</v>
      </c>
      <c r="C45" s="1487" t="s">
        <v>385</v>
      </c>
      <c r="D45" s="1487" t="s">
        <v>633</v>
      </c>
      <c r="E45" s="2396"/>
      <c r="F45" s="2396"/>
      <c r="G45" s="2396"/>
      <c r="H45" s="2396"/>
      <c r="I45" s="2423"/>
      <c r="J45" s="2393" t="str">
        <f>I44&amp;".1"</f>
        <v>...1.1</v>
      </c>
      <c r="K45" s="1487"/>
      <c r="L45" s="1488" t="s">
        <v>518</v>
      </c>
      <c r="P45" s="2394"/>
      <c r="Q45" s="2394">
        <v>1</v>
      </c>
      <c r="R45" s="481"/>
      <c r="S45" s="1617" t="str">
        <f>$J45</f>
        <v>...1.1</v>
      </c>
      <c r="T45" s="410" t="s">
        <v>519</v>
      </c>
      <c r="U45" s="424"/>
      <c r="V45" s="2382"/>
      <c r="W45" s="2383"/>
      <c r="X45" s="2383"/>
      <c r="Y45" s="2383"/>
      <c r="Z45" s="2383"/>
      <c r="AA45" s="2383"/>
      <c r="AB45" s="2384"/>
      <c r="AC45" s="2382"/>
      <c r="AD45" s="2383"/>
      <c r="AE45" s="2383"/>
      <c r="AF45" s="2383"/>
      <c r="AG45" s="2383"/>
      <c r="AH45" s="2383"/>
      <c r="AI45" s="2383"/>
      <c r="AJ45" s="2384"/>
      <c r="AK45" s="1431" t="s">
        <v>597</v>
      </c>
      <c r="AM45" s="624"/>
      <c r="AN45" s="624" t="str">
        <f>IF(T45="","",T45)</f>
        <v>Группа потребителей</v>
      </c>
      <c r="AO45" s="624"/>
      <c r="AP45" s="624"/>
      <c r="AQ45" s="1279">
        <v>23</v>
      </c>
    </row>
    <row customHeight="1" ht="24">
      <c r="A46" s="1487" t="s">
        <v>383</v>
      </c>
      <c r="B46" s="1487" t="s">
        <v>384</v>
      </c>
      <c r="C46" s="1487" t="s">
        <v>385</v>
      </c>
      <c r="D46" s="1487" t="s">
        <v>633</v>
      </c>
      <c r="E46" s="2396"/>
      <c r="F46" s="2396"/>
      <c r="G46" s="2396"/>
      <c r="H46" s="2396"/>
      <c r="I46" s="2423"/>
      <c r="J46" s="2423"/>
      <c r="K46" s="2393" t="str">
        <f>J45&amp;".1"</f>
        <v>...1.1.1</v>
      </c>
      <c r="L46" s="1488"/>
      <c r="P46" s="2394"/>
      <c r="Q46" s="2394"/>
      <c r="R46" s="481">
        <v>1</v>
      </c>
      <c r="S46" s="1617" t="str">
        <f>$K46</f>
        <v>...1.1.1</v>
      </c>
      <c r="T46" s="1561"/>
      <c r="U46" s="424"/>
      <c r="V46" s="1484"/>
      <c r="W46" s="1484"/>
      <c r="X46" s="1485"/>
      <c r="Y46" s="2404"/>
      <c r="Z46" s="2405" t="s">
        <v>62</v>
      </c>
      <c r="AA46" s="2404"/>
      <c r="AB46" s="2405" t="s">
        <v>62</v>
      </c>
      <c r="AC46" s="875"/>
      <c r="AD46" s="875"/>
      <c r="AE46" s="1381"/>
      <c r="AF46" s="2402"/>
      <c r="AG46" s="2244" t="s">
        <v>62</v>
      </c>
      <c r="AH46" s="2424"/>
      <c r="AI46" s="2244" t="s">
        <v>19</v>
      </c>
      <c r="AJ46" s="1562"/>
      <c r="AK46"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35">
        <f>STRCHECKDATE(V47:AJ47)</f>
      </c>
      <c r="AM46" s="624"/>
      <c r="AN46" s="624" t="str">
        <f>IF(T46="","",T46)</f>
        <v/>
      </c>
      <c r="AO46" s="624"/>
      <c r="AP46" s="624"/>
      <c r="AQ46" s="1279">
        <v>23</v>
      </c>
    </row>
    <row customHeight="1" ht="0">
      <c r="A47" s="1487" t="s">
        <v>383</v>
      </c>
      <c r="B47" s="1487" t="s">
        <v>384</v>
      </c>
      <c r="C47" s="1487" t="s">
        <v>385</v>
      </c>
      <c r="D47" s="1487" t="s">
        <v>633</v>
      </c>
      <c r="E47" s="2396"/>
      <c r="F47" s="2396"/>
      <c r="G47" s="2396"/>
      <c r="H47" s="2396"/>
      <c r="I47" s="2423"/>
      <c r="J47" s="2423"/>
      <c r="K47" s="2393"/>
      <c r="L47" s="1488"/>
      <c r="P47" s="2394"/>
      <c r="Q47" s="2394"/>
      <c r="R47" s="481"/>
      <c r="S47" s="1614"/>
      <c r="T47" s="424"/>
      <c r="U47" s="424"/>
      <c r="V47" s="1484"/>
      <c r="W47" s="1484"/>
      <c r="X47" s="452" t="str">
        <f>Y46&amp;"-"&amp;AA46</f>
        <v>-</v>
      </c>
      <c r="Y47" s="2405"/>
      <c r="Z47" s="2405"/>
      <c r="AA47" s="2405"/>
      <c r="AB47" s="2405"/>
      <c r="AC47" s="449"/>
      <c r="AD47" s="449"/>
      <c r="AE47" s="452" t="str">
        <f>AF46&amp;"-"&amp;AH46</f>
        <v>-</v>
      </c>
      <c r="AF47" s="2403"/>
      <c r="AG47" s="2244"/>
      <c r="AH47" s="2425"/>
      <c r="AI47" s="2244"/>
      <c r="AJ47" s="1563"/>
      <c r="AK47" s="2486"/>
      <c r="AM47" s="624"/>
      <c r="AN47" s="624" t="str">
        <f>IF(T47="","",T47)</f>
        <v/>
      </c>
      <c r="AO47" s="624"/>
      <c r="AP47" s="624"/>
      <c r="AQ47" s="1279">
        <v>0</v>
      </c>
    </row>
    <row customHeight="1" ht="21">
      <c r="A48" s="1487" t="s">
        <v>383</v>
      </c>
      <c r="B48" s="1487" t="s">
        <v>384</v>
      </c>
      <c r="C48" s="1487" t="s">
        <v>385</v>
      </c>
      <c r="D48" s="1487" t="s">
        <v>633</v>
      </c>
      <c r="E48" s="2396"/>
      <c r="F48" s="2396"/>
      <c r="G48" s="2396"/>
      <c r="H48" s="2396"/>
      <c r="I48" s="2423"/>
      <c r="J48" s="2393"/>
      <c r="K48" s="1487"/>
      <c r="L48" s="1488"/>
      <c r="P48" s="2394"/>
      <c r="Q48" s="2394"/>
      <c r="R48" s="480"/>
      <c r="S48" s="1402"/>
      <c r="T48" s="411" t="s">
        <v>598</v>
      </c>
      <c r="U48" s="491"/>
      <c r="V48" s="491"/>
      <c r="W48" s="491"/>
      <c r="X48" s="491"/>
      <c r="Y48" s="491"/>
      <c r="Z48" s="491"/>
      <c r="AA48" s="491"/>
      <c r="AB48" s="491"/>
      <c r="AC48" s="491"/>
      <c r="AD48" s="491"/>
      <c r="AE48" s="491"/>
      <c r="AF48" s="491"/>
      <c r="AG48" s="491"/>
      <c r="AH48" s="491"/>
      <c r="AI48" s="491"/>
      <c r="AJ48" s="491"/>
      <c r="AK48" s="1382" t="s">
        <v>599</v>
      </c>
      <c r="AM48" s="624"/>
      <c r="AN48" s="624" t="str">
        <f>IF(T48="","",T48)</f>
        <v>Добавить значение признака дифференциации</v>
      </c>
      <c r="AO48" s="624"/>
      <c r="AP48" s="624"/>
      <c r="AQ48" s="1279">
        <v>20</v>
      </c>
    </row>
    <row customHeight="1" ht="22.049999999999997">
      <c r="A49" s="1487" t="s">
        <v>383</v>
      </c>
      <c r="B49" s="1487" t="s">
        <v>384</v>
      </c>
      <c r="C49" s="1487" t="s">
        <v>385</v>
      </c>
      <c r="D49" s="1487" t="s">
        <v>633</v>
      </c>
      <c r="E49" s="2396"/>
      <c r="F49" s="2396"/>
      <c r="G49" s="2396"/>
      <c r="H49" s="2396"/>
      <c r="I49" s="2393"/>
      <c r="J49" s="1487"/>
      <c r="K49" s="1487"/>
      <c r="L49" s="1488"/>
      <c r="P49" s="2394"/>
      <c r="Q49" s="1605"/>
      <c r="R49" s="480"/>
      <c r="S49" s="1402"/>
      <c r="T49" s="489" t="s">
        <v>524</v>
      </c>
      <c r="U49" s="491"/>
      <c r="V49" s="491"/>
      <c r="W49" s="491"/>
      <c r="X49" s="491"/>
      <c r="Y49" s="491"/>
      <c r="Z49" s="491"/>
      <c r="AA49" s="491"/>
      <c r="AB49" s="490"/>
      <c r="AC49" s="491"/>
      <c r="AD49" s="491"/>
      <c r="AE49" s="491"/>
      <c r="AF49" s="491"/>
      <c r="AG49" s="491"/>
      <c r="AH49" s="491"/>
      <c r="AI49" s="490"/>
      <c r="AJ49" s="491"/>
      <c r="AK49" s="1564"/>
      <c r="AM49" s="624"/>
      <c r="AN49" s="624" t="str">
        <f>IF(T49="","",T49)</f>
        <v>Добавить группу потребителей</v>
      </c>
      <c r="AO49" s="624"/>
      <c r="AP49" s="624"/>
      <c r="AQ49" s="1279">
        <v>21</v>
      </c>
    </row>
    <row customHeight="1" ht="22.049999999999997">
      <c r="A50" s="1487" t="s">
        <v>383</v>
      </c>
      <c r="B50" s="1487" t="s">
        <v>384</v>
      </c>
      <c r="C50" s="1487" t="s">
        <v>385</v>
      </c>
      <c r="D50" s="1487" t="s">
        <v>633</v>
      </c>
      <c r="E50" s="2396"/>
      <c r="F50" s="2396"/>
      <c r="G50" s="2396"/>
      <c r="H50" s="2395"/>
      <c r="I50" s="1487"/>
      <c r="J50" s="1487"/>
      <c r="K50" s="1487"/>
      <c r="L50" s="1488"/>
      <c r="M50" s="1489"/>
      <c r="N50" s="1489"/>
      <c r="O50" s="661"/>
      <c r="P50" s="484"/>
      <c r="Q50" s="499"/>
      <c r="R50" s="479"/>
      <c r="S50" s="1402"/>
      <c r="T50" s="496" t="s">
        <v>600</v>
      </c>
      <c r="U50" s="491"/>
      <c r="V50" s="491"/>
      <c r="W50" s="491"/>
      <c r="X50" s="491"/>
      <c r="Y50" s="491"/>
      <c r="Z50" s="491"/>
      <c r="AA50" s="491"/>
      <c r="AB50" s="490"/>
      <c r="AC50" s="491"/>
      <c r="AD50" s="491"/>
      <c r="AE50" s="491"/>
      <c r="AF50" s="491"/>
      <c r="AG50" s="491"/>
      <c r="AH50" s="491"/>
      <c r="AI50" s="490"/>
      <c r="AJ50" s="491"/>
      <c r="AK50" s="427"/>
      <c r="AM50" s="624"/>
      <c r="AN50" s="624" t="str">
        <f>IF(T50="","",T50)</f>
        <v>Добавить наименование признака дифференциации</v>
      </c>
      <c r="AO50" s="624"/>
      <c r="AP50" s="624"/>
      <c r="AQ50" s="1279">
        <v>21</v>
      </c>
    </row>
    <row s="6698" customFormat="1" customHeight="1" ht="0">
      <c r="A51" s="1467" t="s">
        <v>383</v>
      </c>
      <c r="B51" s="1467" t="s">
        <v>384</v>
      </c>
      <c r="C51" s="1438"/>
      <c r="D51" s="1438"/>
      <c r="E51" s="2396"/>
      <c r="F51" s="2395"/>
      <c r="G51" s="1438"/>
      <c r="H51" s="1438"/>
      <c r="I51" s="1438"/>
      <c r="J51" s="1438"/>
      <c r="K51" s="1438"/>
      <c r="L51" s="1618"/>
      <c r="M51" s="1445"/>
      <c r="N51" s="1445"/>
      <c r="P51" s="1440"/>
      <c r="Q51" s="1441"/>
      <c r="R51" s="1440"/>
      <c r="S51" s="1446"/>
      <c r="T51" s="1449" t="s">
        <v>527</v>
      </c>
      <c r="U51" s="1448"/>
      <c r="V51" s="1448"/>
      <c r="W51" s="1448"/>
      <c r="X51" s="1448"/>
      <c r="Y51" s="1448"/>
      <c r="Z51" s="1448"/>
      <c r="AA51" s="1448"/>
      <c r="AB51" s="1448"/>
      <c r="AC51" s="1448"/>
      <c r="AD51" s="1448"/>
      <c r="AE51" s="1448"/>
      <c r="AF51" s="1448"/>
      <c r="AG51" s="1448"/>
      <c r="AH51" s="1448"/>
      <c r="AI51" s="1448"/>
      <c r="AJ51" s="1448"/>
      <c r="AK51" s="1448"/>
      <c r="AM51" s="913"/>
      <c r="AN51" s="913" t="str">
        <f>IF(T51="","",T51)</f>
        <v>Добавить централизованную систему для дифференциации</v>
      </c>
      <c r="AO51" s="913"/>
      <c r="AP51" s="913"/>
      <c r="AQ51" s="642">
        <v>0</v>
      </c>
    </row>
    <row s="6698" customFormat="1" customHeight="1" ht="0">
      <c r="A52" s="1467" t="s">
        <v>383</v>
      </c>
      <c r="B52" s="1467"/>
      <c r="C52" s="1467"/>
      <c r="D52" s="1467"/>
      <c r="E52" s="2395"/>
      <c r="F52" s="1467"/>
      <c r="G52" s="1467"/>
      <c r="H52" s="1467"/>
      <c r="I52" s="1467"/>
      <c r="J52" s="1467"/>
      <c r="K52" s="1467"/>
      <c r="L52" s="1470"/>
      <c r="M52" s="1445"/>
      <c r="N52" s="1445"/>
      <c r="O52" s="642"/>
      <c r="P52" s="504"/>
      <c r="Q52" s="1468"/>
      <c r="R52" s="504"/>
      <c r="S52" s="1446"/>
      <c r="T52" s="1449" t="s">
        <v>528</v>
      </c>
      <c r="U52" s="1448"/>
      <c r="V52" s="1448"/>
      <c r="W52" s="1448"/>
      <c r="X52" s="1448"/>
      <c r="Y52" s="1448"/>
      <c r="Z52" s="1448"/>
      <c r="AA52" s="1448"/>
      <c r="AB52" s="1448"/>
      <c r="AC52" s="1448"/>
      <c r="AD52" s="1448"/>
      <c r="AE52" s="1448"/>
      <c r="AF52" s="1448"/>
      <c r="AG52" s="1448"/>
      <c r="AH52" s="1448"/>
      <c r="AI52" s="1448"/>
      <c r="AJ52" s="1448"/>
      <c r="AK52" s="1448"/>
      <c r="AM52" s="624"/>
      <c r="AN52" s="624" t="str">
        <f>IF(T52="","",T52)</f>
        <v>Добавить территорию для дифференциации</v>
      </c>
      <c r="AO52" s="624"/>
      <c r="AP52" s="624"/>
      <c r="AQ52" s="635">
        <v>0</v>
      </c>
    </row>
    <row s="6698" customFormat="1" customHeight="1" ht="0">
      <c r="A53" s="1438"/>
      <c r="B53" s="1438"/>
      <c r="C53" s="1438"/>
      <c r="D53" s="1438"/>
      <c r="E53" s="1467"/>
      <c r="F53" s="1438"/>
      <c r="G53" s="1438"/>
      <c r="H53" s="1438"/>
      <c r="I53" s="1438"/>
      <c r="J53" s="1438"/>
      <c r="K53" s="1438"/>
      <c r="L53" s="1618"/>
      <c r="M53" s="1445"/>
      <c r="N53" s="1445"/>
      <c r="P53" s="1440"/>
      <c r="Q53" s="1441"/>
      <c r="R53" s="1440"/>
      <c r="S53" s="1446"/>
      <c r="T53" s="1449" t="s">
        <v>560</v>
      </c>
      <c r="U53" s="1448"/>
      <c r="V53" s="1448"/>
      <c r="W53" s="1448"/>
      <c r="X53" s="1448"/>
      <c r="Y53" s="1448"/>
      <c r="Z53" s="1448"/>
      <c r="AA53" s="1448"/>
      <c r="AB53" s="1448"/>
      <c r="AC53" s="1448"/>
      <c r="AD53" s="1448"/>
      <c r="AE53" s="1448"/>
      <c r="AF53" s="1448"/>
      <c r="AG53" s="1448"/>
      <c r="AH53" s="1448"/>
      <c r="AI53" s="1448"/>
      <c r="AJ53" s="1448"/>
      <c r="AK53" s="1448"/>
      <c r="AM53" s="913"/>
      <c r="AN53" s="913" t="str">
        <f>IF(T53="","",T53)</f>
        <v>Добавить наименование тарифа</v>
      </c>
      <c r="AO53" s="913"/>
      <c r="AP53" s="913"/>
      <c r="AQ53" s="642">
        <v>0</v>
      </c>
    </row>
    <row customHeight="1" ht="11.549999999999999">
      <c r="M54" s="1284"/>
      <c r="N54" s="1284"/>
      <c r="O54" s="661"/>
      <c r="P54" s="1279"/>
      <c r="Q54" s="1279"/>
      <c r="R54" s="1279"/>
      <c r="S54" s="1279"/>
      <c r="AL54" s="1279"/>
      <c r="AM54" s="1279"/>
      <c r="AN54" s="1279"/>
      <c r="AO54" s="1279"/>
      <c r="AP54" s="1279"/>
      <c r="AQ54" s="1279">
        <v>11</v>
      </c>
    </row>
    <row customHeight="1" ht="14.699999999999998">
      <c r="O55" s="661"/>
      <c r="S55" s="1377"/>
      <c r="T55" s="2422"/>
      <c r="U55" s="2422"/>
      <c r="V55" s="2422"/>
      <c r="W55" s="2422"/>
      <c r="X55" s="2422"/>
      <c r="Y55" s="2422"/>
      <c r="Z55" s="2422"/>
      <c r="AA55" s="2422"/>
      <c r="AB55" s="2422"/>
      <c r="AC55" s="2422"/>
      <c r="AD55" s="2422"/>
      <c r="AE55" s="2422"/>
      <c r="AF55" s="2422"/>
      <c r="AG55" s="2422"/>
      <c r="AH55" s="2422"/>
      <c r="AI55" s="2422"/>
      <c r="AJ55" s="2422"/>
      <c r="AK55" s="2422"/>
      <c r="AQ55" s="1279">
        <v>14</v>
      </c>
    </row>
    <row customHeight="1" ht="14.699999999999998">
      <c r="O56" s="661"/>
      <c r="AQ56" s="1279">
        <v>14</v>
      </c>
    </row>
    <row customHeight="1" ht="14.699999999999998">
      <c r="O57" s="661"/>
      <c r="S57" s="1377"/>
      <c r="T57" s="2422"/>
      <c r="U57" s="2422"/>
      <c r="V57" s="2422"/>
      <c r="W57" s="2422"/>
      <c r="X57" s="2422"/>
      <c r="Y57" s="2422"/>
      <c r="Z57" s="2422"/>
      <c r="AA57" s="2422"/>
      <c r="AB57" s="2422"/>
      <c r="AC57" s="2422"/>
      <c r="AD57" s="2422"/>
      <c r="AE57" s="2422"/>
      <c r="AF57" s="2422"/>
      <c r="AG57" s="2422"/>
      <c r="AH57" s="2422"/>
      <c r="AI57" s="2422"/>
      <c r="AJ57" s="2422"/>
      <c r="AK57" s="2422"/>
      <c r="AQ57" s="1279">
        <v>14</v>
      </c>
    </row>
    <row customHeight="1" ht="22.5" hidden="1">
      <c r="A58" s="1284" t="s">
        <v>82</v>
      </c>
      <c r="B58" s="1284">
        <v>0</v>
      </c>
      <c r="C58" s="1284">
        <v>0</v>
      </c>
      <c r="D58" s="1284">
        <v>0</v>
      </c>
      <c r="E58" s="1284">
        <v>0</v>
      </c>
      <c r="F58" s="1284">
        <v>0</v>
      </c>
      <c r="G58" s="1284">
        <v>0</v>
      </c>
      <c r="H58" s="1284">
        <v>0</v>
      </c>
      <c r="I58" s="1284">
        <v>0</v>
      </c>
      <c r="J58" s="1284">
        <v>0</v>
      </c>
      <c r="K58" s="1284">
        <v>0</v>
      </c>
      <c r="L58" s="1602">
        <v>0</v>
      </c>
      <c r="M58" s="1486">
        <v>0</v>
      </c>
      <c r="N58" s="1486">
        <v>0</v>
      </c>
      <c r="O58" s="1486">
        <v>0</v>
      </c>
      <c r="P58" s="1597">
        <v>3</v>
      </c>
      <c r="Q58" s="468">
        <v>3</v>
      </c>
      <c r="R58" s="468">
        <v>3</v>
      </c>
      <c r="S58" s="705">
        <v>12</v>
      </c>
      <c r="T58" s="1279">
        <v>35</v>
      </c>
      <c r="U58" s="1279">
        <v>0</v>
      </c>
      <c r="V58" s="1279">
        <v>0</v>
      </c>
      <c r="W58" s="1279">
        <v>0</v>
      </c>
      <c r="X58" s="1279">
        <v>0</v>
      </c>
      <c r="Y58" s="1279">
        <v>0</v>
      </c>
      <c r="Z58" s="1279">
        <v>0</v>
      </c>
      <c r="AA58" s="1279">
        <v>0</v>
      </c>
      <c r="AB58" s="1279">
        <v>0</v>
      </c>
      <c r="AC58" s="1279">
        <v>24</v>
      </c>
      <c r="AD58" s="1279">
        <v>24</v>
      </c>
      <c r="AE58" s="1279">
        <v>24</v>
      </c>
      <c r="AF58" s="1279">
        <v>11</v>
      </c>
      <c r="AG58" s="1279">
        <v>3</v>
      </c>
      <c r="AH58" s="1279">
        <v>11</v>
      </c>
      <c r="AI58" s="1279">
        <v>0</v>
      </c>
      <c r="AJ58" s="1279">
        <v>4</v>
      </c>
      <c r="AK58" s="1279">
        <v>115</v>
      </c>
      <c r="AL58" s="635">
        <v>10</v>
      </c>
      <c r="AM58" s="635">
        <v>10</v>
      </c>
      <c r="AN58" s="635">
        <v>10</v>
      </c>
      <c r="AO58" s="635">
        <v>10</v>
      </c>
      <c r="AP58" s="635">
        <v>10</v>
      </c>
      <c r="AQ58" s="127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7F858-30B8-BFAA-DE7F-16515574EA2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7158" width="11.57421875" hidden="1" customWidth="1"/>
    <col min="2" max="2" style="7158" width="11.00390625" hidden="1" customWidth="1"/>
    <col min="3" max="3" style="7158" width="10.57421875" hidden="1"/>
    <col min="4" max="4" style="7158" width="12.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6374" width="3.7109375" hidden="1" customWidth="1"/>
    <col min="17" max="17" style="6440" width="3.7109375" hidden="1" customWidth="1"/>
    <col min="18" max="18" style="7183" width="3.00390625" customWidth="1"/>
    <col min="19" max="19" style="7888" width="12.00390625" customWidth="1"/>
    <col min="20" max="20" style="7213" width="31.00390625" customWidth="1"/>
    <col min="21" max="21" style="7213" width="0.140625" customWidth="1"/>
    <col min="22" max="25" style="7213" width="21.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3.7109375" customWidth="1"/>
    <col min="31" max="32" style="7213" width="3.00390625" customWidth="1"/>
    <col min="33" max="33" style="7213" width="24.00390625" customWidth="1"/>
    <col min="34" max="34" style="7213" width="3.7109375" customWidth="1"/>
    <col min="35" max="36" style="7213" width="3.00390625" customWidth="1"/>
    <col min="37" max="37" style="7213" width="24.00390625" customWidth="1"/>
    <col min="38" max="38" style="7213" width="3.7109375" customWidth="1"/>
    <col min="39" max="40" style="7213" width="3.00390625" customWidth="1"/>
    <col min="41" max="41" style="7213" width="18.00390625" customWidth="1"/>
    <col min="42" max="42" style="7213" width="3.7109375" customWidth="1"/>
    <col min="43" max="44" style="7213" width="3.00390625" customWidth="1"/>
    <col min="45" max="45" style="7213" width="18.00390625" customWidth="1"/>
    <col min="46" max="49" style="7213" width="21.00390625" customWidth="1"/>
    <col min="50" max="50" style="7213" width="11.00390625" customWidth="1"/>
    <col min="51" max="51" style="7213" width="3.7109375" customWidth="1"/>
    <col min="52" max="52" style="7213" width="11.00390625" customWidth="1"/>
    <col min="53" max="53" style="7213" width="8.57421875" hidden="1" customWidth="1"/>
    <col min="54" max="54" style="7213" width="4.00390625" customWidth="1"/>
    <col min="55" max="55" style="7213" width="115.00390625" customWidth="1"/>
    <col min="56" max="60" style="6698" width="10.00390625" customWidth="1"/>
    <col min="61" max="61" style="7213" width="10.57421875" hidden="1"/>
  </cols>
  <sheetData>
    <row customHeight="1" ht="22.5" hidden="1">
      <c r="W1" s="451"/>
      <c r="Y1" s="451"/>
      <c r="Z1" s="451"/>
      <c r="AW1" s="451"/>
      <c r="AX1" s="451"/>
      <c r="BI1" s="1279" t="s">
        <v>14</v>
      </c>
    </row>
    <row customHeight="1" ht="21" hidden="1">
      <c r="A2" s="1487"/>
      <c r="B2" s="1487"/>
      <c r="C2" s="1487"/>
      <c r="D2" s="1487"/>
      <c r="E2" s="2395">
        <v>1</v>
      </c>
      <c r="F2" s="1487"/>
      <c r="G2" s="1487"/>
      <c r="H2" s="1487"/>
      <c r="I2" s="1487"/>
      <c r="J2" s="1487"/>
      <c r="K2" s="1487"/>
      <c r="L2" s="1488"/>
      <c r="M2" s="1489"/>
      <c r="N2" s="1489"/>
      <c r="O2" s="1489"/>
      <c r="P2" s="1533"/>
      <c r="Q2" s="997"/>
      <c r="R2" s="479"/>
      <c r="S2" s="1617">
        <f>INDEX(PT_DIFFERENTIATION_NUM_NTAR,MATCH(A2,PT_DIFFERENTIATION_NTAR_ID,0))</f>
      </c>
      <c r="T2" s="422" t="s">
        <v>243</v>
      </c>
      <c r="U2" s="424"/>
      <c r="V2" s="2380"/>
      <c r="W2" s="2380"/>
      <c r="X2" s="2380"/>
      <c r="Y2" s="2380"/>
      <c r="Z2" s="2380"/>
      <c r="AA2" s="2380"/>
      <c r="AB2" s="2380"/>
      <c r="AC2" s="2381"/>
      <c r="AD2" s="2379">
        <f>INDEX(PT_DIFFERENTIATION_NTAR,MATCH(A2,PT_DIFFERENTIATION_NTAR_ID,0))</f>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24"/>
      <c r="BF2" s="624" t="str">
        <f>IF(T2="","",T2)</f>
        <v>Наименование тарифа</v>
      </c>
      <c r="BG2" s="624"/>
      <c r="BH2" s="624"/>
      <c r="BI2" s="1279">
        <v>0</v>
      </c>
    </row>
    <row customHeight="1" ht="21" hidden="1">
      <c r="A3" s="1487"/>
      <c r="B3" s="1487"/>
      <c r="C3" s="1487"/>
      <c r="D3" s="1487"/>
      <c r="E3" s="2396"/>
      <c r="F3" s="2395">
        <v>1</v>
      </c>
      <c r="G3" s="1487"/>
      <c r="H3" s="1487"/>
      <c r="I3" s="1487"/>
      <c r="J3" s="1487"/>
      <c r="K3" s="1487"/>
      <c r="L3" s="1488"/>
      <c r="M3" s="1489"/>
      <c r="N3" s="1489"/>
      <c r="O3" s="1489"/>
      <c r="P3" s="1534"/>
      <c r="Q3" s="1535"/>
      <c r="R3" s="477"/>
      <c r="S3" s="1617">
        <f>INDEX(PT_DIFFERENTIATION_NUM_TER,MATCH(B3,PT_DIFFERENTIATION_TER_ID,0))</f>
      </c>
      <c r="T3" s="432" t="s">
        <v>509</v>
      </c>
      <c r="U3" s="424"/>
      <c r="V3" s="2380"/>
      <c r="W3" s="2380"/>
      <c r="X3" s="2380"/>
      <c r="Y3" s="2380"/>
      <c r="Z3" s="2380"/>
      <c r="AA3" s="2380"/>
      <c r="AB3" s="2380"/>
      <c r="AC3" s="2381"/>
      <c r="AD3" s="2379">
        <f>INDEX(PT_DIFFERENTIATION_TER,MATCH(B3,PT_DIFFERENTIATION_TER_ID,0))</f>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382" t="s">
        <v>510</v>
      </c>
      <c r="BE3" s="624"/>
      <c r="BF3" s="624" t="str">
        <f>IF(T3="","",T3)</f>
        <v>Территория действия тарифа</v>
      </c>
      <c r="BG3" s="624"/>
      <c r="BH3" s="624"/>
      <c r="BI3" s="1279">
        <v>0</v>
      </c>
    </row>
    <row customHeight="1" ht="33.75" hidden="1">
      <c r="A4" s="1487"/>
      <c r="B4" s="1487"/>
      <c r="C4" s="1487"/>
      <c r="D4" s="1487"/>
      <c r="E4" s="2396"/>
      <c r="F4" s="2396"/>
      <c r="G4" s="2395">
        <v>1</v>
      </c>
      <c r="H4" s="1487"/>
      <c r="I4" s="1487"/>
      <c r="J4" s="1487"/>
      <c r="K4" s="1487"/>
      <c r="L4" s="1488"/>
      <c r="M4" s="1489"/>
      <c r="N4" s="1489"/>
      <c r="O4" s="1489"/>
      <c r="P4" s="1536"/>
      <c r="Q4" s="1535"/>
      <c r="R4" s="477"/>
      <c r="S4" s="1617">
        <f>INDEX(PT_DIFFERENTIATION_NUM_CS,MATCH(C4,PT_DIFFERENTIATION_CS_ID,0))</f>
      </c>
      <c r="T4" s="433" t="s">
        <v>628</v>
      </c>
      <c r="U4" s="424"/>
      <c r="V4" s="2380"/>
      <c r="W4" s="2380"/>
      <c r="X4" s="2380"/>
      <c r="Y4" s="2380"/>
      <c r="Z4" s="2380"/>
      <c r="AA4" s="2380"/>
      <c r="AB4" s="2380"/>
      <c r="AC4" s="2381"/>
      <c r="AD4" s="2379">
        <f>INDEX(PT_DIFFERENTIATION_CS,MATCH(C4,PT_DIFFERENTIATION_CS_ID,0))</f>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382" t="s">
        <v>629</v>
      </c>
      <c r="BE4" s="624"/>
      <c r="BF4" s="624" t="str">
        <f>IF(T4="","",T4)</f>
        <v>Наименование централизованной системы водоотведения</v>
      </c>
      <c r="BG4" s="624"/>
      <c r="BH4" s="624"/>
      <c r="BI4" s="1279">
        <v>0</v>
      </c>
    </row>
    <row s="6698" customFormat="1" customHeight="1" ht="14.25" hidden="1">
      <c r="A5" s="1467"/>
      <c r="B5" s="1467"/>
      <c r="C5" s="1467"/>
      <c r="D5" s="1467"/>
      <c r="E5" s="2396"/>
      <c r="F5" s="2396"/>
      <c r="G5" s="2396"/>
      <c r="H5" s="2395">
        <v>1</v>
      </c>
      <c r="I5" s="1467"/>
      <c r="J5" s="1467"/>
      <c r="K5" s="1467"/>
      <c r="L5" s="1470"/>
      <c r="M5" s="1439"/>
      <c r="N5" s="1439"/>
      <c r="O5" s="1439"/>
      <c r="P5" s="1621"/>
      <c r="Q5" s="1622"/>
      <c r="R5" s="481"/>
      <c r="S5" s="1166"/>
      <c r="T5" s="1623"/>
      <c r="U5" s="1508"/>
      <c r="V5" s="2434"/>
      <c r="W5" s="2434"/>
      <c r="X5" s="2434"/>
      <c r="Y5" s="2434"/>
      <c r="Z5" s="2434"/>
      <c r="AA5" s="2434"/>
      <c r="AB5" s="2434"/>
      <c r="AC5" s="2435"/>
      <c r="AD5" s="2433"/>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5"/>
      <c r="BC5" s="1509" t="s">
        <v>514</v>
      </c>
      <c r="BE5" s="624"/>
      <c r="BF5" s="624" t="str">
        <f>IF(T5="","",T5)</f>
        <v/>
      </c>
      <c r="BG5" s="624"/>
      <c r="BH5" s="624"/>
      <c r="BI5" s="635">
        <v>0</v>
      </c>
    </row>
    <row s="6698" customFormat="1" customHeight="1" ht="14.25" hidden="1">
      <c r="A6" s="1467"/>
      <c r="B6" s="1467"/>
      <c r="C6" s="1467"/>
      <c r="D6" s="1467"/>
      <c r="E6" s="2396"/>
      <c r="F6" s="2396"/>
      <c r="G6" s="2396"/>
      <c r="H6" s="2396"/>
      <c r="I6" s="2393" t="str">
        <f>S5&amp;".1"</f>
        <v>.1</v>
      </c>
      <c r="J6" s="1467"/>
      <c r="K6" s="1467"/>
      <c r="L6" s="1470" t="s">
        <v>515</v>
      </c>
      <c r="M6" s="634"/>
      <c r="N6" s="634"/>
      <c r="O6" s="634"/>
      <c r="P6" s="2394">
        <v>1</v>
      </c>
      <c r="Q6" s="1605"/>
      <c r="R6" s="480"/>
      <c r="S6" s="1166"/>
      <c r="T6" s="1507"/>
      <c r="U6" s="1508"/>
      <c r="V6" s="2434"/>
      <c r="W6" s="2434"/>
      <c r="X6" s="2434"/>
      <c r="Y6" s="2434"/>
      <c r="Z6" s="2434"/>
      <c r="AA6" s="2434"/>
      <c r="AB6" s="2434"/>
      <c r="AC6" s="2435"/>
      <c r="AD6" s="2433"/>
      <c r="AE6" s="2434"/>
      <c r="AF6" s="2434"/>
      <c r="AG6" s="2434"/>
      <c r="AH6" s="2434"/>
      <c r="AI6" s="2434"/>
      <c r="AJ6" s="2434"/>
      <c r="AK6" s="2434"/>
      <c r="AL6" s="2434"/>
      <c r="AM6" s="2434"/>
      <c r="AN6" s="2434"/>
      <c r="AO6" s="2434"/>
      <c r="AP6" s="2434"/>
      <c r="AQ6" s="2434"/>
      <c r="AR6" s="2434"/>
      <c r="AS6" s="2434"/>
      <c r="AT6" s="2434"/>
      <c r="AU6" s="2434"/>
      <c r="AV6" s="2434"/>
      <c r="AW6" s="2434"/>
      <c r="AX6" s="2434"/>
      <c r="AY6" s="2434"/>
      <c r="AZ6" s="2434"/>
      <c r="BA6" s="2434"/>
      <c r="BB6" s="2435"/>
      <c r="BC6" s="1509"/>
      <c r="BE6" s="624"/>
      <c r="BF6" s="624" t="str">
        <f>IF(T6="","",T6)</f>
        <v/>
      </c>
      <c r="BG6" s="624"/>
      <c r="BH6" s="624"/>
      <c r="BI6" s="635">
        <v>0</v>
      </c>
    </row>
    <row s="6698" customFormat="1" customHeight="1" ht="14.25" hidden="1">
      <c r="A7" s="1467"/>
      <c r="B7" s="1467"/>
      <c r="C7" s="1467"/>
      <c r="D7" s="1467"/>
      <c r="E7" s="2396"/>
      <c r="F7" s="2396"/>
      <c r="G7" s="2396"/>
      <c r="H7" s="2396"/>
      <c r="I7" s="2423"/>
      <c r="J7" s="2393" t="str">
        <f>S5&amp;".1"</f>
        <v>.1</v>
      </c>
      <c r="K7" s="1467"/>
      <c r="L7" s="1470"/>
      <c r="M7" s="634"/>
      <c r="N7" s="634"/>
      <c r="O7" s="634"/>
      <c r="P7" s="2394"/>
      <c r="Q7" s="2394">
        <v>1</v>
      </c>
      <c r="R7" s="481"/>
      <c r="S7" s="1166"/>
      <c r="T7" s="1523"/>
      <c r="U7" s="1508"/>
      <c r="V7" s="2434"/>
      <c r="W7" s="2434"/>
      <c r="X7" s="2434"/>
      <c r="Y7" s="2434"/>
      <c r="Z7" s="2434"/>
      <c r="AA7" s="2434"/>
      <c r="AB7" s="2434"/>
      <c r="AC7" s="2435"/>
      <c r="AD7" s="2433"/>
      <c r="AE7" s="2434"/>
      <c r="AF7" s="2434"/>
      <c r="AG7" s="2434"/>
      <c r="AH7" s="2434"/>
      <c r="AI7" s="2434"/>
      <c r="AJ7" s="2434"/>
      <c r="AK7" s="2434"/>
      <c r="AL7" s="2434"/>
      <c r="AM7" s="2434"/>
      <c r="AN7" s="2434"/>
      <c r="AO7" s="2434"/>
      <c r="AP7" s="2434"/>
      <c r="AQ7" s="2434"/>
      <c r="AR7" s="2434"/>
      <c r="AS7" s="2434"/>
      <c r="AT7" s="2434"/>
      <c r="AU7" s="2434"/>
      <c r="AV7" s="2434"/>
      <c r="AW7" s="2434"/>
      <c r="AX7" s="2434"/>
      <c r="AY7" s="2434"/>
      <c r="AZ7" s="2434"/>
      <c r="BA7" s="2434"/>
      <c r="BB7" s="2435"/>
      <c r="BC7" s="1509"/>
      <c r="BE7" s="624"/>
      <c r="BF7" s="624" t="str">
        <f>IF(T7="","",T7)</f>
        <v/>
      </c>
      <c r="BG7" s="624"/>
      <c r="BH7" s="624"/>
      <c r="BI7" s="635">
        <v>0</v>
      </c>
    </row>
    <row customHeight="1" ht="11.25" hidden="1">
      <c r="A8" s="1487"/>
      <c r="B8" s="1487"/>
      <c r="C8" s="1487"/>
      <c r="D8" s="1487"/>
      <c r="E8" s="2396"/>
      <c r="F8" s="2396"/>
      <c r="G8" s="2396"/>
      <c r="H8" s="2396"/>
      <c r="I8" s="2423"/>
      <c r="J8" s="2423"/>
      <c r="K8" s="2393">
        <f>S4&amp;".1"</f>
      </c>
      <c r="L8" s="1488"/>
      <c r="P8" s="2394"/>
      <c r="Q8" s="2394"/>
      <c r="R8" s="2484">
        <v>1</v>
      </c>
      <c r="S8" s="2478">
        <f>$K8</f>
      </c>
      <c r="T8" s="2497"/>
      <c r="U8" s="424"/>
      <c r="V8" s="875"/>
      <c r="W8" s="1381"/>
      <c r="X8" s="875"/>
      <c r="Y8" s="1381"/>
      <c r="Z8" s="1857"/>
      <c r="AA8" s="1593" t="s">
        <v>62</v>
      </c>
      <c r="AB8" s="1857"/>
      <c r="AC8" s="1593" t="s">
        <v>62</v>
      </c>
      <c r="AD8" s="2322" t="s">
        <v>62</v>
      </c>
      <c r="AE8" s="2463"/>
      <c r="AF8" s="2342">
        <v>1</v>
      </c>
      <c r="AG8" s="2500"/>
      <c r="AH8" s="2244" t="s">
        <v>62</v>
      </c>
      <c r="AI8" s="2463"/>
      <c r="AJ8" s="2342">
        <v>1</v>
      </c>
      <c r="AK8" s="2464" t="s">
        <v>22</v>
      </c>
      <c r="AL8" s="2244" t="s">
        <v>62</v>
      </c>
      <c r="AM8" s="2329"/>
      <c r="AN8" s="2342">
        <v>1</v>
      </c>
      <c r="AO8" s="2494"/>
      <c r="AP8" s="2495" t="s">
        <v>62</v>
      </c>
      <c r="AQ8" s="435"/>
      <c r="AR8" s="1610">
        <v>1</v>
      </c>
      <c r="AS8" s="1616" t="s">
        <v>22</v>
      </c>
      <c r="AT8" s="875"/>
      <c r="AU8" s="1381"/>
      <c r="AV8" s="875"/>
      <c r="AW8" s="1381"/>
      <c r="AX8" s="1857"/>
      <c r="AY8" s="1593" t="s">
        <v>62</v>
      </c>
      <c r="AZ8" s="1857"/>
      <c r="BA8" s="1593" t="s">
        <v>62</v>
      </c>
      <c r="BB8" s="1472"/>
      <c r="BC8" s="2390" t="s">
        <v>613</v>
      </c>
      <c r="BE8" s="624"/>
      <c r="BF8" s="624" t="str">
        <f>IF(T8="","",T8)</f>
        <v/>
      </c>
      <c r="BG8" s="624"/>
      <c r="BH8" s="624"/>
      <c r="BI8" s="1279">
        <v>0</v>
      </c>
    </row>
    <row customHeight="1" ht="11.25" hidden="1">
      <c r="A9" s="1487"/>
      <c r="B9" s="1487"/>
      <c r="C9" s="1487"/>
      <c r="D9" s="1487"/>
      <c r="E9" s="2396"/>
      <c r="F9" s="2396"/>
      <c r="G9" s="2396"/>
      <c r="H9" s="2396"/>
      <c r="I9" s="2423"/>
      <c r="J9" s="2423"/>
      <c r="K9" s="2393"/>
      <c r="L9" s="1488"/>
      <c r="P9" s="2394"/>
      <c r="Q9" s="2394"/>
      <c r="R9" s="2484"/>
      <c r="S9" s="2479"/>
      <c r="T9" s="2498"/>
      <c r="U9" s="424"/>
      <c r="V9" s="1517"/>
      <c r="W9" s="1620"/>
      <c r="X9" s="1517"/>
      <c r="Y9" s="1620"/>
      <c r="Z9" s="1517"/>
      <c r="AA9" s="1517"/>
      <c r="AB9" s="1517"/>
      <c r="AC9" s="1517"/>
      <c r="AD9" s="2323"/>
      <c r="AE9" s="2463"/>
      <c r="AF9" s="2342"/>
      <c r="AG9" s="2500"/>
      <c r="AH9" s="2244"/>
      <c r="AI9" s="2463"/>
      <c r="AJ9" s="2342"/>
      <c r="AK9" s="2464"/>
      <c r="AL9" s="2244"/>
      <c r="AM9" s="2337"/>
      <c r="AN9" s="2342"/>
      <c r="AO9" s="2494"/>
      <c r="AP9" s="2496"/>
      <c r="AQ9" s="440"/>
      <c r="AR9" s="540"/>
      <c r="AS9" s="540" t="s">
        <v>614</v>
      </c>
      <c r="AT9" s="1517"/>
      <c r="AU9" s="1620"/>
      <c r="AV9" s="1517"/>
      <c r="AW9" s="1620"/>
      <c r="AX9" s="1517"/>
      <c r="AY9" s="1517"/>
      <c r="AZ9" s="1517"/>
      <c r="BA9" s="1517"/>
      <c r="BB9" s="1521"/>
      <c r="BC9" s="2391"/>
      <c r="BE9" s="624"/>
      <c r="BF9" s="624"/>
      <c r="BG9" s="624"/>
      <c r="BH9" s="624"/>
      <c r="BI9" s="1279">
        <v>0</v>
      </c>
    </row>
    <row customHeight="1" ht="11.25" hidden="1">
      <c r="A10" s="1487"/>
      <c r="B10" s="1487"/>
      <c r="C10" s="1487"/>
      <c r="D10" s="1487"/>
      <c r="E10" s="2396"/>
      <c r="F10" s="2396"/>
      <c r="G10" s="2396"/>
      <c r="H10" s="2396"/>
      <c r="I10" s="2423"/>
      <c r="J10" s="2423"/>
      <c r="K10" s="2393"/>
      <c r="L10" s="1488"/>
      <c r="P10" s="2394"/>
      <c r="Q10" s="2394"/>
      <c r="R10" s="2484"/>
      <c r="S10" s="2479"/>
      <c r="T10" s="2498"/>
      <c r="U10" s="424"/>
      <c r="V10" s="1517"/>
      <c r="W10" s="1620"/>
      <c r="X10" s="1517"/>
      <c r="Y10" s="1620"/>
      <c r="Z10" s="1517"/>
      <c r="AA10" s="1517"/>
      <c r="AB10" s="1517"/>
      <c r="AC10" s="1517"/>
      <c r="AD10" s="2323"/>
      <c r="AE10" s="2463"/>
      <c r="AF10" s="2342"/>
      <c r="AG10" s="2500"/>
      <c r="AH10" s="2244"/>
      <c r="AI10" s="2463"/>
      <c r="AJ10" s="2342"/>
      <c r="AK10" s="2464"/>
      <c r="AL10" s="2244"/>
      <c r="AM10" s="440"/>
      <c r="AN10" s="1624"/>
      <c r="AO10" s="1624" t="s">
        <v>634</v>
      </c>
      <c r="AP10" s="540"/>
      <c r="AQ10" s="540"/>
      <c r="AR10" s="540"/>
      <c r="AS10" s="1517"/>
      <c r="AT10" s="1517"/>
      <c r="AU10" s="1620"/>
      <c r="AV10" s="1517"/>
      <c r="AW10" s="1620"/>
      <c r="AX10" s="1517"/>
      <c r="AY10" s="1517"/>
      <c r="AZ10" s="1517"/>
      <c r="BA10" s="1517"/>
      <c r="BB10" s="1521"/>
      <c r="BC10" s="2391"/>
      <c r="BE10" s="624"/>
      <c r="BF10" s="624"/>
      <c r="BG10" s="624"/>
      <c r="BH10" s="624"/>
      <c r="BI10" s="1279">
        <v>0</v>
      </c>
    </row>
    <row customHeight="1" ht="11.25" hidden="1">
      <c r="A11" s="1487"/>
      <c r="B11" s="1487"/>
      <c r="C11" s="1487"/>
      <c r="D11" s="1487"/>
      <c r="E11" s="2396"/>
      <c r="F11" s="2396"/>
      <c r="G11" s="2396"/>
      <c r="H11" s="2396"/>
      <c r="I11" s="2423"/>
      <c r="J11" s="2423"/>
      <c r="K11" s="2393"/>
      <c r="L11" s="1488"/>
      <c r="P11" s="2394"/>
      <c r="Q11" s="2394"/>
      <c r="R11" s="2484"/>
      <c r="S11" s="2479"/>
      <c r="T11" s="2498"/>
      <c r="U11" s="424"/>
      <c r="V11" s="1517"/>
      <c r="W11" s="1620"/>
      <c r="X11" s="1517"/>
      <c r="Y11" s="1620"/>
      <c r="Z11" s="1517"/>
      <c r="AA11" s="1517"/>
      <c r="AB11" s="1517"/>
      <c r="AC11" s="1517"/>
      <c r="AD11" s="2323"/>
      <c r="AE11" s="2463"/>
      <c r="AF11" s="2342"/>
      <c r="AG11" s="2500"/>
      <c r="AH11" s="2244"/>
      <c r="AI11" s="418"/>
      <c r="AJ11" s="539"/>
      <c r="AK11" s="437" t="s">
        <v>635</v>
      </c>
      <c r="AL11" s="1517"/>
      <c r="AM11" s="1517"/>
      <c r="AN11" s="1517"/>
      <c r="AO11" s="1517"/>
      <c r="AP11" s="1517"/>
      <c r="AQ11" s="1517"/>
      <c r="AR11" s="1517"/>
      <c r="AS11" s="1517"/>
      <c r="AT11" s="1517"/>
      <c r="AU11" s="1620"/>
      <c r="AV11" s="1517"/>
      <c r="AW11" s="1620"/>
      <c r="AX11" s="1517"/>
      <c r="AY11" s="1517"/>
      <c r="AZ11" s="1517"/>
      <c r="BA11" s="1517"/>
      <c r="BB11" s="1521"/>
      <c r="BC11" s="2391"/>
      <c r="BE11" s="624"/>
      <c r="BF11" s="624"/>
      <c r="BG11" s="624"/>
      <c r="BH11" s="624"/>
      <c r="BI11" s="1279">
        <v>0</v>
      </c>
    </row>
    <row customHeight="1" ht="11.25" hidden="1">
      <c r="A12" s="1487"/>
      <c r="B12" s="1487"/>
      <c r="C12" s="1487"/>
      <c r="D12" s="1487"/>
      <c r="E12" s="2396"/>
      <c r="F12" s="2396"/>
      <c r="G12" s="2396"/>
      <c r="H12" s="2396"/>
      <c r="I12" s="2423"/>
      <c r="J12" s="2423"/>
      <c r="K12" s="2393"/>
      <c r="L12" s="1488"/>
      <c r="P12" s="2394"/>
      <c r="Q12" s="2394"/>
      <c r="R12" s="2484"/>
      <c r="S12" s="2480"/>
      <c r="T12" s="2499"/>
      <c r="U12" s="424"/>
      <c r="V12" s="1517"/>
      <c r="W12" s="1518" t="str">
        <f>Z8&amp;"-"&amp;AB8</f>
        <v>-</v>
      </c>
      <c r="X12" s="1517"/>
      <c r="Y12" s="1518" t="str">
        <f>AB8&amp;"-"&amp;AD8</f>
        <v>-да</v>
      </c>
      <c r="Z12" s="1517"/>
      <c r="AA12" s="1517"/>
      <c r="AB12" s="1517"/>
      <c r="AC12" s="1517"/>
      <c r="AD12" s="2249"/>
      <c r="AE12" s="436"/>
      <c r="AF12" s="438"/>
      <c r="AG12" s="540" t="s">
        <v>617</v>
      </c>
      <c r="AH12" s="1517"/>
      <c r="AI12" s="1517"/>
      <c r="AJ12" s="1517"/>
      <c r="AK12" s="1517"/>
      <c r="AL12" s="1517"/>
      <c r="AM12" s="1517"/>
      <c r="AN12" s="1517"/>
      <c r="AO12" s="1517"/>
      <c r="AP12" s="1517"/>
      <c r="AQ12" s="1517"/>
      <c r="AR12" s="1517"/>
      <c r="AS12" s="1517"/>
      <c r="AT12" s="1517"/>
      <c r="AU12" s="1518" t="str">
        <f>AX8&amp;"-"&amp;AZ8</f>
        <v>-</v>
      </c>
      <c r="AV12" s="1517"/>
      <c r="AW12" s="1518" t="str">
        <f>AZ8&amp;"-"&amp;BB8</f>
        <v>-</v>
      </c>
      <c r="AX12" s="1517"/>
      <c r="AY12" s="1517"/>
      <c r="AZ12" s="1517"/>
      <c r="BA12" s="1517"/>
      <c r="BB12" s="1520" t="str">
        <f>BE8&amp;"-"&amp;BG8</f>
        <v>-</v>
      </c>
      <c r="BC12" s="2391"/>
      <c r="BE12" s="624"/>
      <c r="BF12" s="624" t="str">
        <f>IF(T12="","",T12)</f>
        <v/>
      </c>
      <c r="BG12" s="624"/>
      <c r="BH12" s="624"/>
      <c r="BI12" s="1279">
        <v>0</v>
      </c>
    </row>
    <row customHeight="1" ht="11.25" hidden="1">
      <c r="A13" s="1487"/>
      <c r="B13" s="1487"/>
      <c r="C13" s="1487"/>
      <c r="D13" s="1487"/>
      <c r="E13" s="2396"/>
      <c r="F13" s="2396"/>
      <c r="G13" s="2396"/>
      <c r="H13" s="2396"/>
      <c r="I13" s="2423"/>
      <c r="J13" s="2393"/>
      <c r="K13" s="1487"/>
      <c r="L13" s="1488"/>
      <c r="P13" s="2394"/>
      <c r="Q13" s="2394"/>
      <c r="R13" s="480"/>
      <c r="S13" s="1402"/>
      <c r="T13" s="411" t="s">
        <v>580</v>
      </c>
      <c r="U13" s="491"/>
      <c r="V13" s="491"/>
      <c r="W13" s="491"/>
      <c r="X13" s="491"/>
      <c r="Y13" s="491"/>
      <c r="Z13" s="491"/>
      <c r="AA13" s="491"/>
      <c r="AB13" s="491"/>
      <c r="AC13" s="491"/>
      <c r="AD13" s="1629"/>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48"/>
      <c r="BC13" s="2392"/>
      <c r="BE13" s="624"/>
      <c r="BF13" s="624" t="str">
        <f>IF(T13="","",T13)</f>
        <v>Добавить строку</v>
      </c>
      <c r="BG13" s="624"/>
      <c r="BH13" s="624"/>
      <c r="BI13" s="1279">
        <v>0</v>
      </c>
    </row>
    <row s="6698" customFormat="1" customHeight="1" ht="14.25" hidden="1">
      <c r="A14" s="1467"/>
      <c r="B14" s="1467"/>
      <c r="C14" s="1467"/>
      <c r="D14" s="1467"/>
      <c r="E14" s="2396"/>
      <c r="F14" s="2396"/>
      <c r="G14" s="2396"/>
      <c r="H14" s="2396"/>
      <c r="I14" s="2393"/>
      <c r="J14" s="1467"/>
      <c r="K14" s="1467"/>
      <c r="L14" s="1470"/>
      <c r="M14" s="634"/>
      <c r="N14" s="634"/>
      <c r="O14" s="634"/>
      <c r="P14" s="2394"/>
      <c r="Q14" s="1605"/>
      <c r="R14" s="480"/>
      <c r="S14" s="1510"/>
      <c r="T14" s="1511"/>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c r="AW14" s="1512"/>
      <c r="AX14" s="1512"/>
      <c r="AY14" s="1512"/>
      <c r="AZ14" s="1512"/>
      <c r="BA14" s="1512"/>
      <c r="BB14" s="1512"/>
      <c r="BC14" s="1513"/>
      <c r="BE14" s="624"/>
      <c r="BF14" s="624" t="str">
        <f>IF(T14="","",T14)</f>
        <v/>
      </c>
      <c r="BG14" s="624"/>
      <c r="BH14" s="624"/>
      <c r="BI14" s="635">
        <v>0</v>
      </c>
    </row>
    <row s="6698" customFormat="1" customHeight="1" ht="14.25" hidden="1">
      <c r="A15" s="1467"/>
      <c r="B15" s="1467"/>
      <c r="C15" s="1467"/>
      <c r="D15" s="1467"/>
      <c r="E15" s="2396"/>
      <c r="F15" s="2396"/>
      <c r="G15" s="2396"/>
      <c r="H15" s="2395"/>
      <c r="I15" s="1467"/>
      <c r="J15" s="1467"/>
      <c r="K15" s="1467"/>
      <c r="L15" s="1470"/>
      <c r="M15" s="1439"/>
      <c r="N15" s="1439"/>
      <c r="O15" s="642"/>
      <c r="P15" s="504"/>
      <c r="Q15" s="1468"/>
      <c r="R15" s="1525"/>
      <c r="S15" s="1510"/>
      <c r="T15" s="1511"/>
      <c r="U15" s="1512"/>
      <c r="V15" s="1512"/>
      <c r="W15" s="1512"/>
      <c r="X15" s="1512"/>
      <c r="Y15" s="1512"/>
      <c r="Z15" s="1512"/>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512"/>
      <c r="AV15" s="1512"/>
      <c r="AW15" s="1512"/>
      <c r="AX15" s="1512"/>
      <c r="AY15" s="1512"/>
      <c r="AZ15" s="1512"/>
      <c r="BA15" s="1512"/>
      <c r="BB15" s="1512"/>
      <c r="BC15" s="1513"/>
      <c r="BE15" s="624"/>
      <c r="BF15" s="624" t="str">
        <f>IF(T15="","",T15)</f>
        <v/>
      </c>
      <c r="BG15" s="624"/>
      <c r="BH15" s="624"/>
      <c r="BI15" s="635">
        <v>0</v>
      </c>
    </row>
    <row s="6698" customFormat="1" customHeight="1" ht="14.25" hidden="1">
      <c r="A16" s="1467"/>
      <c r="B16" s="1467"/>
      <c r="C16" s="1467"/>
      <c r="D16" s="1438"/>
      <c r="E16" s="2396"/>
      <c r="F16" s="2396"/>
      <c r="G16" s="2395"/>
      <c r="H16" s="1438"/>
      <c r="I16" s="1438"/>
      <c r="J16" s="1438"/>
      <c r="K16" s="1438"/>
      <c r="L16" s="1618"/>
      <c r="M16" s="1439"/>
      <c r="N16" s="1439"/>
      <c r="P16" s="1440"/>
      <c r="Q16" s="1441"/>
      <c r="R16" s="1440"/>
      <c r="S16" s="1446"/>
      <c r="T16" s="1449"/>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E16" s="913"/>
      <c r="BF16" s="913" t="str">
        <f>IF(T16="","",T16)</f>
        <v/>
      </c>
      <c r="BG16" s="913"/>
      <c r="BH16" s="913"/>
      <c r="BI16" s="642">
        <v>0</v>
      </c>
    </row>
    <row s="6698" customFormat="1" customHeight="1" ht="14.25" hidden="1">
      <c r="A17" s="1467"/>
      <c r="B17" s="1467"/>
      <c r="C17" s="1438"/>
      <c r="D17" s="1438"/>
      <c r="E17" s="2396"/>
      <c r="F17" s="2395"/>
      <c r="G17" s="1438"/>
      <c r="H17" s="1438"/>
      <c r="I17" s="1438"/>
      <c r="J17" s="1438"/>
      <c r="K17" s="1438"/>
      <c r="L17" s="1618"/>
      <c r="M17" s="1445"/>
      <c r="N17" s="1445"/>
      <c r="P17" s="1440"/>
      <c r="Q17" s="1441"/>
      <c r="R17" s="1440"/>
      <c r="S17" s="1446"/>
      <c r="T17" s="1449" t="s">
        <v>527</v>
      </c>
      <c r="U17" s="1448"/>
      <c r="V17" s="1448"/>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E17" s="913"/>
      <c r="BF17" s="913" t="str">
        <f>IF(T17="","",T17)</f>
        <v>Добавить централизованную систему для дифференциации</v>
      </c>
      <c r="BG17" s="913"/>
      <c r="BH17" s="913"/>
      <c r="BI17" s="642">
        <v>0</v>
      </c>
    </row>
    <row s="6698" customFormat="1" customHeight="1" ht="14.25" hidden="1">
      <c r="A18" s="1467"/>
      <c r="B18" s="1467"/>
      <c r="C18" s="1467"/>
      <c r="D18" s="1467"/>
      <c r="E18" s="2395"/>
      <c r="F18" s="1467"/>
      <c r="G18" s="1467"/>
      <c r="H18" s="1467"/>
      <c r="I18" s="1467"/>
      <c r="J18" s="1467"/>
      <c r="K18" s="1467"/>
      <c r="L18" s="1470"/>
      <c r="M18" s="1445"/>
      <c r="N18" s="1445"/>
      <c r="O18" s="642"/>
      <c r="P18" s="504"/>
      <c r="Q18" s="1468"/>
      <c r="R18" s="504"/>
      <c r="S18" s="1446"/>
      <c r="T18" s="1449" t="s">
        <v>528</v>
      </c>
      <c r="U18" s="1448"/>
      <c r="V18" s="1448"/>
      <c r="W18" s="1448"/>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E18" s="624"/>
      <c r="BF18" s="624" t="str">
        <f>IF(T18="","",T18)</f>
        <v>Добавить территорию для дифференциации</v>
      </c>
      <c r="BG18" s="624"/>
      <c r="BH18" s="624"/>
      <c r="BI18" s="635">
        <v>0</v>
      </c>
    </row>
    <row customHeight="1" ht="14.25" hidden="1">
      <c r="AC19" s="451"/>
      <c r="BA19" s="451"/>
      <c r="BI19" s="1279">
        <v>0</v>
      </c>
    </row>
    <row customHeight="1" ht="14.25" hidden="1">
      <c r="AD20" s="1448" t="s">
        <v>19</v>
      </c>
      <c r="AE20" s="1625"/>
      <c r="AF20" s="672">
        <v>1</v>
      </c>
      <c r="AG20" s="1626"/>
      <c r="AH20" s="1448" t="s">
        <v>19</v>
      </c>
      <c r="AI20" s="1625"/>
      <c r="AJ20" s="672">
        <v>1</v>
      </c>
      <c r="AK20" s="1626"/>
      <c r="AL20" s="1448" t="s">
        <v>19</v>
      </c>
      <c r="AM20" s="1627"/>
      <c r="AN20" s="672">
        <v>1</v>
      </c>
      <c r="AO20" s="1628"/>
      <c r="AP20" s="1448" t="s">
        <v>19</v>
      </c>
      <c r="AQ20" s="1627"/>
      <c r="AR20" s="672">
        <v>1</v>
      </c>
      <c r="AS20" s="1628"/>
      <c r="AT20" s="449"/>
      <c r="AU20" s="508"/>
      <c r="AV20" s="449"/>
      <c r="AW20" s="508"/>
      <c r="AX20" s="1859"/>
      <c r="AY20" s="1609" t="s">
        <v>62</v>
      </c>
      <c r="AZ20" s="1859"/>
      <c r="BA20" s="1609" t="s">
        <v>62</v>
      </c>
      <c r="BI20" s="1279">
        <v>0</v>
      </c>
    </row>
    <row customHeight="1" ht="14.25" hidden="1">
      <c r="BD21" s="620"/>
      <c r="BE21" s="620"/>
      <c r="BF21" s="620"/>
      <c r="BG21" s="620"/>
      <c r="BH21" s="620"/>
      <c r="BI21" s="1279">
        <v>0</v>
      </c>
    </row>
    <row customHeight="1" ht="14.25" hidden="1">
      <c r="O22" s="1491" t="s">
        <v>529</v>
      </c>
      <c r="Z22" s="1469"/>
      <c r="AB22" s="1469"/>
      <c r="AC22" s="451"/>
      <c r="AX22" s="1469"/>
      <c r="AZ22" s="1469"/>
      <c r="BA22" s="451"/>
      <c r="BD22" s="620"/>
      <c r="BE22" s="620"/>
      <c r="BF22" s="620"/>
      <c r="BG22" s="620"/>
      <c r="BH22" s="620"/>
      <c r="BI22" s="1279">
        <v>0</v>
      </c>
    </row>
    <row customHeight="1" ht="14.25" hidden="1">
      <c r="AC23" s="451"/>
      <c r="BA23" s="451"/>
      <c r="BD23" s="620"/>
      <c r="BE23" s="620"/>
      <c r="BF23" s="620"/>
      <c r="BG23" s="620"/>
      <c r="BH23" s="620"/>
      <c r="BI23" s="1279">
        <v>0</v>
      </c>
    </row>
    <row s="6415" customFormat="1" customHeight="1" ht="14.25" hidden="1">
      <c r="M24" s="1632"/>
      <c r="N24" s="1632"/>
      <c r="O24" s="1633" t="s">
        <v>530</v>
      </c>
      <c r="P24" s="1632"/>
      <c r="Q24" s="1634"/>
      <c r="R24" s="1634"/>
      <c r="AA24" s="1631" t="s">
        <v>532</v>
      </c>
      <c r="AC24" s="1631" t="s">
        <v>533</v>
      </c>
      <c r="AD24" s="1631" t="s">
        <v>581</v>
      </c>
      <c r="AH24" s="1631" t="s">
        <v>581</v>
      </c>
      <c r="AK24" s="1631" t="s">
        <v>618</v>
      </c>
      <c r="AL24" s="1631" t="s">
        <v>581</v>
      </c>
      <c r="AP24" s="1631" t="s">
        <v>581</v>
      </c>
      <c r="AY24" s="1631" t="s">
        <v>532</v>
      </c>
      <c r="BA24" s="1631" t="s">
        <v>533</v>
      </c>
      <c r="BD24" s="1635"/>
      <c r="BE24" s="1635"/>
      <c r="BF24" s="1635"/>
      <c r="BG24" s="1635"/>
      <c r="BH24" s="1635"/>
      <c r="BI24" s="1631">
        <v>0</v>
      </c>
    </row>
    <row customHeight="1" ht="14.25" hidden="1">
      <c r="O25" s="1488"/>
      <c r="BD25" s="620"/>
      <c r="BE25" s="620"/>
      <c r="BF25" s="620"/>
      <c r="BG25" s="620"/>
      <c r="BH25" s="620"/>
      <c r="BI25" s="1279">
        <v>0</v>
      </c>
    </row>
    <row customHeight="1" ht="14.25" hidden="1">
      <c r="O26" s="1488"/>
      <c r="BD26" s="620"/>
      <c r="BE26" s="620"/>
      <c r="BF26" s="620"/>
      <c r="BG26" s="620"/>
      <c r="BH26" s="620"/>
      <c r="BI26" s="1279">
        <v>0</v>
      </c>
    </row>
    <row customHeight="1" ht="14.699999999999998">
      <c r="Q27" s="415"/>
      <c r="R27" s="500"/>
      <c r="S27" s="1399"/>
      <c r="T27" s="487"/>
      <c r="U27" s="487"/>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c r="BI27" s="1279">
        <v>14</v>
      </c>
    </row>
    <row customHeight="1" ht="14.699999999999998">
      <c r="Q28" s="415"/>
      <c r="R28" s="500"/>
      <c r="S28" s="238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85"/>
      <c r="AT28" s="2385"/>
      <c r="AU28" s="2385"/>
      <c r="AV28" s="2385"/>
      <c r="AW28" s="2385"/>
      <c r="AX28" s="2385"/>
      <c r="AY28" s="2385"/>
      <c r="AZ28" s="2385"/>
      <c r="BA28" s="1367"/>
      <c r="BI28" s="1279">
        <v>14</v>
      </c>
    </row>
    <row customHeight="1" ht="14.699999999999998">
      <c r="Q29" s="415"/>
      <c r="R29" s="500"/>
      <c r="S29" s="2386" t="str">
        <f>IF(org=0,"Не определено",org)</f>
        <v>ООО "СамРЭК-Эксплуатация"</v>
      </c>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86"/>
      <c r="AT29" s="2386"/>
      <c r="AU29" s="2386"/>
      <c r="AV29" s="2386"/>
      <c r="AW29" s="2386"/>
      <c r="AX29" s="2386"/>
      <c r="AY29" s="2386"/>
      <c r="AZ29" s="2386"/>
      <c r="BA29" s="1367"/>
      <c r="BI29" s="1279">
        <v>14</v>
      </c>
    </row>
    <row customHeight="1" ht="14.25" hidden="1">
      <c r="Q30" s="415"/>
      <c r="R30" s="500"/>
      <c r="S30" s="1399"/>
      <c r="T30" s="487"/>
      <c r="U30" s="487"/>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633"/>
      <c r="BI30" s="1279">
        <v>0</v>
      </c>
    </row>
    <row s="7787" customFormat="1" customHeight="1" ht="25.5" hidden="1">
      <c r="A31" s="1492"/>
      <c r="B31" s="1492"/>
      <c r="C31" s="1492"/>
      <c r="D31" s="1492"/>
      <c r="E31" s="1492"/>
      <c r="F31" s="1492"/>
      <c r="G31" s="1492"/>
      <c r="H31" s="1492"/>
      <c r="I31" s="1492"/>
      <c r="J31" s="1492"/>
      <c r="K31" s="1492"/>
      <c r="L31" s="1493"/>
      <c r="M31" s="1492"/>
      <c r="N31" s="1492"/>
      <c r="O31" s="1492"/>
      <c r="P31" s="1492"/>
      <c r="Q31" s="1492"/>
      <c r="S31" s="2387" t="s">
        <v>41</v>
      </c>
      <c r="T31" s="2387"/>
      <c r="U31" s="1496"/>
      <c r="V31" s="2388" t="str">
        <f>IF(TITLE_NAME_OR_PR_CHANGE="",IF(TITLE_NAME_OR_PR="","",TITLE_NAME_OR_PR),TITLE_NAME_OR_PR_CHANGE)</f>
        <v/>
      </c>
      <c r="W31" s="2388"/>
      <c r="X31" s="2388"/>
      <c r="Y31" s="2388"/>
      <c r="Z31" s="2388"/>
      <c r="AA31" s="2388"/>
      <c r="AB31" s="2388"/>
      <c r="AC31" s="45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450"/>
      <c r="BB31" s="450"/>
      <c r="BC31" s="404"/>
      <c r="BD31" s="492"/>
      <c r="BE31" s="492"/>
      <c r="BF31" s="492"/>
      <c r="BG31" s="492"/>
      <c r="BH31" s="492"/>
      <c r="BI31" s="542">
        <v>0</v>
      </c>
    </row>
    <row s="7787" customFormat="1" customHeight="1" ht="18.75" hidden="1">
      <c r="A32" s="1492"/>
      <c r="B32" s="1492"/>
      <c r="C32" s="1492"/>
      <c r="D32" s="1492"/>
      <c r="E32" s="1492"/>
      <c r="F32" s="1492"/>
      <c r="G32" s="1492"/>
      <c r="H32" s="1492"/>
      <c r="I32" s="1492"/>
      <c r="J32" s="1492"/>
      <c r="K32" s="1492"/>
      <c r="L32" s="1493"/>
      <c r="M32" s="1492"/>
      <c r="N32" s="1492"/>
      <c r="O32" s="1492"/>
      <c r="P32" s="1492"/>
      <c r="Q32" s="1492"/>
      <c r="S32" s="2387" t="s">
        <v>535</v>
      </c>
      <c r="T32" s="2387"/>
      <c r="U32" s="1496"/>
      <c r="V32" s="2401" t="str">
        <f>IF(TITLE_DATE_PR_CHANGE="",IF(TITLE_DATE_PR="","",TITLE_DATE_PR),TITLE_DATE_PR_CHANGE)</f>
        <v/>
      </c>
      <c r="W32" s="2401"/>
      <c r="X32" s="2401"/>
      <c r="Y32" s="2401"/>
      <c r="Z32" s="2401"/>
      <c r="AA32" s="2401"/>
      <c r="AB32" s="2401"/>
      <c r="AC32" s="450"/>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450"/>
      <c r="BB32" s="450"/>
      <c r="BC32" s="404"/>
      <c r="BD32" s="492"/>
      <c r="BE32" s="492"/>
      <c r="BF32" s="492"/>
      <c r="BG32" s="492"/>
      <c r="BH32" s="492"/>
      <c r="BI32" s="542">
        <v>0</v>
      </c>
    </row>
    <row s="7787" customFormat="1" customHeight="1" ht="18.75" hidden="1">
      <c r="A33" s="1492"/>
      <c r="B33" s="1492"/>
      <c r="C33" s="1492"/>
      <c r="D33" s="1492"/>
      <c r="E33" s="1492"/>
      <c r="F33" s="1492"/>
      <c r="G33" s="1492"/>
      <c r="H33" s="1492"/>
      <c r="I33" s="1492"/>
      <c r="J33" s="1492"/>
      <c r="K33" s="1492"/>
      <c r="L33" s="1493"/>
      <c r="M33" s="1492"/>
      <c r="N33" s="1492"/>
      <c r="O33" s="1492"/>
      <c r="P33" s="1492"/>
      <c r="Q33" s="1492"/>
      <c r="S33" s="2387" t="s">
        <v>536</v>
      </c>
      <c r="T33" s="2387"/>
      <c r="U33" s="1496"/>
      <c r="V33" s="2388" t="str">
        <f>IF(TITLE_NUMBER_PR_CHANGE="",IF(TITLE_NUMBER_PR="","",TITLE_NUMBER_PR),TITLE_NUMBER_PR_CHANGE)</f>
        <v/>
      </c>
      <c r="W33" s="2388"/>
      <c r="X33" s="2388"/>
      <c r="Y33" s="2388"/>
      <c r="Z33" s="2388"/>
      <c r="AA33" s="2388"/>
      <c r="AB33" s="2388"/>
      <c r="AC33" s="45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450"/>
      <c r="BB33" s="450"/>
      <c r="BC33" s="404"/>
      <c r="BD33" s="492"/>
      <c r="BE33" s="492"/>
      <c r="BF33" s="492"/>
      <c r="BG33" s="492"/>
      <c r="BH33" s="492"/>
      <c r="BI33" s="542">
        <v>0</v>
      </c>
    </row>
    <row s="7787" customFormat="1" customHeight="1" ht="18.75" hidden="1">
      <c r="A34" s="1492"/>
      <c r="B34" s="1492"/>
      <c r="C34" s="1492"/>
      <c r="D34" s="1492"/>
      <c r="E34" s="1492"/>
      <c r="F34" s="1492"/>
      <c r="G34" s="1492"/>
      <c r="H34" s="1492"/>
      <c r="I34" s="1492"/>
      <c r="J34" s="1492"/>
      <c r="K34" s="1492"/>
      <c r="L34" s="1493"/>
      <c r="M34" s="1492"/>
      <c r="N34" s="1492"/>
      <c r="O34" s="1492"/>
      <c r="P34" s="1492"/>
      <c r="Q34" s="1492"/>
      <c r="S34" s="2387" t="s">
        <v>42</v>
      </c>
      <c r="T34" s="2387"/>
      <c r="U34" s="1496"/>
      <c r="V34" s="2388" t="str">
        <f>IF(TITLE_IST_PUB_CHANGE="",IF(TITLE_IST_PUB="","",TITLE_IST_PUB),TITLE_IST_PUB_CHANGE)</f>
        <v/>
      </c>
      <c r="W34" s="2388"/>
      <c r="X34" s="2388"/>
      <c r="Y34" s="2388"/>
      <c r="Z34" s="2388"/>
      <c r="AA34" s="2388"/>
      <c r="AB34" s="2388"/>
      <c r="AC34" s="45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450"/>
      <c r="BB34" s="450"/>
      <c r="BC34" s="404"/>
      <c r="BD34" s="492"/>
      <c r="BE34" s="492"/>
      <c r="BF34" s="492"/>
      <c r="BG34" s="492"/>
      <c r="BH34" s="492"/>
      <c r="BI34" s="542">
        <v>0</v>
      </c>
    </row>
    <row customHeight="1" ht="14.25" hidden="1">
      <c r="Q35" s="415"/>
      <c r="R35" s="500"/>
      <c r="S35" s="1399"/>
      <c r="T35" s="487"/>
      <c r="U35" s="487"/>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633"/>
      <c r="BI35" s="1279">
        <v>0</v>
      </c>
    </row>
    <row s="7787" customFormat="1" customHeight="1" ht="18.75" hidden="1">
      <c r="A36" s="1492"/>
      <c r="B36" s="1492"/>
      <c r="C36" s="1492"/>
      <c r="D36" s="1492"/>
      <c r="E36" s="1492"/>
      <c r="F36" s="1492"/>
      <c r="G36" s="1492"/>
      <c r="H36" s="1492"/>
      <c r="I36" s="1492"/>
      <c r="J36" s="1492"/>
      <c r="K36" s="1492"/>
      <c r="L36" s="1493"/>
      <c r="M36" s="1492"/>
      <c r="N36" s="1492"/>
      <c r="O36" s="1492"/>
      <c r="P36" s="1492"/>
      <c r="Q36" s="1492"/>
      <c r="S36" s="2387" t="s">
        <v>535</v>
      </c>
      <c r="T36" s="2387"/>
      <c r="U36" s="1496"/>
      <c r="V36" s="2401" t="str">
        <f>IF(TITLE_DATE_PR_CHANGE="",IF(TITLE_DATE_PR="","",TITLE_DATE_PR),TITLE_DATE_PR_CHANGE)</f>
        <v/>
      </c>
      <c r="W36" s="2401"/>
      <c r="X36" s="2401"/>
      <c r="Y36" s="2401"/>
      <c r="Z36" s="2401"/>
      <c r="AA36" s="2401"/>
      <c r="AB36" s="2401"/>
      <c r="AC36" s="450"/>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450"/>
      <c r="BB36" s="450"/>
      <c r="BC36" s="404"/>
      <c r="BD36" s="492"/>
      <c r="BE36" s="492"/>
      <c r="BF36" s="492"/>
      <c r="BG36" s="492"/>
      <c r="BH36" s="492"/>
      <c r="BI36" s="542">
        <v>0</v>
      </c>
    </row>
    <row s="7787" customFormat="1" customHeight="1" ht="18.75" hidden="1">
      <c r="A37" s="1492"/>
      <c r="B37" s="1492"/>
      <c r="C37" s="1492"/>
      <c r="D37" s="1492"/>
      <c r="E37" s="1492"/>
      <c r="F37" s="1492"/>
      <c r="G37" s="1492"/>
      <c r="H37" s="1492"/>
      <c r="I37" s="1492"/>
      <c r="J37" s="1492"/>
      <c r="K37" s="1492"/>
      <c r="L37" s="1493"/>
      <c r="M37" s="1492"/>
      <c r="N37" s="1492"/>
      <c r="O37" s="1492"/>
      <c r="P37" s="1492"/>
      <c r="Q37" s="1492"/>
      <c r="S37" s="2387" t="s">
        <v>536</v>
      </c>
      <c r="T37" s="2387"/>
      <c r="U37" s="1496"/>
      <c r="V37" s="2388" t="str">
        <f>IF(TITLE_NUMBER_PR_CHANGE="",IF(TITLE_NUMBER_PR="","",TITLE_NUMBER_PR),TITLE_NUMBER_PR_CHANGE)</f>
        <v/>
      </c>
      <c r="W37" s="2388"/>
      <c r="X37" s="2388"/>
      <c r="Y37" s="2388"/>
      <c r="Z37" s="2388"/>
      <c r="AA37" s="2388"/>
      <c r="AB37" s="2388"/>
      <c r="AC37" s="45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450"/>
      <c r="BB37" s="450"/>
      <c r="BC37" s="404"/>
      <c r="BD37" s="492"/>
      <c r="BE37" s="492"/>
      <c r="BF37" s="492"/>
      <c r="BG37" s="492"/>
      <c r="BH37" s="492"/>
      <c r="BI37" s="542">
        <v>0</v>
      </c>
    </row>
    <row s="7787" customFormat="1" customHeight="1" ht="0">
      <c r="A38" s="1492"/>
      <c r="B38" s="1492"/>
      <c r="C38" s="1492"/>
      <c r="D38" s="1492"/>
      <c r="E38" s="1492"/>
      <c r="F38" s="1492"/>
      <c r="G38" s="1492"/>
      <c r="H38" s="1492"/>
      <c r="I38" s="1492"/>
      <c r="J38" s="1492"/>
      <c r="K38" s="1492"/>
      <c r="L38" s="1493"/>
      <c r="M38" s="1492"/>
      <c r="N38" s="1492"/>
      <c r="O38" s="1492"/>
      <c r="P38" s="1492"/>
      <c r="Q38" s="1492"/>
      <c r="S38" s="447"/>
      <c r="T38" s="447"/>
      <c r="U38" s="1612"/>
      <c r="V38" s="450"/>
      <c r="W38" s="450"/>
      <c r="X38" s="450"/>
      <c r="Y38" s="450"/>
      <c r="Z38" s="450"/>
      <c r="AA38" s="450"/>
      <c r="AB38" s="450"/>
      <c r="AC38" s="402" t="s">
        <v>539</v>
      </c>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02" t="s">
        <v>539</v>
      </c>
      <c r="BD38" s="492"/>
      <c r="BE38" s="492"/>
      <c r="BF38" s="492"/>
      <c r="BG38" s="492"/>
      <c r="BH38" s="492"/>
      <c r="BI38" s="542">
        <v>0</v>
      </c>
    </row>
    <row customHeight="1" ht="14.699999999999998">
      <c r="Q39" s="415"/>
      <c r="R39" s="500"/>
      <c r="S39" s="1399"/>
      <c r="T39" s="487"/>
      <c r="U39" s="1368"/>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279">
        <v>14</v>
      </c>
    </row>
    <row customHeight="1" ht="14.699999999999998">
      <c r="Q40" s="415"/>
      <c r="R40" s="500"/>
      <c r="S40" s="2264" t="s">
        <v>412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413</v>
      </c>
      <c r="BI40" s="1279">
        <v>14</v>
      </c>
    </row>
    <row customHeight="1" ht="14.699999999999998">
      <c r="Q41" s="415"/>
      <c r="R41" s="500"/>
      <c r="S41" s="2410" t="s">
        <v>88</v>
      </c>
      <c r="T41" s="2346" t="s">
        <v>619</v>
      </c>
      <c r="U41" s="425"/>
      <c r="V41" s="2411" t="s">
        <v>541</v>
      </c>
      <c r="W41" s="2412"/>
      <c r="X41" s="2412"/>
      <c r="Y41" s="2412"/>
      <c r="Z41" s="2412"/>
      <c r="AA41" s="2412"/>
      <c r="AB41" s="2413"/>
      <c r="AC41" s="2414" t="s">
        <v>542</v>
      </c>
      <c r="AD41" s="2465" t="s">
        <v>636</v>
      </c>
      <c r="AE41" s="2428"/>
      <c r="AF41" s="2428"/>
      <c r="AG41" s="2466"/>
      <c r="AH41" s="2465" t="s">
        <v>637</v>
      </c>
      <c r="AI41" s="2428"/>
      <c r="AJ41" s="2428"/>
      <c r="AK41" s="2466"/>
      <c r="AL41" s="2465" t="s">
        <v>638</v>
      </c>
      <c r="AM41" s="2428"/>
      <c r="AN41" s="2428"/>
      <c r="AO41" s="2466"/>
      <c r="AP41" s="2465" t="s">
        <v>623</v>
      </c>
      <c r="AQ41" s="2428"/>
      <c r="AR41" s="2428"/>
      <c r="AS41" s="2466"/>
      <c r="AT41" s="2411" t="s">
        <v>541</v>
      </c>
      <c r="AU41" s="2412"/>
      <c r="AV41" s="2412"/>
      <c r="AW41" s="2412"/>
      <c r="AX41" s="2412"/>
      <c r="AY41" s="2412"/>
      <c r="AZ41" s="2413"/>
      <c r="BA41" s="2414" t="s">
        <v>542</v>
      </c>
      <c r="BB41" s="2417" t="s">
        <v>544</v>
      </c>
      <c r="BC41" s="2264"/>
      <c r="BI41" s="1279">
        <v>14</v>
      </c>
    </row>
    <row customHeight="1" ht="35.699999999999996">
      <c r="Q42" s="415"/>
      <c r="R42" s="500"/>
      <c r="S42" s="2410"/>
      <c r="T42" s="2346"/>
      <c r="U42" s="1155"/>
      <c r="V42" s="2329" t="s">
        <v>624</v>
      </c>
      <c r="W42" s="2330"/>
      <c r="X42" s="2329" t="s">
        <v>625</v>
      </c>
      <c r="Y42" s="2330"/>
      <c r="Z42" s="2431" t="s">
        <v>626</v>
      </c>
      <c r="AA42" s="2450"/>
      <c r="AB42" s="2451"/>
      <c r="AC42" s="2415"/>
      <c r="AD42" s="2467"/>
      <c r="AE42" s="2468"/>
      <c r="AF42" s="2468"/>
      <c r="AG42" s="2469"/>
      <c r="AH42" s="2467"/>
      <c r="AI42" s="2468"/>
      <c r="AJ42" s="2468"/>
      <c r="AK42" s="2469"/>
      <c r="AL42" s="2467"/>
      <c r="AM42" s="2468"/>
      <c r="AN42" s="2468"/>
      <c r="AO42" s="2469"/>
      <c r="AP42" s="2467"/>
      <c r="AQ42" s="2468"/>
      <c r="AR42" s="2468"/>
      <c r="AS42" s="2469"/>
      <c r="AT42" s="2329" t="s">
        <v>639</v>
      </c>
      <c r="AU42" s="2330"/>
      <c r="AV42" s="2329" t="s">
        <v>640</v>
      </c>
      <c r="AW42" s="2330"/>
      <c r="AX42" s="2431" t="s">
        <v>626</v>
      </c>
      <c r="AY42" s="2450"/>
      <c r="AZ42" s="2451"/>
      <c r="BA42" s="2415"/>
      <c r="BB42" s="2418"/>
      <c r="BC42" s="2264"/>
      <c r="BI42" s="1279">
        <v>34</v>
      </c>
    </row>
    <row customHeight="1" ht="14.699999999999998">
      <c r="Q43" s="415"/>
      <c r="R43" s="500"/>
      <c r="S43" s="2410"/>
      <c r="T43" s="2346"/>
      <c r="U43" s="1155"/>
      <c r="V43" s="2337"/>
      <c r="W43" s="2338"/>
      <c r="X43" s="2337"/>
      <c r="Y43" s="2338"/>
      <c r="Z43" s="2432"/>
      <c r="AA43" s="2452"/>
      <c r="AB43" s="2453"/>
      <c r="AC43" s="2415"/>
      <c r="AD43" s="2467"/>
      <c r="AE43" s="2468"/>
      <c r="AF43" s="2468"/>
      <c r="AG43" s="2469"/>
      <c r="AH43" s="2467"/>
      <c r="AI43" s="2468"/>
      <c r="AJ43" s="2468"/>
      <c r="AK43" s="2469"/>
      <c r="AL43" s="2467"/>
      <c r="AM43" s="2468"/>
      <c r="AN43" s="2468"/>
      <c r="AO43" s="2469"/>
      <c r="AP43" s="2467"/>
      <c r="AQ43" s="2468"/>
      <c r="AR43" s="2468"/>
      <c r="AS43" s="2469"/>
      <c r="AT43" s="2337"/>
      <c r="AU43" s="2338"/>
      <c r="AV43" s="2337"/>
      <c r="AW43" s="2338"/>
      <c r="AX43" s="2432"/>
      <c r="AY43" s="2452"/>
      <c r="AZ43" s="2453"/>
      <c r="BA43" s="2415"/>
      <c r="BB43" s="2418"/>
      <c r="BC43" s="2264"/>
      <c r="BI43" s="1279">
        <v>14</v>
      </c>
    </row>
    <row customHeight="1" ht="14.699999999999998">
      <c r="A44" s="1494"/>
      <c r="B44" s="1494" t="s">
        <v>255</v>
      </c>
      <c r="C44" s="1494" t="s">
        <v>256</v>
      </c>
      <c r="D44" s="1494" t="s">
        <v>257</v>
      </c>
      <c r="E44" s="1488" t="s">
        <v>549</v>
      </c>
      <c r="F44" s="1488" t="s">
        <v>550</v>
      </c>
      <c r="G44" s="1488" t="s">
        <v>551</v>
      </c>
      <c r="H44" s="1488" t="s">
        <v>552</v>
      </c>
      <c r="I44" s="1488" t="s">
        <v>553</v>
      </c>
      <c r="J44" s="1488" t="s">
        <v>554</v>
      </c>
      <c r="K44" s="1488" t="s">
        <v>555</v>
      </c>
      <c r="L44" s="1488" t="s">
        <v>530</v>
      </c>
      <c r="Q44" s="415"/>
      <c r="R44" s="500"/>
      <c r="S44" s="2410"/>
      <c r="T44" s="2346"/>
      <c r="U44" s="426"/>
      <c r="V44" s="1603" t="s">
        <v>590</v>
      </c>
      <c r="W44" s="1603" t="s">
        <v>591</v>
      </c>
      <c r="X44" s="1603" t="s">
        <v>590</v>
      </c>
      <c r="Y44" s="1603" t="s">
        <v>591</v>
      </c>
      <c r="Z44" s="1613" t="s">
        <v>558</v>
      </c>
      <c r="AA44" s="2407" t="s">
        <v>559</v>
      </c>
      <c r="AB44" s="2408"/>
      <c r="AC44" s="2416"/>
      <c r="AD44" s="2470"/>
      <c r="AE44" s="2471"/>
      <c r="AF44" s="2471"/>
      <c r="AG44" s="2472"/>
      <c r="AH44" s="2470"/>
      <c r="AI44" s="2471"/>
      <c r="AJ44" s="2471"/>
      <c r="AK44" s="2472"/>
      <c r="AL44" s="2470"/>
      <c r="AM44" s="2471"/>
      <c r="AN44" s="2471"/>
      <c r="AO44" s="2472"/>
      <c r="AP44" s="2470"/>
      <c r="AQ44" s="2471"/>
      <c r="AR44" s="2471"/>
      <c r="AS44" s="2472"/>
      <c r="AT44" s="1603" t="s">
        <v>590</v>
      </c>
      <c r="AU44" s="1603" t="s">
        <v>591</v>
      </c>
      <c r="AV44" s="1603" t="s">
        <v>590</v>
      </c>
      <c r="AW44" s="1603" t="s">
        <v>591</v>
      </c>
      <c r="AX44" s="1613" t="s">
        <v>558</v>
      </c>
      <c r="AY44" s="2407" t="s">
        <v>559</v>
      </c>
      <c r="AZ44" s="2408"/>
      <c r="BA44" s="2416"/>
      <c r="BB44" s="2419"/>
      <c r="BC44" s="2264"/>
      <c r="BI44" s="1279">
        <v>14</v>
      </c>
    </row>
    <row s="6292" customFormat="1" customHeight="1" ht="11.25" hidden="1">
      <c r="A45" s="1494"/>
      <c r="B45" s="1494"/>
      <c r="C45" s="1494"/>
      <c r="D45" s="1494"/>
      <c r="E45" s="1494"/>
      <c r="F45" s="1494"/>
      <c r="G45" s="1494"/>
      <c r="H45" s="1494"/>
      <c r="I45" s="1494"/>
      <c r="J45" s="1494"/>
      <c r="K45" s="1494"/>
      <c r="L45" s="1488"/>
      <c r="M45" s="1486"/>
      <c r="N45" s="1486"/>
      <c r="O45" s="1486"/>
      <c r="P45" s="634"/>
      <c r="Q45" s="1378"/>
      <c r="R45" s="1378">
        <v>1</v>
      </c>
      <c r="S45" s="1401" t="s">
        <v>210</v>
      </c>
      <c r="T45" s="1379" t="s">
        <v>102</v>
      </c>
      <c r="U45" s="1369" t="str">
        <f>OFFSET(U45,0,-1)</f>
        <v>2</v>
      </c>
      <c r="V45" s="1606">
        <f>OFFSET(V45,0,-1)+1</f>
        <v>3</v>
      </c>
      <c r="W45" s="1606">
        <f>OFFSET(W45,0,-1)+1</f>
        <v>4</v>
      </c>
      <c r="X45" s="1606">
        <f>OFFSET(X45,0,-1)+1</f>
        <v>5</v>
      </c>
      <c r="Y45" s="1606">
        <f>OFFSET(Y45,0,-1)+1</f>
        <v>6</v>
      </c>
      <c r="Z45" s="1606">
        <f>OFFSET(Z45,0,-1)+1</f>
        <v>7</v>
      </c>
      <c r="AA45" s="2409">
        <f>OFFSET(AA45,0,-1)+1</f>
        <v>8</v>
      </c>
      <c r="AB45" s="2409"/>
      <c r="AC45" s="1606">
        <f>OFFSET(AC45,0,-2)+1</f>
        <v>9</v>
      </c>
      <c r="AD45" s="1606">
        <f>OFFSET(AD45,0,-1)+1</f>
        <v>10</v>
      </c>
      <c r="AE45" s="1606"/>
      <c r="AF45" s="1606"/>
      <c r="AG45" s="1606"/>
      <c r="AH45" s="1606"/>
      <c r="AI45" s="1606"/>
      <c r="AJ45" s="1606"/>
      <c r="AK45" s="1606"/>
      <c r="AL45" s="1606"/>
      <c r="AM45" s="1606"/>
      <c r="AN45" s="1606"/>
      <c r="AO45" s="1606"/>
      <c r="AP45" s="1606"/>
      <c r="AQ45" s="1606"/>
      <c r="AR45" s="1606"/>
      <c r="AS45" s="1606"/>
      <c r="AT45" s="1606"/>
      <c r="AU45" s="1606"/>
      <c r="AV45" s="1606"/>
      <c r="AW45" s="1606">
        <f>OFFSET(AW45,0,-1)+1</f>
        <v>1</v>
      </c>
      <c r="AX45" s="1606">
        <f>OFFSET(AX45,0,-1)+1</f>
        <v>2</v>
      </c>
      <c r="AY45" s="2409">
        <f>OFFSET(AY45,0,-1)+1</f>
        <v>3</v>
      </c>
      <c r="AZ45" s="2409"/>
      <c r="BA45" s="1606">
        <f>OFFSET(BA45,0,-2)+1</f>
        <v>4</v>
      </c>
      <c r="BB45" s="1369">
        <f>OFFSET(BB45,0,-1)</f>
        <v>4</v>
      </c>
      <c r="BC45" s="1606">
        <f>OFFSET(BC45,0,-1)+1</f>
        <v>5</v>
      </c>
      <c r="BD45" s="635"/>
      <c r="BE45" s="635"/>
      <c r="BF45" s="635"/>
      <c r="BG45" s="635"/>
      <c r="BH45" s="635"/>
      <c r="BI45" s="620">
        <v>0</v>
      </c>
    </row>
    <row customHeight="1" ht="22.049999999999997">
      <c r="A46" s="1487" t="s">
        <v>388</v>
      </c>
      <c r="B46" s="1487"/>
      <c r="C46" s="1487"/>
      <c r="D46" s="1487"/>
      <c r="E46" s="2395">
        <v>1</v>
      </c>
      <c r="F46" s="1487"/>
      <c r="G46" s="1487"/>
      <c r="H46" s="1487"/>
      <c r="I46" s="1487"/>
      <c r="J46" s="1487"/>
      <c r="K46" s="1487"/>
      <c r="L46" s="1488"/>
      <c r="M46" s="1489"/>
      <c r="N46" s="1489"/>
      <c r="O46" s="1489"/>
      <c r="P46" s="1533"/>
      <c r="Q46" s="997"/>
      <c r="R46" s="479"/>
      <c r="S46" s="1617">
        <f>INDEX(PT_DIFFERENTIATION_NUM_NTAR,MATCH(A46,PT_DIFFERENTIATION_NTAR_ID,0))</f>
        <v>0</v>
      </c>
      <c r="T46" s="422" t="s">
        <v>243</v>
      </c>
      <c r="U46" s="424"/>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24"/>
      <c r="BF46" s="624" t="str">
        <f>IF(T46="","",T46)</f>
        <v>Наименование тарифа</v>
      </c>
      <c r="BG46" s="624"/>
      <c r="BH46" s="624"/>
      <c r="BI46" s="1279">
        <v>21</v>
      </c>
    </row>
    <row customHeight="1" ht="22.049999999999997">
      <c r="A47" s="1487" t="s">
        <v>388</v>
      </c>
      <c r="B47" s="1487" t="s">
        <v>389</v>
      </c>
      <c r="C47" s="1487"/>
      <c r="D47" s="1487"/>
      <c r="E47" s="2396"/>
      <c r="F47" s="2395">
        <v>1</v>
      </c>
      <c r="G47" s="1487"/>
      <c r="H47" s="1487"/>
      <c r="I47" s="1487"/>
      <c r="J47" s="1487"/>
      <c r="K47" s="1487"/>
      <c r="L47" s="1488"/>
      <c r="M47" s="1489"/>
      <c r="N47" s="1489"/>
      <c r="O47" s="1489"/>
      <c r="P47" s="1534"/>
      <c r="Q47" s="1535"/>
      <c r="R47" s="477"/>
      <c r="S47" s="1617" t="str">
        <f>INDEX(PT_DIFFERENTIATION_NUM_TER,MATCH(B47,PT_DIFFERENTIATION_TER_ID,0))</f>
        <v>.</v>
      </c>
      <c r="T47" s="432" t="s">
        <v>509</v>
      </c>
      <c r="U47" s="424"/>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382" t="s">
        <v>510</v>
      </c>
      <c r="BE47" s="624"/>
      <c r="BF47" s="624" t="str">
        <f>IF(T47="","",T47)</f>
        <v>Территория действия тарифа</v>
      </c>
      <c r="BG47" s="624"/>
      <c r="BH47" s="624"/>
      <c r="BI47" s="1279">
        <v>21</v>
      </c>
    </row>
    <row customHeight="1" ht="35.699999999999996">
      <c r="A48" s="1487" t="s">
        <v>388</v>
      </c>
      <c r="B48" s="1487" t="s">
        <v>389</v>
      </c>
      <c r="C48" s="1487" t="s">
        <v>390</v>
      </c>
      <c r="D48" s="1487"/>
      <c r="E48" s="2396"/>
      <c r="F48" s="2396"/>
      <c r="G48" s="2395">
        <v>1</v>
      </c>
      <c r="H48" s="1487"/>
      <c r="I48" s="1487"/>
      <c r="J48" s="1487"/>
      <c r="K48" s="1487"/>
      <c r="L48" s="1488"/>
      <c r="M48" s="1489"/>
      <c r="N48" s="1489"/>
      <c r="O48" s="1489"/>
      <c r="P48" s="1536"/>
      <c r="Q48" s="1535"/>
      <c r="R48" s="477"/>
      <c r="S48" s="1617" t="str">
        <f>INDEX(PT_DIFFERENTIATION_NUM_CS,MATCH(C48,PT_DIFFERENTIATION_CS_ID,0))</f>
        <v>..</v>
      </c>
      <c r="T48" s="433" t="s">
        <v>628</v>
      </c>
      <c r="U48" s="424"/>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382" t="s">
        <v>629</v>
      </c>
      <c r="BE48" s="624"/>
      <c r="BF48" s="624" t="str">
        <f>IF(T48="","",T48)</f>
        <v>Наименование централизованной системы водоотведения</v>
      </c>
      <c r="BG48" s="624"/>
      <c r="BH48" s="624"/>
      <c r="BI48" s="1279">
        <v>34</v>
      </c>
    </row>
    <row s="6698" customFormat="1" customHeight="1" ht="0">
      <c r="A49" s="1467" t="s">
        <v>388</v>
      </c>
      <c r="B49" s="1467" t="s">
        <v>389</v>
      </c>
      <c r="C49" s="1467" t="s">
        <v>390</v>
      </c>
      <c r="D49" s="1467" t="s">
        <v>641</v>
      </c>
      <c r="E49" s="2396"/>
      <c r="F49" s="2396"/>
      <c r="G49" s="2396"/>
      <c r="H49" s="2395">
        <v>1</v>
      </c>
      <c r="I49" s="1467"/>
      <c r="J49" s="1467"/>
      <c r="K49" s="1467"/>
      <c r="L49" s="1470"/>
      <c r="M49" s="1439"/>
      <c r="N49" s="1439"/>
      <c r="O49" s="1439"/>
      <c r="P49" s="1621"/>
      <c r="Q49" s="1622"/>
      <c r="R49" s="481"/>
      <c r="S49" s="1166"/>
      <c r="T49" s="1623"/>
      <c r="U49" s="1508"/>
      <c r="V49" s="2434"/>
      <c r="W49" s="2434"/>
      <c r="X49" s="2434"/>
      <c r="Y49" s="2434"/>
      <c r="Z49" s="2434"/>
      <c r="AA49" s="2434"/>
      <c r="AB49" s="2434"/>
      <c r="AC49" s="2435"/>
      <c r="AD49" s="2433"/>
      <c r="AE49" s="2434"/>
      <c r="AF49" s="2434"/>
      <c r="AG49" s="2434"/>
      <c r="AH49" s="2434"/>
      <c r="AI49" s="2434"/>
      <c r="AJ49" s="2434"/>
      <c r="AK49" s="2434"/>
      <c r="AL49" s="2434"/>
      <c r="AM49" s="2434"/>
      <c r="AN49" s="2434"/>
      <c r="AO49" s="2434"/>
      <c r="AP49" s="2434"/>
      <c r="AQ49" s="2434"/>
      <c r="AR49" s="2434"/>
      <c r="AS49" s="2434"/>
      <c r="AT49" s="2434"/>
      <c r="AU49" s="2434"/>
      <c r="AV49" s="2434"/>
      <c r="AW49" s="2434"/>
      <c r="AX49" s="2434"/>
      <c r="AY49" s="2434"/>
      <c r="AZ49" s="2434"/>
      <c r="BA49" s="2434"/>
      <c r="BB49" s="2435"/>
      <c r="BC49" s="1509" t="s">
        <v>514</v>
      </c>
      <c r="BE49" s="624"/>
      <c r="BF49" s="624" t="str">
        <f>IF(T49="","",T49)</f>
        <v/>
      </c>
      <c r="BG49" s="624"/>
      <c r="BH49" s="624"/>
      <c r="BI49" s="635">
        <v>0</v>
      </c>
    </row>
    <row s="6698" customFormat="1" customHeight="1" ht="0">
      <c r="A50" s="1467" t="s">
        <v>388</v>
      </c>
      <c r="B50" s="1467" t="s">
        <v>389</v>
      </c>
      <c r="C50" s="1467" t="s">
        <v>390</v>
      </c>
      <c r="D50" s="1467" t="s">
        <v>641</v>
      </c>
      <c r="E50" s="2396"/>
      <c r="F50" s="2396"/>
      <c r="G50" s="2396"/>
      <c r="H50" s="2396"/>
      <c r="I50" s="2393" t="str">
        <f>S49&amp;".1"</f>
        <v>.1</v>
      </c>
      <c r="J50" s="1467"/>
      <c r="K50" s="1467"/>
      <c r="L50" s="1470" t="s">
        <v>515</v>
      </c>
      <c r="M50" s="634"/>
      <c r="N50" s="634"/>
      <c r="O50" s="634"/>
      <c r="P50" s="2394">
        <v>1</v>
      </c>
      <c r="Q50" s="1605"/>
      <c r="R50" s="480"/>
      <c r="S50" s="1166"/>
      <c r="T50" s="1507"/>
      <c r="U50" s="1508"/>
      <c r="V50" s="2434"/>
      <c r="W50" s="2434"/>
      <c r="X50" s="2434"/>
      <c r="Y50" s="2434"/>
      <c r="Z50" s="2434"/>
      <c r="AA50" s="2434"/>
      <c r="AB50" s="2434"/>
      <c r="AC50" s="2435"/>
      <c r="AD50" s="2433"/>
      <c r="AE50" s="2434"/>
      <c r="AF50" s="2434"/>
      <c r="AG50" s="2434"/>
      <c r="AH50" s="2434"/>
      <c r="AI50" s="2434"/>
      <c r="AJ50" s="2434"/>
      <c r="AK50" s="2434"/>
      <c r="AL50" s="2434"/>
      <c r="AM50" s="2434"/>
      <c r="AN50" s="2434"/>
      <c r="AO50" s="2434"/>
      <c r="AP50" s="2434"/>
      <c r="AQ50" s="2434"/>
      <c r="AR50" s="2434"/>
      <c r="AS50" s="2434"/>
      <c r="AT50" s="2434"/>
      <c r="AU50" s="2434"/>
      <c r="AV50" s="2434"/>
      <c r="AW50" s="2434"/>
      <c r="AX50" s="2434"/>
      <c r="AY50" s="2434"/>
      <c r="AZ50" s="2434"/>
      <c r="BA50" s="2434"/>
      <c r="BB50" s="2435"/>
      <c r="BC50" s="1509"/>
      <c r="BE50" s="624"/>
      <c r="BF50" s="624" t="str">
        <f>IF(T50="","",T50)</f>
        <v/>
      </c>
      <c r="BG50" s="624"/>
      <c r="BH50" s="624"/>
      <c r="BI50" s="635">
        <v>0</v>
      </c>
    </row>
    <row s="6698" customFormat="1" customHeight="1" ht="0">
      <c r="A51" s="1467" t="s">
        <v>388</v>
      </c>
      <c r="B51" s="1467" t="s">
        <v>389</v>
      </c>
      <c r="C51" s="1467" t="s">
        <v>390</v>
      </c>
      <c r="D51" s="1467" t="s">
        <v>641</v>
      </c>
      <c r="E51" s="2396"/>
      <c r="F51" s="2396"/>
      <c r="G51" s="2396"/>
      <c r="H51" s="2396"/>
      <c r="I51" s="2423"/>
      <c r="J51" s="2393" t="str">
        <f>S49&amp;".1"</f>
        <v>.1</v>
      </c>
      <c r="K51" s="1467"/>
      <c r="L51" s="1470"/>
      <c r="M51" s="634"/>
      <c r="N51" s="634"/>
      <c r="O51" s="634"/>
      <c r="P51" s="2394"/>
      <c r="Q51" s="2394">
        <v>1</v>
      </c>
      <c r="R51" s="481"/>
      <c r="S51" s="1166"/>
      <c r="T51" s="1523"/>
      <c r="U51" s="1508"/>
      <c r="V51" s="2434"/>
      <c r="W51" s="2434"/>
      <c r="X51" s="2434"/>
      <c r="Y51" s="2434"/>
      <c r="Z51" s="2434"/>
      <c r="AA51" s="2434"/>
      <c r="AB51" s="2434"/>
      <c r="AC51" s="2435"/>
      <c r="AD51" s="2433"/>
      <c r="AE51" s="2434"/>
      <c r="AF51" s="2434"/>
      <c r="AG51" s="2434"/>
      <c r="AH51" s="2434"/>
      <c r="AI51" s="2434"/>
      <c r="AJ51" s="2434"/>
      <c r="AK51" s="2434"/>
      <c r="AL51" s="2434"/>
      <c r="AM51" s="2434"/>
      <c r="AN51" s="2501"/>
      <c r="AO51" s="2501"/>
      <c r="AP51" s="2434"/>
      <c r="AQ51" s="2434"/>
      <c r="AR51" s="2434"/>
      <c r="AS51" s="2434"/>
      <c r="AT51" s="2434"/>
      <c r="AU51" s="2434"/>
      <c r="AV51" s="2434"/>
      <c r="AW51" s="2434"/>
      <c r="AX51" s="2434"/>
      <c r="AY51" s="2434"/>
      <c r="AZ51" s="2434"/>
      <c r="BA51" s="2434"/>
      <c r="BB51" s="2435"/>
      <c r="BC51" s="1509"/>
      <c r="BE51" s="624"/>
      <c r="BF51" s="624" t="str">
        <f>IF(T51="","",T51)</f>
        <v/>
      </c>
      <c r="BG51" s="624"/>
      <c r="BH51" s="624"/>
      <c r="BI51" s="635">
        <v>0</v>
      </c>
    </row>
    <row customHeight="1" ht="11.549999999999999">
      <c r="A52" s="1487" t="s">
        <v>388</v>
      </c>
      <c r="B52" s="1487" t="s">
        <v>389</v>
      </c>
      <c r="C52" s="1487" t="s">
        <v>390</v>
      </c>
      <c r="D52" s="1487" t="s">
        <v>641</v>
      </c>
      <c r="E52" s="2396"/>
      <c r="F52" s="2396"/>
      <c r="G52" s="2396"/>
      <c r="H52" s="2396"/>
      <c r="I52" s="2423"/>
      <c r="J52" s="2423"/>
      <c r="K52" s="2393" t="str">
        <f>S48&amp;".1"</f>
        <v>...1</v>
      </c>
      <c r="L52" s="1488"/>
      <c r="P52" s="2394"/>
      <c r="Q52" s="2394"/>
      <c r="R52" s="481">
        <v>1</v>
      </c>
      <c r="S52" s="2478" t="str">
        <f>$K52</f>
        <v>...1</v>
      </c>
      <c r="T52" s="2497"/>
      <c r="U52" s="424"/>
      <c r="V52" s="875"/>
      <c r="W52" s="1381"/>
      <c r="X52" s="875"/>
      <c r="Y52" s="1381"/>
      <c r="Z52" s="1857"/>
      <c r="AA52" s="1593" t="s">
        <v>62</v>
      </c>
      <c r="AB52" s="1857"/>
      <c r="AC52" s="1593" t="s">
        <v>62</v>
      </c>
      <c r="AD52" s="2322" t="s">
        <v>62</v>
      </c>
      <c r="AE52" s="2463"/>
      <c r="AF52" s="2342">
        <v>1</v>
      </c>
      <c r="AG52" s="2500"/>
      <c r="AH52" s="2244" t="s">
        <v>62</v>
      </c>
      <c r="AI52" s="2463"/>
      <c r="AJ52" s="2342">
        <v>1</v>
      </c>
      <c r="AK52" s="2464" t="s">
        <v>22</v>
      </c>
      <c r="AL52" s="2244" t="s">
        <v>62</v>
      </c>
      <c r="AM52" s="2329"/>
      <c r="AN52" s="2342">
        <v>1</v>
      </c>
      <c r="AO52" s="2494"/>
      <c r="AP52" s="2495" t="s">
        <v>62</v>
      </c>
      <c r="AQ52" s="435"/>
      <c r="AR52" s="1610">
        <v>1</v>
      </c>
      <c r="AS52" s="1616" t="s">
        <v>22</v>
      </c>
      <c r="AT52" s="875"/>
      <c r="AU52" s="1381"/>
      <c r="AV52" s="875"/>
      <c r="AW52" s="1381"/>
      <c r="AX52" s="1857"/>
      <c r="AY52" s="1593" t="s">
        <v>62</v>
      </c>
      <c r="AZ52" s="1857"/>
      <c r="BA52" s="1593" t="s">
        <v>62</v>
      </c>
      <c r="BB52" s="1472"/>
      <c r="BC52" s="2390" t="s">
        <v>613</v>
      </c>
      <c r="BE52" s="624"/>
      <c r="BF52" s="624" t="str">
        <f>IF(T52="","",T52)</f>
        <v/>
      </c>
      <c r="BG52" s="624"/>
      <c r="BH52" s="624"/>
      <c r="BI52" s="1279">
        <v>11</v>
      </c>
    </row>
    <row customHeight="1" ht="11.549999999999999">
      <c r="A53" s="1487"/>
      <c r="B53" s="1487"/>
      <c r="C53" s="1487"/>
      <c r="D53" s="1487"/>
      <c r="E53" s="2396"/>
      <c r="F53" s="2396"/>
      <c r="G53" s="2396"/>
      <c r="H53" s="2396"/>
      <c r="I53" s="2423"/>
      <c r="J53" s="2423"/>
      <c r="K53" s="2393"/>
      <c r="L53" s="1488"/>
      <c r="P53" s="2394"/>
      <c r="Q53" s="2394"/>
      <c r="R53" s="481"/>
      <c r="S53" s="2479"/>
      <c r="T53" s="2498"/>
      <c r="U53" s="424"/>
      <c r="V53" s="1517"/>
      <c r="W53" s="1620"/>
      <c r="X53" s="1517"/>
      <c r="Y53" s="1620"/>
      <c r="Z53" s="1517"/>
      <c r="AA53" s="1517"/>
      <c r="AB53" s="1517"/>
      <c r="AC53" s="1517"/>
      <c r="AD53" s="2323"/>
      <c r="AE53" s="2463"/>
      <c r="AF53" s="2342"/>
      <c r="AG53" s="2500"/>
      <c r="AH53" s="2244"/>
      <c r="AI53" s="2463"/>
      <c r="AJ53" s="2342"/>
      <c r="AK53" s="2464"/>
      <c r="AL53" s="2244"/>
      <c r="AM53" s="2337"/>
      <c r="AN53" s="2342"/>
      <c r="AO53" s="2494"/>
      <c r="AP53" s="2496"/>
      <c r="AQ53" s="440"/>
      <c r="AR53" s="540"/>
      <c r="AS53" s="540" t="s">
        <v>614</v>
      </c>
      <c r="AT53" s="1517"/>
      <c r="AU53" s="1620"/>
      <c r="AV53" s="1517"/>
      <c r="AW53" s="1620"/>
      <c r="AX53" s="1517"/>
      <c r="AY53" s="1517"/>
      <c r="AZ53" s="1517"/>
      <c r="BA53" s="1517"/>
      <c r="BB53" s="1521"/>
      <c r="BC53" s="2391"/>
      <c r="BE53" s="624"/>
      <c r="BF53" s="624"/>
      <c r="BG53" s="624"/>
      <c r="BH53" s="624"/>
      <c r="BI53" s="1279">
        <v>11</v>
      </c>
    </row>
    <row customHeight="1" ht="11.549999999999999">
      <c r="A54" s="1487" t="s">
        <v>388</v>
      </c>
      <c r="B54" s="1487"/>
      <c r="C54" s="1487"/>
      <c r="D54" s="1487"/>
      <c r="E54" s="2396"/>
      <c r="F54" s="2396"/>
      <c r="G54" s="2396"/>
      <c r="H54" s="2396"/>
      <c r="I54" s="2423"/>
      <c r="J54" s="2423"/>
      <c r="K54" s="2393"/>
      <c r="L54" s="1488"/>
      <c r="P54" s="2394"/>
      <c r="Q54" s="2394"/>
      <c r="R54" s="481"/>
      <c r="S54" s="2479"/>
      <c r="T54" s="2498"/>
      <c r="U54" s="424"/>
      <c r="V54" s="1517"/>
      <c r="W54" s="1620"/>
      <c r="X54" s="1517"/>
      <c r="Y54" s="1620"/>
      <c r="Z54" s="1517"/>
      <c r="AA54" s="1517"/>
      <c r="AB54" s="1517"/>
      <c r="AC54" s="1517"/>
      <c r="AD54" s="2323"/>
      <c r="AE54" s="2463"/>
      <c r="AF54" s="2342"/>
      <c r="AG54" s="2500"/>
      <c r="AH54" s="2244"/>
      <c r="AI54" s="2463"/>
      <c r="AJ54" s="2342"/>
      <c r="AK54" s="2464"/>
      <c r="AL54" s="2244"/>
      <c r="AM54" s="440"/>
      <c r="AN54" s="1624"/>
      <c r="AO54" s="1624" t="s">
        <v>634</v>
      </c>
      <c r="AP54" s="540"/>
      <c r="AQ54" s="540"/>
      <c r="AR54" s="540"/>
      <c r="AS54" s="1517"/>
      <c r="AT54" s="1517"/>
      <c r="AU54" s="1620"/>
      <c r="AV54" s="1517"/>
      <c r="AW54" s="1620"/>
      <c r="AX54" s="1517"/>
      <c r="AY54" s="1517"/>
      <c r="AZ54" s="1517"/>
      <c r="BA54" s="1517"/>
      <c r="BB54" s="1521"/>
      <c r="BC54" s="2391"/>
      <c r="BE54" s="624"/>
      <c r="BF54" s="624"/>
      <c r="BG54" s="624"/>
      <c r="BH54" s="624"/>
      <c r="BI54" s="1279">
        <v>11</v>
      </c>
    </row>
    <row customHeight="1" ht="11.549999999999999">
      <c r="A55" s="1487" t="s">
        <v>388</v>
      </c>
      <c r="B55" s="1487"/>
      <c r="C55" s="1487"/>
      <c r="D55" s="1487"/>
      <c r="E55" s="2396"/>
      <c r="F55" s="2396"/>
      <c r="G55" s="2396"/>
      <c r="H55" s="2396"/>
      <c r="I55" s="2423"/>
      <c r="J55" s="2423"/>
      <c r="K55" s="2393"/>
      <c r="L55" s="1488"/>
      <c r="P55" s="2394"/>
      <c r="Q55" s="2394"/>
      <c r="R55" s="481"/>
      <c r="S55" s="2479"/>
      <c r="T55" s="2498"/>
      <c r="U55" s="424"/>
      <c r="V55" s="1517"/>
      <c r="W55" s="1620"/>
      <c r="X55" s="1517"/>
      <c r="Y55" s="1620"/>
      <c r="Z55" s="1517"/>
      <c r="AA55" s="1517"/>
      <c r="AB55" s="1517"/>
      <c r="AC55" s="1517"/>
      <c r="AD55" s="2323"/>
      <c r="AE55" s="2463"/>
      <c r="AF55" s="2342"/>
      <c r="AG55" s="2500"/>
      <c r="AH55" s="2244"/>
      <c r="AI55" s="418"/>
      <c r="AJ55" s="539"/>
      <c r="AK55" s="437" t="s">
        <v>635</v>
      </c>
      <c r="AL55" s="1517"/>
      <c r="AM55" s="1517"/>
      <c r="AN55" s="1517"/>
      <c r="AO55" s="1517"/>
      <c r="AP55" s="1517"/>
      <c r="AQ55" s="1517"/>
      <c r="AR55" s="1517"/>
      <c r="AS55" s="1517"/>
      <c r="AT55" s="1517"/>
      <c r="AU55" s="1620"/>
      <c r="AV55" s="1517"/>
      <c r="AW55" s="1620"/>
      <c r="AX55" s="1517"/>
      <c r="AY55" s="1517"/>
      <c r="AZ55" s="1517"/>
      <c r="BA55" s="1517"/>
      <c r="BB55" s="1521"/>
      <c r="BC55" s="2391"/>
      <c r="BE55" s="624"/>
      <c r="BF55" s="624"/>
      <c r="BG55" s="624"/>
      <c r="BH55" s="624"/>
      <c r="BI55" s="1279">
        <v>11</v>
      </c>
    </row>
    <row customHeight="1" ht="11.549999999999999">
      <c r="A56" s="1487" t="s">
        <v>388</v>
      </c>
      <c r="B56" s="1487" t="s">
        <v>389</v>
      </c>
      <c r="C56" s="1487" t="s">
        <v>390</v>
      </c>
      <c r="D56" s="1487" t="s">
        <v>641</v>
      </c>
      <c r="E56" s="2396"/>
      <c r="F56" s="2396"/>
      <c r="G56" s="2396"/>
      <c r="H56" s="2396"/>
      <c r="I56" s="2423"/>
      <c r="J56" s="2423"/>
      <c r="K56" s="2393"/>
      <c r="L56" s="1488"/>
      <c r="P56" s="2394"/>
      <c r="Q56" s="2394"/>
      <c r="R56" s="481"/>
      <c r="S56" s="2480"/>
      <c r="T56" s="2499"/>
      <c r="U56" s="424"/>
      <c r="V56" s="1517"/>
      <c r="W56" s="1518" t="str">
        <f>Z52&amp;"-"&amp;AB52</f>
        <v>-</v>
      </c>
      <c r="X56" s="1517"/>
      <c r="Y56" s="1518" t="str">
        <f>AB52&amp;"-"&amp;AD52</f>
        <v>-да</v>
      </c>
      <c r="Z56" s="1517"/>
      <c r="AA56" s="1517"/>
      <c r="AB56" s="1517"/>
      <c r="AC56" s="1517"/>
      <c r="AD56" s="2249"/>
      <c r="AE56" s="436"/>
      <c r="AF56" s="438"/>
      <c r="AG56" s="540" t="s">
        <v>617</v>
      </c>
      <c r="AH56" s="1517"/>
      <c r="AI56" s="1517"/>
      <c r="AJ56" s="1517"/>
      <c r="AK56" s="1517"/>
      <c r="AL56" s="1517"/>
      <c r="AM56" s="1517"/>
      <c r="AN56" s="1517"/>
      <c r="AO56" s="1517"/>
      <c r="AP56" s="1517"/>
      <c r="AQ56" s="1517"/>
      <c r="AR56" s="1517"/>
      <c r="AS56" s="1517"/>
      <c r="AT56" s="1517"/>
      <c r="AU56" s="1518" t="str">
        <f>AX52&amp;"-"&amp;AZ52</f>
        <v>-</v>
      </c>
      <c r="AV56" s="1517"/>
      <c r="AW56" s="1518" t="str">
        <f>AZ52&amp;"-"&amp;BB52</f>
        <v>-</v>
      </c>
      <c r="AX56" s="1517"/>
      <c r="AY56" s="1517"/>
      <c r="AZ56" s="1517"/>
      <c r="BA56" s="1517"/>
      <c r="BB56" s="1520" t="str">
        <f>BE52&amp;"-"&amp;BG52</f>
        <v>-</v>
      </c>
      <c r="BC56" s="2391"/>
      <c r="BE56" s="624"/>
      <c r="BF56" s="624" t="str">
        <f>IF(T56="","",T56)</f>
        <v/>
      </c>
      <c r="BG56" s="624"/>
      <c r="BH56" s="624"/>
      <c r="BI56" s="1279">
        <v>11</v>
      </c>
    </row>
    <row customHeight="1" ht="11.549999999999999">
      <c r="A57" s="1487" t="s">
        <v>388</v>
      </c>
      <c r="B57" s="1487" t="s">
        <v>389</v>
      </c>
      <c r="C57" s="1487" t="s">
        <v>390</v>
      </c>
      <c r="D57" s="1487" t="s">
        <v>641</v>
      </c>
      <c r="E57" s="2396"/>
      <c r="F57" s="2396"/>
      <c r="G57" s="2396"/>
      <c r="H57" s="2396"/>
      <c r="I57" s="2423"/>
      <c r="J57" s="2393"/>
      <c r="K57" s="1487"/>
      <c r="L57" s="1488"/>
      <c r="P57" s="2394"/>
      <c r="Q57" s="2394"/>
      <c r="R57" s="480"/>
      <c r="S57" s="1402"/>
      <c r="T57" s="411" t="s">
        <v>580</v>
      </c>
      <c r="U57" s="491"/>
      <c r="V57" s="491"/>
      <c r="W57" s="491"/>
      <c r="X57" s="491"/>
      <c r="Y57" s="491"/>
      <c r="Z57" s="491"/>
      <c r="AA57" s="491"/>
      <c r="AB57" s="491"/>
      <c r="AC57" s="448"/>
      <c r="AD57" s="1629"/>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48"/>
      <c r="BC57" s="2392"/>
      <c r="BE57" s="624"/>
      <c r="BF57" s="624" t="str">
        <f>IF(T57="","",T57)</f>
        <v>Добавить строку</v>
      </c>
      <c r="BG57" s="624"/>
      <c r="BH57" s="624"/>
      <c r="BI57" s="1279">
        <v>11</v>
      </c>
    </row>
    <row s="6698" customFormat="1" customHeight="1" ht="0">
      <c r="A58" s="1467" t="s">
        <v>388</v>
      </c>
      <c r="B58" s="1467" t="s">
        <v>389</v>
      </c>
      <c r="C58" s="1467" t="s">
        <v>390</v>
      </c>
      <c r="D58" s="1467" t="s">
        <v>641</v>
      </c>
      <c r="E58" s="2396"/>
      <c r="F58" s="2396"/>
      <c r="G58" s="2396"/>
      <c r="H58" s="2396"/>
      <c r="I58" s="2393"/>
      <c r="J58" s="1467"/>
      <c r="K58" s="1467"/>
      <c r="L58" s="1470"/>
      <c r="M58" s="634"/>
      <c r="N58" s="634"/>
      <c r="O58" s="634"/>
      <c r="P58" s="2394"/>
      <c r="Q58" s="1605"/>
      <c r="R58" s="480"/>
      <c r="S58" s="1510"/>
      <c r="T58" s="1511"/>
      <c r="U58" s="1512"/>
      <c r="V58" s="1512"/>
      <c r="W58" s="1512"/>
      <c r="X58" s="1512"/>
      <c r="Y58" s="1512"/>
      <c r="Z58" s="1512"/>
      <c r="AA58" s="1512"/>
      <c r="AB58" s="1512"/>
      <c r="AC58" s="1512"/>
      <c r="AD58" s="1512"/>
      <c r="AE58" s="1512"/>
      <c r="AF58" s="1512"/>
      <c r="AG58" s="1512"/>
      <c r="AH58" s="1512"/>
      <c r="AI58" s="1512"/>
      <c r="AJ58" s="1512"/>
      <c r="AK58" s="1512"/>
      <c r="AL58" s="1512"/>
      <c r="AM58" s="1512"/>
      <c r="AN58" s="1512"/>
      <c r="AO58" s="1512"/>
      <c r="AP58" s="1512"/>
      <c r="AQ58" s="1512"/>
      <c r="AR58" s="1512"/>
      <c r="AS58" s="1512"/>
      <c r="AT58" s="1512"/>
      <c r="AU58" s="1512"/>
      <c r="AV58" s="1512"/>
      <c r="AW58" s="1512"/>
      <c r="AX58" s="1512"/>
      <c r="AY58" s="1512"/>
      <c r="AZ58" s="1512"/>
      <c r="BA58" s="1512"/>
      <c r="BB58" s="1512"/>
      <c r="BC58" s="1513"/>
      <c r="BE58" s="624"/>
      <c r="BF58" s="624" t="str">
        <f>IF(T58="","",T58)</f>
        <v/>
      </c>
      <c r="BG58" s="624"/>
      <c r="BH58" s="624"/>
      <c r="BI58" s="635">
        <v>0</v>
      </c>
    </row>
    <row s="6698" customFormat="1" customHeight="1" ht="0">
      <c r="A59" s="1467" t="s">
        <v>388</v>
      </c>
      <c r="B59" s="1467" t="s">
        <v>389</v>
      </c>
      <c r="C59" s="1467" t="s">
        <v>390</v>
      </c>
      <c r="D59" s="1467" t="s">
        <v>641</v>
      </c>
      <c r="E59" s="2396"/>
      <c r="F59" s="2396"/>
      <c r="G59" s="2396"/>
      <c r="H59" s="2395"/>
      <c r="I59" s="1467"/>
      <c r="J59" s="1467"/>
      <c r="K59" s="1467"/>
      <c r="L59" s="1470"/>
      <c r="M59" s="1439"/>
      <c r="N59" s="1439"/>
      <c r="O59" s="642"/>
      <c r="P59" s="504"/>
      <c r="Q59" s="1468"/>
      <c r="R59" s="1525"/>
      <c r="S59" s="1510"/>
      <c r="T59" s="1511"/>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c r="BB59" s="1512"/>
      <c r="BC59" s="1513"/>
      <c r="BE59" s="624"/>
      <c r="BF59" s="624" t="str">
        <f>IF(T59="","",T59)</f>
        <v/>
      </c>
      <c r="BG59" s="624"/>
      <c r="BH59" s="624"/>
      <c r="BI59" s="635">
        <v>0</v>
      </c>
    </row>
    <row s="6698" customFormat="1" customHeight="1" ht="0">
      <c r="A60" s="1467" t="s">
        <v>388</v>
      </c>
      <c r="B60" s="1467" t="s">
        <v>389</v>
      </c>
      <c r="C60" s="1467" t="s">
        <v>390</v>
      </c>
      <c r="D60" s="1438"/>
      <c r="E60" s="2396"/>
      <c r="F60" s="2396"/>
      <c r="G60" s="2395"/>
      <c r="H60" s="1438"/>
      <c r="I60" s="1438"/>
      <c r="J60" s="1438"/>
      <c r="K60" s="1438"/>
      <c r="L60" s="1618"/>
      <c r="M60" s="1439"/>
      <c r="N60" s="1439"/>
      <c r="P60" s="1440"/>
      <c r="Q60" s="1441"/>
      <c r="R60" s="1440"/>
      <c r="S60" s="1446"/>
      <c r="T60" s="1449"/>
      <c r="U60" s="1448"/>
      <c r="V60" s="1448"/>
      <c r="W60" s="1448"/>
      <c r="X60" s="1448"/>
      <c r="Y60" s="1448"/>
      <c r="Z60" s="1448"/>
      <c r="AA60" s="1448"/>
      <c r="AB60" s="1448"/>
      <c r="AC60" s="1448"/>
      <c r="AD60" s="1448"/>
      <c r="AE60" s="1448"/>
      <c r="AF60" s="1448"/>
      <c r="AG60" s="1448"/>
      <c r="AH60" s="1448"/>
      <c r="AI60" s="1448"/>
      <c r="AJ60" s="1448"/>
      <c r="AK60" s="1448"/>
      <c r="AL60" s="1448"/>
      <c r="AM60" s="1448"/>
      <c r="AN60" s="1448"/>
      <c r="AO60" s="1448"/>
      <c r="AP60" s="1448"/>
      <c r="AQ60" s="1448"/>
      <c r="AR60" s="1448"/>
      <c r="AS60" s="1448"/>
      <c r="AT60" s="1448"/>
      <c r="AU60" s="1448"/>
      <c r="AV60" s="1448"/>
      <c r="AW60" s="1448"/>
      <c r="AX60" s="1448"/>
      <c r="AY60" s="1448"/>
      <c r="AZ60" s="1448"/>
      <c r="BA60" s="1448"/>
      <c r="BB60" s="1448"/>
      <c r="BC60" s="1448"/>
      <c r="BE60" s="913"/>
      <c r="BF60" s="913" t="str">
        <f>IF(T60="","",T60)</f>
        <v/>
      </c>
      <c r="BG60" s="913"/>
      <c r="BH60" s="913"/>
      <c r="BI60" s="642">
        <v>0</v>
      </c>
    </row>
    <row s="6698" customFormat="1" customHeight="1" ht="0">
      <c r="A61" s="1467" t="s">
        <v>388</v>
      </c>
      <c r="B61" s="1467" t="s">
        <v>389</v>
      </c>
      <c r="C61" s="1438"/>
      <c r="D61" s="1438"/>
      <c r="E61" s="2396"/>
      <c r="F61" s="2395"/>
      <c r="G61" s="1438"/>
      <c r="H61" s="1438"/>
      <c r="I61" s="1438"/>
      <c r="J61" s="1438"/>
      <c r="K61" s="1438"/>
      <c r="L61" s="1618"/>
      <c r="M61" s="1445"/>
      <c r="N61" s="1445"/>
      <c r="P61" s="1440"/>
      <c r="Q61" s="1441"/>
      <c r="R61" s="1440"/>
      <c r="S61" s="1446"/>
      <c r="T61" s="1449" t="s">
        <v>527</v>
      </c>
      <c r="U61" s="1448"/>
      <c r="V61" s="1448"/>
      <c r="W61" s="1448"/>
      <c r="X61" s="1448"/>
      <c r="Y61" s="1448"/>
      <c r="Z61" s="1448"/>
      <c r="AA61" s="1448"/>
      <c r="AB61" s="1448"/>
      <c r="AC61" s="1448"/>
      <c r="AD61" s="1448"/>
      <c r="AE61" s="1448"/>
      <c r="AF61" s="1448"/>
      <c r="AG61" s="1448"/>
      <c r="AH61" s="1448"/>
      <c r="AI61" s="1448"/>
      <c r="AJ61" s="1448"/>
      <c r="AK61" s="1448"/>
      <c r="AL61" s="1448"/>
      <c r="AM61" s="1448"/>
      <c r="AN61" s="1448"/>
      <c r="AO61" s="1448"/>
      <c r="AP61" s="1448"/>
      <c r="AQ61" s="1448"/>
      <c r="AR61" s="1448"/>
      <c r="AS61" s="1448"/>
      <c r="AT61" s="1448"/>
      <c r="AU61" s="1448"/>
      <c r="AV61" s="1448"/>
      <c r="AW61" s="1448"/>
      <c r="AX61" s="1448"/>
      <c r="AY61" s="1448"/>
      <c r="AZ61" s="1448"/>
      <c r="BA61" s="1448"/>
      <c r="BB61" s="1448"/>
      <c r="BC61" s="1448"/>
      <c r="BE61" s="913"/>
      <c r="BF61" s="913" t="str">
        <f>IF(T61="","",T61)</f>
        <v>Добавить централизованную систему для дифференциации</v>
      </c>
      <c r="BG61" s="913"/>
      <c r="BH61" s="913"/>
      <c r="BI61" s="642">
        <v>0</v>
      </c>
    </row>
    <row s="6698" customFormat="1" customHeight="1" ht="0">
      <c r="A62" s="1467" t="s">
        <v>388</v>
      </c>
      <c r="B62" s="1467"/>
      <c r="C62" s="1467"/>
      <c r="D62" s="1467"/>
      <c r="E62" s="2395"/>
      <c r="F62" s="1467"/>
      <c r="G62" s="1467"/>
      <c r="H62" s="1467"/>
      <c r="I62" s="1467"/>
      <c r="J62" s="1467"/>
      <c r="K62" s="1467"/>
      <c r="L62" s="1470"/>
      <c r="M62" s="1445"/>
      <c r="N62" s="1445"/>
      <c r="O62" s="642"/>
      <c r="P62" s="504"/>
      <c r="Q62" s="1468"/>
      <c r="R62" s="504"/>
      <c r="S62" s="1446"/>
      <c r="T62" s="1449" t="s">
        <v>528</v>
      </c>
      <c r="U62" s="1448"/>
      <c r="V62" s="1448"/>
      <c r="W62" s="1448"/>
      <c r="X62" s="1448"/>
      <c r="Y62" s="1448"/>
      <c r="Z62" s="1448"/>
      <c r="AA62" s="1448"/>
      <c r="AB62" s="1448"/>
      <c r="AC62" s="1448"/>
      <c r="AD62" s="1448"/>
      <c r="AE62" s="1448"/>
      <c r="AF62" s="1448"/>
      <c r="AG62" s="1448"/>
      <c r="AH62" s="1448"/>
      <c r="AI62" s="1448"/>
      <c r="AJ62" s="1448"/>
      <c r="AK62" s="1448"/>
      <c r="AL62" s="1448"/>
      <c r="AM62" s="1448"/>
      <c r="AN62" s="1448"/>
      <c r="AO62" s="1448"/>
      <c r="AP62" s="1448"/>
      <c r="AQ62" s="1448"/>
      <c r="AR62" s="1448"/>
      <c r="AS62" s="1448"/>
      <c r="AT62" s="1448"/>
      <c r="AU62" s="1448"/>
      <c r="AV62" s="1448"/>
      <c r="AW62" s="1448"/>
      <c r="AX62" s="1448"/>
      <c r="AY62" s="1448"/>
      <c r="AZ62" s="1448"/>
      <c r="BA62" s="1448"/>
      <c r="BB62" s="1448"/>
      <c r="BC62" s="1448"/>
      <c r="BE62" s="624"/>
      <c r="BF62" s="624" t="str">
        <f>IF(T62="","",T62)</f>
        <v>Добавить территорию для дифференциации</v>
      </c>
      <c r="BG62" s="624"/>
      <c r="BH62" s="624"/>
      <c r="BI62" s="635">
        <v>0</v>
      </c>
    </row>
    <row s="6698" customFormat="1" customHeight="1" ht="0">
      <c r="A63" s="1438"/>
      <c r="B63" s="1438"/>
      <c r="C63" s="1438"/>
      <c r="D63" s="1438"/>
      <c r="E63" s="1467"/>
      <c r="F63" s="1438"/>
      <c r="G63" s="1438"/>
      <c r="H63" s="1438"/>
      <c r="I63" s="1438"/>
      <c r="J63" s="1438"/>
      <c r="K63" s="1438"/>
      <c r="L63" s="1618"/>
      <c r="M63" s="1445"/>
      <c r="N63" s="1445"/>
      <c r="P63" s="1440"/>
      <c r="Q63" s="1441"/>
      <c r="R63" s="1440"/>
      <c r="S63" s="1446"/>
      <c r="T63" s="1449" t="s">
        <v>560</v>
      </c>
      <c r="U63" s="1448"/>
      <c r="V63" s="1448"/>
      <c r="W63" s="1448"/>
      <c r="X63" s="1448"/>
      <c r="Y63" s="1448"/>
      <c r="Z63" s="1448"/>
      <c r="AA63" s="1448"/>
      <c r="AB63" s="1448"/>
      <c r="AC63" s="1448"/>
      <c r="AD63" s="1448"/>
      <c r="AE63" s="1448"/>
      <c r="AF63" s="1448"/>
      <c r="AG63" s="1448"/>
      <c r="AH63" s="1448"/>
      <c r="AI63" s="1448"/>
      <c r="AJ63" s="1448"/>
      <c r="AK63" s="1448"/>
      <c r="AL63" s="1448"/>
      <c r="AM63" s="1448"/>
      <c r="AN63" s="1448"/>
      <c r="AO63" s="1448"/>
      <c r="AP63" s="1448"/>
      <c r="AQ63" s="1448"/>
      <c r="AR63" s="1448"/>
      <c r="AS63" s="1448"/>
      <c r="AT63" s="1448"/>
      <c r="AU63" s="1448"/>
      <c r="AV63" s="1448"/>
      <c r="AW63" s="1448"/>
      <c r="AX63" s="1448"/>
      <c r="AY63" s="1448"/>
      <c r="AZ63" s="1448"/>
      <c r="BA63" s="1448"/>
      <c r="BB63" s="1448"/>
      <c r="BC63" s="1448"/>
      <c r="BE63" s="913"/>
      <c r="BF63" s="913" t="str">
        <f>IF(T63="","",T63)</f>
        <v>Добавить наименование тарифа</v>
      </c>
      <c r="BG63" s="913"/>
      <c r="BH63" s="913"/>
      <c r="BI63" s="642">
        <v>0</v>
      </c>
    </row>
    <row customHeight="1" ht="11.549999999999999">
      <c r="M64" s="1284"/>
      <c r="N64" s="1284"/>
      <c r="O64" s="661"/>
      <c r="P64" s="1284"/>
      <c r="Q64" s="1284"/>
      <c r="R64" s="1279"/>
      <c r="S64" s="1279"/>
      <c r="BD64" s="1279"/>
      <c r="BE64" s="1279"/>
      <c r="BF64" s="1279"/>
      <c r="BG64" s="1279"/>
      <c r="BH64" s="1279"/>
      <c r="BI64" s="1279">
        <v>11</v>
      </c>
    </row>
    <row customHeight="1" ht="14.699999999999998">
      <c r="O65" s="661"/>
      <c r="S65" s="1377"/>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c r="AS65" s="2422"/>
      <c r="AT65" s="2422"/>
      <c r="AU65" s="2422"/>
      <c r="AV65" s="2422"/>
      <c r="AW65" s="2422"/>
      <c r="AX65" s="2422"/>
      <c r="AY65" s="2422"/>
      <c r="AZ65" s="2422"/>
      <c r="BA65" s="2422"/>
      <c r="BB65" s="2422"/>
      <c r="BC65" s="2422"/>
      <c r="BI65" s="1279">
        <v>14</v>
      </c>
    </row>
    <row customHeight="1" ht="14.699999999999998">
      <c r="O66" s="661"/>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c r="AS66" s="1604"/>
      <c r="AT66" s="1604"/>
      <c r="AU66" s="1604"/>
      <c r="AV66" s="1604"/>
      <c r="AW66" s="1604"/>
      <c r="AX66" s="1604"/>
      <c r="AY66" s="1604"/>
      <c r="AZ66" s="1604"/>
      <c r="BA66" s="1604"/>
      <c r="BB66" s="1604"/>
      <c r="BC66" s="1604"/>
      <c r="BI66" s="1279">
        <v>14</v>
      </c>
    </row>
    <row customHeight="1" ht="14.699999999999998">
      <c r="O67" s="661"/>
      <c r="S67" s="1377"/>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c r="AS67" s="2422"/>
      <c r="AT67" s="2422"/>
      <c r="AU67" s="2422"/>
      <c r="AV67" s="2422"/>
      <c r="AW67" s="2422"/>
      <c r="AX67" s="2422"/>
      <c r="AY67" s="2422"/>
      <c r="AZ67" s="2422"/>
      <c r="BA67" s="2422"/>
      <c r="BB67" s="2422"/>
      <c r="BC67" s="2422"/>
      <c r="BI67" s="1279">
        <v>14</v>
      </c>
    </row>
    <row customHeight="1" ht="14.699999999999998">
      <c r="O68" s="661"/>
      <c r="BI68" s="1279">
        <v>14</v>
      </c>
    </row>
    <row customHeight="1" ht="14.25" hidden="1">
      <c r="A69" s="1284" t="s">
        <v>82</v>
      </c>
      <c r="B69" s="1284">
        <v>0</v>
      </c>
      <c r="C69" s="1284">
        <v>0</v>
      </c>
      <c r="D69" s="1284">
        <v>0</v>
      </c>
      <c r="E69" s="1284">
        <v>0</v>
      </c>
      <c r="F69" s="1284">
        <v>0</v>
      </c>
      <c r="G69" s="1284">
        <v>0</v>
      </c>
      <c r="H69" s="1284">
        <v>0</v>
      </c>
      <c r="I69" s="1284">
        <v>0</v>
      </c>
      <c r="J69" s="1284">
        <v>0</v>
      </c>
      <c r="K69" s="1284">
        <v>0</v>
      </c>
      <c r="L69" s="1602">
        <v>0</v>
      </c>
      <c r="M69" s="1486">
        <v>0</v>
      </c>
      <c r="N69" s="1486">
        <v>0</v>
      </c>
      <c r="O69" s="1486">
        <v>0</v>
      </c>
      <c r="P69" s="1486">
        <v>0</v>
      </c>
      <c r="Q69" s="1495">
        <v>0</v>
      </c>
      <c r="R69" s="468">
        <v>3</v>
      </c>
      <c r="S69" s="705">
        <v>12</v>
      </c>
      <c r="T69" s="1279">
        <v>31</v>
      </c>
      <c r="U69" s="1279">
        <v>0</v>
      </c>
      <c r="V69" s="1279">
        <v>0</v>
      </c>
      <c r="W69" s="1279">
        <v>0</v>
      </c>
      <c r="X69" s="1279">
        <v>0</v>
      </c>
      <c r="Y69" s="1279">
        <v>0</v>
      </c>
      <c r="Z69" s="1279">
        <v>0</v>
      </c>
      <c r="AA69" s="1279">
        <v>0</v>
      </c>
      <c r="AB69" s="1279">
        <v>0</v>
      </c>
      <c r="AC69" s="1279">
        <v>0</v>
      </c>
      <c r="AD69" s="1279">
        <v>3</v>
      </c>
      <c r="AE69" s="1279">
        <v>3</v>
      </c>
      <c r="AF69" s="1279">
        <v>3</v>
      </c>
      <c r="AG69" s="1279">
        <v>24</v>
      </c>
      <c r="AH69" s="1279">
        <v>3</v>
      </c>
      <c r="AI69" s="1279">
        <v>3</v>
      </c>
      <c r="AJ69" s="1279">
        <v>3</v>
      </c>
      <c r="AK69" s="1279">
        <v>24</v>
      </c>
      <c r="AL69" s="1279">
        <v>3</v>
      </c>
      <c r="AM69" s="1279">
        <v>3</v>
      </c>
      <c r="AN69" s="1279">
        <v>3</v>
      </c>
      <c r="AO69" s="1279">
        <v>18</v>
      </c>
      <c r="AP69" s="1279">
        <v>3</v>
      </c>
      <c r="AQ69" s="1279">
        <v>3</v>
      </c>
      <c r="AR69" s="1279">
        <v>3</v>
      </c>
      <c r="AS69" s="1279">
        <v>18</v>
      </c>
      <c r="AT69" s="1279">
        <v>21</v>
      </c>
      <c r="AU69" s="1279">
        <v>21</v>
      </c>
      <c r="AV69" s="1279">
        <v>21</v>
      </c>
      <c r="AW69" s="1279">
        <v>21</v>
      </c>
      <c r="AX69" s="1279">
        <v>11</v>
      </c>
      <c r="AY69" s="1279">
        <v>3</v>
      </c>
      <c r="AZ69" s="1279">
        <v>11</v>
      </c>
      <c r="BA69" s="1279">
        <v>0</v>
      </c>
      <c r="BB69" s="1279">
        <v>4</v>
      </c>
      <c r="BC69" s="1279">
        <v>115</v>
      </c>
      <c r="BD69" s="635">
        <v>10</v>
      </c>
      <c r="BE69" s="635">
        <v>10</v>
      </c>
      <c r="BF69" s="635">
        <v>10</v>
      </c>
      <c r="BG69" s="635">
        <v>10</v>
      </c>
      <c r="BH69" s="635">
        <v>10</v>
      </c>
      <c r="BI69" s="127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309898-36DA-6048-C7CD-185FED977B38}" mc:Ignorable="x14ac xr xr2 xr3">
  <sheetPr>
    <tabColor rgb="FFCCCCFF"/>
    <pageSetUpPr fitToPage="1"/>
  </sheetPr>
  <dimension ref="A1:AC92"/>
  <sheetViews>
    <sheetView showGridLines="0" zoomScale="90" workbookViewId="0">
      <pane xSplit="6" ySplit="11" topLeftCell="G12" activePane="bottomRight" state="frozen"/>
      <selection pane="bottomLeft" activeCell="A12" sqref="A12"/>
      <selection pane="topRight" activeCell="G1" sqref="G1"/>
      <selection pane="bottomRight" activeCell="H13" sqref="H13"/>
    </sheetView>
  </sheetViews>
  <sheetFormatPr defaultColWidth="9.140625" customHeight="1" defaultRowHeight="14.25"/>
  <cols>
    <col min="1" max="1" style="7213" width="8.00390625" hidden="1" customWidth="1"/>
    <col min="2" max="2" style="7158" width="6.00390625" hidden="1" customWidth="1"/>
    <col min="3" max="3" style="7213" width="3.00390625" customWidth="1"/>
    <col min="4" max="4" style="7736" width="3.00390625" customWidth="1"/>
    <col min="5" max="5" style="7213" width="6.00390625" customWidth="1"/>
    <col min="6" max="6" style="7213" width="2.7109375" hidden="1" customWidth="1"/>
    <col min="7" max="7" style="7213" width="46.7109375" customWidth="1"/>
    <col min="8" max="8" style="7213" width="42.00390625" customWidth="1"/>
    <col min="9" max="9" style="7213" width="14.00390625" customWidth="1"/>
    <col min="10" max="10" style="7161" width="3.00390625" customWidth="1"/>
    <col min="11" max="13" style="7161" width="9.140625" hidden="1"/>
    <col min="14" max="14" style="7161" width="25.7109375" hidden="1" customWidth="1"/>
    <col min="15" max="15" style="7161" width="14.421875" hidden="1" customWidth="1"/>
    <col min="16" max="19" style="5583" width="9.140625" hidden="1"/>
    <col min="20" max="27" style="7213" width="9.140625" hidden="1"/>
    <col min="28" max="28" style="7213" width="8.00390625" customWidth="1"/>
    <col min="29" max="29" style="7213" width="9.140625" hidden="1"/>
  </cols>
  <sheetData>
    <row s="6698" customFormat="1" customHeight="1" ht="5.25" hidden="1">
      <c r="A1" s="620"/>
      <c r="B1" s="635"/>
      <c r="C1" s="635"/>
      <c r="D1" s="345"/>
      <c r="F1" s="635"/>
      <c r="G1" s="371" t="s">
        <v>83</v>
      </c>
      <c r="H1" s="618" t="s">
        <v>84</v>
      </c>
      <c r="I1" s="351" t="s">
        <v>85</v>
      </c>
      <c r="J1" s="371" t="s">
        <v>83</v>
      </c>
      <c r="K1" s="371"/>
      <c r="L1" s="371"/>
      <c r="M1" s="371"/>
      <c r="N1" s="372"/>
      <c r="O1" s="371"/>
      <c r="P1" s="371"/>
      <c r="Q1" s="371"/>
      <c r="R1" s="371"/>
      <c r="S1" s="371"/>
      <c r="T1" s="351"/>
      <c r="U1" s="351"/>
      <c r="V1" s="351"/>
      <c r="W1" s="351"/>
      <c r="X1" s="351"/>
      <c r="Y1" s="351"/>
      <c r="Z1" s="351"/>
      <c r="AA1" s="351"/>
      <c r="AB1" s="351"/>
      <c r="AC1" s="276" t="s">
        <v>14</v>
      </c>
    </row>
    <row s="6377" customFormat="1" customHeight="1" ht="11.25">
      <c r="A2" s="955"/>
      <c r="B2" s="352"/>
      <c r="C2" s="352"/>
      <c r="D2" s="353"/>
      <c r="E2" s="352"/>
      <c r="F2" s="352"/>
      <c r="G2" s="352"/>
      <c r="H2" s="352"/>
      <c r="I2" s="352"/>
      <c r="J2" s="371"/>
      <c r="K2" s="371"/>
      <c r="L2" s="371"/>
      <c r="M2" s="371"/>
      <c r="N2" s="372"/>
      <c r="O2" s="371"/>
      <c r="P2" s="354"/>
      <c r="Q2" s="354"/>
      <c r="R2" s="354"/>
      <c r="S2" s="354"/>
      <c r="T2" s="353"/>
      <c r="U2" s="353"/>
      <c r="V2" s="353"/>
      <c r="W2" s="353"/>
      <c r="X2" s="353"/>
      <c r="Y2" s="353"/>
      <c r="Z2" s="353"/>
      <c r="AA2" s="353"/>
      <c r="AB2" s="353"/>
      <c r="AC2" s="355">
        <v>11</v>
      </c>
    </row>
    <row s="6033" customFormat="1" customHeight="1" ht="3">
      <c r="A3" s="882"/>
      <c r="B3" s="541"/>
      <c r="C3" s="882"/>
      <c r="D3" s="288"/>
      <c r="E3" s="227"/>
      <c r="F3" s="633"/>
      <c r="G3" s="227"/>
      <c r="H3" s="227"/>
      <c r="I3" s="290"/>
      <c r="J3" s="371"/>
      <c r="K3" s="279"/>
      <c r="L3" s="279"/>
      <c r="M3" s="279"/>
      <c r="N3" s="350"/>
      <c r="O3" s="279"/>
      <c r="P3" s="349"/>
      <c r="Q3" s="349"/>
      <c r="R3" s="349"/>
      <c r="S3" s="349"/>
      <c r="AC3" s="240">
        <v>3</v>
      </c>
    </row>
    <row s="6033" customFormat="1" customHeight="1" ht="27.299999999999997">
      <c r="A4" s="882"/>
      <c r="B4" s="541"/>
      <c r="C4" s="882"/>
      <c r="D4" s="288"/>
      <c r="E4" s="2237" t="str">
        <f>NameTemplatesInListMO</f>
        <v>Перечень муниципальных районов и муниципальных образований (территорий оказания услуг)</v>
      </c>
      <c r="F4" s="2237"/>
      <c r="G4" s="2237"/>
      <c r="H4" s="2237"/>
      <c r="I4" s="2237"/>
      <c r="J4" s="371"/>
      <c r="K4" s="279"/>
      <c r="L4" s="279"/>
      <c r="M4" s="279"/>
      <c r="N4" s="350"/>
      <c r="O4" s="279"/>
      <c r="P4" s="349"/>
      <c r="Q4" s="349"/>
      <c r="R4" s="349"/>
      <c r="S4" s="349"/>
      <c r="AC4" s="240">
        <v>26</v>
      </c>
    </row>
    <row s="6033" customFormat="1" customHeight="1" ht="3">
      <c r="A5" s="882"/>
      <c r="B5" s="541"/>
      <c r="C5" s="882"/>
      <c r="D5" s="288"/>
      <c r="E5" s="227"/>
      <c r="F5" s="633"/>
      <c r="G5" s="291"/>
      <c r="H5" s="291"/>
      <c r="I5" s="292"/>
      <c r="J5" s="279"/>
      <c r="K5" s="279"/>
      <c r="L5" s="279"/>
      <c r="M5" s="279"/>
      <c r="N5" s="350"/>
      <c r="O5" s="279"/>
      <c r="P5" s="349"/>
      <c r="Q5" s="349"/>
      <c r="R5" s="349"/>
      <c r="S5" s="349"/>
      <c r="AC5" s="240">
        <v>3</v>
      </c>
    </row>
    <row s="6033" customFormat="1" customHeight="1" ht="20.25" hidden="1">
      <c r="A6" s="961"/>
      <c r="B6" s="957"/>
      <c r="C6" s="293"/>
      <c r="D6" s="288"/>
      <c r="E6" s="903"/>
      <c r="F6" s="903"/>
      <c r="G6" s="291"/>
      <c r="H6" s="294"/>
      <c r="I6" s="294"/>
      <c r="J6" s="279"/>
      <c r="K6" s="279"/>
      <c r="L6" s="279"/>
      <c r="M6" s="279"/>
      <c r="N6" s="350"/>
      <c r="O6" s="279"/>
      <c r="P6" s="349"/>
      <c r="Q6" s="349"/>
      <c r="R6" s="349"/>
      <c r="S6" s="349"/>
      <c r="AC6" s="240">
        <v>0</v>
      </c>
    </row>
    <row customHeight="1" ht="25.5" hidden="1">
      <c r="AC7" s="207">
        <v>0</v>
      </c>
    </row>
    <row s="6033" customFormat="1" customHeight="1" ht="14.699999999999998">
      <c r="A8" s="882"/>
      <c r="B8" s="541"/>
      <c r="C8" s="882"/>
      <c r="D8" s="288"/>
      <c r="E8" s="2238" t="s">
        <v>86</v>
      </c>
      <c r="F8" s="2239"/>
      <c r="G8" s="2240"/>
      <c r="H8" s="2241" t="s">
        <v>87</v>
      </c>
      <c r="I8" s="2241"/>
      <c r="J8" s="279"/>
      <c r="K8" s="279"/>
      <c r="L8" s="279"/>
      <c r="M8" s="279"/>
      <c r="N8" s="350"/>
      <c r="O8" s="279"/>
      <c r="P8" s="349"/>
      <c r="Q8" s="349"/>
      <c r="R8" s="349"/>
      <c r="S8" s="349"/>
      <c r="AC8" s="240">
        <v>14</v>
      </c>
    </row>
    <row s="6033" customFormat="1" customHeight="1" ht="21">
      <c r="A9" s="882"/>
      <c r="B9" s="541"/>
      <c r="C9" s="882"/>
      <c r="D9" s="288"/>
      <c r="E9" s="901" t="s">
        <v>88</v>
      </c>
      <c r="F9" s="901"/>
      <c r="G9" s="296" t="s">
        <v>89</v>
      </c>
      <c r="H9" s="296" t="s">
        <v>89</v>
      </c>
      <c r="I9" s="296" t="s">
        <v>85</v>
      </c>
      <c r="J9" s="279"/>
      <c r="K9" s="279"/>
      <c r="L9" s="279"/>
      <c r="M9" s="279"/>
      <c r="N9" s="350"/>
      <c r="O9" s="279"/>
      <c r="P9" s="349"/>
      <c r="Q9" s="349"/>
      <c r="R9" s="349"/>
      <c r="S9" s="349"/>
      <c r="AC9" s="240">
        <v>20</v>
      </c>
    </row>
    <row customHeight="1" ht="11.549999999999999">
      <c r="D10" s="300"/>
      <c r="E10" s="902" t="s">
        <v>90</v>
      </c>
      <c r="F10" s="902"/>
      <c r="G10" s="347" t="s">
        <v>91</v>
      </c>
      <c r="H10" s="347" t="s">
        <v>92</v>
      </c>
      <c r="I10" s="347" t="s">
        <v>93</v>
      </c>
      <c r="J10" s="310"/>
      <c r="K10" s="310"/>
      <c r="L10" s="310"/>
      <c r="M10" s="310"/>
      <c r="N10" s="295"/>
      <c r="O10" s="310"/>
      <c r="P10" s="348"/>
      <c r="Q10" s="348"/>
      <c r="R10" s="348"/>
      <c r="S10" s="348"/>
      <c r="AC10" s="207">
        <v>11</v>
      </c>
    </row>
    <row s="6033" customFormat="1" customHeight="1" ht="1.05">
      <c r="A11" s="882"/>
      <c r="B11" s="541"/>
      <c r="C11" s="882"/>
      <c r="D11" s="288"/>
      <c r="E11" s="914"/>
      <c r="F11" s="914"/>
      <c r="G11" s="297"/>
      <c r="H11" s="297"/>
      <c r="I11" s="299"/>
      <c r="J11" s="373" t="s">
        <v>94</v>
      </c>
      <c r="K11" s="279"/>
      <c r="L11" s="279"/>
      <c r="M11" s="279" t="s">
        <v>95</v>
      </c>
      <c r="N11" s="350" t="s">
        <v>96</v>
      </c>
      <c r="O11" s="279" t="s">
        <v>97</v>
      </c>
      <c r="P11" s="349"/>
      <c r="Q11" s="349"/>
      <c r="R11" s="349"/>
      <c r="S11" s="349"/>
      <c r="AC11" s="240">
        <v>1</v>
      </c>
    </row>
    <row s="6033" customFormat="1" customHeight="1" ht="15">
      <c r="A12" s="2236">
        <v>1</v>
      </c>
      <c r="B12" s="541"/>
      <c r="C12" s="882"/>
      <c r="D12" s="906"/>
      <c r="E12" s="343">
        <f>A12</f>
        <v>1</v>
      </c>
      <c r="F12" s="926" t="s">
        <v>98</v>
      </c>
      <c r="G12" s="664" t="str">
        <f>"Территория "&amp;E12</f>
        <v>Территория 1</v>
      </c>
      <c r="H12" s="916"/>
      <c r="I12" s="916"/>
      <c r="J12" s="913"/>
      <c r="K12" s="624"/>
      <c r="L12" s="624"/>
      <c r="M12" s="624"/>
      <c r="N12" s="350"/>
      <c r="O12" s="624"/>
      <c r="P12" s="349"/>
      <c r="Q12" s="349"/>
      <c r="R12" s="349"/>
      <c r="S12" s="349"/>
      <c r="AC12" s="631">
        <v>14</v>
      </c>
    </row>
    <row s="7954" customFormat="1" customHeight="1" ht="15.75">
      <c r="A13" s="2236"/>
      <c r="B13" s="541">
        <v>1</v>
      </c>
      <c r="C13" s="541"/>
      <c r="D13" s="924"/>
      <c r="E13" s="904" t="str">
        <f>A12&amp;"."&amp;B13</f>
        <v>1.1</v>
      </c>
      <c r="F13" s="919" t="s">
        <v>93</v>
      </c>
      <c r="G13" s="917" t="s">
        <v>99</v>
      </c>
      <c r="H13" s="917" t="s">
        <v>99</v>
      </c>
      <c r="I13" s="915" t="s">
        <v>100</v>
      </c>
      <c r="J13" s="624">
        <f>MERGEVALUE(G13)</f>
      </c>
      <c r="K13" s="635"/>
      <c r="L13" s="635"/>
      <c r="M13" s="624" t="str">
        <f t="array" ref="M13:M13">IF(ISERROR(MATCH(MID(N13,1,250),MID(note_ter,1,250),0)),"n","y")</f>
        <v>n</v>
      </c>
      <c r="N13" s="635"/>
      <c r="O13" s="624" t="str">
        <f>H13&amp;"("&amp;I13&amp;")"</f>
        <v>Безенчукский муниципальный район(36604000)</v>
      </c>
      <c r="P13" s="541"/>
      <c r="Q13" s="541"/>
      <c r="R13" s="544"/>
      <c r="S13" s="541"/>
      <c r="T13" s="541"/>
      <c r="U13" s="541"/>
      <c r="V13" s="546"/>
      <c r="W13" s="546"/>
      <c r="X13" s="543"/>
      <c r="Y13" s="543"/>
      <c r="Z13" s="543"/>
      <c r="AA13" s="543"/>
      <c r="AB13" s="543"/>
      <c r="AC13" s="547">
        <v>15</v>
      </c>
    </row>
    <row s="7954" customFormat="1" customHeight="1" ht="15.75">
      <c r="A14" s="2236"/>
      <c r="B14" s="541"/>
      <c r="C14" s="536"/>
      <c r="D14" s="925"/>
      <c r="E14" s="545"/>
      <c r="F14" s="301"/>
      <c r="G14" s="539" t="s">
        <v>101</v>
      </c>
      <c r="H14" s="311"/>
      <c r="I14" s="548"/>
      <c r="J14" s="635"/>
      <c r="K14" s="635"/>
      <c r="L14" s="635"/>
      <c r="M14" s="635"/>
      <c r="N14" s="624"/>
      <c r="O14" s="635"/>
      <c r="P14" s="541"/>
      <c r="Q14" s="541"/>
      <c r="R14" s="544"/>
      <c r="S14" s="541"/>
      <c r="T14" s="541"/>
      <c r="U14" s="541"/>
      <c r="V14" s="546"/>
      <c r="W14" s="546"/>
      <c r="X14" s="543"/>
      <c r="Y14" s="543"/>
      <c r="Z14" s="543"/>
      <c r="AA14" s="543"/>
      <c r="AB14" s="543"/>
      <c r="AC14" s="547">
        <v>15</v>
      </c>
    </row>
    <row customHeight="1" ht="15">
      <c r="A15" s="2354" t="s">
        <v>102</v>
      </c>
      <c r="B15" s="1284"/>
      <c r="C15" s="925" t="s">
        <v>103</v>
      </c>
      <c r="D15" s="1941"/>
      <c r="E15" s="1928" t="str">
        <f>A15</f>
        <v>2</v>
      </c>
      <c r="F15" s="928" t="s">
        <v>104</v>
      </c>
      <c r="G15" s="664" t="str">
        <f>"Территория "&amp;E15</f>
        <v>Территория 2</v>
      </c>
      <c r="H15" s="916"/>
      <c r="I15" s="916"/>
      <c r="J15" s="913"/>
      <c r="K15" s="1748"/>
      <c r="L15" s="1748"/>
      <c r="M15" s="1748"/>
      <c r="N15" s="350"/>
      <c r="O15" s="1748"/>
      <c r="P15" s="349"/>
      <c r="Q15" s="349"/>
      <c r="R15" s="349"/>
      <c r="S15" s="349"/>
      <c r="T15" s="6033"/>
      <c r="U15" s="6033"/>
      <c r="V15" s="6033"/>
      <c r="W15" s="6033"/>
      <c r="X15" s="6033"/>
      <c r="Y15" s="6033"/>
      <c r="Z15" s="6033"/>
      <c r="AA15" s="6033"/>
      <c r="AB15" s="6033"/>
      <c r="AC15" s="6033"/>
    </row>
    <row customHeight="1" ht="15">
      <c r="A16" s="2354"/>
      <c r="B16" s="1284">
        <v>1</v>
      </c>
      <c r="C16" s="1284"/>
      <c r="D16" s="924"/>
      <c r="E16" s="1936" t="str">
        <f>A15&amp;"."&amp;B16</f>
        <v>2.1</v>
      </c>
      <c r="F16" s="927" t="s">
        <v>105</v>
      </c>
      <c r="G16" s="917" t="s">
        <v>106</v>
      </c>
      <c r="H16" s="917" t="s">
        <v>106</v>
      </c>
      <c r="I16" s="915" t="s">
        <v>107</v>
      </c>
      <c r="J16" s="1748"/>
      <c r="K16" s="1760"/>
      <c r="L16" s="1760"/>
      <c r="M16" s="1748" t="str">
        <f t="array" ref="M16:M16">IF(ISERROR(MATCH(MID(N16,1,250),MID(note_ter,1,250),0)),"n","y")</f>
        <v>n</v>
      </c>
      <c r="N16" s="1760"/>
      <c r="O16" s="1748" t="str">
        <f>H16&amp;"("&amp;I16&amp;")"</f>
        <v>Большечерниговский муниципальный район(36610000)</v>
      </c>
      <c r="P16" s="1284"/>
      <c r="Q16" s="1284"/>
      <c r="R16" s="544"/>
      <c r="S16" s="1284"/>
      <c r="T16" s="1284"/>
      <c r="U16" s="1284"/>
      <c r="V16" s="546"/>
      <c r="W16" s="546"/>
      <c r="X16" s="543"/>
      <c r="Y16" s="543"/>
      <c r="Z16" s="543"/>
      <c r="AA16" s="543"/>
      <c r="AB16" s="543"/>
      <c r="AC16" s="543"/>
    </row>
    <row customHeight="1" ht="15">
      <c r="A17" s="2354"/>
      <c r="B17" s="1284"/>
      <c r="C17" s="536"/>
      <c r="D17" s="925"/>
      <c r="E17" s="545"/>
      <c r="F17" s="301"/>
      <c r="G17" s="539" t="s">
        <v>101</v>
      </c>
      <c r="H17" s="311"/>
      <c r="I17" s="548"/>
      <c r="J17" s="1760"/>
      <c r="K17" s="1760"/>
      <c r="L17" s="1760"/>
      <c r="M17" s="1760"/>
      <c r="N17" s="1748"/>
      <c r="O17" s="1760"/>
      <c r="P17" s="1284"/>
      <c r="Q17" s="1284"/>
      <c r="R17" s="544"/>
      <c r="S17" s="1284"/>
      <c r="T17" s="1284"/>
      <c r="U17" s="1284"/>
      <c r="V17" s="546"/>
      <c r="W17" s="546"/>
      <c r="X17" s="543"/>
      <c r="Y17" s="543"/>
      <c r="Z17" s="543"/>
      <c r="AA17" s="543"/>
      <c r="AB17" s="543"/>
      <c r="AC17" s="543"/>
    </row>
    <row customHeight="1" ht="15">
      <c r="A18" s="2354" t="s">
        <v>90</v>
      </c>
      <c r="B18" s="1284"/>
      <c r="C18" s="925" t="s">
        <v>103</v>
      </c>
      <c r="D18" s="1941"/>
      <c r="E18" s="1928" t="str">
        <f>A18</f>
        <v>3</v>
      </c>
      <c r="F18" s="928" t="s">
        <v>108</v>
      </c>
      <c r="G18" s="664" t="str">
        <f>"Территория "&amp;E18</f>
        <v>Территория 3</v>
      </c>
      <c r="H18" s="916"/>
      <c r="I18" s="916"/>
      <c r="J18" s="913"/>
      <c r="K18" s="1748"/>
      <c r="L18" s="1748"/>
      <c r="M18" s="1748"/>
      <c r="N18" s="350"/>
      <c r="O18" s="1748"/>
      <c r="P18" s="349"/>
      <c r="Q18" s="349"/>
      <c r="R18" s="349"/>
      <c r="S18" s="349"/>
      <c r="T18" s="6033"/>
      <c r="U18" s="6033"/>
      <c r="V18" s="6033"/>
      <c r="W18" s="6033"/>
      <c r="X18" s="6033"/>
      <c r="Y18" s="6033"/>
      <c r="Z18" s="6033"/>
      <c r="AA18" s="6033"/>
      <c r="AB18" s="6033"/>
      <c r="AC18" s="6033"/>
    </row>
    <row customHeight="1" ht="15">
      <c r="A19" s="2354"/>
      <c r="B19" s="1284">
        <v>1</v>
      </c>
      <c r="C19" s="1284"/>
      <c r="D19" s="924"/>
      <c r="E19" s="1936" t="str">
        <f>A18&amp;"."&amp;B19</f>
        <v>3.1</v>
      </c>
      <c r="F19" s="927" t="s">
        <v>109</v>
      </c>
      <c r="G19" s="917" t="s">
        <v>110</v>
      </c>
      <c r="H19" s="917" t="s">
        <v>110</v>
      </c>
      <c r="I19" s="915" t="s">
        <v>111</v>
      </c>
      <c r="J19" s="1748"/>
      <c r="K19" s="1760"/>
      <c r="L19" s="1760"/>
      <c r="M19" s="1748" t="str">
        <f t="array" ref="M19:M19">IF(ISERROR(MATCH(MID(N19,1,250),MID(note_ter,1,250),0)),"n","y")</f>
        <v>n</v>
      </c>
      <c r="N19" s="1760"/>
      <c r="O19" s="1748" t="str">
        <f>H19&amp;"("&amp;I19&amp;")"</f>
        <v>Волжский муниципальный район(36614000)</v>
      </c>
      <c r="P19" s="1284"/>
      <c r="Q19" s="1284"/>
      <c r="R19" s="544"/>
      <c r="S19" s="1284"/>
      <c r="T19" s="1284"/>
      <c r="U19" s="1284"/>
      <c r="V19" s="546"/>
      <c r="W19" s="546"/>
      <c r="X19" s="543"/>
      <c r="Y19" s="543"/>
      <c r="Z19" s="543"/>
      <c r="AA19" s="543"/>
      <c r="AB19" s="543"/>
      <c r="AC19" s="543"/>
    </row>
    <row customHeight="1" ht="15">
      <c r="A20" s="2354"/>
      <c r="B20" s="1284"/>
      <c r="C20" s="536"/>
      <c r="D20" s="925"/>
      <c r="E20" s="545"/>
      <c r="F20" s="301"/>
      <c r="G20" s="539" t="s">
        <v>101</v>
      </c>
      <c r="H20" s="311"/>
      <c r="I20" s="548"/>
      <c r="J20" s="1760"/>
      <c r="K20" s="1760"/>
      <c r="L20" s="1760"/>
      <c r="M20" s="1760"/>
      <c r="N20" s="1748"/>
      <c r="O20" s="1760"/>
      <c r="P20" s="1284"/>
      <c r="Q20" s="1284"/>
      <c r="R20" s="544"/>
      <c r="S20" s="1284"/>
      <c r="T20" s="1284"/>
      <c r="U20" s="1284"/>
      <c r="V20" s="546"/>
      <c r="W20" s="546"/>
      <c r="X20" s="543"/>
      <c r="Y20" s="543"/>
      <c r="Z20" s="543"/>
      <c r="AA20" s="543"/>
      <c r="AB20" s="543"/>
      <c r="AC20" s="543"/>
    </row>
    <row customHeight="1" ht="15">
      <c r="A21" s="2354" t="s">
        <v>91</v>
      </c>
      <c r="B21" s="1284"/>
      <c r="C21" s="925" t="s">
        <v>103</v>
      </c>
      <c r="D21" s="1941"/>
      <c r="E21" s="1928" t="str">
        <f>A21</f>
        <v>4</v>
      </c>
      <c r="F21" s="928" t="s">
        <v>112</v>
      </c>
      <c r="G21" s="664" t="str">
        <f>"Территория "&amp;E21</f>
        <v>Территория 4</v>
      </c>
      <c r="H21" s="916"/>
      <c r="I21" s="916"/>
      <c r="J21" s="913"/>
      <c r="K21" s="1748"/>
      <c r="L21" s="1748"/>
      <c r="M21" s="1748"/>
      <c r="N21" s="350"/>
      <c r="O21" s="1748"/>
      <c r="P21" s="349"/>
      <c r="Q21" s="349"/>
      <c r="R21" s="349"/>
      <c r="S21" s="349"/>
      <c r="T21" s="6033"/>
      <c r="U21" s="6033"/>
      <c r="V21" s="6033"/>
      <c r="W21" s="6033"/>
      <c r="X21" s="6033"/>
      <c r="Y21" s="6033"/>
      <c r="Z21" s="6033"/>
      <c r="AA21" s="6033"/>
      <c r="AB21" s="6033"/>
      <c r="AC21" s="6033"/>
    </row>
    <row customHeight="1" ht="15">
      <c r="A22" s="2354"/>
      <c r="B22" s="1284">
        <v>1</v>
      </c>
      <c r="C22" s="1284"/>
      <c r="D22" s="924"/>
      <c r="E22" s="1936" t="str">
        <f>A21&amp;"."&amp;B22</f>
        <v>4.1</v>
      </c>
      <c r="F22" s="927" t="s">
        <v>113</v>
      </c>
      <c r="G22" s="917" t="s">
        <v>114</v>
      </c>
      <c r="H22" s="917" t="s">
        <v>114</v>
      </c>
      <c r="I22" s="915" t="s">
        <v>115</v>
      </c>
      <c r="J22" s="1748"/>
      <c r="K22" s="1760"/>
      <c r="L22" s="1760"/>
      <c r="M22" s="1748" t="str">
        <f t="array" ref="M22:M22">IF(ISERROR(MATCH(MID(N22,1,250),MID(note_ter,1,250),0)),"n","y")</f>
        <v>n</v>
      </c>
      <c r="N22" s="1760"/>
      <c r="O22" s="1748" t="str">
        <f>H22&amp;"("&amp;I22&amp;")"</f>
        <v>Елховский муниципальный район(36615000)</v>
      </c>
      <c r="P22" s="1284"/>
      <c r="Q22" s="1284"/>
      <c r="R22" s="544"/>
      <c r="S22" s="1284"/>
      <c r="T22" s="1284"/>
      <c r="U22" s="1284"/>
      <c r="V22" s="546"/>
      <c r="W22" s="546"/>
      <c r="X22" s="543"/>
      <c r="Y22" s="543"/>
      <c r="Z22" s="543"/>
      <c r="AA22" s="543"/>
      <c r="AB22" s="543"/>
      <c r="AC22" s="543"/>
    </row>
    <row customHeight="1" ht="15">
      <c r="A23" s="2354"/>
      <c r="B23" s="1284"/>
      <c r="C23" s="536"/>
      <c r="D23" s="925"/>
      <c r="E23" s="545"/>
      <c r="F23" s="301"/>
      <c r="G23" s="539" t="s">
        <v>101</v>
      </c>
      <c r="H23" s="311"/>
      <c r="I23" s="548"/>
      <c r="J23" s="1760"/>
      <c r="K23" s="1760"/>
      <c r="L23" s="1760"/>
      <c r="M23" s="1760"/>
      <c r="N23" s="1748"/>
      <c r="O23" s="1760"/>
      <c r="P23" s="1284"/>
      <c r="Q23" s="1284"/>
      <c r="R23" s="544"/>
      <c r="S23" s="1284"/>
      <c r="T23" s="1284"/>
      <c r="U23" s="1284"/>
      <c r="V23" s="546"/>
      <c r="W23" s="546"/>
      <c r="X23" s="543"/>
      <c r="Y23" s="543"/>
      <c r="Z23" s="543"/>
      <c r="AA23" s="543"/>
      <c r="AB23" s="543"/>
      <c r="AC23" s="543"/>
    </row>
    <row customHeight="1" ht="15">
      <c r="A24" s="2354" t="s">
        <v>116</v>
      </c>
      <c r="B24" s="1284"/>
      <c r="C24" s="925" t="s">
        <v>103</v>
      </c>
      <c r="D24" s="1941"/>
      <c r="E24" s="1928" t="str">
        <f>A24</f>
        <v>5</v>
      </c>
      <c r="F24" s="928" t="s">
        <v>117</v>
      </c>
      <c r="G24" s="664" t="str">
        <f>"Территория "&amp;E24</f>
        <v>Территория 5</v>
      </c>
      <c r="H24" s="916"/>
      <c r="I24" s="916"/>
      <c r="J24" s="913"/>
      <c r="K24" s="1748"/>
      <c r="L24" s="1748"/>
      <c r="M24" s="1748"/>
      <c r="N24" s="350"/>
      <c r="O24" s="1748"/>
      <c r="P24" s="349"/>
      <c r="Q24" s="349"/>
      <c r="R24" s="349"/>
      <c r="S24" s="349"/>
      <c r="T24" s="6033"/>
      <c r="U24" s="6033"/>
      <c r="V24" s="6033"/>
      <c r="W24" s="6033"/>
      <c r="X24" s="6033"/>
      <c r="Y24" s="6033"/>
      <c r="Z24" s="6033"/>
      <c r="AA24" s="6033"/>
      <c r="AB24" s="6033"/>
      <c r="AC24" s="6033"/>
    </row>
    <row customHeight="1" ht="15">
      <c r="A25" s="2354"/>
      <c r="B25" s="1284">
        <v>1</v>
      </c>
      <c r="C25" s="1284"/>
      <c r="D25" s="924"/>
      <c r="E25" s="1936" t="str">
        <f>A24&amp;"."&amp;B25</f>
        <v>5.1</v>
      </c>
      <c r="F25" s="927" t="s">
        <v>118</v>
      </c>
      <c r="G25" s="917" t="s">
        <v>119</v>
      </c>
      <c r="H25" s="917" t="s">
        <v>119</v>
      </c>
      <c r="I25" s="915" t="s">
        <v>120</v>
      </c>
      <c r="J25" s="1748"/>
      <c r="K25" s="1760"/>
      <c r="L25" s="1760"/>
      <c r="M25" s="1748" t="str">
        <f t="array" ref="M25:M25">IF(ISERROR(MATCH(MID(N25,1,250),MID(note_ter,1,250),0)),"n","y")</f>
        <v>n</v>
      </c>
      <c r="N25" s="1760"/>
      <c r="O25" s="1748" t="str">
        <f>H25&amp;"("&amp;I25&amp;")"</f>
        <v>Исаклинский муниципальный район(36616000)</v>
      </c>
      <c r="P25" s="1284"/>
      <c r="Q25" s="1284"/>
      <c r="R25" s="544"/>
      <c r="S25" s="1284"/>
      <c r="T25" s="1284"/>
      <c r="U25" s="1284"/>
      <c r="V25" s="546"/>
      <c r="W25" s="546"/>
      <c r="X25" s="543"/>
      <c r="Y25" s="543"/>
      <c r="Z25" s="543"/>
      <c r="AA25" s="543"/>
      <c r="AB25" s="543"/>
      <c r="AC25" s="543"/>
    </row>
    <row customHeight="1" ht="15">
      <c r="A26" s="2354"/>
      <c r="B26" s="1284"/>
      <c r="C26" s="536"/>
      <c r="D26" s="925"/>
      <c r="E26" s="545"/>
      <c r="F26" s="301"/>
      <c r="G26" s="539" t="s">
        <v>101</v>
      </c>
      <c r="H26" s="311"/>
      <c r="I26" s="548"/>
      <c r="J26" s="1760"/>
      <c r="K26" s="1760"/>
      <c r="L26" s="1760"/>
      <c r="M26" s="1760"/>
      <c r="N26" s="1748"/>
      <c r="O26" s="1760"/>
      <c r="P26" s="1284"/>
      <c r="Q26" s="1284"/>
      <c r="R26" s="544"/>
      <c r="S26" s="1284"/>
      <c r="T26" s="1284"/>
      <c r="U26" s="1284"/>
      <c r="V26" s="546"/>
      <c r="W26" s="546"/>
      <c r="X26" s="543"/>
      <c r="Y26" s="543"/>
      <c r="Z26" s="543"/>
      <c r="AA26" s="543"/>
      <c r="AB26" s="543"/>
      <c r="AC26" s="543"/>
    </row>
    <row customHeight="1" ht="15">
      <c r="A27" s="2354" t="s">
        <v>92</v>
      </c>
      <c r="B27" s="1284"/>
      <c r="C27" s="925" t="s">
        <v>103</v>
      </c>
      <c r="D27" s="1941"/>
      <c r="E27" s="1928" t="str">
        <f>A27</f>
        <v>6</v>
      </c>
      <c r="F27" s="928" t="s">
        <v>121</v>
      </c>
      <c r="G27" s="664" t="str">
        <f>"Территория "&amp;E27</f>
        <v>Территория 6</v>
      </c>
      <c r="H27" s="916"/>
      <c r="I27" s="916"/>
      <c r="J27" s="913"/>
      <c r="K27" s="1748"/>
      <c r="L27" s="1748"/>
      <c r="M27" s="1748"/>
      <c r="N27" s="350"/>
      <c r="O27" s="1748"/>
      <c r="P27" s="349"/>
      <c r="Q27" s="349"/>
      <c r="R27" s="349"/>
      <c r="S27" s="349"/>
      <c r="T27" s="6033"/>
      <c r="U27" s="6033"/>
      <c r="V27" s="6033"/>
      <c r="W27" s="6033"/>
      <c r="X27" s="6033"/>
      <c r="Y27" s="6033"/>
      <c r="Z27" s="6033"/>
      <c r="AA27" s="6033"/>
      <c r="AB27" s="6033"/>
      <c r="AC27" s="6033"/>
    </row>
    <row customHeight="1" ht="15">
      <c r="A28" s="2354"/>
      <c r="B28" s="1284">
        <v>1</v>
      </c>
      <c r="C28" s="1284"/>
      <c r="D28" s="924"/>
      <c r="E28" s="1936" t="str">
        <f>A27&amp;"."&amp;B28</f>
        <v>6.1</v>
      </c>
      <c r="F28" s="927" t="s">
        <v>122</v>
      </c>
      <c r="G28" s="917" t="s">
        <v>123</v>
      </c>
      <c r="H28" s="917" t="s">
        <v>123</v>
      </c>
      <c r="I28" s="915" t="s">
        <v>124</v>
      </c>
      <c r="J28" s="1748"/>
      <c r="K28" s="1760"/>
      <c r="L28" s="1760"/>
      <c r="M28" s="1748" t="str">
        <f t="array" ref="M28:M28">IF(ISERROR(MATCH(MID(N28,1,250),MID(note_ter,1,250),0)),"n","y")</f>
        <v>n</v>
      </c>
      <c r="N28" s="1760"/>
      <c r="O28" s="1748" t="str">
        <f>H28&amp;"("&amp;I28&amp;")"</f>
        <v>Кошкинский муниципальный район(36624000)</v>
      </c>
      <c r="P28" s="1284"/>
      <c r="Q28" s="1284"/>
      <c r="R28" s="544"/>
      <c r="S28" s="1284"/>
      <c r="T28" s="1284"/>
      <c r="U28" s="1284"/>
      <c r="V28" s="546"/>
      <c r="W28" s="546"/>
      <c r="X28" s="543"/>
      <c r="Y28" s="543"/>
      <c r="Z28" s="543"/>
      <c r="AA28" s="543"/>
      <c r="AB28" s="543"/>
      <c r="AC28" s="543"/>
    </row>
    <row customHeight="1" ht="15">
      <c r="A29" s="2354"/>
      <c r="B29" s="1284"/>
      <c r="C29" s="536"/>
      <c r="D29" s="925"/>
      <c r="E29" s="545"/>
      <c r="F29" s="301"/>
      <c r="G29" s="539" t="s">
        <v>101</v>
      </c>
      <c r="H29" s="311"/>
      <c r="I29" s="548"/>
      <c r="J29" s="1760"/>
      <c r="K29" s="1760"/>
      <c r="L29" s="1760"/>
      <c r="M29" s="1760"/>
      <c r="N29" s="1748"/>
      <c r="O29" s="1760"/>
      <c r="P29" s="1284"/>
      <c r="Q29" s="1284"/>
      <c r="R29" s="544"/>
      <c r="S29" s="1284"/>
      <c r="T29" s="1284"/>
      <c r="U29" s="1284"/>
      <c r="V29" s="546"/>
      <c r="W29" s="546"/>
      <c r="X29" s="543"/>
      <c r="Y29" s="543"/>
      <c r="Z29" s="543"/>
      <c r="AA29" s="543"/>
      <c r="AB29" s="543"/>
      <c r="AC29" s="543"/>
    </row>
    <row customHeight="1" ht="15">
      <c r="A30" s="2354" t="s">
        <v>93</v>
      </c>
      <c r="B30" s="1284"/>
      <c r="C30" s="925" t="s">
        <v>103</v>
      </c>
      <c r="D30" s="1941"/>
      <c r="E30" s="1928" t="str">
        <f>A30</f>
        <v>7</v>
      </c>
      <c r="F30" s="928" t="s">
        <v>125</v>
      </c>
      <c r="G30" s="664" t="str">
        <f>"Территория "&amp;E30</f>
        <v>Территория 7</v>
      </c>
      <c r="H30" s="916"/>
      <c r="I30" s="916"/>
      <c r="J30" s="913"/>
      <c r="K30" s="1748"/>
      <c r="L30" s="1748"/>
      <c r="M30" s="1748"/>
      <c r="N30" s="350"/>
      <c r="O30" s="1748"/>
      <c r="P30" s="349"/>
      <c r="Q30" s="349"/>
      <c r="R30" s="349"/>
      <c r="S30" s="349"/>
      <c r="T30" s="6033"/>
      <c r="U30" s="6033"/>
      <c r="V30" s="6033"/>
      <c r="W30" s="6033"/>
      <c r="X30" s="6033"/>
      <c r="Y30" s="6033"/>
      <c r="Z30" s="6033"/>
      <c r="AA30" s="6033"/>
      <c r="AB30" s="6033"/>
      <c r="AC30" s="6033"/>
    </row>
    <row customHeight="1" ht="15">
      <c r="A31" s="2354"/>
      <c r="B31" s="1284">
        <v>1</v>
      </c>
      <c r="C31" s="1284"/>
      <c r="D31" s="924"/>
      <c r="E31" s="1936" t="str">
        <f>A30&amp;"."&amp;B31</f>
        <v>7.1</v>
      </c>
      <c r="F31" s="927" t="s">
        <v>126</v>
      </c>
      <c r="G31" s="917" t="s">
        <v>127</v>
      </c>
      <c r="H31" s="917" t="s">
        <v>127</v>
      </c>
      <c r="I31" s="915" t="s">
        <v>128</v>
      </c>
      <c r="J31" s="1748"/>
      <c r="K31" s="1760"/>
      <c r="L31" s="1760"/>
      <c r="M31" s="1748" t="str">
        <f t="array" ref="M31:M31">IF(ISERROR(MATCH(MID(N31,1,250),MID(note_ter,1,250),0)),"n","y")</f>
        <v>n</v>
      </c>
      <c r="N31" s="1760"/>
      <c r="O31" s="1748" t="str">
        <f>H31&amp;"("&amp;I31&amp;")"</f>
        <v>Кинель-Черкасский муниципальный район(36620000)</v>
      </c>
      <c r="P31" s="1284"/>
      <c r="Q31" s="1284"/>
      <c r="R31" s="544"/>
      <c r="S31" s="1284"/>
      <c r="T31" s="1284"/>
      <c r="U31" s="1284"/>
      <c r="V31" s="546"/>
      <c r="W31" s="546"/>
      <c r="X31" s="543"/>
      <c r="Y31" s="543"/>
      <c r="Z31" s="543"/>
      <c r="AA31" s="543"/>
      <c r="AB31" s="543"/>
      <c r="AC31" s="543"/>
    </row>
    <row customHeight="1" ht="15">
      <c r="A32" s="2354"/>
      <c r="B32" s="1284"/>
      <c r="C32" s="536"/>
      <c r="D32" s="925"/>
      <c r="E32" s="545"/>
      <c r="F32" s="301"/>
      <c r="G32" s="539" t="s">
        <v>101</v>
      </c>
      <c r="H32" s="311"/>
      <c r="I32" s="548"/>
      <c r="J32" s="1760"/>
      <c r="K32" s="1760"/>
      <c r="L32" s="1760"/>
      <c r="M32" s="1760"/>
      <c r="N32" s="1748"/>
      <c r="O32" s="1760"/>
      <c r="P32" s="1284"/>
      <c r="Q32" s="1284"/>
      <c r="R32" s="544"/>
      <c r="S32" s="1284"/>
      <c r="T32" s="1284"/>
      <c r="U32" s="1284"/>
      <c r="V32" s="546"/>
      <c r="W32" s="546"/>
      <c r="X32" s="543"/>
      <c r="Y32" s="543"/>
      <c r="Z32" s="543"/>
      <c r="AA32" s="543"/>
      <c r="AB32" s="543"/>
      <c r="AC32" s="543"/>
    </row>
    <row customHeight="1" ht="15">
      <c r="A33" s="2354" t="s">
        <v>129</v>
      </c>
      <c r="B33" s="1284"/>
      <c r="C33" s="925" t="s">
        <v>103</v>
      </c>
      <c r="D33" s="1941"/>
      <c r="E33" s="1928" t="str">
        <f>A33</f>
        <v>8</v>
      </c>
      <c r="F33" s="928" t="s">
        <v>130</v>
      </c>
      <c r="G33" s="664" t="str">
        <f>"Территория "&amp;E33</f>
        <v>Территория 8</v>
      </c>
      <c r="H33" s="916"/>
      <c r="I33" s="916"/>
      <c r="J33" s="913"/>
      <c r="K33" s="1748"/>
      <c r="L33" s="1748"/>
      <c r="M33" s="1748"/>
      <c r="N33" s="350"/>
      <c r="O33" s="1748"/>
      <c r="P33" s="349"/>
      <c r="Q33" s="349"/>
      <c r="R33" s="349"/>
      <c r="S33" s="349"/>
      <c r="T33" s="6033"/>
      <c r="U33" s="6033"/>
      <c r="V33" s="6033"/>
      <c r="W33" s="6033"/>
      <c r="X33" s="6033"/>
      <c r="Y33" s="6033"/>
      <c r="Z33" s="6033"/>
      <c r="AA33" s="6033"/>
      <c r="AB33" s="6033"/>
      <c r="AC33" s="6033"/>
    </row>
    <row customHeight="1" ht="15">
      <c r="A34" s="2354"/>
      <c r="B34" s="1284">
        <v>1</v>
      </c>
      <c r="C34" s="1284"/>
      <c r="D34" s="924"/>
      <c r="E34" s="1936" t="str">
        <f>A33&amp;"."&amp;B34</f>
        <v>8.1</v>
      </c>
      <c r="F34" s="927" t="s">
        <v>131</v>
      </c>
      <c r="G34" s="917" t="s">
        <v>132</v>
      </c>
      <c r="H34" s="917" t="s">
        <v>132</v>
      </c>
      <c r="I34" s="915" t="s">
        <v>133</v>
      </c>
      <c r="J34" s="1748"/>
      <c r="K34" s="1760"/>
      <c r="L34" s="1760"/>
      <c r="M34" s="1748" t="str">
        <f t="array" ref="M34:M34">IF(ISERROR(MATCH(MID(N34,1,250),MID(note_ter,1,250),0)),"n","y")</f>
        <v>n</v>
      </c>
      <c r="N34" s="1760"/>
      <c r="O34" s="1748" t="str">
        <f>H34&amp;"("&amp;I34&amp;")"</f>
        <v>Кинельский муниципальный район(36618000)</v>
      </c>
      <c r="P34" s="1284"/>
      <c r="Q34" s="1284"/>
      <c r="R34" s="544"/>
      <c r="S34" s="1284"/>
      <c r="T34" s="1284"/>
      <c r="U34" s="1284"/>
      <c r="V34" s="546"/>
      <c r="W34" s="546"/>
      <c r="X34" s="543"/>
      <c r="Y34" s="543"/>
      <c r="Z34" s="543"/>
      <c r="AA34" s="543"/>
      <c r="AB34" s="543"/>
      <c r="AC34" s="543"/>
    </row>
    <row customHeight="1" ht="15">
      <c r="A35" s="2354"/>
      <c r="B35" s="1284"/>
      <c r="C35" s="536"/>
      <c r="D35" s="925"/>
      <c r="E35" s="545"/>
      <c r="F35" s="301"/>
      <c r="G35" s="539" t="s">
        <v>101</v>
      </c>
      <c r="H35" s="311"/>
      <c r="I35" s="548"/>
      <c r="J35" s="1760"/>
      <c r="K35" s="1760"/>
      <c r="L35" s="1760"/>
      <c r="M35" s="1760"/>
      <c r="N35" s="1748"/>
      <c r="O35" s="1760"/>
      <c r="P35" s="1284"/>
      <c r="Q35" s="1284"/>
      <c r="R35" s="544"/>
      <c r="S35" s="1284"/>
      <c r="T35" s="1284"/>
      <c r="U35" s="1284"/>
      <c r="V35" s="546"/>
      <c r="W35" s="546"/>
      <c r="X35" s="543"/>
      <c r="Y35" s="543"/>
      <c r="Z35" s="543"/>
      <c r="AA35" s="543"/>
      <c r="AB35" s="543"/>
      <c r="AC35" s="543"/>
    </row>
    <row customHeight="1" ht="15">
      <c r="A36" s="2354" t="s">
        <v>134</v>
      </c>
      <c r="B36" s="1284"/>
      <c r="C36" s="925" t="s">
        <v>103</v>
      </c>
      <c r="D36" s="1941"/>
      <c r="E36" s="1928" t="str">
        <f>A36</f>
        <v>9</v>
      </c>
      <c r="F36" s="928" t="s">
        <v>135</v>
      </c>
      <c r="G36" s="664" t="str">
        <f>"Территория "&amp;E36</f>
        <v>Территория 9</v>
      </c>
      <c r="H36" s="916"/>
      <c r="I36" s="916"/>
      <c r="J36" s="913"/>
      <c r="K36" s="1748"/>
      <c r="L36" s="1748"/>
      <c r="M36" s="1748"/>
      <c r="N36" s="350"/>
      <c r="O36" s="1748"/>
      <c r="P36" s="349"/>
      <c r="Q36" s="349"/>
      <c r="R36" s="349"/>
      <c r="S36" s="349"/>
      <c r="T36" s="6033"/>
      <c r="U36" s="6033"/>
      <c r="V36" s="6033"/>
      <c r="W36" s="6033"/>
      <c r="X36" s="6033"/>
      <c r="Y36" s="6033"/>
      <c r="Z36" s="6033"/>
      <c r="AA36" s="6033"/>
      <c r="AB36" s="6033"/>
      <c r="AC36" s="6033"/>
    </row>
    <row customHeight="1" ht="15">
      <c r="A37" s="2354"/>
      <c r="B37" s="1284">
        <v>1</v>
      </c>
      <c r="C37" s="1284"/>
      <c r="D37" s="924"/>
      <c r="E37" s="1936" t="str">
        <f>A36&amp;"."&amp;B37</f>
        <v>9.1</v>
      </c>
      <c r="F37" s="927" t="s">
        <v>136</v>
      </c>
      <c r="G37" s="917" t="s">
        <v>137</v>
      </c>
      <c r="H37" s="917" t="s">
        <v>137</v>
      </c>
      <c r="I37" s="915" t="s">
        <v>138</v>
      </c>
      <c r="J37" s="1748"/>
      <c r="K37" s="1760"/>
      <c r="L37" s="1760"/>
      <c r="M37" s="1748" t="str">
        <f t="array" ref="M37:M37">IF(ISERROR(MATCH(MID(N37,1,250),MID(note_ter,1,250),0)),"n","y")</f>
        <v>n</v>
      </c>
      <c r="N37" s="1760"/>
      <c r="O37" s="1748" t="str">
        <f>H37&amp;"("&amp;I37&amp;")"</f>
        <v>Нефтегорский муниципальный район(36630000)</v>
      </c>
      <c r="P37" s="1284"/>
      <c r="Q37" s="1284"/>
      <c r="R37" s="544"/>
      <c r="S37" s="1284"/>
      <c r="T37" s="1284"/>
      <c r="U37" s="1284"/>
      <c r="V37" s="546"/>
      <c r="W37" s="546"/>
      <c r="X37" s="543"/>
      <c r="Y37" s="543"/>
      <c r="Z37" s="543"/>
      <c r="AA37" s="543"/>
      <c r="AB37" s="543"/>
      <c r="AC37" s="543"/>
    </row>
    <row customHeight="1" ht="15">
      <c r="A38" s="2354"/>
      <c r="B38" s="1284"/>
      <c r="C38" s="536"/>
      <c r="D38" s="925"/>
      <c r="E38" s="545"/>
      <c r="F38" s="301"/>
      <c r="G38" s="539" t="s">
        <v>101</v>
      </c>
      <c r="H38" s="311"/>
      <c r="I38" s="548"/>
      <c r="J38" s="1760"/>
      <c r="K38" s="1760"/>
      <c r="L38" s="1760"/>
      <c r="M38" s="1760"/>
      <c r="N38" s="1748"/>
      <c r="O38" s="1760"/>
      <c r="P38" s="1284"/>
      <c r="Q38" s="1284"/>
      <c r="R38" s="544"/>
      <c r="S38" s="1284"/>
      <c r="T38" s="1284"/>
      <c r="U38" s="1284"/>
      <c r="V38" s="546"/>
      <c r="W38" s="546"/>
      <c r="X38" s="543"/>
      <c r="Y38" s="543"/>
      <c r="Z38" s="543"/>
      <c r="AA38" s="543"/>
      <c r="AB38" s="543"/>
      <c r="AC38" s="543"/>
    </row>
    <row customHeight="1" ht="15">
      <c r="A39" s="2354" t="s">
        <v>139</v>
      </c>
      <c r="B39" s="1284"/>
      <c r="C39" s="925" t="s">
        <v>103</v>
      </c>
      <c r="D39" s="1941"/>
      <c r="E39" s="1928" t="str">
        <f>A39</f>
        <v>10</v>
      </c>
      <c r="F39" s="928" t="s">
        <v>140</v>
      </c>
      <c r="G39" s="664" t="str">
        <f>"Территория "&amp;E39</f>
        <v>Территория 10</v>
      </c>
      <c r="H39" s="916"/>
      <c r="I39" s="916"/>
      <c r="J39" s="913"/>
      <c r="K39" s="1748"/>
      <c r="L39" s="1748"/>
      <c r="M39" s="1748"/>
      <c r="N39" s="350"/>
      <c r="O39" s="1748"/>
      <c r="P39" s="349"/>
      <c r="Q39" s="349"/>
      <c r="R39" s="349"/>
      <c r="S39" s="349"/>
      <c r="T39" s="6033"/>
      <c r="U39" s="6033"/>
      <c r="V39" s="6033"/>
      <c r="W39" s="6033"/>
      <c r="X39" s="6033"/>
      <c r="Y39" s="6033"/>
      <c r="Z39" s="6033"/>
      <c r="AA39" s="6033"/>
      <c r="AB39" s="6033"/>
      <c r="AC39" s="6033"/>
    </row>
    <row customHeight="1" ht="15">
      <c r="A40" s="2354"/>
      <c r="B40" s="1284">
        <v>1</v>
      </c>
      <c r="C40" s="1284"/>
      <c r="D40" s="924"/>
      <c r="E40" s="1936" t="str">
        <f>A39&amp;"."&amp;B40</f>
        <v>10.1</v>
      </c>
      <c r="F40" s="927" t="s">
        <v>141</v>
      </c>
      <c r="G40" s="917" t="s">
        <v>142</v>
      </c>
      <c r="H40" s="917" t="s">
        <v>142</v>
      </c>
      <c r="I40" s="915" t="s">
        <v>143</v>
      </c>
      <c r="J40" s="1748"/>
      <c r="K40" s="1760"/>
      <c r="L40" s="1760"/>
      <c r="M40" s="1748" t="str">
        <f t="array" ref="M40:M40">IF(ISERROR(MATCH(MID(N40,1,250),MID(note_ter,1,250),0)),"n","y")</f>
        <v>n</v>
      </c>
      <c r="N40" s="1760"/>
      <c r="O40" s="1748" t="str">
        <f>H40&amp;"("&amp;I40&amp;")"</f>
        <v>Пестравский муниципальный район(36632000)</v>
      </c>
      <c r="P40" s="1284"/>
      <c r="Q40" s="1284"/>
      <c r="R40" s="544"/>
      <c r="S40" s="1284"/>
      <c r="T40" s="1284"/>
      <c r="U40" s="1284"/>
      <c r="V40" s="546"/>
      <c r="W40" s="546"/>
      <c r="X40" s="543"/>
      <c r="Y40" s="543"/>
      <c r="Z40" s="543"/>
      <c r="AA40" s="543"/>
      <c r="AB40" s="543"/>
      <c r="AC40" s="543"/>
    </row>
    <row customHeight="1" ht="15">
      <c r="A41" s="2354"/>
      <c r="B41" s="1284"/>
      <c r="C41" s="536"/>
      <c r="D41" s="925"/>
      <c r="E41" s="545"/>
      <c r="F41" s="301"/>
      <c r="G41" s="539" t="s">
        <v>101</v>
      </c>
      <c r="H41" s="311"/>
      <c r="I41" s="548"/>
      <c r="J41" s="1760"/>
      <c r="K41" s="1760"/>
      <c r="L41" s="1760"/>
      <c r="M41" s="1760"/>
      <c r="N41" s="1748"/>
      <c r="O41" s="1760"/>
      <c r="P41" s="1284"/>
      <c r="Q41" s="1284"/>
      <c r="R41" s="544"/>
      <c r="S41" s="1284"/>
      <c r="T41" s="1284"/>
      <c r="U41" s="1284"/>
      <c r="V41" s="546"/>
      <c r="W41" s="546"/>
      <c r="X41" s="543"/>
      <c r="Y41" s="543"/>
      <c r="Z41" s="543"/>
      <c r="AA41" s="543"/>
      <c r="AB41" s="543"/>
      <c r="AC41" s="543"/>
    </row>
    <row customHeight="1" ht="15">
      <c r="A42" s="2354" t="s">
        <v>144</v>
      </c>
      <c r="B42" s="1284"/>
      <c r="C42" s="925" t="s">
        <v>103</v>
      </c>
      <c r="D42" s="1941"/>
      <c r="E42" s="1928" t="str">
        <f>A42</f>
        <v>11</v>
      </c>
      <c r="F42" s="928" t="s">
        <v>145</v>
      </c>
      <c r="G42" s="664" t="str">
        <f>"Территория "&amp;E42</f>
        <v>Территория 11</v>
      </c>
      <c r="H42" s="916"/>
      <c r="I42" s="916"/>
      <c r="J42" s="913"/>
      <c r="K42" s="1748"/>
      <c r="L42" s="1748"/>
      <c r="M42" s="1748"/>
      <c r="N42" s="350"/>
      <c r="O42" s="1748"/>
      <c r="P42" s="349"/>
      <c r="Q42" s="349"/>
      <c r="R42" s="349"/>
      <c r="S42" s="349"/>
      <c r="T42" s="6033"/>
      <c r="U42" s="6033"/>
      <c r="V42" s="6033"/>
      <c r="W42" s="6033"/>
      <c r="X42" s="6033"/>
      <c r="Y42" s="6033"/>
      <c r="Z42" s="6033"/>
      <c r="AA42" s="6033"/>
      <c r="AB42" s="6033"/>
      <c r="AC42" s="6033"/>
    </row>
    <row customHeight="1" ht="15">
      <c r="A43" s="2354"/>
      <c r="B43" s="1284">
        <v>1</v>
      </c>
      <c r="C43" s="1284"/>
      <c r="D43" s="924"/>
      <c r="E43" s="1936" t="str">
        <f>A42&amp;"."&amp;B43</f>
        <v>11.1</v>
      </c>
      <c r="F43" s="927" t="s">
        <v>146</v>
      </c>
      <c r="G43" s="917" t="s">
        <v>147</v>
      </c>
      <c r="H43" s="917" t="s">
        <v>147</v>
      </c>
      <c r="I43" s="915" t="s">
        <v>148</v>
      </c>
      <c r="J43" s="1748"/>
      <c r="K43" s="1760"/>
      <c r="L43" s="1760"/>
      <c r="M43" s="1748" t="str">
        <f t="array" ref="M43:M43">IF(ISERROR(MATCH(MID(N43,1,250),MID(note_ter,1,250),0)),"n","y")</f>
        <v>n</v>
      </c>
      <c r="N43" s="1760"/>
      <c r="O43" s="1748" t="str">
        <f>H43&amp;"("&amp;I43&amp;")"</f>
        <v>Похвистневский муниципальный район(36634000)</v>
      </c>
      <c r="P43" s="1284"/>
      <c r="Q43" s="1284"/>
      <c r="R43" s="544"/>
      <c r="S43" s="1284"/>
      <c r="T43" s="1284"/>
      <c r="U43" s="1284"/>
      <c r="V43" s="546"/>
      <c r="W43" s="546"/>
      <c r="X43" s="543"/>
      <c r="Y43" s="543"/>
      <c r="Z43" s="543"/>
      <c r="AA43" s="543"/>
      <c r="AB43" s="543"/>
      <c r="AC43" s="543"/>
    </row>
    <row customHeight="1" ht="15">
      <c r="A44" s="2354"/>
      <c r="B44" s="1284"/>
      <c r="C44" s="536"/>
      <c r="D44" s="925"/>
      <c r="E44" s="545"/>
      <c r="F44" s="301"/>
      <c r="G44" s="539" t="s">
        <v>101</v>
      </c>
      <c r="H44" s="311"/>
      <c r="I44" s="548"/>
      <c r="J44" s="1760"/>
      <c r="K44" s="1760"/>
      <c r="L44" s="1760"/>
      <c r="M44" s="1760"/>
      <c r="N44" s="1748"/>
      <c r="O44" s="1760"/>
      <c r="P44" s="1284"/>
      <c r="Q44" s="1284"/>
      <c r="R44" s="544"/>
      <c r="S44" s="1284"/>
      <c r="T44" s="1284"/>
      <c r="U44" s="1284"/>
      <c r="V44" s="546"/>
      <c r="W44" s="546"/>
      <c r="X44" s="543"/>
      <c r="Y44" s="543"/>
      <c r="Z44" s="543"/>
      <c r="AA44" s="543"/>
      <c r="AB44" s="543"/>
      <c r="AC44" s="543"/>
    </row>
    <row customHeight="1" ht="15">
      <c r="A45" s="2354" t="s">
        <v>149</v>
      </c>
      <c r="B45" s="1284"/>
      <c r="C45" s="925" t="s">
        <v>103</v>
      </c>
      <c r="D45" s="1941"/>
      <c r="E45" s="1928" t="str">
        <f>A45</f>
        <v>12</v>
      </c>
      <c r="F45" s="928" t="s">
        <v>150</v>
      </c>
      <c r="G45" s="664" t="str">
        <f>"Территория "&amp;E45</f>
        <v>Территория 12</v>
      </c>
      <c r="H45" s="916"/>
      <c r="I45" s="916"/>
      <c r="J45" s="913"/>
      <c r="K45" s="1748"/>
      <c r="L45" s="1748"/>
      <c r="M45" s="1748"/>
      <c r="N45" s="350"/>
      <c r="O45" s="1748"/>
      <c r="P45" s="349"/>
      <c r="Q45" s="349"/>
      <c r="R45" s="349"/>
      <c r="S45" s="349"/>
      <c r="T45" s="6033"/>
      <c r="U45" s="6033"/>
      <c r="V45" s="6033"/>
      <c r="W45" s="6033"/>
      <c r="X45" s="6033"/>
      <c r="Y45" s="6033"/>
      <c r="Z45" s="6033"/>
      <c r="AA45" s="6033"/>
      <c r="AB45" s="6033"/>
      <c r="AC45" s="6033"/>
    </row>
    <row customHeight="1" ht="15">
      <c r="A46" s="2354"/>
      <c r="B46" s="1284">
        <v>1</v>
      </c>
      <c r="C46" s="1284"/>
      <c r="D46" s="924"/>
      <c r="E46" s="1936" t="str">
        <f>A45&amp;"."&amp;B46</f>
        <v>12.1</v>
      </c>
      <c r="F46" s="927" t="s">
        <v>151</v>
      </c>
      <c r="G46" s="917" t="s">
        <v>152</v>
      </c>
      <c r="H46" s="917" t="s">
        <v>152</v>
      </c>
      <c r="I46" s="915" t="s">
        <v>153</v>
      </c>
      <c r="J46" s="1748"/>
      <c r="K46" s="1760"/>
      <c r="L46" s="1760"/>
      <c r="M46" s="1748" t="str">
        <f t="array" ref="M46:M46">IF(ISERROR(MATCH(MID(N46,1,250),MID(note_ter,1,250),0)),"n","y")</f>
        <v>n</v>
      </c>
      <c r="N46" s="1760"/>
      <c r="O46" s="1748" t="str">
        <f>H46&amp;"("&amp;I46&amp;")"</f>
        <v>Приволжский муниципальный район(36636000)</v>
      </c>
      <c r="P46" s="1284"/>
      <c r="Q46" s="1284"/>
      <c r="R46" s="544"/>
      <c r="S46" s="1284"/>
      <c r="T46" s="1284"/>
      <c r="U46" s="1284"/>
      <c r="V46" s="546"/>
      <c r="W46" s="546"/>
      <c r="X46" s="543"/>
      <c r="Y46" s="543"/>
      <c r="Z46" s="543"/>
      <c r="AA46" s="543"/>
      <c r="AB46" s="543"/>
      <c r="AC46" s="543"/>
    </row>
    <row customHeight="1" ht="15">
      <c r="A47" s="2354"/>
      <c r="B47" s="1284"/>
      <c r="C47" s="536"/>
      <c r="D47" s="925"/>
      <c r="E47" s="545"/>
      <c r="F47" s="301"/>
      <c r="G47" s="539" t="s">
        <v>101</v>
      </c>
      <c r="H47" s="311"/>
      <c r="I47" s="548"/>
      <c r="J47" s="1760"/>
      <c r="K47" s="1760"/>
      <c r="L47" s="1760"/>
      <c r="M47" s="1760"/>
      <c r="N47" s="1748"/>
      <c r="O47" s="1760"/>
      <c r="P47" s="1284"/>
      <c r="Q47" s="1284"/>
      <c r="R47" s="544"/>
      <c r="S47" s="1284"/>
      <c r="T47" s="1284"/>
      <c r="U47" s="1284"/>
      <c r="V47" s="546"/>
      <c r="W47" s="546"/>
      <c r="X47" s="543"/>
      <c r="Y47" s="543"/>
      <c r="Z47" s="543"/>
      <c r="AA47" s="543"/>
      <c r="AB47" s="543"/>
      <c r="AC47" s="543"/>
    </row>
    <row customHeight="1" ht="15">
      <c r="A48" s="2354" t="s">
        <v>154</v>
      </c>
      <c r="B48" s="1284"/>
      <c r="C48" s="925" t="s">
        <v>103</v>
      </c>
      <c r="D48" s="1941"/>
      <c r="E48" s="1928" t="str">
        <f>A48</f>
        <v>13</v>
      </c>
      <c r="F48" s="928" t="s">
        <v>155</v>
      </c>
      <c r="G48" s="664" t="str">
        <f>"Территория "&amp;E48</f>
        <v>Территория 13</v>
      </c>
      <c r="H48" s="916"/>
      <c r="I48" s="916"/>
      <c r="J48" s="913"/>
      <c r="K48" s="1748"/>
      <c r="L48" s="1748"/>
      <c r="M48" s="1748"/>
      <c r="N48" s="350"/>
      <c r="O48" s="1748"/>
      <c r="P48" s="349"/>
      <c r="Q48" s="349"/>
      <c r="R48" s="349"/>
      <c r="S48" s="349"/>
      <c r="T48" s="6033"/>
      <c r="U48" s="6033"/>
      <c r="V48" s="6033"/>
      <c r="W48" s="6033"/>
      <c r="X48" s="6033"/>
      <c r="Y48" s="6033"/>
      <c r="Z48" s="6033"/>
      <c r="AA48" s="6033"/>
      <c r="AB48" s="6033"/>
      <c r="AC48" s="6033"/>
    </row>
    <row customHeight="1" ht="15">
      <c r="A49" s="2354"/>
      <c r="B49" s="1284">
        <v>1</v>
      </c>
      <c r="C49" s="1284"/>
      <c r="D49" s="924"/>
      <c r="E49" s="1936" t="str">
        <f>A48&amp;"."&amp;B49</f>
        <v>13.1</v>
      </c>
      <c r="F49" s="927" t="s">
        <v>156</v>
      </c>
      <c r="G49" s="917" t="s">
        <v>157</v>
      </c>
      <c r="H49" s="917" t="s">
        <v>157</v>
      </c>
      <c r="I49" s="915" t="s">
        <v>158</v>
      </c>
      <c r="J49" s="1748"/>
      <c r="K49" s="1760"/>
      <c r="L49" s="1760"/>
      <c r="M49" s="1748" t="str">
        <f t="array" ref="M49:M49">IF(ISERROR(MATCH(MID(N49,1,250),MID(note_ter,1,250),0)),"n","y")</f>
        <v>n</v>
      </c>
      <c r="N49" s="1760"/>
      <c r="O49" s="1748" t="str">
        <f>H49&amp;"("&amp;I49&amp;")"</f>
        <v>Ставропольский муниципальный район(36640000)</v>
      </c>
      <c r="P49" s="1284"/>
      <c r="Q49" s="1284"/>
      <c r="R49" s="544"/>
      <c r="S49" s="1284"/>
      <c r="T49" s="1284"/>
      <c r="U49" s="1284"/>
      <c r="V49" s="546"/>
      <c r="W49" s="546"/>
      <c r="X49" s="543"/>
      <c r="Y49" s="543"/>
      <c r="Z49" s="543"/>
      <c r="AA49" s="543"/>
      <c r="AB49" s="543"/>
      <c r="AC49" s="543"/>
    </row>
    <row customHeight="1" ht="15">
      <c r="A50" s="2354"/>
      <c r="B50" s="1284"/>
      <c r="C50" s="536"/>
      <c r="D50" s="925"/>
      <c r="E50" s="545"/>
      <c r="F50" s="301"/>
      <c r="G50" s="539" t="s">
        <v>101</v>
      </c>
      <c r="H50" s="311"/>
      <c r="I50" s="548"/>
      <c r="J50" s="1760"/>
      <c r="K50" s="1760"/>
      <c r="L50" s="1760"/>
      <c r="M50" s="1760"/>
      <c r="N50" s="1748"/>
      <c r="O50" s="1760"/>
      <c r="P50" s="1284"/>
      <c r="Q50" s="1284"/>
      <c r="R50" s="544"/>
      <c r="S50" s="1284"/>
      <c r="T50" s="1284"/>
      <c r="U50" s="1284"/>
      <c r="V50" s="546"/>
      <c r="W50" s="546"/>
      <c r="X50" s="543"/>
      <c r="Y50" s="543"/>
      <c r="Z50" s="543"/>
      <c r="AA50" s="543"/>
      <c r="AB50" s="543"/>
      <c r="AC50" s="543"/>
    </row>
    <row customHeight="1" ht="15">
      <c r="A51" s="2354" t="s">
        <v>159</v>
      </c>
      <c r="B51" s="1284"/>
      <c r="C51" s="925" t="s">
        <v>103</v>
      </c>
      <c r="D51" s="1941"/>
      <c r="E51" s="1928" t="str">
        <f>A51</f>
        <v>14</v>
      </c>
      <c r="F51" s="928" t="s">
        <v>160</v>
      </c>
      <c r="G51" s="664" t="str">
        <f>"Территория "&amp;E51</f>
        <v>Территория 14</v>
      </c>
      <c r="H51" s="916"/>
      <c r="I51" s="916"/>
      <c r="J51" s="913"/>
      <c r="K51" s="1748"/>
      <c r="L51" s="1748"/>
      <c r="M51" s="1748"/>
      <c r="N51" s="350"/>
      <c r="O51" s="1748"/>
      <c r="P51" s="349"/>
      <c r="Q51" s="349"/>
      <c r="R51" s="349"/>
      <c r="S51" s="349"/>
      <c r="T51" s="6033"/>
      <c r="U51" s="6033"/>
      <c r="V51" s="6033"/>
      <c r="W51" s="6033"/>
      <c r="X51" s="6033"/>
      <c r="Y51" s="6033"/>
      <c r="Z51" s="6033"/>
      <c r="AA51" s="6033"/>
      <c r="AB51" s="6033"/>
      <c r="AC51" s="6033"/>
    </row>
    <row customHeight="1" ht="15">
      <c r="A52" s="2354"/>
      <c r="B52" s="1284">
        <v>1</v>
      </c>
      <c r="C52" s="1284"/>
      <c r="D52" s="924"/>
      <c r="E52" s="1936" t="str">
        <f>A51&amp;"."&amp;B52</f>
        <v>14.1</v>
      </c>
      <c r="F52" s="927" t="s">
        <v>161</v>
      </c>
      <c r="G52" s="917" t="s">
        <v>162</v>
      </c>
      <c r="H52" s="917" t="s">
        <v>162</v>
      </c>
      <c r="I52" s="915" t="s">
        <v>163</v>
      </c>
      <c r="J52" s="1748"/>
      <c r="K52" s="1760"/>
      <c r="L52" s="1760"/>
      <c r="M52" s="1748" t="str">
        <f t="array" ref="M52:M52">IF(ISERROR(MATCH(MID(N52,1,250),MID(note_ter,1,250),0)),"n","y")</f>
        <v>n</v>
      </c>
      <c r="N52" s="1760"/>
      <c r="O52" s="1748" t="str">
        <f>H52&amp;"("&amp;I52&amp;")"</f>
        <v>Хворостянский муниципальный район(36644000)</v>
      </c>
      <c r="P52" s="1284"/>
      <c r="Q52" s="1284"/>
      <c r="R52" s="544"/>
      <c r="S52" s="1284"/>
      <c r="T52" s="1284"/>
      <c r="U52" s="1284"/>
      <c r="V52" s="546"/>
      <c r="W52" s="546"/>
      <c r="X52" s="543"/>
      <c r="Y52" s="543"/>
      <c r="Z52" s="543"/>
      <c r="AA52" s="543"/>
      <c r="AB52" s="543"/>
      <c r="AC52" s="543"/>
    </row>
    <row customHeight="1" ht="15">
      <c r="A53" s="2354"/>
      <c r="B53" s="1284"/>
      <c r="C53" s="536"/>
      <c r="D53" s="925"/>
      <c r="E53" s="545"/>
      <c r="F53" s="301"/>
      <c r="G53" s="539" t="s">
        <v>101</v>
      </c>
      <c r="H53" s="311"/>
      <c r="I53" s="548"/>
      <c r="J53" s="1760"/>
      <c r="K53" s="1760"/>
      <c r="L53" s="1760"/>
      <c r="M53" s="1760"/>
      <c r="N53" s="1748"/>
      <c r="O53" s="1760"/>
      <c r="P53" s="1284"/>
      <c r="Q53" s="1284"/>
      <c r="R53" s="544"/>
      <c r="S53" s="1284"/>
      <c r="T53" s="1284"/>
      <c r="U53" s="1284"/>
      <c r="V53" s="546"/>
      <c r="W53" s="546"/>
      <c r="X53" s="543"/>
      <c r="Y53" s="543"/>
      <c r="Z53" s="543"/>
      <c r="AA53" s="543"/>
      <c r="AB53" s="543"/>
      <c r="AC53" s="543"/>
    </row>
    <row customHeight="1" ht="15">
      <c r="A54" s="2354" t="s">
        <v>164</v>
      </c>
      <c r="B54" s="1284"/>
      <c r="C54" s="925" t="s">
        <v>103</v>
      </c>
      <c r="D54" s="1941"/>
      <c r="E54" s="1928" t="str">
        <f>A54</f>
        <v>15</v>
      </c>
      <c r="F54" s="928" t="s">
        <v>165</v>
      </c>
      <c r="G54" s="664" t="str">
        <f>"Территория "&amp;E54</f>
        <v>Территория 15</v>
      </c>
      <c r="H54" s="916"/>
      <c r="I54" s="916"/>
      <c r="J54" s="913"/>
      <c r="K54" s="1748"/>
      <c r="L54" s="1748"/>
      <c r="M54" s="1748"/>
      <c r="N54" s="350"/>
      <c r="O54" s="1748"/>
      <c r="P54" s="349"/>
      <c r="Q54" s="349"/>
      <c r="R54" s="349"/>
      <c r="S54" s="349"/>
      <c r="T54" s="6033"/>
      <c r="U54" s="6033"/>
      <c r="V54" s="6033"/>
      <c r="W54" s="6033"/>
      <c r="X54" s="6033"/>
      <c r="Y54" s="6033"/>
      <c r="Z54" s="6033"/>
      <c r="AA54" s="6033"/>
      <c r="AB54" s="6033"/>
      <c r="AC54" s="6033"/>
    </row>
    <row customHeight="1" ht="15">
      <c r="A55" s="2354"/>
      <c r="B55" s="1284">
        <v>1</v>
      </c>
      <c r="C55" s="1284"/>
      <c r="D55" s="924"/>
      <c r="E55" s="1936" t="str">
        <f>A54&amp;"."&amp;B55</f>
        <v>15.1</v>
      </c>
      <c r="F55" s="927" t="s">
        <v>166</v>
      </c>
      <c r="G55" s="917" t="s">
        <v>167</v>
      </c>
      <c r="H55" s="917" t="s">
        <v>167</v>
      </c>
      <c r="I55" s="915" t="s">
        <v>168</v>
      </c>
      <c r="J55" s="1748"/>
      <c r="K55" s="1760"/>
      <c r="L55" s="1760"/>
      <c r="M55" s="1748" t="str">
        <f t="array" ref="M55:M55">IF(ISERROR(MATCH(MID(N55,1,250),MID(note_ter,1,250),0)),"n","y")</f>
        <v>n</v>
      </c>
      <c r="N55" s="1760"/>
      <c r="O55" s="1748" t="str">
        <f>H55&amp;"("&amp;I55&amp;")"</f>
        <v>Шигонский муниципальный район(36650000)</v>
      </c>
      <c r="P55" s="1284"/>
      <c r="Q55" s="1284"/>
      <c r="R55" s="544"/>
      <c r="S55" s="1284"/>
      <c r="T55" s="1284"/>
      <c r="U55" s="1284"/>
      <c r="V55" s="546"/>
      <c r="W55" s="546"/>
      <c r="X55" s="543"/>
      <c r="Y55" s="543"/>
      <c r="Z55" s="543"/>
      <c r="AA55" s="543"/>
      <c r="AB55" s="543"/>
      <c r="AC55" s="543"/>
    </row>
    <row customHeight="1" ht="15">
      <c r="A56" s="2354"/>
      <c r="B56" s="1284"/>
      <c r="C56" s="536"/>
      <c r="D56" s="925"/>
      <c r="E56" s="545"/>
      <c r="F56" s="301"/>
      <c r="G56" s="539" t="s">
        <v>101</v>
      </c>
      <c r="H56" s="311"/>
      <c r="I56" s="548"/>
      <c r="J56" s="1760"/>
      <c r="K56" s="1760"/>
      <c r="L56" s="1760"/>
      <c r="M56" s="1760"/>
      <c r="N56" s="1748"/>
      <c r="O56" s="1760"/>
      <c r="P56" s="1284"/>
      <c r="Q56" s="1284"/>
      <c r="R56" s="544"/>
      <c r="S56" s="1284"/>
      <c r="T56" s="1284"/>
      <c r="U56" s="1284"/>
      <c r="V56" s="546"/>
      <c r="W56" s="546"/>
      <c r="X56" s="543"/>
      <c r="Y56" s="543"/>
      <c r="Z56" s="543"/>
      <c r="AA56" s="543"/>
      <c r="AB56" s="543"/>
      <c r="AC56" s="543"/>
    </row>
    <row customHeight="1" ht="15">
      <c r="A57" s="2354" t="s">
        <v>169</v>
      </c>
      <c r="B57" s="1284"/>
      <c r="C57" s="925" t="s">
        <v>103</v>
      </c>
      <c r="D57" s="1941"/>
      <c r="E57" s="1928" t="str">
        <f>A57</f>
        <v>16</v>
      </c>
      <c r="F57" s="928" t="s">
        <v>170</v>
      </c>
      <c r="G57" s="664" t="str">
        <f>"Территория "&amp;E57</f>
        <v>Территория 16</v>
      </c>
      <c r="H57" s="916"/>
      <c r="I57" s="916"/>
      <c r="J57" s="913"/>
      <c r="K57" s="1748"/>
      <c r="L57" s="1748"/>
      <c r="M57" s="1748"/>
      <c r="N57" s="350"/>
      <c r="O57" s="1748"/>
      <c r="P57" s="349"/>
      <c r="Q57" s="349"/>
      <c r="R57" s="349"/>
      <c r="S57" s="349"/>
      <c r="T57" s="6033"/>
      <c r="U57" s="6033"/>
      <c r="V57" s="6033"/>
      <c r="W57" s="6033"/>
      <c r="X57" s="6033"/>
      <c r="Y57" s="6033"/>
      <c r="Z57" s="6033"/>
      <c r="AA57" s="6033"/>
      <c r="AB57" s="6033"/>
      <c r="AC57" s="6033"/>
    </row>
    <row customHeight="1" ht="15">
      <c r="A58" s="2354"/>
      <c r="B58" s="1284">
        <v>1</v>
      </c>
      <c r="C58" s="1284"/>
      <c r="D58" s="924"/>
      <c r="E58" s="1936" t="str">
        <f>A57&amp;"."&amp;B58</f>
        <v>16.1</v>
      </c>
      <c r="F58" s="927" t="s">
        <v>171</v>
      </c>
      <c r="G58" s="917" t="s">
        <v>172</v>
      </c>
      <c r="H58" s="917" t="s">
        <v>172</v>
      </c>
      <c r="I58" s="915" t="s">
        <v>173</v>
      </c>
      <c r="J58" s="1748"/>
      <c r="K58" s="1760"/>
      <c r="L58" s="1760"/>
      <c r="M58" s="1748" t="str">
        <f t="array" ref="M58:M58">IF(ISERROR(MATCH(MID(N58,1,250),MID(note_ter,1,250),0)),"n","y")</f>
        <v>n</v>
      </c>
      <c r="N58" s="1760"/>
      <c r="O58" s="1748" t="str">
        <f>H58&amp;"("&amp;I58&amp;")"</f>
        <v>городской округ Новокуйбышевск(36713000)</v>
      </c>
      <c r="P58" s="1284"/>
      <c r="Q58" s="1284"/>
      <c r="R58" s="544"/>
      <c r="S58" s="1284"/>
      <c r="T58" s="1284"/>
      <c r="U58" s="1284"/>
      <c r="V58" s="546"/>
      <c r="W58" s="546"/>
      <c r="X58" s="543"/>
      <c r="Y58" s="543"/>
      <c r="Z58" s="543"/>
      <c r="AA58" s="543"/>
      <c r="AB58" s="543"/>
      <c r="AC58" s="543"/>
    </row>
    <row customHeight="1" ht="15">
      <c r="A59" s="2354"/>
      <c r="B59" s="1284"/>
      <c r="C59" s="536"/>
      <c r="D59" s="925"/>
      <c r="E59" s="545"/>
      <c r="F59" s="301"/>
      <c r="G59" s="539" t="s">
        <v>101</v>
      </c>
      <c r="H59" s="311"/>
      <c r="I59" s="548"/>
      <c r="J59" s="1760"/>
      <c r="K59" s="1760"/>
      <c r="L59" s="1760"/>
      <c r="M59" s="1760"/>
      <c r="N59" s="1748"/>
      <c r="O59" s="1760"/>
      <c r="P59" s="1284"/>
      <c r="Q59" s="1284"/>
      <c r="R59" s="544"/>
      <c r="S59" s="1284"/>
      <c r="T59" s="1284"/>
      <c r="U59" s="1284"/>
      <c r="V59" s="546"/>
      <c r="W59" s="546"/>
      <c r="X59" s="543"/>
      <c r="Y59" s="543"/>
      <c r="Z59" s="543"/>
      <c r="AA59" s="543"/>
      <c r="AB59" s="543"/>
      <c r="AC59" s="543"/>
    </row>
    <row customHeight="1" ht="15">
      <c r="A60" s="2354" t="s">
        <v>174</v>
      </c>
      <c r="B60" s="1284"/>
      <c r="C60" s="925" t="s">
        <v>103</v>
      </c>
      <c r="D60" s="1941"/>
      <c r="E60" s="1928" t="str">
        <f>A60</f>
        <v>17</v>
      </c>
      <c r="F60" s="928" t="s">
        <v>175</v>
      </c>
      <c r="G60" s="664" t="str">
        <f>"Территория "&amp;E60</f>
        <v>Территория 17</v>
      </c>
      <c r="H60" s="916"/>
      <c r="I60" s="916"/>
      <c r="J60" s="913"/>
      <c r="K60" s="1748"/>
      <c r="L60" s="1748"/>
      <c r="M60" s="1748"/>
      <c r="N60" s="350"/>
      <c r="O60" s="1748"/>
      <c r="P60" s="349"/>
      <c r="Q60" s="349"/>
      <c r="R60" s="349"/>
      <c r="S60" s="349"/>
      <c r="T60" s="6033"/>
      <c r="U60" s="6033"/>
      <c r="V60" s="6033"/>
      <c r="W60" s="6033"/>
      <c r="X60" s="6033"/>
      <c r="Y60" s="6033"/>
      <c r="Z60" s="6033"/>
      <c r="AA60" s="6033"/>
      <c r="AB60" s="6033"/>
      <c r="AC60" s="6033"/>
    </row>
    <row customHeight="1" ht="15">
      <c r="A61" s="2354"/>
      <c r="B61" s="1284">
        <v>1</v>
      </c>
      <c r="C61" s="1284"/>
      <c r="D61" s="924"/>
      <c r="E61" s="1936" t="str">
        <f>A60&amp;"."&amp;B61</f>
        <v>17.1</v>
      </c>
      <c r="F61" s="927" t="s">
        <v>176</v>
      </c>
      <c r="G61" s="917" t="s">
        <v>177</v>
      </c>
      <c r="H61" s="917" t="s">
        <v>177</v>
      </c>
      <c r="I61" s="915" t="s">
        <v>178</v>
      </c>
      <c r="J61" s="1748"/>
      <c r="K61" s="1760"/>
      <c r="L61" s="1760"/>
      <c r="M61" s="1748" t="str">
        <f t="array" ref="M61:M61">IF(ISERROR(MATCH(MID(N61,1,250),MID(note_ter,1,250),0)),"n","y")</f>
        <v>n</v>
      </c>
      <c r="N61" s="1760"/>
      <c r="O61" s="1748" t="str">
        <f>H61&amp;"("&amp;I61&amp;")"</f>
        <v>городской округ Октябрьск(36718000)</v>
      </c>
      <c r="P61" s="1284"/>
      <c r="Q61" s="1284"/>
      <c r="R61" s="544"/>
      <c r="S61" s="1284"/>
      <c r="T61" s="1284"/>
      <c r="U61" s="1284"/>
      <c r="V61" s="546"/>
      <c r="W61" s="546"/>
      <c r="X61" s="543"/>
      <c r="Y61" s="543"/>
      <c r="Z61" s="543"/>
      <c r="AA61" s="543"/>
      <c r="AB61" s="543"/>
      <c r="AC61" s="543"/>
    </row>
    <row customHeight="1" ht="15">
      <c r="A62" s="2354"/>
      <c r="B62" s="1284"/>
      <c r="C62" s="536"/>
      <c r="D62" s="925"/>
      <c r="E62" s="545"/>
      <c r="F62" s="301"/>
      <c r="G62" s="539" t="s">
        <v>101</v>
      </c>
      <c r="H62" s="311"/>
      <c r="I62" s="548"/>
      <c r="J62" s="1760"/>
      <c r="K62" s="1760"/>
      <c r="L62" s="1760"/>
      <c r="M62" s="1760"/>
      <c r="N62" s="1748"/>
      <c r="O62" s="1760"/>
      <c r="P62" s="1284"/>
      <c r="Q62" s="1284"/>
      <c r="R62" s="544"/>
      <c r="S62" s="1284"/>
      <c r="T62" s="1284"/>
      <c r="U62" s="1284"/>
      <c r="V62" s="546"/>
      <c r="W62" s="546"/>
      <c r="X62" s="543"/>
      <c r="Y62" s="543"/>
      <c r="Z62" s="543"/>
      <c r="AA62" s="543"/>
      <c r="AB62" s="543"/>
      <c r="AC62" s="543"/>
    </row>
    <row customHeight="1" ht="15">
      <c r="A63" s="2354" t="s">
        <v>179</v>
      </c>
      <c r="B63" s="1284"/>
      <c r="C63" s="925" t="s">
        <v>103</v>
      </c>
      <c r="D63" s="1941"/>
      <c r="E63" s="1928" t="str">
        <f>A63</f>
        <v>18</v>
      </c>
      <c r="F63" s="928" t="s">
        <v>180</v>
      </c>
      <c r="G63" s="664" t="str">
        <f>"Территория "&amp;E63</f>
        <v>Территория 18</v>
      </c>
      <c r="H63" s="916"/>
      <c r="I63" s="916"/>
      <c r="J63" s="913"/>
      <c r="K63" s="1748"/>
      <c r="L63" s="1748"/>
      <c r="M63" s="1748"/>
      <c r="N63" s="350"/>
      <c r="O63" s="1748"/>
      <c r="P63" s="349"/>
      <c r="Q63" s="349"/>
      <c r="R63" s="349"/>
      <c r="S63" s="349"/>
      <c r="T63" s="6033"/>
      <c r="U63" s="6033"/>
      <c r="V63" s="6033"/>
      <c r="W63" s="6033"/>
      <c r="X63" s="6033"/>
      <c r="Y63" s="6033"/>
      <c r="Z63" s="6033"/>
      <c r="AA63" s="6033"/>
      <c r="AB63" s="6033"/>
      <c r="AC63" s="6033"/>
    </row>
    <row customHeight="1" ht="15">
      <c r="A64" s="2354"/>
      <c r="B64" s="1284">
        <v>1</v>
      </c>
      <c r="C64" s="1284"/>
      <c r="D64" s="924"/>
      <c r="E64" s="1936" t="str">
        <f>A63&amp;"."&amp;B64</f>
        <v>18.1</v>
      </c>
      <c r="F64" s="927" t="s">
        <v>181</v>
      </c>
      <c r="G64" s="917" t="s">
        <v>182</v>
      </c>
      <c r="H64" s="917" t="s">
        <v>182</v>
      </c>
      <c r="I64" s="915" t="s">
        <v>183</v>
      </c>
      <c r="J64" s="1748"/>
      <c r="K64" s="1760"/>
      <c r="L64" s="1760"/>
      <c r="M64" s="1748" t="str">
        <f t="array" ref="M64:M64">IF(ISERROR(MATCH(MID(N64,1,250),MID(note_ter,1,250),0)),"n","y")</f>
        <v>n</v>
      </c>
      <c r="N64" s="1760"/>
      <c r="O64" s="1748" t="str">
        <f>H64&amp;"("&amp;I64&amp;")"</f>
        <v>городской округ Отрадный(36724000)</v>
      </c>
      <c r="P64" s="1284"/>
      <c r="Q64" s="1284"/>
      <c r="R64" s="544"/>
      <c r="S64" s="1284"/>
      <c r="T64" s="1284"/>
      <c r="U64" s="1284"/>
      <c r="V64" s="546"/>
      <c r="W64" s="546"/>
      <c r="X64" s="543"/>
      <c r="Y64" s="543"/>
      <c r="Z64" s="543"/>
      <c r="AA64" s="543"/>
      <c r="AB64" s="543"/>
      <c r="AC64" s="543"/>
    </row>
    <row customHeight="1" ht="15">
      <c r="A65" s="2354"/>
      <c r="B65" s="1284"/>
      <c r="C65" s="536"/>
      <c r="D65" s="925"/>
      <c r="E65" s="545"/>
      <c r="F65" s="301"/>
      <c r="G65" s="539" t="s">
        <v>101</v>
      </c>
      <c r="H65" s="311"/>
      <c r="I65" s="548"/>
      <c r="J65" s="1760"/>
      <c r="K65" s="1760"/>
      <c r="L65" s="1760"/>
      <c r="M65" s="1760"/>
      <c r="N65" s="1748"/>
      <c r="O65" s="1760"/>
      <c r="P65" s="1284"/>
      <c r="Q65" s="1284"/>
      <c r="R65" s="544"/>
      <c r="S65" s="1284"/>
      <c r="T65" s="1284"/>
      <c r="U65" s="1284"/>
      <c r="V65" s="546"/>
      <c r="W65" s="546"/>
      <c r="X65" s="543"/>
      <c r="Y65" s="543"/>
      <c r="Z65" s="543"/>
      <c r="AA65" s="543"/>
      <c r="AB65" s="543"/>
      <c r="AC65" s="543"/>
    </row>
    <row customHeight="1" ht="15">
      <c r="A66" s="2354" t="s">
        <v>184</v>
      </c>
      <c r="B66" s="1284"/>
      <c r="C66" s="925" t="s">
        <v>103</v>
      </c>
      <c r="D66" s="1941"/>
      <c r="E66" s="1928" t="str">
        <f>A66</f>
        <v>19</v>
      </c>
      <c r="F66" s="928" t="s">
        <v>185</v>
      </c>
      <c r="G66" s="664" t="str">
        <f>"Территория "&amp;E66</f>
        <v>Территория 19</v>
      </c>
      <c r="H66" s="916"/>
      <c r="I66" s="916"/>
      <c r="J66" s="913"/>
      <c r="K66" s="1748"/>
      <c r="L66" s="1748"/>
      <c r="M66" s="1748"/>
      <c r="N66" s="350"/>
      <c r="O66" s="1748"/>
      <c r="P66" s="349"/>
      <c r="Q66" s="349"/>
      <c r="R66" s="349"/>
      <c r="S66" s="349"/>
      <c r="T66" s="6033"/>
      <c r="U66" s="6033"/>
      <c r="V66" s="6033"/>
      <c r="W66" s="6033"/>
      <c r="X66" s="6033"/>
      <c r="Y66" s="6033"/>
      <c r="Z66" s="6033"/>
      <c r="AA66" s="6033"/>
      <c r="AB66" s="6033"/>
      <c r="AC66" s="6033"/>
    </row>
    <row customHeight="1" ht="15">
      <c r="A67" s="2354"/>
      <c r="B67" s="1284">
        <v>1</v>
      </c>
      <c r="C67" s="1284"/>
      <c r="D67" s="924"/>
      <c r="E67" s="1936" t="str">
        <f>A66&amp;"."&amp;B67</f>
        <v>19.1</v>
      </c>
      <c r="F67" s="927" t="s">
        <v>186</v>
      </c>
      <c r="G67" s="917" t="s">
        <v>187</v>
      </c>
      <c r="H67" s="917" t="s">
        <v>187</v>
      </c>
      <c r="I67" s="915" t="s">
        <v>188</v>
      </c>
      <c r="J67" s="1748"/>
      <c r="K67" s="1760"/>
      <c r="L67" s="1760"/>
      <c r="M67" s="1748" t="str">
        <f t="array" ref="M67:M67">IF(ISERROR(MATCH(MID(N67,1,250),MID(note_ter,1,250),0)),"n","y")</f>
        <v>n</v>
      </c>
      <c r="N67" s="1760"/>
      <c r="O67" s="1748" t="str">
        <f>H67&amp;"("&amp;I67&amp;")"</f>
        <v>городской округ Похвистнево(36727000)</v>
      </c>
      <c r="P67" s="1284"/>
      <c r="Q67" s="1284"/>
      <c r="R67" s="544"/>
      <c r="S67" s="1284"/>
      <c r="T67" s="1284"/>
      <c r="U67" s="1284"/>
      <c r="V67" s="546"/>
      <c r="W67" s="546"/>
      <c r="X67" s="543"/>
      <c r="Y67" s="543"/>
      <c r="Z67" s="543"/>
      <c r="AA67" s="543"/>
      <c r="AB67" s="543"/>
      <c r="AC67" s="543"/>
    </row>
    <row customHeight="1" ht="15">
      <c r="A68" s="2354"/>
      <c r="B68" s="1284"/>
      <c r="C68" s="536"/>
      <c r="D68" s="925"/>
      <c r="E68" s="545"/>
      <c r="F68" s="301"/>
      <c r="G68" s="539" t="s">
        <v>101</v>
      </c>
      <c r="H68" s="311"/>
      <c r="I68" s="548"/>
      <c r="J68" s="1760"/>
      <c r="K68" s="1760"/>
      <c r="L68" s="1760"/>
      <c r="M68" s="1760"/>
      <c r="N68" s="1748"/>
      <c r="O68" s="1760"/>
      <c r="P68" s="1284"/>
      <c r="Q68" s="1284"/>
      <c r="R68" s="544"/>
      <c r="S68" s="1284"/>
      <c r="T68" s="1284"/>
      <c r="U68" s="1284"/>
      <c r="V68" s="546"/>
      <c r="W68" s="546"/>
      <c r="X68" s="543"/>
      <c r="Y68" s="543"/>
      <c r="Z68" s="543"/>
      <c r="AA68" s="543"/>
      <c r="AB68" s="543"/>
      <c r="AC68" s="543"/>
    </row>
    <row customHeight="1" ht="15">
      <c r="A69" s="2354" t="s">
        <v>189</v>
      </c>
      <c r="B69" s="1284"/>
      <c r="C69" s="925" t="s">
        <v>103</v>
      </c>
      <c r="D69" s="1941"/>
      <c r="E69" s="1928" t="str">
        <f>A69</f>
        <v>20</v>
      </c>
      <c r="F69" s="928" t="s">
        <v>190</v>
      </c>
      <c r="G69" s="664" t="str">
        <f>"Территория "&amp;E69</f>
        <v>Территория 20</v>
      </c>
      <c r="H69" s="916"/>
      <c r="I69" s="916"/>
      <c r="J69" s="913"/>
      <c r="K69" s="1748"/>
      <c r="L69" s="1748"/>
      <c r="M69" s="1748"/>
      <c r="N69" s="350"/>
      <c r="O69" s="1748"/>
      <c r="P69" s="349"/>
      <c r="Q69" s="349"/>
      <c r="R69" s="349"/>
      <c r="S69" s="349"/>
      <c r="T69" s="6033"/>
      <c r="U69" s="6033"/>
      <c r="V69" s="6033"/>
      <c r="W69" s="6033"/>
      <c r="X69" s="6033"/>
      <c r="Y69" s="6033"/>
      <c r="Z69" s="6033"/>
      <c r="AA69" s="6033"/>
      <c r="AB69" s="6033"/>
      <c r="AC69" s="6033"/>
    </row>
    <row customHeight="1" ht="15">
      <c r="A70" s="2354"/>
      <c r="B70" s="1284">
        <v>1</v>
      </c>
      <c r="C70" s="1284"/>
      <c r="D70" s="924"/>
      <c r="E70" s="1936" t="str">
        <f>A69&amp;"."&amp;B70</f>
        <v>20.1</v>
      </c>
      <c r="F70" s="927" t="s">
        <v>191</v>
      </c>
      <c r="G70" s="917" t="s">
        <v>192</v>
      </c>
      <c r="H70" s="917" t="s">
        <v>193</v>
      </c>
      <c r="I70" s="915" t="s">
        <v>194</v>
      </c>
      <c r="J70" s="1748"/>
      <c r="K70" s="1760"/>
      <c r="L70" s="1760"/>
      <c r="M70" s="1748" t="str">
        <f t="array" ref="M70:M70">IF(ISERROR(MATCH(MID(N70,1,250),MID(note_ter,1,250),0)),"n","y")</f>
        <v>n</v>
      </c>
      <c r="N70" s="1760"/>
      <c r="O70" s="1748" t="str">
        <f>H70&amp;"("&amp;I70&amp;")"</f>
        <v>Кировский(36701310)</v>
      </c>
      <c r="P70" s="1284"/>
      <c r="Q70" s="1284"/>
      <c r="R70" s="544"/>
      <c r="S70" s="1284"/>
      <c r="T70" s="1284"/>
      <c r="U70" s="1284"/>
      <c r="V70" s="546"/>
      <c r="W70" s="546"/>
      <c r="X70" s="543"/>
      <c r="Y70" s="543"/>
      <c r="Z70" s="543"/>
      <c r="AA70" s="543"/>
      <c r="AB70" s="543"/>
      <c r="AC70" s="543"/>
    </row>
    <row customHeight="1" ht="15">
      <c r="A71" s="2354"/>
      <c r="B71" s="1284"/>
      <c r="C71" s="536"/>
      <c r="D71" s="925"/>
      <c r="E71" s="545"/>
      <c r="F71" s="301"/>
      <c r="G71" s="539" t="s">
        <v>101</v>
      </c>
      <c r="H71" s="311"/>
      <c r="I71" s="548"/>
      <c r="J71" s="1760"/>
      <c r="K71" s="1760"/>
      <c r="L71" s="1760"/>
      <c r="M71" s="1760"/>
      <c r="N71" s="1748"/>
      <c r="O71" s="1760"/>
      <c r="P71" s="1284"/>
      <c r="Q71" s="1284"/>
      <c r="R71" s="544"/>
      <c r="S71" s="1284"/>
      <c r="T71" s="1284"/>
      <c r="U71" s="1284"/>
      <c r="V71" s="546"/>
      <c r="W71" s="546"/>
      <c r="X71" s="543"/>
      <c r="Y71" s="543"/>
      <c r="Z71" s="543"/>
      <c r="AA71" s="543"/>
      <c r="AB71" s="543"/>
      <c r="AC71" s="543"/>
    </row>
    <row customHeight="1" ht="15">
      <c r="A72" s="2354" t="s">
        <v>195</v>
      </c>
      <c r="B72" s="1284"/>
      <c r="C72" s="925" t="s">
        <v>103</v>
      </c>
      <c r="D72" s="1941"/>
      <c r="E72" s="1928" t="str">
        <f>A72</f>
        <v>21</v>
      </c>
      <c r="F72" s="928" t="s">
        <v>196</v>
      </c>
      <c r="G72" s="664" t="str">
        <f>"Территория "&amp;E72</f>
        <v>Территория 21</v>
      </c>
      <c r="H72" s="916"/>
      <c r="I72" s="916"/>
      <c r="J72" s="913"/>
      <c r="K72" s="1748"/>
      <c r="L72" s="1748"/>
      <c r="M72" s="1748"/>
      <c r="N72" s="350"/>
      <c r="O72" s="1748"/>
      <c r="P72" s="349"/>
      <c r="Q72" s="349"/>
      <c r="R72" s="349"/>
      <c r="S72" s="349"/>
      <c r="T72" s="6033"/>
      <c r="U72" s="6033"/>
      <c r="V72" s="6033"/>
      <c r="W72" s="6033"/>
      <c r="X72" s="6033"/>
      <c r="Y72" s="6033"/>
      <c r="Z72" s="6033"/>
      <c r="AA72" s="6033"/>
      <c r="AB72" s="6033"/>
      <c r="AC72" s="6033"/>
    </row>
    <row customHeight="1" ht="15">
      <c r="A73" s="2354"/>
      <c r="B73" s="1284">
        <v>1</v>
      </c>
      <c r="C73" s="1284"/>
      <c r="D73" s="924"/>
      <c r="E73" s="1936" t="str">
        <f>A72&amp;"."&amp;B73</f>
        <v>21.1</v>
      </c>
      <c r="F73" s="927" t="s">
        <v>197</v>
      </c>
      <c r="G73" s="917" t="s">
        <v>192</v>
      </c>
      <c r="H73" s="917" t="s">
        <v>192</v>
      </c>
      <c r="I73" s="915" t="s">
        <v>198</v>
      </c>
      <c r="J73" s="1748"/>
      <c r="K73" s="1760"/>
      <c r="L73" s="1760"/>
      <c r="M73" s="1748" t="str">
        <f t="array" ref="M73:M73">IF(ISERROR(MATCH(MID(N73,1,250),MID(note_ter,1,250),0)),"n","y")</f>
        <v>n</v>
      </c>
      <c r="N73" s="1760"/>
      <c r="O73" s="1748" t="str">
        <f>H73&amp;"("&amp;I73&amp;")"</f>
        <v>городской округ Самара(36701000)</v>
      </c>
      <c r="P73" s="1284"/>
      <c r="Q73" s="1284"/>
      <c r="R73" s="544"/>
      <c r="S73" s="1284"/>
      <c r="T73" s="1284"/>
      <c r="U73" s="1284"/>
      <c r="V73" s="546"/>
      <c r="W73" s="546"/>
      <c r="X73" s="543"/>
      <c r="Y73" s="543"/>
      <c r="Z73" s="543"/>
      <c r="AA73" s="543"/>
      <c r="AB73" s="543"/>
      <c r="AC73" s="543"/>
    </row>
    <row customHeight="1" ht="15">
      <c r="A74" s="2354"/>
      <c r="B74" s="1284"/>
      <c r="C74" s="536"/>
      <c r="D74" s="925"/>
      <c r="E74" s="545"/>
      <c r="F74" s="301"/>
      <c r="G74" s="539" t="s">
        <v>101</v>
      </c>
      <c r="H74" s="311"/>
      <c r="I74" s="548"/>
      <c r="J74" s="1760"/>
      <c r="K74" s="1760"/>
      <c r="L74" s="1760"/>
      <c r="M74" s="1760"/>
      <c r="N74" s="1748"/>
      <c r="O74" s="1760"/>
      <c r="P74" s="1284"/>
      <c r="Q74" s="1284"/>
      <c r="R74" s="544"/>
      <c r="S74" s="1284"/>
      <c r="T74" s="1284"/>
      <c r="U74" s="1284"/>
      <c r="V74" s="546"/>
      <c r="W74" s="546"/>
      <c r="X74" s="543"/>
      <c r="Y74" s="543"/>
      <c r="Z74" s="543"/>
      <c r="AA74" s="543"/>
      <c r="AB74" s="543"/>
      <c r="AC74" s="543"/>
    </row>
    <row customHeight="1" ht="15">
      <c r="A75" s="2354" t="s">
        <v>199</v>
      </c>
      <c r="B75" s="1284"/>
      <c r="C75" s="925" t="s">
        <v>103</v>
      </c>
      <c r="D75" s="1941"/>
      <c r="E75" s="1928" t="str">
        <f>A75</f>
        <v>22</v>
      </c>
      <c r="F75" s="928" t="s">
        <v>200</v>
      </c>
      <c r="G75" s="664" t="str">
        <f>"Территория "&amp;E75</f>
        <v>Территория 22</v>
      </c>
      <c r="H75" s="916"/>
      <c r="I75" s="916"/>
      <c r="J75" s="913"/>
      <c r="K75" s="1748"/>
      <c r="L75" s="1748"/>
      <c r="M75" s="1748"/>
      <c r="N75" s="350"/>
      <c r="O75" s="1748"/>
      <c r="P75" s="349"/>
      <c r="Q75" s="349"/>
      <c r="R75" s="349"/>
      <c r="S75" s="349"/>
      <c r="T75" s="6033"/>
      <c r="U75" s="6033"/>
      <c r="V75" s="6033"/>
      <c r="W75" s="6033"/>
      <c r="X75" s="6033"/>
      <c r="Y75" s="6033"/>
      <c r="Z75" s="6033"/>
      <c r="AA75" s="6033"/>
      <c r="AB75" s="6033"/>
      <c r="AC75" s="6033"/>
    </row>
    <row customHeight="1" ht="15">
      <c r="A76" s="2354"/>
      <c r="B76" s="1284">
        <v>1</v>
      </c>
      <c r="C76" s="1284"/>
      <c r="D76" s="924"/>
      <c r="E76" s="1936" t="str">
        <f>A75&amp;"."&amp;B76</f>
        <v>22.1</v>
      </c>
      <c r="F76" s="927" t="s">
        <v>201</v>
      </c>
      <c r="G76" s="917" t="s">
        <v>202</v>
      </c>
      <c r="H76" s="917" t="s">
        <v>202</v>
      </c>
      <c r="I76" s="915" t="s">
        <v>203</v>
      </c>
      <c r="J76" s="1748"/>
      <c r="K76" s="1760"/>
      <c r="L76" s="1760"/>
      <c r="M76" s="1748" t="str">
        <f t="array" ref="M76:M76">IF(ISERROR(MATCH(MID(N76,1,250),MID(note_ter,1,250),0)),"n","y")</f>
        <v>n</v>
      </c>
      <c r="N76" s="1760"/>
      <c r="O76" s="1748" t="str">
        <f>H76&amp;"("&amp;I76&amp;")"</f>
        <v>городской округ Чапаевск(36750000)</v>
      </c>
      <c r="P76" s="1284"/>
      <c r="Q76" s="1284"/>
      <c r="R76" s="544"/>
      <c r="S76" s="1284"/>
      <c r="T76" s="1284"/>
      <c r="U76" s="1284"/>
      <c r="V76" s="546"/>
      <c r="W76" s="546"/>
      <c r="X76" s="543"/>
      <c r="Y76" s="543"/>
      <c r="Z76" s="543"/>
      <c r="AA76" s="543"/>
      <c r="AB76" s="543"/>
      <c r="AC76" s="543"/>
    </row>
    <row customHeight="1" ht="15">
      <c r="A77" s="2354"/>
      <c r="B77" s="1284"/>
      <c r="C77" s="536"/>
      <c r="D77" s="925"/>
      <c r="E77" s="545"/>
      <c r="F77" s="301"/>
      <c r="G77" s="539" t="s">
        <v>101</v>
      </c>
      <c r="H77" s="311"/>
      <c r="I77" s="548"/>
      <c r="J77" s="1760"/>
      <c r="K77" s="1760"/>
      <c r="L77" s="1760"/>
      <c r="M77" s="1760"/>
      <c r="N77" s="1748"/>
      <c r="O77" s="1760"/>
      <c r="P77" s="1284"/>
      <c r="Q77" s="1284"/>
      <c r="R77" s="544"/>
      <c r="S77" s="1284"/>
      <c r="T77" s="1284"/>
      <c r="U77" s="1284"/>
      <c r="V77" s="546"/>
      <c r="W77" s="546"/>
      <c r="X77" s="543"/>
      <c r="Y77" s="543"/>
      <c r="Z77" s="543"/>
      <c r="AA77" s="543"/>
      <c r="AB77" s="543"/>
      <c r="AC77" s="543"/>
    </row>
    <row s="6033" customFormat="1" customHeight="1" ht="14.699999999999998">
      <c r="A78" s="882"/>
      <c r="B78" s="541"/>
      <c r="C78" s="882"/>
      <c r="D78" s="906"/>
      <c r="E78" s="918"/>
      <c r="F78" s="302"/>
      <c r="G78" s="540" t="s">
        <v>204</v>
      </c>
      <c r="H78" s="302"/>
      <c r="I78" s="303"/>
      <c r="J78" s="373"/>
      <c r="K78" s="279"/>
      <c r="L78" s="279"/>
      <c r="M78" s="279"/>
      <c r="N78" s="350" t="s">
        <v>205</v>
      </c>
      <c r="O78" s="279"/>
      <c r="P78" s="349"/>
      <c r="Q78" s="349"/>
      <c r="R78" s="349"/>
      <c r="S78" s="349"/>
      <c r="AC78" s="240">
        <v>14</v>
      </c>
    </row>
    <row s="6033" customFormat="1" customHeight="1" ht="22.049999999999997">
      <c r="A79" s="882"/>
      <c r="B79" s="541"/>
      <c r="C79" s="882"/>
      <c r="D79" s="289"/>
      <c r="E79" s="304"/>
      <c r="F79" s="304"/>
      <c r="G79" s="304"/>
      <c r="H79" s="304"/>
      <c r="I79" s="304"/>
      <c r="J79" s="279"/>
      <c r="K79" s="279"/>
      <c r="L79" s="279"/>
      <c r="M79" s="279"/>
      <c r="N79" s="350"/>
      <c r="O79" s="279"/>
      <c r="P79" s="349"/>
      <c r="Q79" s="349"/>
      <c r="R79" s="349"/>
      <c r="S79" s="349"/>
      <c r="AC79" s="240">
        <v>21</v>
      </c>
    </row>
    <row s="6033" customFormat="1" customHeight="1" ht="14.699999999999998">
      <c r="A80" s="882"/>
      <c r="B80" s="541"/>
      <c r="C80" s="882"/>
      <c r="D80" s="289"/>
      <c r="E80" s="207"/>
      <c r="F80" s="882"/>
      <c r="G80" s="207"/>
      <c r="H80" s="207"/>
      <c r="I80" s="207"/>
      <c r="J80" s="279"/>
      <c r="K80" s="279"/>
      <c r="L80" s="279"/>
      <c r="M80" s="279"/>
      <c r="N80" s="350"/>
      <c r="O80" s="279"/>
      <c r="P80" s="349"/>
      <c r="Q80" s="349"/>
      <c r="R80" s="349"/>
      <c r="S80" s="349"/>
      <c r="AC80" s="240">
        <v>14</v>
      </c>
    </row>
    <row s="6033" customFormat="1" customHeight="1" ht="1.05">
      <c r="A81" s="882"/>
      <c r="B81" s="541"/>
      <c r="C81" s="882"/>
      <c r="D81" s="289"/>
      <c r="E81" s="207"/>
      <c r="F81" s="882"/>
      <c r="G81" s="207"/>
      <c r="H81" s="207"/>
      <c r="I81" s="207"/>
      <c r="J81" s="279"/>
      <c r="K81" s="279"/>
      <c r="L81" s="279"/>
      <c r="M81" s="279"/>
      <c r="N81" s="350"/>
      <c r="O81" s="279"/>
      <c r="P81" s="349"/>
      <c r="Q81" s="349"/>
      <c r="R81" s="349"/>
      <c r="S81" s="349"/>
      <c r="AC81" s="240">
        <v>1</v>
      </c>
    </row>
    <row s="7116" customFormat="1" customHeight="1" ht="10.5">
      <c r="B82" s="958"/>
      <c r="D82" s="306"/>
      <c r="J82" s="279"/>
      <c r="K82" s="279"/>
      <c r="L82" s="279"/>
      <c r="M82" s="279"/>
      <c r="N82" s="350"/>
      <c r="O82" s="279"/>
      <c r="P82" s="349"/>
      <c r="Q82" s="349"/>
      <c r="R82" s="349"/>
      <c r="S82" s="349"/>
      <c r="AC82" s="305">
        <v>10</v>
      </c>
    </row>
    <row s="7116" customFormat="1" customHeight="1" ht="10.5">
      <c r="B83" s="958"/>
      <c r="D83" s="306"/>
      <c r="J83" s="279"/>
      <c r="K83" s="279"/>
      <c r="L83" s="279"/>
      <c r="M83" s="279"/>
      <c r="N83" s="350"/>
      <c r="O83" s="279"/>
      <c r="P83" s="349"/>
      <c r="Q83" s="349"/>
      <c r="R83" s="349"/>
      <c r="S83" s="349"/>
      <c r="AC83" s="305">
        <v>10</v>
      </c>
    </row>
    <row customHeight="1" ht="14.699999999999998">
      <c r="AC84" s="207">
        <v>14</v>
      </c>
    </row>
    <row customHeight="1" ht="14.699999999999998">
      <c r="AC85" s="207">
        <v>14</v>
      </c>
    </row>
    <row customHeight="1" ht="14.699999999999998">
      <c r="AC86" s="207">
        <v>14</v>
      </c>
    </row>
    <row customHeight="1" ht="14.699999999999998">
      <c r="H87" s="186"/>
      <c r="AC87" s="207">
        <v>14</v>
      </c>
    </row>
    <row customHeight="1" ht="14.699999999999998">
      <c r="AC88" s="207">
        <v>14</v>
      </c>
    </row>
    <row customHeight="1" ht="14.699999999999998">
      <c r="AC89" s="207">
        <v>14</v>
      </c>
    </row>
    <row customHeight="1" ht="14.699999999999998">
      <c r="AC90" s="207">
        <v>14</v>
      </c>
    </row>
    <row customHeight="1" ht="14.699999999999998">
      <c r="J91" s="207"/>
      <c r="K91" s="207"/>
      <c r="L91" s="207"/>
      <c r="AC91" s="207">
        <v>14</v>
      </c>
    </row>
    <row customHeight="1" ht="22.5" hidden="1">
      <c r="A92" s="882" t="s">
        <v>82</v>
      </c>
      <c r="B92" s="541">
        <v>0</v>
      </c>
      <c r="C92" s="882">
        <v>3</v>
      </c>
      <c r="D92" s="289">
        <v>3</v>
      </c>
      <c r="E92" s="207">
        <v>6</v>
      </c>
      <c r="F92" s="882">
        <v>0</v>
      </c>
      <c r="G92" s="207">
        <v>46</v>
      </c>
      <c r="H92" s="207">
        <v>42</v>
      </c>
      <c r="I92" s="207">
        <v>14</v>
      </c>
      <c r="J92" s="279">
        <v>3</v>
      </c>
      <c r="K92" s="279">
        <v>0</v>
      </c>
      <c r="L92" s="279">
        <v>0</v>
      </c>
      <c r="M92" s="279">
        <v>0</v>
      </c>
      <c r="N92" s="350">
        <v>0</v>
      </c>
      <c r="O92" s="279">
        <v>0</v>
      </c>
      <c r="P92" s="349">
        <v>0</v>
      </c>
      <c r="Q92" s="349">
        <v>0</v>
      </c>
      <c r="R92" s="349">
        <v>0</v>
      </c>
      <c r="S92" s="349">
        <v>0</v>
      </c>
      <c r="T92" s="207">
        <v>0</v>
      </c>
      <c r="U92" s="207">
        <v>0</v>
      </c>
      <c r="V92" s="207">
        <v>0</v>
      </c>
      <c r="W92" s="207">
        <v>0</v>
      </c>
      <c r="X92" s="207">
        <v>0</v>
      </c>
      <c r="Y92" s="207">
        <v>0</v>
      </c>
      <c r="Z92" s="207">
        <v>0</v>
      </c>
      <c r="AA92" s="207">
        <v>0</v>
      </c>
      <c r="AB92" s="207">
        <v>8</v>
      </c>
      <c r="AC92" s="207">
        <v>23</v>
      </c>
    </row>
  </sheetData>
  <sheetProtection formatColumns="0" formatRows="0" autoFilter="0" sort="0" insertRows="0" insertColumns="1" deleteRows="0" deleteColumns="0"/>
  <mergeCells count="25">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s>
  <dataValidations count="2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979C2A-26C8-7459-118B-D3F6D064980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8" style="7213" width="19.7109375" hidden="1" customWidth="1"/>
    <col min="29" max="29" style="7213" width="11.7109375" hidden="1" customWidth="1"/>
    <col min="30" max="30" style="7213" width="3.7109375" hidden="1" customWidth="1"/>
    <col min="31" max="31" style="7213" width="11.7109375" hidden="1" customWidth="1"/>
    <col min="32" max="32" style="7213" width="8.57421875" hidden="1" customWidth="1"/>
    <col min="33" max="33" style="7213" width="19.7109375" customWidth="1"/>
    <col min="34" max="39" style="7213" width="19.00390625" customWidth="1"/>
    <col min="40" max="40" style="7213" width="11.00390625" customWidth="1"/>
    <col min="41" max="41" style="7213" width="3.7109375" customWidth="1"/>
    <col min="42" max="42" style="7213" width="11.00390625" customWidth="1"/>
    <col min="43" max="43" style="7213" width="8.57421875" hidden="1" customWidth="1"/>
    <col min="44" max="44" style="7213" width="4.00390625" customWidth="1"/>
    <col min="45" max="45" style="7213" width="115.00390625" customWidth="1"/>
    <col min="46" max="50" style="6698" width="10.00390625" customWidth="1"/>
    <col min="51" max="51" style="7213" width="10.57421875" hidden="1"/>
  </cols>
  <sheetData>
    <row customHeight="1" ht="22.5" hidden="1">
      <c r="AC1" s="451"/>
      <c r="AN1" s="451"/>
      <c r="AY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617">
        <f>INDEX(PT_DIFFERENTIATION_NUM_NTAR,MATCH(A2,PT_DIFFERENTIATION_NTAR_ID,0))</f>
      </c>
      <c r="T2" s="422" t="s">
        <v>243</v>
      </c>
      <c r="U2" s="424"/>
      <c r="V2" s="2379"/>
      <c r="W2" s="2380"/>
      <c r="X2" s="2380"/>
      <c r="Y2" s="2380"/>
      <c r="Z2" s="2380"/>
      <c r="AA2" s="2380"/>
      <c r="AB2" s="2380"/>
      <c r="AC2" s="2380"/>
      <c r="AD2" s="2380"/>
      <c r="AE2" s="2380"/>
      <c r="AF2" s="2381"/>
      <c r="AG2" s="2379">
        <f>INDEX(PT_DIFFERENTIATION_NTAR,MATCH(A2,PT_DIFFERENTIATION_NTAR_ID,0))</f>
      </c>
      <c r="AH2" s="2380"/>
      <c r="AI2" s="2380"/>
      <c r="AJ2" s="2380"/>
      <c r="AK2" s="2380"/>
      <c r="AL2" s="2380"/>
      <c r="AM2" s="2380"/>
      <c r="AN2" s="2380"/>
      <c r="AO2" s="2380"/>
      <c r="AP2" s="2380"/>
      <c r="AQ2" s="2380"/>
      <c r="AR2" s="2381"/>
      <c r="AS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24"/>
      <c r="AV2" s="624" t="str">
        <f>IF(T2="","",T2)</f>
        <v>Наименование тарифа</v>
      </c>
      <c r="AW2" s="624"/>
      <c r="AX2" s="624"/>
      <c r="AY2" s="1279">
        <v>0</v>
      </c>
    </row>
    <row customHeight="1" ht="23.25" hidden="1">
      <c r="A3" s="1487"/>
      <c r="B3" s="1487"/>
      <c r="C3" s="1487"/>
      <c r="D3" s="1487"/>
      <c r="E3" s="2396"/>
      <c r="F3" s="2395">
        <v>1</v>
      </c>
      <c r="G3" s="1487"/>
      <c r="H3" s="1487"/>
      <c r="I3" s="1487"/>
      <c r="J3" s="1487"/>
      <c r="K3" s="1487"/>
      <c r="L3" s="1488"/>
      <c r="M3" s="1489"/>
      <c r="N3" s="1489"/>
      <c r="O3" s="1489"/>
      <c r="P3" s="1611"/>
      <c r="Q3" s="476"/>
      <c r="R3" s="477"/>
      <c r="S3" s="1617">
        <f>INDEX(PT_DIFFERENTIATION_NUM_TER,MATCH(B3,PT_DIFFERENTIATION_TER_ID,0))</f>
      </c>
      <c r="T3" s="432" t="s">
        <v>509</v>
      </c>
      <c r="U3" s="424"/>
      <c r="V3" s="2379"/>
      <c r="W3" s="2380"/>
      <c r="X3" s="2380"/>
      <c r="Y3" s="2380"/>
      <c r="Z3" s="2380"/>
      <c r="AA3" s="2380"/>
      <c r="AB3" s="2380"/>
      <c r="AC3" s="2380"/>
      <c r="AD3" s="2380"/>
      <c r="AE3" s="2380"/>
      <c r="AF3" s="2381"/>
      <c r="AG3" s="2379">
        <f>INDEX(PT_DIFFERENTIATION_TER,MATCH(B3,PT_DIFFERENTIATION_TER_ID,0))</f>
      </c>
      <c r="AH3" s="2380"/>
      <c r="AI3" s="2380"/>
      <c r="AJ3" s="2380"/>
      <c r="AK3" s="2380"/>
      <c r="AL3" s="2380"/>
      <c r="AM3" s="2380"/>
      <c r="AN3" s="2380"/>
      <c r="AO3" s="2380"/>
      <c r="AP3" s="2380"/>
      <c r="AQ3" s="2380"/>
      <c r="AR3" s="2381"/>
      <c r="AS3" s="1382" t="s">
        <v>510</v>
      </c>
      <c r="AU3" s="624"/>
      <c r="AV3" s="624" t="str">
        <f>IF(T3="","",T3)</f>
        <v>Территория действия тарифа</v>
      </c>
      <c r="AW3" s="624"/>
      <c r="AX3" s="624"/>
      <c r="AY3" s="1279">
        <v>0</v>
      </c>
    </row>
    <row customHeight="1" ht="23.25" hidden="1">
      <c r="A4" s="1487"/>
      <c r="B4" s="1487"/>
      <c r="C4" s="1487"/>
      <c r="D4" s="1487"/>
      <c r="E4" s="2396"/>
      <c r="F4" s="2396"/>
      <c r="G4" s="2395">
        <v>1</v>
      </c>
      <c r="H4" s="1487"/>
      <c r="I4" s="1487"/>
      <c r="J4" s="1487"/>
      <c r="K4" s="1487"/>
      <c r="L4" s="1488"/>
      <c r="M4" s="1489"/>
      <c r="N4" s="1489"/>
      <c r="O4" s="1489"/>
      <c r="P4" s="478"/>
      <c r="Q4" s="476"/>
      <c r="R4" s="477"/>
      <c r="S4" s="1617">
        <f>INDEX(PT_DIFFERENTIATION_NUM_CS,MATCH(C4,PT_DIFFERENTIATION_CS_ID,0))</f>
      </c>
      <c r="T4" s="433" t="s">
        <v>642</v>
      </c>
      <c r="U4" s="424"/>
      <c r="V4" s="2379"/>
      <c r="W4" s="2380"/>
      <c r="X4" s="2380"/>
      <c r="Y4" s="2380"/>
      <c r="Z4" s="2380"/>
      <c r="AA4" s="2380"/>
      <c r="AB4" s="2380"/>
      <c r="AC4" s="2380"/>
      <c r="AD4" s="2380"/>
      <c r="AE4" s="2380"/>
      <c r="AF4" s="2381"/>
      <c r="AG4" s="2379">
        <f>INDEX(PT_DIFFERENTIATION_CS,MATCH(C4,PT_DIFFERENTIATION_CS_ID,0))</f>
      </c>
      <c r="AH4" s="2380"/>
      <c r="AI4" s="2380"/>
      <c r="AJ4" s="2380"/>
      <c r="AK4" s="2380"/>
      <c r="AL4" s="2380"/>
      <c r="AM4" s="2380"/>
      <c r="AN4" s="2380"/>
      <c r="AO4" s="2380"/>
      <c r="AP4" s="2380"/>
      <c r="AQ4" s="2380"/>
      <c r="AR4" s="2381"/>
      <c r="AS4" s="1382" t="s">
        <v>643</v>
      </c>
      <c r="AU4" s="624"/>
      <c r="AV4" s="624" t="str">
        <f>IF(T4="","",T4)</f>
        <v>Наименование централизованной системы горячего водоснабжения</v>
      </c>
      <c r="AW4" s="624"/>
      <c r="AX4" s="624"/>
      <c r="AY4" s="1279">
        <v>0</v>
      </c>
    </row>
    <row customHeight="1" ht="23.25" hidden="1">
      <c r="A5" s="1487"/>
      <c r="B5" s="1487"/>
      <c r="C5" s="1487"/>
      <c r="D5" s="1487"/>
      <c r="E5" s="2396"/>
      <c r="F5" s="2396"/>
      <c r="G5" s="2396"/>
      <c r="H5" s="2396"/>
      <c r="I5" s="2393">
        <f>S4&amp;".1"</f>
      </c>
      <c r="J5" s="1487"/>
      <c r="K5" s="1487"/>
      <c r="L5" s="1488"/>
      <c r="P5" s="2394">
        <v>1</v>
      </c>
      <c r="Q5" s="1605"/>
      <c r="R5" s="480"/>
      <c r="S5" s="1617">
        <f>$I5</f>
      </c>
      <c r="T5" s="409" t="s">
        <v>595</v>
      </c>
      <c r="U5" s="424"/>
      <c r="V5" s="2487"/>
      <c r="W5" s="2488"/>
      <c r="X5" s="2488"/>
      <c r="Y5" s="2488"/>
      <c r="Z5" s="2488"/>
      <c r="AA5" s="2488"/>
      <c r="AB5" s="2488"/>
      <c r="AC5" s="2488"/>
      <c r="AD5" s="2488"/>
      <c r="AE5" s="2488"/>
      <c r="AF5" s="2489"/>
      <c r="AG5" s="2490"/>
      <c r="AH5" s="2491"/>
      <c r="AI5" s="2491"/>
      <c r="AJ5" s="2491"/>
      <c r="AK5" s="2491"/>
      <c r="AL5" s="2491"/>
      <c r="AM5" s="2491"/>
      <c r="AN5" s="2491"/>
      <c r="AO5" s="2491"/>
      <c r="AP5" s="2491"/>
      <c r="AQ5" s="2491"/>
      <c r="AR5" s="2492"/>
      <c r="AS5" s="1382" t="s">
        <v>596</v>
      </c>
      <c r="AU5" s="624"/>
      <c r="AV5" s="624" t="str">
        <f>IF(T5="","",T5)</f>
        <v>Наименование признака дифференциации</v>
      </c>
      <c r="AW5" s="624"/>
      <c r="AX5" s="624"/>
      <c r="AY5" s="1279">
        <v>0</v>
      </c>
    </row>
    <row customHeight="1" ht="23.25" hidden="1">
      <c r="A6" s="1487"/>
      <c r="B6" s="1487"/>
      <c r="C6" s="1487"/>
      <c r="D6" s="1487"/>
      <c r="E6" s="2396"/>
      <c r="F6" s="2396"/>
      <c r="G6" s="2396"/>
      <c r="H6" s="2396"/>
      <c r="I6" s="2423"/>
      <c r="J6" s="2393">
        <f>I5&amp;".1"</f>
      </c>
      <c r="K6" s="1487"/>
      <c r="L6" s="1488" t="s">
        <v>518</v>
      </c>
      <c r="P6" s="2394"/>
      <c r="Q6" s="2394">
        <v>1</v>
      </c>
      <c r="R6" s="481"/>
      <c r="S6" s="1617">
        <f>$J6</f>
      </c>
      <c r="T6" s="410" t="s">
        <v>519</v>
      </c>
      <c r="U6" s="424"/>
      <c r="V6" s="2382"/>
      <c r="W6" s="2383"/>
      <c r="X6" s="2383"/>
      <c r="Y6" s="2383"/>
      <c r="Z6" s="2383"/>
      <c r="AA6" s="2383"/>
      <c r="AB6" s="2383"/>
      <c r="AC6" s="2383"/>
      <c r="AD6" s="2383"/>
      <c r="AE6" s="2383"/>
      <c r="AF6" s="2384"/>
      <c r="AG6" s="2382"/>
      <c r="AH6" s="2383"/>
      <c r="AI6" s="2383"/>
      <c r="AJ6" s="2383"/>
      <c r="AK6" s="2383"/>
      <c r="AL6" s="2383"/>
      <c r="AM6" s="2383"/>
      <c r="AN6" s="2383"/>
      <c r="AO6" s="2383"/>
      <c r="AP6" s="2383"/>
      <c r="AQ6" s="2383"/>
      <c r="AR6" s="2384"/>
      <c r="AS6" s="1431" t="s">
        <v>597</v>
      </c>
      <c r="AU6" s="624"/>
      <c r="AV6" s="624" t="str">
        <f>IF(T6="","",T6)</f>
        <v>Группа потребителей</v>
      </c>
      <c r="AW6" s="624"/>
      <c r="AX6" s="624"/>
      <c r="AY6" s="1279">
        <v>0</v>
      </c>
    </row>
    <row customHeight="1" ht="23.25" hidden="1">
      <c r="A7" s="1487"/>
      <c r="B7" s="1487"/>
      <c r="C7" s="1487"/>
      <c r="D7" s="1487"/>
      <c r="E7" s="2396"/>
      <c r="F7" s="2396"/>
      <c r="G7" s="2396"/>
      <c r="H7" s="2396"/>
      <c r="I7" s="2423"/>
      <c r="J7" s="2423"/>
      <c r="K7" s="2393">
        <f>J6&amp;".1"</f>
      </c>
      <c r="L7" s="1488"/>
      <c r="P7" s="2394"/>
      <c r="Q7" s="2394"/>
      <c r="R7" s="481">
        <v>1</v>
      </c>
      <c r="S7" s="1617">
        <f>$K7</f>
      </c>
      <c r="T7" s="1561"/>
      <c r="U7" s="424"/>
      <c r="V7" s="875"/>
      <c r="W7" s="875"/>
      <c r="X7" s="875"/>
      <c r="Y7" s="875"/>
      <c r="Z7" s="875"/>
      <c r="AA7" s="875"/>
      <c r="AB7" s="875"/>
      <c r="AC7" s="2402"/>
      <c r="AD7" s="2244" t="s">
        <v>62</v>
      </c>
      <c r="AE7" s="2402"/>
      <c r="AF7" s="2244" t="s">
        <v>62</v>
      </c>
      <c r="AG7" s="875"/>
      <c r="AH7" s="875"/>
      <c r="AI7" s="875"/>
      <c r="AJ7" s="875"/>
      <c r="AK7" s="875"/>
      <c r="AL7" s="875"/>
      <c r="AM7" s="875"/>
      <c r="AN7" s="2402"/>
      <c r="AO7" s="2244" t="s">
        <v>62</v>
      </c>
      <c r="AP7" s="2424"/>
      <c r="AQ7" s="2244" t="s">
        <v>62</v>
      </c>
      <c r="AR7" s="1562"/>
      <c r="AS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35">
        <f>STRCHECKDATE(V8:AR8)</f>
      </c>
      <c r="AU7" s="624"/>
      <c r="AV7" s="624" t="str">
        <f>IF(T7="","",T7)</f>
        <v/>
      </c>
      <c r="AW7" s="624"/>
      <c r="AX7" s="624"/>
      <c r="AY7" s="1279">
        <v>0</v>
      </c>
    </row>
    <row customHeight="1" ht="14.25" hidden="1">
      <c r="A8" s="1487"/>
      <c r="B8" s="1487"/>
      <c r="C8" s="1487"/>
      <c r="D8" s="1487"/>
      <c r="E8" s="2396"/>
      <c r="F8" s="2396"/>
      <c r="G8" s="2396"/>
      <c r="H8" s="2396"/>
      <c r="I8" s="2423"/>
      <c r="J8" s="2423"/>
      <c r="K8" s="2393"/>
      <c r="L8" s="1488"/>
      <c r="P8" s="2394"/>
      <c r="Q8" s="2394"/>
      <c r="R8" s="481"/>
      <c r="S8" s="1614"/>
      <c r="T8" s="424"/>
      <c r="U8" s="424"/>
      <c r="V8" s="449"/>
      <c r="W8" s="449"/>
      <c r="X8" s="449"/>
      <c r="Y8" s="449"/>
      <c r="Z8" s="449"/>
      <c r="AA8" s="449"/>
      <c r="AB8" s="449"/>
      <c r="AC8" s="2403"/>
      <c r="AD8" s="2244"/>
      <c r="AE8" s="2403"/>
      <c r="AF8" s="2244"/>
      <c r="AG8" s="449"/>
      <c r="AH8" s="449"/>
      <c r="AI8" s="449"/>
      <c r="AJ8" s="449"/>
      <c r="AK8" s="449"/>
      <c r="AL8" s="449"/>
      <c r="AM8" s="449"/>
      <c r="AN8" s="2403"/>
      <c r="AO8" s="2244"/>
      <c r="AP8" s="2425"/>
      <c r="AQ8" s="2244"/>
      <c r="AR8" s="1563"/>
      <c r="AS8" s="2486"/>
      <c r="AU8" s="624"/>
      <c r="AV8" s="624" t="str">
        <f>IF(T8="","",T8)</f>
        <v/>
      </c>
      <c r="AW8" s="624"/>
      <c r="AX8" s="624"/>
      <c r="AY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724"/>
      <c r="X9" s="724"/>
      <c r="Y9" s="724"/>
      <c r="Z9" s="724"/>
      <c r="AA9" s="724"/>
      <c r="AB9" s="724"/>
      <c r="AC9" s="491"/>
      <c r="AD9" s="491"/>
      <c r="AE9" s="491"/>
      <c r="AF9" s="491"/>
      <c r="AG9" s="491"/>
      <c r="AH9" s="724"/>
      <c r="AI9" s="724"/>
      <c r="AJ9" s="724"/>
      <c r="AK9" s="724"/>
      <c r="AL9" s="724"/>
      <c r="AM9" s="491"/>
      <c r="AN9" s="491"/>
      <c r="AO9" s="491"/>
      <c r="AP9" s="491"/>
      <c r="AQ9" s="491"/>
      <c r="AR9" s="491"/>
      <c r="AS9" s="1382" t="s">
        <v>599</v>
      </c>
      <c r="AU9" s="624"/>
      <c r="AV9" s="624" t="str">
        <f>IF(T9="","",T9)</f>
        <v>Добавить значение признака дифференциации</v>
      </c>
      <c r="AW9" s="624"/>
      <c r="AX9" s="624"/>
      <c r="AY9" s="1279">
        <v>0</v>
      </c>
    </row>
    <row customHeight="1" ht="21" hidden="1">
      <c r="A10" s="1487"/>
      <c r="B10" s="1487"/>
      <c r="C10" s="1487"/>
      <c r="D10" s="1487"/>
      <c r="E10" s="2396"/>
      <c r="F10" s="2396"/>
      <c r="G10" s="2396"/>
      <c r="H10" s="2396"/>
      <c r="I10" s="2393"/>
      <c r="J10" s="1487"/>
      <c r="K10" s="1487"/>
      <c r="L10" s="1488"/>
      <c r="P10" s="2394"/>
      <c r="Q10" s="1605"/>
      <c r="R10" s="480"/>
      <c r="S10" s="1402"/>
      <c r="T10" s="489" t="s">
        <v>524</v>
      </c>
      <c r="U10" s="491"/>
      <c r="V10" s="491"/>
      <c r="W10" s="724"/>
      <c r="X10" s="724"/>
      <c r="Y10" s="724"/>
      <c r="Z10" s="724"/>
      <c r="AA10" s="724"/>
      <c r="AB10" s="724"/>
      <c r="AC10" s="491"/>
      <c r="AD10" s="491"/>
      <c r="AE10" s="491"/>
      <c r="AF10" s="490"/>
      <c r="AG10" s="491"/>
      <c r="AH10" s="724"/>
      <c r="AI10" s="724"/>
      <c r="AJ10" s="724"/>
      <c r="AK10" s="724"/>
      <c r="AL10" s="724"/>
      <c r="AM10" s="491"/>
      <c r="AN10" s="491"/>
      <c r="AO10" s="491"/>
      <c r="AP10" s="491"/>
      <c r="AQ10" s="490"/>
      <c r="AR10" s="491"/>
      <c r="AS10" s="1564"/>
      <c r="AU10" s="624"/>
      <c r="AV10" s="624" t="str">
        <f>IF(T10="","",T10)</f>
        <v>Добавить группу потребителей</v>
      </c>
      <c r="AW10" s="624"/>
      <c r="AX10" s="624"/>
      <c r="AY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724"/>
      <c r="X11" s="724"/>
      <c r="Y11" s="724"/>
      <c r="Z11" s="724"/>
      <c r="AA11" s="724"/>
      <c r="AB11" s="724"/>
      <c r="AC11" s="491"/>
      <c r="AD11" s="491"/>
      <c r="AE11" s="491"/>
      <c r="AF11" s="490"/>
      <c r="AG11" s="491"/>
      <c r="AH11" s="724"/>
      <c r="AI11" s="724"/>
      <c r="AJ11" s="724"/>
      <c r="AK11" s="724"/>
      <c r="AL11" s="724"/>
      <c r="AM11" s="491"/>
      <c r="AN11" s="491"/>
      <c r="AO11" s="491"/>
      <c r="AP11" s="491"/>
      <c r="AQ11" s="490"/>
      <c r="AR11" s="491"/>
      <c r="AS11" s="427"/>
      <c r="AU11" s="624"/>
      <c r="AV11" s="624" t="str">
        <f>IF(T11="","",T11)</f>
        <v>Добавить наименование признака дифференциации</v>
      </c>
      <c r="AW11" s="624"/>
      <c r="AX11" s="624"/>
      <c r="AY11" s="1279">
        <v>0</v>
      </c>
    </row>
    <row s="6698" customFormat="1" customHeight="1" ht="14.25" hidden="1">
      <c r="A12" s="1467"/>
      <c r="B12" s="1467"/>
      <c r="C12" s="1438"/>
      <c r="D12" s="1438"/>
      <c r="E12" s="2396"/>
      <c r="F12" s="2395"/>
      <c r="G12" s="1438"/>
      <c r="H12" s="1438"/>
      <c r="I12" s="1438"/>
      <c r="J12" s="1438"/>
      <c r="K12" s="1438"/>
      <c r="L12" s="1618"/>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c r="AU12" s="913"/>
      <c r="AV12" s="913" t="str">
        <f>IF(T12="","",T12)</f>
        <v>Добавить централизованную систему для дифференциации</v>
      </c>
      <c r="AW12" s="913"/>
      <c r="AX12" s="913"/>
      <c r="AY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c r="AU13" s="624"/>
      <c r="AV13" s="624" t="str">
        <f>IF(T13="","",T13)</f>
        <v>Добавить территорию для дифференциации</v>
      </c>
      <c r="AW13" s="624"/>
      <c r="AX13" s="624"/>
      <c r="AY13" s="635">
        <v>0</v>
      </c>
    </row>
    <row customHeight="1" ht="14.25" hidden="1">
      <c r="AF14" s="451"/>
      <c r="AQ14" s="451"/>
      <c r="AY14" s="1279">
        <v>0</v>
      </c>
    </row>
    <row customHeight="1" ht="14.25" hidden="1">
      <c r="AG15" s="1484"/>
      <c r="AH15" s="1484"/>
      <c r="AI15" s="1484"/>
      <c r="AJ15" s="1484"/>
      <c r="AK15" s="1484"/>
      <c r="AL15" s="1484"/>
      <c r="AM15" s="1484"/>
      <c r="AN15" s="2404"/>
      <c r="AO15" s="2405" t="s">
        <v>62</v>
      </c>
      <c r="AP15" s="2404"/>
      <c r="AQ15" s="2405" t="s">
        <v>62</v>
      </c>
      <c r="AY15" s="1279">
        <v>0</v>
      </c>
    </row>
    <row customHeight="1" ht="14.25" hidden="1">
      <c r="AG16" s="1484"/>
      <c r="AH16" s="1484"/>
      <c r="AI16" s="1484"/>
      <c r="AJ16" s="1484"/>
      <c r="AK16" s="1484"/>
      <c r="AL16" s="1484"/>
      <c r="AM16" s="1484"/>
      <c r="AN16" s="2405"/>
      <c r="AO16" s="2405"/>
      <c r="AP16" s="2405"/>
      <c r="AQ16" s="2405"/>
      <c r="AY16" s="1279">
        <v>0</v>
      </c>
    </row>
    <row customHeight="1" ht="14.25" hidden="1">
      <c r="AQ17" s="451"/>
      <c r="AY17" s="1279">
        <v>0</v>
      </c>
    </row>
    <row s="7158" customFormat="1" customHeight="1" ht="22.5" hidden="1">
      <c r="L18" s="1602"/>
      <c r="M18" s="1486"/>
      <c r="N18" s="1486"/>
      <c r="O18" s="1491" t="s">
        <v>529</v>
      </c>
      <c r="P18" s="1486"/>
      <c r="Q18" s="1495"/>
      <c r="R18" s="1495"/>
      <c r="S18" s="853"/>
      <c r="W18" s="1490"/>
      <c r="X18" s="1490"/>
      <c r="Y18" s="1490"/>
      <c r="Z18" s="1490"/>
      <c r="AA18" s="1490"/>
      <c r="AB18" s="1490"/>
      <c r="AC18" s="1491"/>
      <c r="AE18" s="1491"/>
      <c r="AF18" s="1490"/>
      <c r="AH18" s="1490"/>
      <c r="AI18" s="1490"/>
      <c r="AJ18" s="1490"/>
      <c r="AK18" s="1490"/>
      <c r="AL18" s="1490"/>
      <c r="AN18" s="1491"/>
      <c r="AP18" s="1491"/>
      <c r="AQ18" s="1490"/>
      <c r="AT18" s="635"/>
      <c r="AU18" s="635"/>
      <c r="AV18" s="635"/>
      <c r="AW18" s="635"/>
      <c r="AX18" s="635"/>
      <c r="AY18" s="1284">
        <v>0</v>
      </c>
    </row>
    <row s="7158" customFormat="1" customHeight="1" ht="14.25" hidden="1">
      <c r="L19" s="1602"/>
      <c r="M19" s="1486"/>
      <c r="N19" s="1486"/>
      <c r="O19" s="1486"/>
      <c r="P19" s="1486"/>
      <c r="Q19" s="1495"/>
      <c r="R19" s="1495"/>
      <c r="S19" s="853"/>
      <c r="W19" s="1490"/>
      <c r="X19" s="1490"/>
      <c r="Y19" s="1490"/>
      <c r="Z19" s="1490"/>
      <c r="AA19" s="1490"/>
      <c r="AB19" s="1490"/>
      <c r="AF19" s="1490"/>
      <c r="AH19" s="1490"/>
      <c r="AI19" s="1490"/>
      <c r="AJ19" s="1490"/>
      <c r="AK19" s="1490"/>
      <c r="AL19" s="1490"/>
      <c r="AQ19" s="1490"/>
      <c r="AT19" s="635"/>
      <c r="AU19" s="635"/>
      <c r="AV19" s="635"/>
      <c r="AW19" s="635"/>
      <c r="AX19" s="635"/>
      <c r="AY19" s="1284">
        <v>0</v>
      </c>
    </row>
    <row s="7158" customFormat="1" customHeight="1" ht="12" hidden="1">
      <c r="L20" s="1602"/>
      <c r="M20" s="1486"/>
      <c r="N20" s="1486"/>
      <c r="O20" s="1488" t="s">
        <v>530</v>
      </c>
      <c r="P20" s="1486"/>
      <c r="Q20" s="1566"/>
      <c r="R20" s="1566"/>
      <c r="S20" s="853"/>
      <c r="T20" s="1284" t="s">
        <v>531</v>
      </c>
      <c r="W20" s="1490"/>
      <c r="X20" s="1490"/>
      <c r="Y20" s="1490"/>
      <c r="Z20" s="1490"/>
      <c r="AA20" s="1490"/>
      <c r="AB20" s="1490"/>
      <c r="AD20" s="310" t="s">
        <v>532</v>
      </c>
      <c r="AF20" s="310" t="s">
        <v>533</v>
      </c>
      <c r="AG20" s="1284" t="s">
        <v>531</v>
      </c>
      <c r="AH20" s="1490"/>
      <c r="AI20" s="1490"/>
      <c r="AJ20" s="1490"/>
      <c r="AK20" s="1490"/>
      <c r="AL20" s="1490"/>
      <c r="AO20" s="310" t="s">
        <v>534</v>
      </c>
      <c r="AQ20" s="310" t="s">
        <v>533</v>
      </c>
      <c r="AY20" s="1284">
        <v>0</v>
      </c>
    </row>
    <row customHeight="1" ht="14.25" hidden="1">
      <c r="O21" s="1488"/>
      <c r="AY21" s="1279">
        <v>0</v>
      </c>
    </row>
    <row customHeight="1" ht="14.25" hidden="1">
      <c r="O22" s="1488"/>
      <c r="AY22" s="1279">
        <v>0</v>
      </c>
    </row>
    <row customHeight="1" ht="14.699999999999998">
      <c r="Q23" s="500"/>
      <c r="R23" s="500"/>
      <c r="S23" s="1399"/>
      <c r="T23" s="487"/>
      <c r="U23" s="487"/>
      <c r="V23" s="633"/>
      <c r="W23" s="1759"/>
      <c r="X23" s="1759"/>
      <c r="Y23" s="1759"/>
      <c r="Z23" s="1759"/>
      <c r="AA23" s="1759"/>
      <c r="AB23" s="1759"/>
      <c r="AC23" s="633"/>
      <c r="AD23" s="633"/>
      <c r="AE23" s="633"/>
      <c r="AF23" s="633"/>
      <c r="AG23" s="633"/>
      <c r="AH23" s="1759"/>
      <c r="AI23" s="1759"/>
      <c r="AJ23" s="1759"/>
      <c r="AK23" s="1759"/>
      <c r="AL23" s="1759"/>
      <c r="AM23" s="633"/>
      <c r="AN23" s="633"/>
      <c r="AO23" s="633"/>
      <c r="AP23" s="633"/>
      <c r="AQ23" s="633"/>
      <c r="AY23" s="1279">
        <v>14</v>
      </c>
    </row>
    <row customHeight="1" ht="26.25">
      <c r="Q24" s="500"/>
      <c r="R24" s="500"/>
      <c r="S24" s="238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1367"/>
      <c r="AY24" s="1279">
        <v>25</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1367"/>
      <c r="AY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633"/>
      <c r="AY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2388"/>
      <c r="AC27" s="2388"/>
      <c r="AD27" s="2388"/>
      <c r="AE27" s="2388"/>
      <c r="AF27" s="450"/>
      <c r="AG27" s="2388" t="str">
        <f>IF(TITLE_NAME_OR_PR_CHANGE="",IF(TITLE_NAME_OR_PR="","",TITLE_NAME_OR_PR),TITLE_NAME_OR_PR_CHANGE)</f>
        <v/>
      </c>
      <c r="AH27" s="2388"/>
      <c r="AI27" s="2388"/>
      <c r="AJ27" s="2388"/>
      <c r="AK27" s="2388"/>
      <c r="AL27" s="2388"/>
      <c r="AM27" s="2388"/>
      <c r="AN27" s="2388"/>
      <c r="AO27" s="2388"/>
      <c r="AP27" s="2388"/>
      <c r="AQ27" s="450"/>
      <c r="AR27" s="450"/>
      <c r="AS27" s="404"/>
      <c r="AT27" s="492"/>
      <c r="AU27" s="492"/>
      <c r="AV27" s="492"/>
      <c r="AW27" s="492"/>
      <c r="AX27" s="492"/>
      <c r="AY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2401"/>
      <c r="AC28" s="2401"/>
      <c r="AD28" s="2401"/>
      <c r="AE28" s="2401"/>
      <c r="AF28" s="450"/>
      <c r="AG28" s="2401" t="str">
        <f>IF(TITLE_DATE_PR_CHANGE="",IF(TITLE_DATE_PR="","",TITLE_DATE_PR),TITLE_DATE_PR_CHANGE)</f>
        <v/>
      </c>
      <c r="AH28" s="2401"/>
      <c r="AI28" s="2401"/>
      <c r="AJ28" s="2401"/>
      <c r="AK28" s="2401"/>
      <c r="AL28" s="2401"/>
      <c r="AM28" s="2401"/>
      <c r="AN28" s="2401"/>
      <c r="AO28" s="2401"/>
      <c r="AP28" s="2401"/>
      <c r="AQ28" s="450"/>
      <c r="AR28" s="450"/>
      <c r="AS28" s="404"/>
      <c r="AT28" s="492"/>
      <c r="AU28" s="492"/>
      <c r="AV28" s="492"/>
      <c r="AW28" s="492"/>
      <c r="AX28" s="492"/>
      <c r="AY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2388"/>
      <c r="AC29" s="2388"/>
      <c r="AD29" s="2388"/>
      <c r="AE29" s="2388"/>
      <c r="AF29" s="450"/>
      <c r="AG29" s="2388" t="str">
        <f>IF(TITLE_NUMBER_PR_CHANGE="",IF(TITLE_NUMBER_PR="","",TITLE_NUMBER_PR),TITLE_NUMBER_PR_CHANGE)</f>
        <v/>
      </c>
      <c r="AH29" s="2388"/>
      <c r="AI29" s="2388"/>
      <c r="AJ29" s="2388"/>
      <c r="AK29" s="2388"/>
      <c r="AL29" s="2388"/>
      <c r="AM29" s="2388"/>
      <c r="AN29" s="2388"/>
      <c r="AO29" s="2388"/>
      <c r="AP29" s="2388"/>
      <c r="AQ29" s="450"/>
      <c r="AR29" s="450"/>
      <c r="AS29" s="404"/>
      <c r="AT29" s="492"/>
      <c r="AU29" s="492"/>
      <c r="AV29" s="492"/>
      <c r="AW29" s="492"/>
      <c r="AX29" s="492"/>
      <c r="AY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2388"/>
      <c r="AC30" s="2388"/>
      <c r="AD30" s="2388"/>
      <c r="AE30" s="2388"/>
      <c r="AF30" s="450"/>
      <c r="AG30" s="2388" t="str">
        <f>IF(TITLE_IST_PUB_CHANGE="",IF(TITLE_IST_PUB="","",TITLE_IST_PUB),TITLE_IST_PUB_CHANGE)</f>
        <v/>
      </c>
      <c r="AH30" s="2388"/>
      <c r="AI30" s="2388"/>
      <c r="AJ30" s="2388"/>
      <c r="AK30" s="2388"/>
      <c r="AL30" s="2388"/>
      <c r="AM30" s="2388"/>
      <c r="AN30" s="2388"/>
      <c r="AO30" s="2388"/>
      <c r="AP30" s="2388"/>
      <c r="AQ30" s="450"/>
      <c r="AR30" s="450"/>
      <c r="AS30" s="404"/>
      <c r="AT30" s="492"/>
      <c r="AU30" s="492"/>
      <c r="AV30" s="492"/>
      <c r="AW30" s="492"/>
      <c r="AX30" s="492"/>
      <c r="AY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633"/>
      <c r="AY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2401"/>
      <c r="AC32" s="2401"/>
      <c r="AD32" s="2401"/>
      <c r="AE32" s="2401"/>
      <c r="AF32" s="450"/>
      <c r="AG32" s="2401" t="str">
        <f>IF(TITLE_DATE_PR_CHANGE="",IF(TITLE_DATE_PR="","",TITLE_DATE_PR),TITLE_DATE_PR_CHANGE)</f>
        <v/>
      </c>
      <c r="AH32" s="2401"/>
      <c r="AI32" s="2401"/>
      <c r="AJ32" s="2401"/>
      <c r="AK32" s="2401"/>
      <c r="AL32" s="2401"/>
      <c r="AM32" s="2401"/>
      <c r="AN32" s="2401"/>
      <c r="AO32" s="2401"/>
      <c r="AP32" s="2401"/>
      <c r="AQ32" s="450"/>
      <c r="AR32" s="450"/>
      <c r="AS32" s="404"/>
      <c r="AT32" s="492"/>
      <c r="AU32" s="492"/>
      <c r="AV32" s="492"/>
      <c r="AW32" s="492"/>
      <c r="AX32" s="492"/>
      <c r="AY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2388"/>
      <c r="AC33" s="2388"/>
      <c r="AD33" s="2388"/>
      <c r="AE33" s="2388"/>
      <c r="AF33" s="450"/>
      <c r="AG33" s="2388" t="str">
        <f>IF(TITLE_NUMBER_PR_CHANGE="",IF(TITLE_NUMBER_PR="","",TITLE_NUMBER_PR),TITLE_NUMBER_PR_CHANGE)</f>
        <v/>
      </c>
      <c r="AH33" s="2388"/>
      <c r="AI33" s="2388"/>
      <c r="AJ33" s="2388"/>
      <c r="AK33" s="2388"/>
      <c r="AL33" s="2388"/>
      <c r="AM33" s="2388"/>
      <c r="AN33" s="2388"/>
      <c r="AO33" s="2388"/>
      <c r="AP33" s="2388"/>
      <c r="AQ33" s="450"/>
      <c r="AR33" s="450"/>
      <c r="AS33" s="404"/>
      <c r="AT33" s="492"/>
      <c r="AU33" s="492"/>
      <c r="AV33" s="492"/>
      <c r="AW33" s="492"/>
      <c r="AX33" s="492"/>
      <c r="AY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612"/>
      <c r="V34" s="450"/>
      <c r="W34" s="1759"/>
      <c r="X34" s="1759"/>
      <c r="Y34" s="1759"/>
      <c r="Z34" s="1759"/>
      <c r="AA34" s="1759"/>
      <c r="AB34" s="1759"/>
      <c r="AC34" s="450"/>
      <c r="AD34" s="450"/>
      <c r="AE34" s="450"/>
      <c r="AF34" s="402" t="s">
        <v>539</v>
      </c>
      <c r="AG34" s="450"/>
      <c r="AH34" s="1759"/>
      <c r="AI34" s="1759"/>
      <c r="AJ34" s="1759"/>
      <c r="AK34" s="1759"/>
      <c r="AL34" s="1759"/>
      <c r="AM34" s="450"/>
      <c r="AN34" s="450"/>
      <c r="AO34" s="450"/>
      <c r="AP34" s="450"/>
      <c r="AQ34" s="402" t="s">
        <v>539</v>
      </c>
      <c r="AT34" s="492"/>
      <c r="AU34" s="492"/>
      <c r="AV34" s="492"/>
      <c r="AW34" s="492"/>
      <c r="AX34" s="492"/>
      <c r="AY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Y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c r="AS36" s="2264" t="s">
        <v>413</v>
      </c>
      <c r="AY36" s="1279">
        <v>14</v>
      </c>
    </row>
    <row customHeight="1" ht="14.699999999999998">
      <c r="Q37" s="500"/>
      <c r="R37" s="500"/>
      <c r="S37" s="2410" t="s">
        <v>88</v>
      </c>
      <c r="T37" s="2346" t="s">
        <v>540</v>
      </c>
      <c r="U37" s="425"/>
      <c r="V37" s="2411" t="s">
        <v>541</v>
      </c>
      <c r="W37" s="2428"/>
      <c r="X37" s="2428"/>
      <c r="Y37" s="2428"/>
      <c r="Z37" s="2428"/>
      <c r="AA37" s="2428"/>
      <c r="AB37" s="2428"/>
      <c r="AC37" s="2412"/>
      <c r="AD37" s="2412"/>
      <c r="AE37" s="2413"/>
      <c r="AF37" s="2414" t="s">
        <v>542</v>
      </c>
      <c r="AG37" s="2411" t="s">
        <v>541</v>
      </c>
      <c r="AH37" s="2412"/>
      <c r="AI37" s="2412"/>
      <c r="AJ37" s="2412"/>
      <c r="AK37" s="2412"/>
      <c r="AL37" s="2412"/>
      <c r="AM37" s="2412"/>
      <c r="AN37" s="2412"/>
      <c r="AO37" s="2412"/>
      <c r="AP37" s="2413"/>
      <c r="AQ37" s="2414" t="s">
        <v>543</v>
      </c>
      <c r="AR37" s="2417" t="s">
        <v>544</v>
      </c>
      <c r="AS37" s="2264"/>
      <c r="AY37" s="1279">
        <v>14</v>
      </c>
    </row>
    <row customHeight="1" ht="19.95">
      <c r="Q38" s="500"/>
      <c r="R38" s="500"/>
      <c r="S38" s="2410"/>
      <c r="T38" s="2346"/>
      <c r="U38" s="1155"/>
      <c r="V38" s="2503" t="s">
        <v>644</v>
      </c>
      <c r="W38" s="2502" t="s">
        <v>645</v>
      </c>
      <c r="X38" s="2502"/>
      <c r="Y38" s="2502"/>
      <c r="Z38" s="2502" t="s">
        <v>646</v>
      </c>
      <c r="AA38" s="2502"/>
      <c r="AB38" s="2502"/>
      <c r="AC38" s="2431" t="s">
        <v>548</v>
      </c>
      <c r="AD38" s="2450"/>
      <c r="AE38" s="2451"/>
      <c r="AF38" s="2415"/>
      <c r="AG38" s="2503" t="s">
        <v>644</v>
      </c>
      <c r="AH38" s="2502" t="s">
        <v>645</v>
      </c>
      <c r="AI38" s="2502"/>
      <c r="AJ38" s="2502"/>
      <c r="AK38" s="2502" t="s">
        <v>646</v>
      </c>
      <c r="AL38" s="2502"/>
      <c r="AM38" s="2502"/>
      <c r="AN38" s="2431" t="s">
        <v>548</v>
      </c>
      <c r="AO38" s="2450"/>
      <c r="AP38" s="2451"/>
      <c r="AQ38" s="2415"/>
      <c r="AR38" s="2418"/>
      <c r="AS38" s="2264"/>
      <c r="AY38" s="1279">
        <v>19</v>
      </c>
    </row>
    <row s="7213" customFormat="1" customHeight="1" ht="19.95">
      <c r="A39" s="1490"/>
      <c r="B39" s="1490"/>
      <c r="C39" s="1490"/>
      <c r="D39" s="1490"/>
      <c r="E39" s="1490"/>
      <c r="F39" s="1490"/>
      <c r="G39" s="1490"/>
      <c r="H39" s="1490"/>
      <c r="I39" s="1490"/>
      <c r="J39" s="1490"/>
      <c r="K39" s="1490"/>
      <c r="L39" s="2072"/>
      <c r="M39" s="1486"/>
      <c r="N39" s="1486"/>
      <c r="O39" s="1486"/>
      <c r="P39" s="2086"/>
      <c r="Q39" s="500"/>
      <c r="R39" s="500"/>
      <c r="S39" s="2410"/>
      <c r="T39" s="2346"/>
      <c r="U39" s="1155"/>
      <c r="V39" s="2503"/>
      <c r="W39" s="2502" t="s">
        <v>647</v>
      </c>
      <c r="X39" s="2502" t="s">
        <v>648</v>
      </c>
      <c r="Y39" s="2502"/>
      <c r="Z39" s="2502" t="s">
        <v>649</v>
      </c>
      <c r="AA39" s="2502" t="s">
        <v>648</v>
      </c>
      <c r="AB39" s="2502"/>
      <c r="AC39" s="2432"/>
      <c r="AD39" s="2452"/>
      <c r="AE39" s="2453"/>
      <c r="AF39" s="2415"/>
      <c r="AG39" s="2503"/>
      <c r="AH39" s="2502" t="s">
        <v>647</v>
      </c>
      <c r="AI39" s="2502" t="s">
        <v>648</v>
      </c>
      <c r="AJ39" s="2502"/>
      <c r="AK39" s="2502" t="s">
        <v>649</v>
      </c>
      <c r="AL39" s="2502" t="s">
        <v>648</v>
      </c>
      <c r="AM39" s="2502"/>
      <c r="AN39" s="2432"/>
      <c r="AO39" s="2452"/>
      <c r="AP39" s="2453"/>
      <c r="AQ39" s="2415"/>
      <c r="AR39" s="2418"/>
      <c r="AS39" s="2264"/>
      <c r="AT39" s="1760"/>
      <c r="AU39" s="1760"/>
      <c r="AV39" s="1760"/>
      <c r="AW39" s="1760"/>
      <c r="AX39" s="1760"/>
      <c r="AY39" s="1755">
        <v>19</v>
      </c>
    </row>
    <row customHeight="1" ht="61.949999999999996">
      <c r="A40" s="1494"/>
      <c r="B40" s="1494" t="s">
        <v>255</v>
      </c>
      <c r="C40" s="1494" t="s">
        <v>256</v>
      </c>
      <c r="D40" s="1494" t="s">
        <v>257</v>
      </c>
      <c r="E40" s="1488" t="s">
        <v>549</v>
      </c>
      <c r="F40" s="1488" t="s">
        <v>550</v>
      </c>
      <c r="G40" s="1488" t="s">
        <v>551</v>
      </c>
      <c r="H40" s="1488"/>
      <c r="I40" s="1488" t="s">
        <v>602</v>
      </c>
      <c r="J40" s="1488" t="s">
        <v>554</v>
      </c>
      <c r="K40" s="1488" t="s">
        <v>603</v>
      </c>
      <c r="L40" s="1488" t="s">
        <v>530</v>
      </c>
      <c r="Q40" s="500"/>
      <c r="R40" s="500"/>
      <c r="S40" s="2410"/>
      <c r="T40" s="2346"/>
      <c r="U40" s="426"/>
      <c r="V40" s="2503"/>
      <c r="W40" s="2502"/>
      <c r="X40" s="2104" t="s">
        <v>650</v>
      </c>
      <c r="Y40" s="2104" t="s">
        <v>651</v>
      </c>
      <c r="Z40" s="2502"/>
      <c r="AA40" s="2104" t="s">
        <v>652</v>
      </c>
      <c r="AB40" s="2104" t="s">
        <v>653</v>
      </c>
      <c r="AC40" s="1613" t="s">
        <v>558</v>
      </c>
      <c r="AD40" s="2407" t="s">
        <v>559</v>
      </c>
      <c r="AE40" s="2408"/>
      <c r="AF40" s="2416"/>
      <c r="AG40" s="2503"/>
      <c r="AH40" s="2502"/>
      <c r="AI40" s="2104" t="s">
        <v>650</v>
      </c>
      <c r="AJ40" s="2104" t="s">
        <v>651</v>
      </c>
      <c r="AK40" s="2502"/>
      <c r="AL40" s="2104" t="s">
        <v>652</v>
      </c>
      <c r="AM40" s="2104" t="s">
        <v>653</v>
      </c>
      <c r="AN40" s="1613" t="s">
        <v>558</v>
      </c>
      <c r="AO40" s="2407" t="s">
        <v>559</v>
      </c>
      <c r="AP40" s="2408"/>
      <c r="AQ40" s="2416"/>
      <c r="AR40" s="2419"/>
      <c r="AS40" s="2264"/>
      <c r="AY40" s="1279">
        <v>59</v>
      </c>
    </row>
    <row s="6292" customFormat="1" customHeight="1" ht="11.25" hidden="1">
      <c r="A41" s="1494"/>
      <c r="B41" s="1494"/>
      <c r="C41" s="1494"/>
      <c r="D41" s="1494"/>
      <c r="E41" s="1494"/>
      <c r="F41" s="1494"/>
      <c r="G41" s="1494"/>
      <c r="H41" s="1494"/>
      <c r="I41" s="1494"/>
      <c r="J41" s="1494"/>
      <c r="K41" s="1494"/>
      <c r="L41" s="1488"/>
      <c r="M41" s="1486"/>
      <c r="N41" s="1486"/>
      <c r="O41" s="1486"/>
      <c r="P41" s="1370"/>
      <c r="Q41" s="1371"/>
      <c r="R41" s="1378">
        <v>1</v>
      </c>
      <c r="S41" s="1401" t="s">
        <v>210</v>
      </c>
      <c r="T41" s="1379" t="s">
        <v>102</v>
      </c>
      <c r="U41" s="1369" t="str">
        <f>OFFSET(U41,0,-1)</f>
        <v>2</v>
      </c>
      <c r="V41" s="1606">
        <f>OFFSET(V41,0,-1)+1</f>
        <v>3</v>
      </c>
      <c r="W41" s="1465"/>
      <c r="X41" s="1465"/>
      <c r="Y41" s="1465"/>
      <c r="Z41" s="1465"/>
      <c r="AA41" s="1465"/>
      <c r="AB41" s="1465"/>
      <c r="AC41" s="1606">
        <f>OFFSET(AC41,0,-1)+1</f>
        <v>1</v>
      </c>
      <c r="AD41" s="2409">
        <f>OFFSET(AD41,0,-1)+1</f>
        <v>2</v>
      </c>
      <c r="AE41" s="2409"/>
      <c r="AF41" s="1606">
        <f>OFFSET(AF41,0,-2)+1</f>
        <v>3</v>
      </c>
      <c r="AG41" s="1606">
        <f>OFFSET(AG41,0,-1)+1</f>
        <v>4</v>
      </c>
      <c r="AH41" s="2077"/>
      <c r="AI41" s="2077"/>
      <c r="AJ41" s="2077"/>
      <c r="AK41" s="2077"/>
      <c r="AL41" s="2077"/>
      <c r="AM41" s="1606">
        <f>OFFSET(AM41,0,-1)+1</f>
        <v>1</v>
      </c>
      <c r="AN41" s="1606">
        <f>OFFSET(AN41,0,-1)+1</f>
        <v>2</v>
      </c>
      <c r="AO41" s="2409">
        <f>OFFSET(AO41,0,-1)+1</f>
        <v>3</v>
      </c>
      <c r="AP41" s="2409"/>
      <c r="AQ41" s="1606">
        <f>OFFSET(AQ41,0,-2)+1</f>
        <v>4</v>
      </c>
      <c r="AR41" s="1369">
        <f>OFFSET(AR41,0,-1)</f>
        <v>4</v>
      </c>
      <c r="AS41" s="1606">
        <f>OFFSET(AS41,0,-1)+1</f>
        <v>5</v>
      </c>
      <c r="AT41" s="635"/>
      <c r="AU41" s="635"/>
      <c r="AV41" s="635"/>
      <c r="AW41" s="635"/>
      <c r="AX41" s="635"/>
      <c r="AY41" s="620">
        <v>0</v>
      </c>
    </row>
    <row customHeight="1" ht="24">
      <c r="A42" s="1487" t="s">
        <v>363</v>
      </c>
      <c r="B42" s="1487"/>
      <c r="C42" s="1487"/>
      <c r="D42" s="1487"/>
      <c r="E42" s="2395">
        <v>1</v>
      </c>
      <c r="F42" s="1487"/>
      <c r="G42" s="1487"/>
      <c r="H42" s="1487"/>
      <c r="I42" s="1487"/>
      <c r="J42" s="1487"/>
      <c r="K42" s="1487"/>
      <c r="L42" s="1488"/>
      <c r="M42" s="1489"/>
      <c r="N42" s="1489"/>
      <c r="O42" s="1489"/>
      <c r="P42" s="485"/>
      <c r="Q42" s="484"/>
      <c r="R42" s="479"/>
      <c r="S42" s="1617">
        <f>INDEX(PT_DIFFERENTIATION_NUM_NTAR,MATCH(A42,PT_DIFFERENTIATION_NTAR_ID,0))</f>
        <v>0</v>
      </c>
      <c r="T42" s="422" t="s">
        <v>243</v>
      </c>
      <c r="U42" s="424"/>
      <c r="V42" s="2379"/>
      <c r="W42" s="2380"/>
      <c r="X42" s="2380"/>
      <c r="Y42" s="2380"/>
      <c r="Z42" s="2380"/>
      <c r="AA42" s="2380"/>
      <c r="AB42" s="2380"/>
      <c r="AC42" s="2380"/>
      <c r="AD42" s="2380"/>
      <c r="AE42" s="2380"/>
      <c r="AF42" s="2381"/>
      <c r="AG42" s="2379" t="str">
        <f>INDEX(PT_DIFFERENTIATION_NTAR,MATCH(A42,PT_DIFFERENTIATION_NTAR_ID,0))</f>
        <v/>
      </c>
      <c r="AH42" s="2380"/>
      <c r="AI42" s="2380"/>
      <c r="AJ42" s="2380"/>
      <c r="AK42" s="2380"/>
      <c r="AL42" s="2380"/>
      <c r="AM42" s="2380"/>
      <c r="AN42" s="2380"/>
      <c r="AO42" s="2380"/>
      <c r="AP42" s="2380"/>
      <c r="AQ42" s="2380"/>
      <c r="AR42" s="2381"/>
      <c r="AS4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24"/>
      <c r="AV42" s="624" t="str">
        <f>IF(T42="","",T42)</f>
        <v>Наименование тарифа</v>
      </c>
      <c r="AW42" s="624"/>
      <c r="AX42" s="624"/>
      <c r="AY42" s="1279">
        <v>23</v>
      </c>
    </row>
    <row customHeight="1" ht="24">
      <c r="A43" s="1487" t="s">
        <v>363</v>
      </c>
      <c r="B43" s="1487" t="s">
        <v>364</v>
      </c>
      <c r="C43" s="1487"/>
      <c r="D43" s="1487"/>
      <c r="E43" s="2396"/>
      <c r="F43" s="2395">
        <v>1</v>
      </c>
      <c r="G43" s="1487"/>
      <c r="H43" s="1487"/>
      <c r="I43" s="1487"/>
      <c r="J43" s="1487"/>
      <c r="K43" s="1487"/>
      <c r="L43" s="1488"/>
      <c r="M43" s="1489"/>
      <c r="N43" s="1489"/>
      <c r="O43" s="1489"/>
      <c r="P43" s="1611"/>
      <c r="Q43" s="476"/>
      <c r="R43" s="477"/>
      <c r="S43" s="1617" t="str">
        <f>INDEX(PT_DIFFERENTIATION_NUM_TER,MATCH(B43,PT_DIFFERENTIATION_TER_ID,0))</f>
        <v>.</v>
      </c>
      <c r="T43" s="432" t="s">
        <v>509</v>
      </c>
      <c r="U43" s="424"/>
      <c r="V43" s="2379"/>
      <c r="W43" s="2380"/>
      <c r="X43" s="2380"/>
      <c r="Y43" s="2380"/>
      <c r="Z43" s="2380"/>
      <c r="AA43" s="2380"/>
      <c r="AB43" s="2380"/>
      <c r="AC43" s="2380"/>
      <c r="AD43" s="2380"/>
      <c r="AE43" s="2380"/>
      <c r="AF43" s="2381"/>
      <c r="AG43" s="2379" t="str">
        <f>INDEX(PT_DIFFERENTIATION_TER,MATCH(B43,PT_DIFFERENTIATION_TER_ID,0))</f>
        <v/>
      </c>
      <c r="AH43" s="2380"/>
      <c r="AI43" s="2380"/>
      <c r="AJ43" s="2380"/>
      <c r="AK43" s="2380"/>
      <c r="AL43" s="2380"/>
      <c r="AM43" s="2380"/>
      <c r="AN43" s="2380"/>
      <c r="AO43" s="2380"/>
      <c r="AP43" s="2380"/>
      <c r="AQ43" s="2380"/>
      <c r="AR43" s="2381"/>
      <c r="AS43" s="1382" t="s">
        <v>510</v>
      </c>
      <c r="AU43" s="624"/>
      <c r="AV43" s="624" t="str">
        <f>IF(T43="","",T43)</f>
        <v>Территория действия тарифа</v>
      </c>
      <c r="AW43" s="624"/>
      <c r="AX43" s="624"/>
      <c r="AY43" s="1279">
        <v>23</v>
      </c>
    </row>
    <row customHeight="1" ht="24">
      <c r="A44" s="1487" t="s">
        <v>363</v>
      </c>
      <c r="B44" s="1487" t="s">
        <v>364</v>
      </c>
      <c r="C44" s="1487" t="s">
        <v>365</v>
      </c>
      <c r="D44" s="1487"/>
      <c r="E44" s="2396"/>
      <c r="F44" s="2396"/>
      <c r="G44" s="2395">
        <v>1</v>
      </c>
      <c r="H44" s="1487"/>
      <c r="I44" s="1487"/>
      <c r="J44" s="1487"/>
      <c r="K44" s="1487"/>
      <c r="L44" s="1488"/>
      <c r="M44" s="1489"/>
      <c r="N44" s="1489"/>
      <c r="O44" s="1489"/>
      <c r="P44" s="478"/>
      <c r="Q44" s="476"/>
      <c r="R44" s="477"/>
      <c r="S44" s="1617" t="str">
        <f>INDEX(PT_DIFFERENTIATION_NUM_CS,MATCH(C44,PT_DIFFERENTIATION_CS_ID,0))</f>
        <v>..</v>
      </c>
      <c r="T44" s="433" t="s">
        <v>642</v>
      </c>
      <c r="U44" s="424"/>
      <c r="V44" s="2379"/>
      <c r="W44" s="2380"/>
      <c r="X44" s="2380"/>
      <c r="Y44" s="2380"/>
      <c r="Z44" s="2380"/>
      <c r="AA44" s="2380"/>
      <c r="AB44" s="2380"/>
      <c r="AC44" s="2380"/>
      <c r="AD44" s="2380"/>
      <c r="AE44" s="2380"/>
      <c r="AF44" s="2381"/>
      <c r="AG44" s="2379" t="str">
        <f>INDEX(PT_DIFFERENTIATION_CS,MATCH(C44,PT_DIFFERENTIATION_CS_ID,0))</f>
        <v/>
      </c>
      <c r="AH44" s="2380"/>
      <c r="AI44" s="2380"/>
      <c r="AJ44" s="2380"/>
      <c r="AK44" s="2380"/>
      <c r="AL44" s="2380"/>
      <c r="AM44" s="2380"/>
      <c r="AN44" s="2380"/>
      <c r="AO44" s="2380"/>
      <c r="AP44" s="2380"/>
      <c r="AQ44" s="2380"/>
      <c r="AR44" s="2381"/>
      <c r="AS44" s="1382" t="s">
        <v>643</v>
      </c>
      <c r="AU44" s="624"/>
      <c r="AV44" s="624" t="str">
        <f>IF(T44="","",T44)</f>
        <v>Наименование централизованной системы горячего водоснабжения</v>
      </c>
      <c r="AW44" s="624"/>
      <c r="AX44" s="624"/>
      <c r="AY44" s="1279">
        <v>23</v>
      </c>
    </row>
    <row customHeight="1" ht="24">
      <c r="A45" s="1487" t="s">
        <v>363</v>
      </c>
      <c r="B45" s="1487" t="s">
        <v>364</v>
      </c>
      <c r="C45" s="1487" t="s">
        <v>365</v>
      </c>
      <c r="D45" s="1487" t="s">
        <v>654</v>
      </c>
      <c r="E45" s="2396"/>
      <c r="F45" s="2396"/>
      <c r="G45" s="2396"/>
      <c r="H45" s="2396"/>
      <c r="I45" s="2393" t="str">
        <f>S44&amp;".1"</f>
        <v>...1</v>
      </c>
      <c r="J45" s="1487"/>
      <c r="K45" s="1487"/>
      <c r="L45" s="1488"/>
      <c r="P45" s="2394">
        <v>1</v>
      </c>
      <c r="Q45" s="1605"/>
      <c r="R45" s="480"/>
      <c r="S45" s="1617" t="str">
        <f>$I45</f>
        <v>...1</v>
      </c>
      <c r="T45" s="409" t="s">
        <v>595</v>
      </c>
      <c r="U45" s="424"/>
      <c r="V45" s="2487"/>
      <c r="W45" s="2488"/>
      <c r="X45" s="2488"/>
      <c r="Y45" s="2488"/>
      <c r="Z45" s="2488"/>
      <c r="AA45" s="2488"/>
      <c r="AB45" s="2488"/>
      <c r="AC45" s="2488"/>
      <c r="AD45" s="2488"/>
      <c r="AE45" s="2488"/>
      <c r="AF45" s="2489"/>
      <c r="AG45" s="2490"/>
      <c r="AH45" s="2491"/>
      <c r="AI45" s="2491"/>
      <c r="AJ45" s="2491"/>
      <c r="AK45" s="2491"/>
      <c r="AL45" s="2491"/>
      <c r="AM45" s="2491"/>
      <c r="AN45" s="2491"/>
      <c r="AO45" s="2491"/>
      <c r="AP45" s="2491"/>
      <c r="AQ45" s="2491"/>
      <c r="AR45" s="2492"/>
      <c r="AS45" s="1382" t="s">
        <v>596</v>
      </c>
      <c r="AU45" s="624"/>
      <c r="AV45" s="624" t="str">
        <f>IF(T45="","",T45)</f>
        <v>Наименование признака дифференциации</v>
      </c>
      <c r="AW45" s="624"/>
      <c r="AX45" s="624"/>
      <c r="AY45" s="1279">
        <v>23</v>
      </c>
    </row>
    <row customHeight="1" ht="24">
      <c r="A46" s="1487" t="s">
        <v>363</v>
      </c>
      <c r="B46" s="1487" t="s">
        <v>364</v>
      </c>
      <c r="C46" s="1487" t="s">
        <v>365</v>
      </c>
      <c r="D46" s="1487" t="s">
        <v>654</v>
      </c>
      <c r="E46" s="2396"/>
      <c r="F46" s="2396"/>
      <c r="G46" s="2396"/>
      <c r="H46" s="2396"/>
      <c r="I46" s="2423"/>
      <c r="J46" s="2393" t="str">
        <f>I45&amp;".1"</f>
        <v>...1.1</v>
      </c>
      <c r="K46" s="1487"/>
      <c r="L46" s="1488" t="s">
        <v>518</v>
      </c>
      <c r="P46" s="2394"/>
      <c r="Q46" s="2394">
        <v>1</v>
      </c>
      <c r="R46" s="481"/>
      <c r="S46" s="1617" t="str">
        <f>$J46</f>
        <v>...1.1</v>
      </c>
      <c r="T46" s="410" t="s">
        <v>519</v>
      </c>
      <c r="U46" s="424"/>
      <c r="V46" s="2382"/>
      <c r="W46" s="2383"/>
      <c r="X46" s="2383"/>
      <c r="Y46" s="2383"/>
      <c r="Z46" s="2383"/>
      <c r="AA46" s="2383"/>
      <c r="AB46" s="2383"/>
      <c r="AC46" s="2383"/>
      <c r="AD46" s="2383"/>
      <c r="AE46" s="2383"/>
      <c r="AF46" s="2384"/>
      <c r="AG46" s="2382"/>
      <c r="AH46" s="2383"/>
      <c r="AI46" s="2383"/>
      <c r="AJ46" s="2383"/>
      <c r="AK46" s="2383"/>
      <c r="AL46" s="2383"/>
      <c r="AM46" s="2383"/>
      <c r="AN46" s="2383"/>
      <c r="AO46" s="2383"/>
      <c r="AP46" s="2383"/>
      <c r="AQ46" s="2383"/>
      <c r="AR46" s="2384"/>
      <c r="AS46" s="1431" t="s">
        <v>597</v>
      </c>
      <c r="AU46" s="624"/>
      <c r="AV46" s="624" t="str">
        <f>IF(T46="","",T46)</f>
        <v>Группа потребителей</v>
      </c>
      <c r="AW46" s="624"/>
      <c r="AX46" s="624"/>
      <c r="AY46" s="1279">
        <v>23</v>
      </c>
    </row>
    <row customHeight="1" ht="24">
      <c r="A47" s="1487" t="s">
        <v>363</v>
      </c>
      <c r="B47" s="1487" t="s">
        <v>364</v>
      </c>
      <c r="C47" s="1487" t="s">
        <v>365</v>
      </c>
      <c r="D47" s="1487" t="s">
        <v>654</v>
      </c>
      <c r="E47" s="2396"/>
      <c r="F47" s="2396"/>
      <c r="G47" s="2396"/>
      <c r="H47" s="2396"/>
      <c r="I47" s="2423"/>
      <c r="J47" s="2423"/>
      <c r="K47" s="2393" t="str">
        <f>J46&amp;".1"</f>
        <v>...1.1.1</v>
      </c>
      <c r="L47" s="1488"/>
      <c r="P47" s="2394"/>
      <c r="Q47" s="2394"/>
      <c r="R47" s="481">
        <v>1</v>
      </c>
      <c r="S47" s="1617" t="str">
        <f>$K47</f>
        <v>...1.1.1</v>
      </c>
      <c r="T47" s="1561"/>
      <c r="U47" s="424"/>
      <c r="V47" s="875"/>
      <c r="W47" s="875"/>
      <c r="X47" s="875"/>
      <c r="Y47" s="875"/>
      <c r="Z47" s="875"/>
      <c r="AA47" s="875"/>
      <c r="AB47" s="875"/>
      <c r="AC47" s="2404"/>
      <c r="AD47" s="2405" t="s">
        <v>62</v>
      </c>
      <c r="AE47" s="2404"/>
      <c r="AF47" s="2405" t="s">
        <v>62</v>
      </c>
      <c r="AG47" s="875"/>
      <c r="AH47" s="875"/>
      <c r="AI47" s="875"/>
      <c r="AJ47" s="875"/>
      <c r="AK47" s="875"/>
      <c r="AL47" s="875"/>
      <c r="AM47" s="875"/>
      <c r="AN47" s="2402"/>
      <c r="AO47" s="2244" t="s">
        <v>62</v>
      </c>
      <c r="AP47" s="2424"/>
      <c r="AQ47" s="2244" t="s">
        <v>19</v>
      </c>
      <c r="AR47" s="1562"/>
      <c r="AS4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35">
        <f>STRCHECKDATE(V48:AR48)</f>
      </c>
      <c r="AU47" s="624"/>
      <c r="AV47" s="624" t="str">
        <f>IF(T47="","",T47)</f>
        <v/>
      </c>
      <c r="AW47" s="624"/>
      <c r="AX47" s="624"/>
      <c r="AY47" s="1279">
        <v>23</v>
      </c>
    </row>
    <row customHeight="1" ht="0">
      <c r="A48" s="1487" t="s">
        <v>363</v>
      </c>
      <c r="B48" s="1487" t="s">
        <v>364</v>
      </c>
      <c r="C48" s="1487" t="s">
        <v>365</v>
      </c>
      <c r="D48" s="1487" t="s">
        <v>654</v>
      </c>
      <c r="E48" s="2396"/>
      <c r="F48" s="2396"/>
      <c r="G48" s="2396"/>
      <c r="H48" s="2396"/>
      <c r="I48" s="2423"/>
      <c r="J48" s="2423"/>
      <c r="K48" s="2393"/>
      <c r="L48" s="1488"/>
      <c r="P48" s="2394"/>
      <c r="Q48" s="2394"/>
      <c r="R48" s="481"/>
      <c r="S48" s="1614"/>
      <c r="T48" s="424"/>
      <c r="U48" s="424"/>
      <c r="V48" s="1484"/>
      <c r="W48" s="1484"/>
      <c r="X48" s="1484"/>
      <c r="Y48" s="1484"/>
      <c r="Z48" s="1484"/>
      <c r="AA48" s="1484"/>
      <c r="AB48" s="1484"/>
      <c r="AC48" s="2405"/>
      <c r="AD48" s="2405"/>
      <c r="AE48" s="2405"/>
      <c r="AF48" s="2405"/>
      <c r="AG48" s="449"/>
      <c r="AH48" s="449"/>
      <c r="AI48" s="449"/>
      <c r="AJ48" s="449"/>
      <c r="AK48" s="449"/>
      <c r="AL48" s="449"/>
      <c r="AM48" s="449"/>
      <c r="AN48" s="2403"/>
      <c r="AO48" s="2244"/>
      <c r="AP48" s="2425"/>
      <c r="AQ48" s="2244"/>
      <c r="AR48" s="1563"/>
      <c r="AS48" s="2486"/>
      <c r="AU48" s="624"/>
      <c r="AV48" s="624" t="str">
        <f>IF(T48="","",T48)</f>
        <v/>
      </c>
      <c r="AW48" s="624"/>
      <c r="AX48" s="624"/>
      <c r="AY48" s="1279">
        <v>0</v>
      </c>
    </row>
    <row customHeight="1" ht="21">
      <c r="A49" s="1487" t="s">
        <v>363</v>
      </c>
      <c r="B49" s="1487" t="s">
        <v>364</v>
      </c>
      <c r="C49" s="1487" t="s">
        <v>365</v>
      </c>
      <c r="D49" s="1487" t="s">
        <v>654</v>
      </c>
      <c r="E49" s="2396"/>
      <c r="F49" s="2396"/>
      <c r="G49" s="2396"/>
      <c r="H49" s="2396"/>
      <c r="I49" s="2423"/>
      <c r="J49" s="2393"/>
      <c r="K49" s="1487"/>
      <c r="L49" s="1488"/>
      <c r="P49" s="2394"/>
      <c r="Q49" s="2394"/>
      <c r="R49" s="480"/>
      <c r="S49" s="1402"/>
      <c r="T49" s="411" t="s">
        <v>598</v>
      </c>
      <c r="U49" s="491"/>
      <c r="V49" s="491"/>
      <c r="W49" s="724"/>
      <c r="X49" s="724"/>
      <c r="Y49" s="724"/>
      <c r="Z49" s="724"/>
      <c r="AA49" s="724"/>
      <c r="AB49" s="724"/>
      <c r="AC49" s="491"/>
      <c r="AD49" s="491"/>
      <c r="AE49" s="491"/>
      <c r="AF49" s="491"/>
      <c r="AG49" s="491"/>
      <c r="AH49" s="724"/>
      <c r="AI49" s="724"/>
      <c r="AJ49" s="724"/>
      <c r="AK49" s="724"/>
      <c r="AL49" s="724"/>
      <c r="AM49" s="491"/>
      <c r="AN49" s="491"/>
      <c r="AO49" s="491"/>
      <c r="AP49" s="491"/>
      <c r="AQ49" s="491"/>
      <c r="AR49" s="491"/>
      <c r="AS49" s="1382" t="s">
        <v>599</v>
      </c>
      <c r="AU49" s="624"/>
      <c r="AV49" s="624" t="str">
        <f>IF(T49="","",T49)</f>
        <v>Добавить значение признака дифференциации</v>
      </c>
      <c r="AW49" s="624"/>
      <c r="AX49" s="624"/>
      <c r="AY49" s="1279">
        <v>20</v>
      </c>
    </row>
    <row customHeight="1" ht="22.049999999999997">
      <c r="A50" s="1487" t="s">
        <v>363</v>
      </c>
      <c r="B50" s="1487" t="s">
        <v>364</v>
      </c>
      <c r="C50" s="1487" t="s">
        <v>365</v>
      </c>
      <c r="D50" s="1487" t="s">
        <v>654</v>
      </c>
      <c r="E50" s="2396"/>
      <c r="F50" s="2396"/>
      <c r="G50" s="2396"/>
      <c r="H50" s="2396"/>
      <c r="I50" s="2393"/>
      <c r="J50" s="1487"/>
      <c r="K50" s="1487"/>
      <c r="L50" s="1488"/>
      <c r="P50" s="2394"/>
      <c r="Q50" s="1605"/>
      <c r="R50" s="480"/>
      <c r="S50" s="1402"/>
      <c r="T50" s="489" t="s">
        <v>524</v>
      </c>
      <c r="U50" s="491"/>
      <c r="V50" s="491"/>
      <c r="W50" s="724"/>
      <c r="X50" s="724"/>
      <c r="Y50" s="724"/>
      <c r="Z50" s="724"/>
      <c r="AA50" s="724"/>
      <c r="AB50" s="724"/>
      <c r="AC50" s="491"/>
      <c r="AD50" s="491"/>
      <c r="AE50" s="491"/>
      <c r="AF50" s="490"/>
      <c r="AG50" s="491"/>
      <c r="AH50" s="724"/>
      <c r="AI50" s="724"/>
      <c r="AJ50" s="724"/>
      <c r="AK50" s="724"/>
      <c r="AL50" s="724"/>
      <c r="AM50" s="491"/>
      <c r="AN50" s="491"/>
      <c r="AO50" s="491"/>
      <c r="AP50" s="491"/>
      <c r="AQ50" s="490"/>
      <c r="AR50" s="491"/>
      <c r="AS50" s="1564"/>
      <c r="AU50" s="624"/>
      <c r="AV50" s="624" t="str">
        <f>IF(T50="","",T50)</f>
        <v>Добавить группу потребителей</v>
      </c>
      <c r="AW50" s="624"/>
      <c r="AX50" s="624"/>
      <c r="AY50" s="1279">
        <v>21</v>
      </c>
    </row>
    <row customHeight="1" ht="22.049999999999997">
      <c r="A51" s="1487" t="s">
        <v>363</v>
      </c>
      <c r="B51" s="1487" t="s">
        <v>364</v>
      </c>
      <c r="C51" s="1487" t="s">
        <v>365</v>
      </c>
      <c r="D51" s="1487" t="s">
        <v>654</v>
      </c>
      <c r="E51" s="2396"/>
      <c r="F51" s="2396"/>
      <c r="G51" s="2396"/>
      <c r="H51" s="2395"/>
      <c r="I51" s="1487"/>
      <c r="J51" s="1487"/>
      <c r="K51" s="1487"/>
      <c r="L51" s="1488"/>
      <c r="M51" s="1489"/>
      <c r="N51" s="1489"/>
      <c r="O51" s="661"/>
      <c r="P51" s="484"/>
      <c r="Q51" s="499"/>
      <c r="R51" s="479"/>
      <c r="S51" s="1402"/>
      <c r="T51" s="496" t="s">
        <v>600</v>
      </c>
      <c r="U51" s="491"/>
      <c r="V51" s="491"/>
      <c r="W51" s="724"/>
      <c r="X51" s="724"/>
      <c r="Y51" s="724"/>
      <c r="Z51" s="724"/>
      <c r="AA51" s="724"/>
      <c r="AB51" s="724"/>
      <c r="AC51" s="491"/>
      <c r="AD51" s="491"/>
      <c r="AE51" s="491"/>
      <c r="AF51" s="490"/>
      <c r="AG51" s="491"/>
      <c r="AH51" s="724"/>
      <c r="AI51" s="724"/>
      <c r="AJ51" s="724"/>
      <c r="AK51" s="724"/>
      <c r="AL51" s="724"/>
      <c r="AM51" s="491"/>
      <c r="AN51" s="491"/>
      <c r="AO51" s="491"/>
      <c r="AP51" s="491"/>
      <c r="AQ51" s="490"/>
      <c r="AR51" s="491"/>
      <c r="AS51" s="427"/>
      <c r="AU51" s="624"/>
      <c r="AV51" s="624" t="str">
        <f>IF(T51="","",T51)</f>
        <v>Добавить наименование признака дифференциации</v>
      </c>
      <c r="AW51" s="624"/>
      <c r="AX51" s="624"/>
      <c r="AY51" s="1279">
        <v>21</v>
      </c>
    </row>
    <row s="6698" customFormat="1" customHeight="1" ht="0">
      <c r="A52" s="1467" t="s">
        <v>363</v>
      </c>
      <c r="B52" s="1467" t="s">
        <v>364</v>
      </c>
      <c r="C52" s="1438"/>
      <c r="D52" s="1438"/>
      <c r="E52" s="2396"/>
      <c r="F52" s="2395"/>
      <c r="G52" s="1438"/>
      <c r="H52" s="1438"/>
      <c r="I52" s="1438"/>
      <c r="J52" s="1438"/>
      <c r="K52" s="1438"/>
      <c r="L52" s="1618"/>
      <c r="M52" s="1445"/>
      <c r="N52" s="1445"/>
      <c r="P52" s="1440"/>
      <c r="Q52" s="1441"/>
      <c r="R52" s="1440"/>
      <c r="S52" s="1446"/>
      <c r="T52" s="1449" t="s">
        <v>527</v>
      </c>
      <c r="U52" s="1448"/>
      <c r="V52" s="1448"/>
      <c r="W52" s="1448"/>
      <c r="X52" s="1448"/>
      <c r="Y52" s="1448"/>
      <c r="Z52" s="1448"/>
      <c r="AA52" s="1448"/>
      <c r="AB52" s="1448"/>
      <c r="AC52" s="1448"/>
      <c r="AD52" s="1448"/>
      <c r="AE52" s="1448"/>
      <c r="AF52" s="1448"/>
      <c r="AG52" s="1448"/>
      <c r="AH52" s="1448"/>
      <c r="AI52" s="1448"/>
      <c r="AJ52" s="1448"/>
      <c r="AK52" s="1448"/>
      <c r="AL52" s="1448"/>
      <c r="AM52" s="1448"/>
      <c r="AN52" s="1448"/>
      <c r="AO52" s="1448"/>
      <c r="AP52" s="1448"/>
      <c r="AQ52" s="1448"/>
      <c r="AR52" s="1448"/>
      <c r="AS52" s="1448"/>
      <c r="AU52" s="913"/>
      <c r="AV52" s="913" t="str">
        <f>IF(T52="","",T52)</f>
        <v>Добавить централизованную систему для дифференциации</v>
      </c>
      <c r="AW52" s="913"/>
      <c r="AX52" s="913"/>
      <c r="AY52" s="642">
        <v>0</v>
      </c>
    </row>
    <row s="6698" customFormat="1" customHeight="1" ht="0">
      <c r="A53" s="1467" t="s">
        <v>363</v>
      </c>
      <c r="B53" s="1467"/>
      <c r="C53" s="1467"/>
      <c r="D53" s="1467"/>
      <c r="E53" s="2395"/>
      <c r="F53" s="1467"/>
      <c r="G53" s="1467"/>
      <c r="H53" s="1467"/>
      <c r="I53" s="1467"/>
      <c r="J53" s="1467"/>
      <c r="K53" s="1467"/>
      <c r="L53" s="1470"/>
      <c r="M53" s="1445"/>
      <c r="N53" s="1445"/>
      <c r="O53" s="642"/>
      <c r="P53" s="504"/>
      <c r="Q53" s="1468"/>
      <c r="R53" s="504"/>
      <c r="S53" s="1446"/>
      <c r="T53" s="1449" t="s">
        <v>528</v>
      </c>
      <c r="U53" s="1448"/>
      <c r="V53" s="1448"/>
      <c r="W53" s="1448"/>
      <c r="X53" s="1448"/>
      <c r="Y53" s="1448"/>
      <c r="Z53" s="1448"/>
      <c r="AA53" s="1448"/>
      <c r="AB53" s="1448"/>
      <c r="AC53" s="1448"/>
      <c r="AD53" s="1448"/>
      <c r="AE53" s="1448"/>
      <c r="AF53" s="1448"/>
      <c r="AG53" s="1448"/>
      <c r="AH53" s="1448"/>
      <c r="AI53" s="1448"/>
      <c r="AJ53" s="1448"/>
      <c r="AK53" s="1448"/>
      <c r="AL53" s="1448"/>
      <c r="AM53" s="1448"/>
      <c r="AN53" s="1448"/>
      <c r="AO53" s="1448"/>
      <c r="AP53" s="1448"/>
      <c r="AQ53" s="1448"/>
      <c r="AR53" s="1448"/>
      <c r="AS53" s="1448"/>
      <c r="AU53" s="624"/>
      <c r="AV53" s="624" t="str">
        <f>IF(T53="","",T53)</f>
        <v>Добавить территорию для дифференциации</v>
      </c>
      <c r="AW53" s="624"/>
      <c r="AX53" s="624"/>
      <c r="AY53" s="635">
        <v>0</v>
      </c>
    </row>
    <row s="6698" customFormat="1" customHeight="1" ht="0">
      <c r="A54" s="1438"/>
      <c r="B54" s="1438"/>
      <c r="C54" s="1438"/>
      <c r="D54" s="1438"/>
      <c r="E54" s="1467"/>
      <c r="F54" s="1438"/>
      <c r="G54" s="1438"/>
      <c r="H54" s="1438"/>
      <c r="I54" s="1438"/>
      <c r="J54" s="1438"/>
      <c r="K54" s="1438"/>
      <c r="L54" s="1618"/>
      <c r="M54" s="1445"/>
      <c r="N54" s="1445"/>
      <c r="P54" s="1440"/>
      <c r="Q54" s="1441"/>
      <c r="R54" s="1440"/>
      <c r="S54" s="1446"/>
      <c r="T54" s="1449" t="s">
        <v>560</v>
      </c>
      <c r="U54" s="1448"/>
      <c r="V54" s="1448"/>
      <c r="W54" s="1448"/>
      <c r="X54" s="1448"/>
      <c r="Y54" s="1448"/>
      <c r="Z54" s="1448"/>
      <c r="AA54" s="1448"/>
      <c r="AB54" s="1448"/>
      <c r="AC54" s="1448"/>
      <c r="AD54" s="1448"/>
      <c r="AE54" s="1448"/>
      <c r="AF54" s="1448"/>
      <c r="AG54" s="1448"/>
      <c r="AH54" s="1448"/>
      <c r="AI54" s="1448"/>
      <c r="AJ54" s="1448"/>
      <c r="AK54" s="1448"/>
      <c r="AL54" s="1448"/>
      <c r="AM54" s="1448"/>
      <c r="AN54" s="1448"/>
      <c r="AO54" s="1448"/>
      <c r="AP54" s="1448"/>
      <c r="AQ54" s="1448"/>
      <c r="AR54" s="1448"/>
      <c r="AS54" s="1448"/>
      <c r="AU54" s="913"/>
      <c r="AV54" s="913" t="str">
        <f>IF(T54="","",T54)</f>
        <v>Добавить наименование тарифа</v>
      </c>
      <c r="AW54" s="913"/>
      <c r="AX54" s="913"/>
      <c r="AY54" s="642">
        <v>0</v>
      </c>
    </row>
    <row customHeight="1" ht="11.549999999999999">
      <c r="M55" s="1284"/>
      <c r="N55" s="1284"/>
      <c r="O55" s="661"/>
      <c r="P55" s="1279"/>
      <c r="Q55" s="1279"/>
      <c r="R55" s="1279"/>
      <c r="S55" s="1279"/>
      <c r="AT55" s="1279"/>
      <c r="AU55" s="1279"/>
      <c r="AV55" s="1279"/>
      <c r="AW55" s="1279"/>
      <c r="AX55" s="1279"/>
      <c r="AY55" s="1279">
        <v>11</v>
      </c>
    </row>
    <row customHeight="1" ht="14.699999999999998">
      <c r="O56" s="661"/>
      <c r="S56" s="1377"/>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c r="AS56" s="2422"/>
      <c r="AY56" s="1279">
        <v>14</v>
      </c>
    </row>
    <row customHeight="1" ht="14.699999999999998">
      <c r="O57" s="661"/>
      <c r="AY57" s="1279">
        <v>14</v>
      </c>
    </row>
    <row customHeight="1" ht="14.699999999999998">
      <c r="O58" s="661"/>
      <c r="S58" s="1377"/>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c r="AS58" s="2422"/>
      <c r="AY58" s="1279">
        <v>14</v>
      </c>
    </row>
    <row customHeight="1" ht="22.5" hidden="1">
      <c r="A59" s="1284" t="s">
        <v>82</v>
      </c>
      <c r="B59" s="1284">
        <v>0</v>
      </c>
      <c r="C59" s="1284">
        <v>0</v>
      </c>
      <c r="D59" s="1284">
        <v>0</v>
      </c>
      <c r="E59" s="1284">
        <v>0</v>
      </c>
      <c r="F59" s="1284">
        <v>0</v>
      </c>
      <c r="G59" s="1284">
        <v>0</v>
      </c>
      <c r="H59" s="1284">
        <v>0</v>
      </c>
      <c r="I59" s="1284">
        <v>0</v>
      </c>
      <c r="J59" s="1284">
        <v>0</v>
      </c>
      <c r="K59" s="1284">
        <v>0</v>
      </c>
      <c r="L59" s="1602">
        <v>0</v>
      </c>
      <c r="M59" s="1486">
        <v>0</v>
      </c>
      <c r="N59" s="1486">
        <v>0</v>
      </c>
      <c r="O59" s="1486">
        <v>0</v>
      </c>
      <c r="P59" s="1597">
        <v>3</v>
      </c>
      <c r="Q59" s="468">
        <v>3</v>
      </c>
      <c r="R59" s="468">
        <v>3</v>
      </c>
      <c r="S59" s="705">
        <v>12</v>
      </c>
      <c r="T59" s="1279">
        <v>35</v>
      </c>
      <c r="U59" s="1279">
        <v>0</v>
      </c>
      <c r="V59" s="1279">
        <v>0</v>
      </c>
      <c r="W59" s="1755">
        <v>0</v>
      </c>
      <c r="X59" s="1755">
        <v>0</v>
      </c>
      <c r="Y59" s="1755">
        <v>0</v>
      </c>
      <c r="Z59" s="1755">
        <v>0</v>
      </c>
      <c r="AA59" s="1755">
        <v>0</v>
      </c>
      <c r="AB59" s="1755">
        <v>0</v>
      </c>
      <c r="AC59" s="1279">
        <v>0</v>
      </c>
      <c r="AD59" s="1279">
        <v>0</v>
      </c>
      <c r="AE59" s="1279">
        <v>0</v>
      </c>
      <c r="AF59" s="1279">
        <v>0</v>
      </c>
      <c r="AG59" s="1279">
        <v>19</v>
      </c>
      <c r="AH59" s="1755">
        <v>19</v>
      </c>
      <c r="AI59" s="1755">
        <v>19</v>
      </c>
      <c r="AJ59" s="1755">
        <v>19</v>
      </c>
      <c r="AK59" s="1755">
        <v>19</v>
      </c>
      <c r="AL59" s="1755">
        <v>19</v>
      </c>
      <c r="AM59" s="1279">
        <v>19</v>
      </c>
      <c r="AN59" s="1279">
        <v>11</v>
      </c>
      <c r="AO59" s="1279">
        <v>3</v>
      </c>
      <c r="AP59" s="1279">
        <v>11</v>
      </c>
      <c r="AQ59" s="1279">
        <v>0</v>
      </c>
      <c r="AR59" s="1279">
        <v>4</v>
      </c>
      <c r="AS59" s="1279">
        <v>115</v>
      </c>
      <c r="AT59" s="635">
        <v>10</v>
      </c>
      <c r="AU59" s="635">
        <v>10</v>
      </c>
      <c r="AV59" s="635">
        <v>10</v>
      </c>
      <c r="AW59" s="635">
        <v>10</v>
      </c>
      <c r="AX59" s="635">
        <v>10</v>
      </c>
      <c r="AY59" s="127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E0DDD8-799D-7488-4774-106B06AE6AE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4.140625" hidden="1" customWidth="1"/>
    <col min="10" max="10" style="7158" width="9.8515625" hidden="1" customWidth="1"/>
    <col min="11" max="11" style="7158" width="14.7109375" hidden="1" customWidth="1"/>
    <col min="12" max="12" style="7896" width="19.140625" hidden="1" customWidth="1"/>
    <col min="13" max="14" style="6374" width="12.28125" hidden="1" customWidth="1"/>
    <col min="15" max="15" style="6374" width="23.421875" hidden="1" customWidth="1"/>
    <col min="16" max="16" style="7916" width="3.00390625" customWidth="1"/>
    <col min="17" max="18" style="7183" width="3.00390625" customWidth="1"/>
    <col min="19" max="19" style="7888" width="12.00390625" customWidth="1"/>
    <col min="20" max="20" style="7213" width="35.00390625" customWidth="1"/>
    <col min="21" max="21" style="7213" width="0.140625" customWidth="1"/>
    <col min="22" max="28" style="7213" width="19.7109375" hidden="1" customWidth="1"/>
    <col min="29" max="29" style="7213" width="11.7109375" hidden="1" customWidth="1"/>
    <col min="30" max="30" style="7213" width="3.7109375" hidden="1" customWidth="1"/>
    <col min="31" max="31" style="7213" width="11.7109375" hidden="1" customWidth="1"/>
    <col min="32" max="32" style="7213" width="8.57421875" hidden="1" customWidth="1"/>
    <col min="33" max="33" style="7213" width="19.7109375" customWidth="1"/>
    <col min="34" max="39" style="7213" width="19.00390625" customWidth="1"/>
    <col min="40" max="40" style="7213" width="11.00390625" customWidth="1"/>
    <col min="41" max="41" style="7213" width="3.7109375" customWidth="1"/>
    <col min="42" max="42" style="7213" width="11.00390625" customWidth="1"/>
    <col min="43" max="43" style="7213" width="8.57421875" hidden="1" customWidth="1"/>
    <col min="44" max="44" style="7213" width="4.00390625" customWidth="1"/>
    <col min="45" max="45" style="7213" width="115.00390625" customWidth="1"/>
    <col min="46" max="50" style="6698" width="10.00390625" customWidth="1"/>
    <col min="51" max="51" style="7213" width="10.57421875" hidden="1"/>
  </cols>
  <sheetData>
    <row customHeight="1" ht="22.5" hidden="1">
      <c r="AB1" s="451"/>
      <c r="AC1" s="451"/>
      <c r="AM1" s="451"/>
      <c r="AN1" s="451"/>
      <c r="AY1" s="1279" t="s">
        <v>14</v>
      </c>
    </row>
    <row customHeight="1" ht="23.25" hidden="1">
      <c r="A2" s="1487"/>
      <c r="B2" s="1487"/>
      <c r="C2" s="1487"/>
      <c r="D2" s="1487"/>
      <c r="E2" s="2395">
        <v>1</v>
      </c>
      <c r="F2" s="1487"/>
      <c r="G2" s="1487"/>
      <c r="H2" s="1487"/>
      <c r="I2" s="1487"/>
      <c r="J2" s="1487"/>
      <c r="K2" s="1487"/>
      <c r="L2" s="1488"/>
      <c r="M2" s="1489"/>
      <c r="N2" s="1489"/>
      <c r="O2" s="1489"/>
      <c r="P2" s="485"/>
      <c r="Q2" s="484"/>
      <c r="R2" s="479"/>
      <c r="S2" s="1617">
        <f>INDEX(PT_DIFFERENTIATION_NUM_NTAR,MATCH(A2,PT_DIFFERENTIATION_NTAR_ID,0))</f>
      </c>
      <c r="T2" s="422" t="s">
        <v>243</v>
      </c>
      <c r="U2" s="424"/>
      <c r="V2" s="2379"/>
      <c r="W2" s="2380"/>
      <c r="X2" s="2380"/>
      <c r="Y2" s="2380"/>
      <c r="Z2" s="2380"/>
      <c r="AA2" s="2380"/>
      <c r="AB2" s="2380"/>
      <c r="AC2" s="2380"/>
      <c r="AD2" s="2380"/>
      <c r="AE2" s="2380"/>
      <c r="AF2" s="2381"/>
      <c r="AG2" s="2379">
        <f>INDEX(PT_DIFFERENTIATION_NTAR,MATCH(A2,PT_DIFFERENTIATION_NTAR_ID,0))</f>
      </c>
      <c r="AH2" s="2380"/>
      <c r="AI2" s="2380"/>
      <c r="AJ2" s="2380"/>
      <c r="AK2" s="2380"/>
      <c r="AL2" s="2380"/>
      <c r="AM2" s="2380"/>
      <c r="AN2" s="2380"/>
      <c r="AO2" s="2380"/>
      <c r="AP2" s="2380"/>
      <c r="AQ2" s="2380"/>
      <c r="AR2" s="2381"/>
      <c r="AS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24"/>
      <c r="AV2" s="624" t="str">
        <f>IF(T2="","",T2)</f>
        <v>Наименование тарифа</v>
      </c>
      <c r="AW2" s="624"/>
      <c r="AX2" s="624"/>
      <c r="AY2" s="1279">
        <v>0</v>
      </c>
    </row>
    <row customHeight="1" ht="23.25" hidden="1">
      <c r="A3" s="1487"/>
      <c r="B3" s="1487"/>
      <c r="C3" s="1487"/>
      <c r="D3" s="1487"/>
      <c r="E3" s="2396"/>
      <c r="F3" s="2395">
        <v>1</v>
      </c>
      <c r="G3" s="1487"/>
      <c r="H3" s="1487"/>
      <c r="I3" s="1487"/>
      <c r="J3" s="1487"/>
      <c r="K3" s="1487"/>
      <c r="L3" s="1488"/>
      <c r="M3" s="1489"/>
      <c r="N3" s="1489"/>
      <c r="O3" s="1489"/>
      <c r="P3" s="1611"/>
      <c r="Q3" s="476"/>
      <c r="R3" s="477"/>
      <c r="S3" s="1617">
        <f>INDEX(PT_DIFFERENTIATION_NUM_TER,MATCH(B3,PT_DIFFERENTIATION_TER_ID,0))</f>
      </c>
      <c r="T3" s="432" t="s">
        <v>509</v>
      </c>
      <c r="U3" s="424"/>
      <c r="V3" s="2379"/>
      <c r="W3" s="2380"/>
      <c r="X3" s="2380"/>
      <c r="Y3" s="2380"/>
      <c r="Z3" s="2380"/>
      <c r="AA3" s="2380"/>
      <c r="AB3" s="2380"/>
      <c r="AC3" s="2380"/>
      <c r="AD3" s="2380"/>
      <c r="AE3" s="2380"/>
      <c r="AF3" s="2381"/>
      <c r="AG3" s="2379">
        <f>INDEX(PT_DIFFERENTIATION_TER,MATCH(B3,PT_DIFFERENTIATION_TER_ID,0))</f>
      </c>
      <c r="AH3" s="2380"/>
      <c r="AI3" s="2380"/>
      <c r="AJ3" s="2380"/>
      <c r="AK3" s="2380"/>
      <c r="AL3" s="2380"/>
      <c r="AM3" s="2380"/>
      <c r="AN3" s="2380"/>
      <c r="AO3" s="2380"/>
      <c r="AP3" s="2380"/>
      <c r="AQ3" s="2380"/>
      <c r="AR3" s="2381"/>
      <c r="AS3" s="1382" t="s">
        <v>510</v>
      </c>
      <c r="AU3" s="624"/>
      <c r="AV3" s="624" t="str">
        <f>IF(T3="","",T3)</f>
        <v>Территория действия тарифа</v>
      </c>
      <c r="AW3" s="624"/>
      <c r="AX3" s="624"/>
      <c r="AY3" s="1279">
        <v>0</v>
      </c>
    </row>
    <row customHeight="1" ht="23.25" hidden="1">
      <c r="A4" s="1487"/>
      <c r="B4" s="1487"/>
      <c r="C4" s="1487"/>
      <c r="D4" s="1487"/>
      <c r="E4" s="2396"/>
      <c r="F4" s="2396"/>
      <c r="G4" s="2395">
        <v>1</v>
      </c>
      <c r="H4" s="1487"/>
      <c r="I4" s="1487"/>
      <c r="J4" s="1487"/>
      <c r="K4" s="1487"/>
      <c r="L4" s="1488"/>
      <c r="M4" s="1489"/>
      <c r="N4" s="1489"/>
      <c r="O4" s="1489"/>
      <c r="P4" s="478"/>
      <c r="Q4" s="476"/>
      <c r="R4" s="477"/>
      <c r="S4" s="1617">
        <f>INDEX(PT_DIFFERENTIATION_NUM_CS,MATCH(C4,PT_DIFFERENTIATION_CS_ID,0))</f>
      </c>
      <c r="T4" s="433" t="s">
        <v>642</v>
      </c>
      <c r="U4" s="424"/>
      <c r="V4" s="2379"/>
      <c r="W4" s="2380"/>
      <c r="X4" s="2380"/>
      <c r="Y4" s="2380"/>
      <c r="Z4" s="2380"/>
      <c r="AA4" s="2380"/>
      <c r="AB4" s="2380"/>
      <c r="AC4" s="2380"/>
      <c r="AD4" s="2380"/>
      <c r="AE4" s="2380"/>
      <c r="AF4" s="2381"/>
      <c r="AG4" s="2379">
        <f>INDEX(PT_DIFFERENTIATION_CS,MATCH(C4,PT_DIFFERENTIATION_CS_ID,0))</f>
      </c>
      <c r="AH4" s="2380"/>
      <c r="AI4" s="2380"/>
      <c r="AJ4" s="2380"/>
      <c r="AK4" s="2380"/>
      <c r="AL4" s="2380"/>
      <c r="AM4" s="2380"/>
      <c r="AN4" s="2380"/>
      <c r="AO4" s="2380"/>
      <c r="AP4" s="2380"/>
      <c r="AQ4" s="2380"/>
      <c r="AR4" s="2381"/>
      <c r="AS4" s="1382" t="s">
        <v>643</v>
      </c>
      <c r="AU4" s="624"/>
      <c r="AV4" s="624" t="str">
        <f>IF(T4="","",T4)</f>
        <v>Наименование централизованной системы горячего водоснабжения</v>
      </c>
      <c r="AW4" s="624"/>
      <c r="AX4" s="624"/>
      <c r="AY4" s="1279">
        <v>0</v>
      </c>
    </row>
    <row customHeight="1" ht="23.25" hidden="1">
      <c r="A5" s="1487"/>
      <c r="B5" s="1487"/>
      <c r="C5" s="1487"/>
      <c r="D5" s="1487"/>
      <c r="E5" s="2396"/>
      <c r="F5" s="2396"/>
      <c r="G5" s="2396"/>
      <c r="H5" s="2396"/>
      <c r="I5" s="2393">
        <f>S4&amp;".1"</f>
      </c>
      <c r="J5" s="1487"/>
      <c r="K5" s="1487"/>
      <c r="L5" s="1488"/>
      <c r="P5" s="2394">
        <v>1</v>
      </c>
      <c r="Q5" s="1605"/>
      <c r="R5" s="480"/>
      <c r="S5" s="1617">
        <f>$I5</f>
      </c>
      <c r="T5" s="409" t="s">
        <v>595</v>
      </c>
      <c r="U5" s="424"/>
      <c r="V5" s="2487"/>
      <c r="W5" s="2488"/>
      <c r="X5" s="2488"/>
      <c r="Y5" s="2488"/>
      <c r="Z5" s="2488"/>
      <c r="AA5" s="2488"/>
      <c r="AB5" s="2488"/>
      <c r="AC5" s="2488"/>
      <c r="AD5" s="2488"/>
      <c r="AE5" s="2488"/>
      <c r="AF5" s="2489"/>
      <c r="AG5" s="2490"/>
      <c r="AH5" s="2491"/>
      <c r="AI5" s="2491"/>
      <c r="AJ5" s="2491"/>
      <c r="AK5" s="2491"/>
      <c r="AL5" s="2491"/>
      <c r="AM5" s="2491"/>
      <c r="AN5" s="2491"/>
      <c r="AO5" s="2491"/>
      <c r="AP5" s="2491"/>
      <c r="AQ5" s="2491"/>
      <c r="AR5" s="2492"/>
      <c r="AS5" s="1382" t="s">
        <v>596</v>
      </c>
      <c r="AU5" s="624"/>
      <c r="AV5" s="624" t="str">
        <f>IF(T5="","",T5)</f>
        <v>Наименование признака дифференциации</v>
      </c>
      <c r="AW5" s="624"/>
      <c r="AX5" s="624"/>
      <c r="AY5" s="1279">
        <v>0</v>
      </c>
    </row>
    <row customHeight="1" ht="23.25" hidden="1">
      <c r="A6" s="1487"/>
      <c r="B6" s="1487"/>
      <c r="C6" s="1487"/>
      <c r="D6" s="1487"/>
      <c r="E6" s="2396"/>
      <c r="F6" s="2396"/>
      <c r="G6" s="2396"/>
      <c r="H6" s="2396"/>
      <c r="I6" s="2423"/>
      <c r="J6" s="2393">
        <f>I5&amp;".1"</f>
      </c>
      <c r="K6" s="1487"/>
      <c r="L6" s="1488" t="s">
        <v>518</v>
      </c>
      <c r="P6" s="2394"/>
      <c r="Q6" s="2394">
        <v>1</v>
      </c>
      <c r="R6" s="481"/>
      <c r="S6" s="1617">
        <f>$J6</f>
      </c>
      <c r="T6" s="410" t="s">
        <v>519</v>
      </c>
      <c r="U6" s="424"/>
      <c r="V6" s="2382"/>
      <c r="W6" s="2383"/>
      <c r="X6" s="2383"/>
      <c r="Y6" s="2383"/>
      <c r="Z6" s="2383"/>
      <c r="AA6" s="2383"/>
      <c r="AB6" s="2383"/>
      <c r="AC6" s="2383"/>
      <c r="AD6" s="2383"/>
      <c r="AE6" s="2383"/>
      <c r="AF6" s="2384"/>
      <c r="AG6" s="2382"/>
      <c r="AH6" s="2383"/>
      <c r="AI6" s="2383"/>
      <c r="AJ6" s="2383"/>
      <c r="AK6" s="2383"/>
      <c r="AL6" s="2383"/>
      <c r="AM6" s="2383"/>
      <c r="AN6" s="2383"/>
      <c r="AO6" s="2383"/>
      <c r="AP6" s="2383"/>
      <c r="AQ6" s="2383"/>
      <c r="AR6" s="2384"/>
      <c r="AS6" s="1431" t="s">
        <v>597</v>
      </c>
      <c r="AU6" s="624"/>
      <c r="AV6" s="624" t="str">
        <f>IF(T6="","",T6)</f>
        <v>Группа потребителей</v>
      </c>
      <c r="AW6" s="624"/>
      <c r="AX6" s="624"/>
      <c r="AY6" s="1279">
        <v>0</v>
      </c>
    </row>
    <row customHeight="1" ht="23.25" hidden="1">
      <c r="A7" s="1487"/>
      <c r="B7" s="1487"/>
      <c r="C7" s="1487"/>
      <c r="D7" s="1487"/>
      <c r="E7" s="2396"/>
      <c r="F7" s="2396"/>
      <c r="G7" s="2396"/>
      <c r="H7" s="2396"/>
      <c r="I7" s="2423"/>
      <c r="J7" s="2423"/>
      <c r="K7" s="2393">
        <f>J6&amp;".1"</f>
      </c>
      <c r="L7" s="1488"/>
      <c r="P7" s="2394"/>
      <c r="Q7" s="2394"/>
      <c r="R7" s="481">
        <v>1</v>
      </c>
      <c r="S7" s="1617">
        <f>$K7</f>
      </c>
      <c r="T7" s="1561"/>
      <c r="U7" s="424"/>
      <c r="V7" s="875"/>
      <c r="W7" s="875"/>
      <c r="X7" s="875"/>
      <c r="Y7" s="875"/>
      <c r="Z7" s="875"/>
      <c r="AA7" s="875"/>
      <c r="AB7" s="1381"/>
      <c r="AC7" s="2402"/>
      <c r="AD7" s="2244" t="s">
        <v>62</v>
      </c>
      <c r="AE7" s="2402"/>
      <c r="AF7" s="2244" t="s">
        <v>62</v>
      </c>
      <c r="AG7" s="875"/>
      <c r="AH7" s="875"/>
      <c r="AI7" s="875"/>
      <c r="AJ7" s="875"/>
      <c r="AK7" s="875"/>
      <c r="AL7" s="875"/>
      <c r="AM7" s="1381"/>
      <c r="AN7" s="2402"/>
      <c r="AO7" s="2244" t="s">
        <v>62</v>
      </c>
      <c r="AP7" s="2424"/>
      <c r="AQ7" s="2244" t="s">
        <v>62</v>
      </c>
      <c r="AR7" s="1562"/>
      <c r="AS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35">
        <f>STRCHECKDATE(V8:AR8)</f>
      </c>
      <c r="AU7" s="624"/>
      <c r="AV7" s="624" t="str">
        <f>IF(T7="","",T7)</f>
        <v/>
      </c>
      <c r="AW7" s="624"/>
      <c r="AX7" s="624"/>
      <c r="AY7" s="1279">
        <v>0</v>
      </c>
    </row>
    <row customHeight="1" ht="14.25" hidden="1">
      <c r="A8" s="1487"/>
      <c r="B8" s="1487"/>
      <c r="C8" s="1487"/>
      <c r="D8" s="1487"/>
      <c r="E8" s="2396"/>
      <c r="F8" s="2396"/>
      <c r="G8" s="2396"/>
      <c r="H8" s="2396"/>
      <c r="I8" s="2423"/>
      <c r="J8" s="2423"/>
      <c r="K8" s="2393"/>
      <c r="L8" s="1488"/>
      <c r="P8" s="2394"/>
      <c r="Q8" s="2394"/>
      <c r="R8" s="481"/>
      <c r="S8" s="1614"/>
      <c r="T8" s="424"/>
      <c r="U8" s="424"/>
      <c r="V8" s="449"/>
      <c r="W8" s="449"/>
      <c r="X8" s="449"/>
      <c r="Y8" s="449"/>
      <c r="Z8" s="449"/>
      <c r="AA8" s="449"/>
      <c r="AB8" s="452" t="str">
        <f>AC7&amp;"-"&amp;AE7</f>
        <v>-</v>
      </c>
      <c r="AC8" s="2403"/>
      <c r="AD8" s="2244"/>
      <c r="AE8" s="2403"/>
      <c r="AF8" s="2244"/>
      <c r="AG8" s="449"/>
      <c r="AH8" s="449"/>
      <c r="AI8" s="449"/>
      <c r="AJ8" s="449"/>
      <c r="AK8" s="449"/>
      <c r="AL8" s="449"/>
      <c r="AM8" s="452" t="str">
        <f>AN7&amp;"-"&amp;AP7</f>
        <v>-</v>
      </c>
      <c r="AN8" s="2403"/>
      <c r="AO8" s="2244"/>
      <c r="AP8" s="2425"/>
      <c r="AQ8" s="2244"/>
      <c r="AR8" s="1563"/>
      <c r="AS8" s="2486"/>
      <c r="AU8" s="624"/>
      <c r="AV8" s="624" t="str">
        <f>IF(T8="","",T8)</f>
        <v/>
      </c>
      <c r="AW8" s="624"/>
      <c r="AX8" s="624"/>
      <c r="AY8" s="1279">
        <v>0</v>
      </c>
    </row>
    <row customHeight="1" ht="21" hidden="1">
      <c r="A9" s="1487"/>
      <c r="B9" s="1487"/>
      <c r="C9" s="1487"/>
      <c r="D9" s="1487"/>
      <c r="E9" s="2396"/>
      <c r="F9" s="2396"/>
      <c r="G9" s="2396"/>
      <c r="H9" s="2396"/>
      <c r="I9" s="2423"/>
      <c r="J9" s="2393"/>
      <c r="K9" s="1487"/>
      <c r="L9" s="1488"/>
      <c r="P9" s="2394"/>
      <c r="Q9" s="2394"/>
      <c r="R9" s="480"/>
      <c r="S9" s="1402"/>
      <c r="T9" s="411" t="s">
        <v>598</v>
      </c>
      <c r="U9" s="491"/>
      <c r="V9" s="491"/>
      <c r="W9" s="724"/>
      <c r="X9" s="724"/>
      <c r="Y9" s="724"/>
      <c r="Z9" s="724"/>
      <c r="AA9" s="724"/>
      <c r="AB9" s="491"/>
      <c r="AC9" s="491"/>
      <c r="AD9" s="491"/>
      <c r="AE9" s="491"/>
      <c r="AF9" s="491"/>
      <c r="AG9" s="491"/>
      <c r="AH9" s="724"/>
      <c r="AI9" s="724"/>
      <c r="AJ9" s="724"/>
      <c r="AK9" s="724"/>
      <c r="AL9" s="724"/>
      <c r="AM9" s="491"/>
      <c r="AN9" s="491"/>
      <c r="AO9" s="491"/>
      <c r="AP9" s="491"/>
      <c r="AQ9" s="491"/>
      <c r="AR9" s="491"/>
      <c r="AS9" s="1382" t="s">
        <v>599</v>
      </c>
      <c r="AU9" s="624"/>
      <c r="AV9" s="624" t="str">
        <f>IF(T9="","",T9)</f>
        <v>Добавить значение признака дифференциации</v>
      </c>
      <c r="AW9" s="624"/>
      <c r="AX9" s="624"/>
      <c r="AY9" s="1279">
        <v>0</v>
      </c>
    </row>
    <row customHeight="1" ht="21" hidden="1">
      <c r="A10" s="1487"/>
      <c r="B10" s="1487"/>
      <c r="C10" s="1487"/>
      <c r="D10" s="1487"/>
      <c r="E10" s="2396"/>
      <c r="F10" s="2396"/>
      <c r="G10" s="2396"/>
      <c r="H10" s="2396"/>
      <c r="I10" s="2393"/>
      <c r="J10" s="1487"/>
      <c r="K10" s="1487"/>
      <c r="L10" s="1488"/>
      <c r="P10" s="2394"/>
      <c r="Q10" s="1605"/>
      <c r="R10" s="480"/>
      <c r="S10" s="1402"/>
      <c r="T10" s="489" t="s">
        <v>524</v>
      </c>
      <c r="U10" s="491"/>
      <c r="V10" s="491"/>
      <c r="W10" s="724"/>
      <c r="X10" s="724"/>
      <c r="Y10" s="724"/>
      <c r="Z10" s="724"/>
      <c r="AA10" s="724"/>
      <c r="AB10" s="491"/>
      <c r="AC10" s="491"/>
      <c r="AD10" s="491"/>
      <c r="AE10" s="491"/>
      <c r="AF10" s="490"/>
      <c r="AG10" s="491"/>
      <c r="AH10" s="724"/>
      <c r="AI10" s="724"/>
      <c r="AJ10" s="724"/>
      <c r="AK10" s="724"/>
      <c r="AL10" s="724"/>
      <c r="AM10" s="491"/>
      <c r="AN10" s="491"/>
      <c r="AO10" s="491"/>
      <c r="AP10" s="491"/>
      <c r="AQ10" s="490"/>
      <c r="AR10" s="491"/>
      <c r="AS10" s="1564"/>
      <c r="AU10" s="624"/>
      <c r="AV10" s="624" t="str">
        <f>IF(T10="","",T10)</f>
        <v>Добавить группу потребителей</v>
      </c>
      <c r="AW10" s="624"/>
      <c r="AX10" s="624"/>
      <c r="AY10" s="1279">
        <v>0</v>
      </c>
    </row>
    <row customHeight="1" ht="21" hidden="1">
      <c r="A11" s="1487"/>
      <c r="B11" s="1487"/>
      <c r="C11" s="1487"/>
      <c r="D11" s="1487"/>
      <c r="E11" s="2396"/>
      <c r="F11" s="2396"/>
      <c r="G11" s="2396"/>
      <c r="H11" s="2395"/>
      <c r="I11" s="1487"/>
      <c r="J11" s="1487"/>
      <c r="K11" s="1487"/>
      <c r="L11" s="1488"/>
      <c r="M11" s="1489"/>
      <c r="N11" s="1489"/>
      <c r="O11" s="661"/>
      <c r="P11" s="484"/>
      <c r="Q11" s="499"/>
      <c r="R11" s="479"/>
      <c r="S11" s="1402"/>
      <c r="T11" s="496" t="s">
        <v>600</v>
      </c>
      <c r="U11" s="491"/>
      <c r="V11" s="491"/>
      <c r="W11" s="724"/>
      <c r="X11" s="724"/>
      <c r="Y11" s="724"/>
      <c r="Z11" s="724"/>
      <c r="AA11" s="724"/>
      <c r="AB11" s="491"/>
      <c r="AC11" s="491"/>
      <c r="AD11" s="491"/>
      <c r="AE11" s="491"/>
      <c r="AF11" s="490"/>
      <c r="AG11" s="491"/>
      <c r="AH11" s="724"/>
      <c r="AI11" s="724"/>
      <c r="AJ11" s="724"/>
      <c r="AK11" s="724"/>
      <c r="AL11" s="724"/>
      <c r="AM11" s="491"/>
      <c r="AN11" s="491"/>
      <c r="AO11" s="491"/>
      <c r="AP11" s="491"/>
      <c r="AQ11" s="490"/>
      <c r="AR11" s="491"/>
      <c r="AS11" s="427"/>
      <c r="AU11" s="624"/>
      <c r="AV11" s="624" t="str">
        <f>IF(T11="","",T11)</f>
        <v>Добавить наименование признака дифференциации</v>
      </c>
      <c r="AW11" s="624"/>
      <c r="AX11" s="624"/>
      <c r="AY11" s="1279">
        <v>0</v>
      </c>
    </row>
    <row s="6698" customFormat="1" customHeight="1" ht="14.25" hidden="1">
      <c r="A12" s="1467"/>
      <c r="B12" s="1467"/>
      <c r="C12" s="1438"/>
      <c r="D12" s="1438"/>
      <c r="E12" s="2396"/>
      <c r="F12" s="2395"/>
      <c r="G12" s="1438"/>
      <c r="H12" s="1438"/>
      <c r="I12" s="1438"/>
      <c r="J12" s="1438"/>
      <c r="K12" s="1438"/>
      <c r="L12" s="1618"/>
      <c r="M12" s="1445"/>
      <c r="N12" s="1445"/>
      <c r="P12" s="1440"/>
      <c r="Q12" s="1441"/>
      <c r="R12" s="1440"/>
      <c r="S12" s="1446"/>
      <c r="T12" s="1449" t="s">
        <v>527</v>
      </c>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c r="AU12" s="913"/>
      <c r="AV12" s="913" t="str">
        <f>IF(T12="","",T12)</f>
        <v>Добавить централизованную систему для дифференциации</v>
      </c>
      <c r="AW12" s="913"/>
      <c r="AX12" s="913"/>
      <c r="AY12" s="642">
        <v>0</v>
      </c>
    </row>
    <row s="6698" customFormat="1" customHeight="1" ht="14.25" hidden="1">
      <c r="A13" s="1467"/>
      <c r="B13" s="1467"/>
      <c r="C13" s="1467"/>
      <c r="D13" s="1467"/>
      <c r="E13" s="2395"/>
      <c r="F13" s="1467"/>
      <c r="G13" s="1467"/>
      <c r="H13" s="1467"/>
      <c r="I13" s="1467"/>
      <c r="J13" s="1467"/>
      <c r="K13" s="1467"/>
      <c r="L13" s="1470"/>
      <c r="M13" s="1445"/>
      <c r="N13" s="1445"/>
      <c r="O13" s="642"/>
      <c r="P13" s="504"/>
      <c r="Q13" s="1468"/>
      <c r="R13" s="504"/>
      <c r="S13" s="1446"/>
      <c r="T13" s="1449" t="s">
        <v>528</v>
      </c>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c r="AU13" s="624"/>
      <c r="AV13" s="624" t="str">
        <f>IF(T13="","",T13)</f>
        <v>Добавить территорию для дифференциации</v>
      </c>
      <c r="AW13" s="624"/>
      <c r="AX13" s="624"/>
      <c r="AY13" s="635">
        <v>0</v>
      </c>
    </row>
    <row customHeight="1" ht="14.25" hidden="1">
      <c r="AF14" s="451"/>
      <c r="AQ14" s="451"/>
      <c r="AY14" s="1279">
        <v>0</v>
      </c>
    </row>
    <row customHeight="1" ht="14.25" hidden="1">
      <c r="AG15" s="1484"/>
      <c r="AH15" s="1484"/>
      <c r="AI15" s="1484"/>
      <c r="AJ15" s="1484"/>
      <c r="AK15" s="1484"/>
      <c r="AL15" s="1484"/>
      <c r="AM15" s="1485"/>
      <c r="AN15" s="2404"/>
      <c r="AO15" s="2405" t="s">
        <v>62</v>
      </c>
      <c r="AP15" s="2404"/>
      <c r="AQ15" s="2405" t="s">
        <v>62</v>
      </c>
      <c r="AY15" s="1279">
        <v>0</v>
      </c>
    </row>
    <row customHeight="1" ht="14.25" hidden="1">
      <c r="AG16" s="1484"/>
      <c r="AH16" s="1484"/>
      <c r="AI16" s="1484"/>
      <c r="AJ16" s="1484"/>
      <c r="AK16" s="1484"/>
      <c r="AL16" s="1484"/>
      <c r="AM16" s="452" t="str">
        <f>AN15&amp;"-"&amp;AP15</f>
        <v>-</v>
      </c>
      <c r="AN16" s="2405"/>
      <c r="AO16" s="2405"/>
      <c r="AP16" s="2405"/>
      <c r="AQ16" s="2405"/>
      <c r="AY16" s="1279">
        <v>0</v>
      </c>
    </row>
    <row customHeight="1" ht="14.25" hidden="1">
      <c r="AQ17" s="451"/>
      <c r="AY17" s="1279">
        <v>0</v>
      </c>
    </row>
    <row s="7158" customFormat="1" customHeight="1" ht="22.5" hidden="1">
      <c r="L18" s="1602"/>
      <c r="M18" s="1486"/>
      <c r="N18" s="1486"/>
      <c r="O18" s="1491" t="s">
        <v>529</v>
      </c>
      <c r="P18" s="1486"/>
      <c r="Q18" s="1495"/>
      <c r="R18" s="1495"/>
      <c r="S18" s="853"/>
      <c r="W18" s="1490"/>
      <c r="X18" s="1490"/>
      <c r="Y18" s="1490"/>
      <c r="Z18" s="1490"/>
      <c r="AA18" s="1490"/>
      <c r="AC18" s="1491"/>
      <c r="AE18" s="1491"/>
      <c r="AF18" s="1490"/>
      <c r="AH18" s="1490"/>
      <c r="AI18" s="1490"/>
      <c r="AJ18" s="1490"/>
      <c r="AK18" s="1490"/>
      <c r="AL18" s="1490"/>
      <c r="AN18" s="1491"/>
      <c r="AP18" s="1491"/>
      <c r="AQ18" s="1490"/>
      <c r="AT18" s="635"/>
      <c r="AU18" s="635"/>
      <c r="AV18" s="635"/>
      <c r="AW18" s="635"/>
      <c r="AX18" s="635"/>
      <c r="AY18" s="1284">
        <v>0</v>
      </c>
    </row>
    <row s="7158" customFormat="1" customHeight="1" ht="14.25" hidden="1">
      <c r="L19" s="1602"/>
      <c r="M19" s="1486"/>
      <c r="N19" s="1486"/>
      <c r="O19" s="1486"/>
      <c r="P19" s="1486"/>
      <c r="Q19" s="1495"/>
      <c r="R19" s="1495"/>
      <c r="S19" s="853"/>
      <c r="W19" s="1490"/>
      <c r="X19" s="1490"/>
      <c r="Y19" s="1490"/>
      <c r="Z19" s="1490"/>
      <c r="AA19" s="1490"/>
      <c r="AF19" s="1490"/>
      <c r="AH19" s="1490"/>
      <c r="AI19" s="1490"/>
      <c r="AJ19" s="1490"/>
      <c r="AK19" s="1490"/>
      <c r="AL19" s="1490"/>
      <c r="AQ19" s="1490"/>
      <c r="AT19" s="635"/>
      <c r="AU19" s="635"/>
      <c r="AV19" s="635"/>
      <c r="AW19" s="635"/>
      <c r="AX19" s="635"/>
      <c r="AY19" s="1284">
        <v>0</v>
      </c>
    </row>
    <row s="7158" customFormat="1" customHeight="1" ht="12" hidden="1">
      <c r="L20" s="1602"/>
      <c r="M20" s="1486"/>
      <c r="N20" s="1486"/>
      <c r="O20" s="1488" t="s">
        <v>530</v>
      </c>
      <c r="P20" s="1486"/>
      <c r="Q20" s="1566"/>
      <c r="R20" s="1566"/>
      <c r="S20" s="853"/>
      <c r="T20" s="1284" t="s">
        <v>531</v>
      </c>
      <c r="W20" s="1490"/>
      <c r="X20" s="1490"/>
      <c r="Y20" s="1490"/>
      <c r="Z20" s="1490"/>
      <c r="AA20" s="1490"/>
      <c r="AD20" s="310" t="s">
        <v>532</v>
      </c>
      <c r="AF20" s="310" t="s">
        <v>533</v>
      </c>
      <c r="AG20" s="1284" t="s">
        <v>531</v>
      </c>
      <c r="AH20" s="1490"/>
      <c r="AI20" s="1490"/>
      <c r="AJ20" s="1490"/>
      <c r="AK20" s="1490"/>
      <c r="AL20" s="1490"/>
      <c r="AO20" s="310" t="s">
        <v>534</v>
      </c>
      <c r="AQ20" s="310" t="s">
        <v>533</v>
      </c>
      <c r="AY20" s="1284">
        <v>0</v>
      </c>
    </row>
    <row customHeight="1" ht="14.25" hidden="1">
      <c r="O21" s="1488"/>
      <c r="AY21" s="1279">
        <v>0</v>
      </c>
    </row>
    <row customHeight="1" ht="14.25" hidden="1">
      <c r="O22" s="1488"/>
      <c r="AY22" s="1279">
        <v>0</v>
      </c>
    </row>
    <row customHeight="1" ht="14.699999999999998">
      <c r="Q23" s="500"/>
      <c r="R23" s="500"/>
      <c r="S23" s="1399"/>
      <c r="T23" s="487"/>
      <c r="U23" s="487"/>
      <c r="V23" s="633"/>
      <c r="W23" s="1759"/>
      <c r="X23" s="1759"/>
      <c r="Y23" s="1759"/>
      <c r="Z23" s="1759"/>
      <c r="AA23" s="1759"/>
      <c r="AB23" s="633"/>
      <c r="AC23" s="633"/>
      <c r="AD23" s="633"/>
      <c r="AE23" s="633"/>
      <c r="AF23" s="633"/>
      <c r="AG23" s="633"/>
      <c r="AH23" s="1759"/>
      <c r="AI23" s="1759"/>
      <c r="AJ23" s="1759"/>
      <c r="AK23" s="1759"/>
      <c r="AL23" s="1759"/>
      <c r="AM23" s="633"/>
      <c r="AN23" s="633"/>
      <c r="AO23" s="633"/>
      <c r="AP23" s="633"/>
      <c r="AQ23" s="633"/>
      <c r="AY23" s="1279">
        <v>14</v>
      </c>
    </row>
    <row customHeight="1" ht="26.25">
      <c r="Q24" s="500"/>
      <c r="R24" s="500"/>
      <c r="S24" s="238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1367"/>
      <c r="AY24" s="1279">
        <v>25</v>
      </c>
    </row>
    <row customHeight="1" ht="14.699999999999998">
      <c r="Q25" s="500"/>
      <c r="R25" s="500"/>
      <c r="S25" s="2386" t="str">
        <f>IF(org=0,"Не определено",org)</f>
        <v>ООО "СамРЭК-Эксплуатация"</v>
      </c>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1367"/>
      <c r="AY25" s="1279">
        <v>14</v>
      </c>
    </row>
    <row customHeight="1" ht="14.25" hidden="1">
      <c r="Q26" s="500"/>
      <c r="R26" s="500"/>
      <c r="S26" s="1399"/>
      <c r="T26" s="487"/>
      <c r="U26" s="487"/>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633"/>
      <c r="AY26" s="1279">
        <v>0</v>
      </c>
    </row>
    <row s="7787" customFormat="1" customHeight="1" ht="25.5" hidden="1">
      <c r="A27" s="1492"/>
      <c r="B27" s="1492"/>
      <c r="C27" s="1492"/>
      <c r="D27" s="1492"/>
      <c r="E27" s="1492"/>
      <c r="F27" s="1492"/>
      <c r="G27" s="1492"/>
      <c r="H27" s="1492"/>
      <c r="I27" s="1492"/>
      <c r="J27" s="1492"/>
      <c r="K27" s="1492"/>
      <c r="L27" s="1493"/>
      <c r="M27" s="1492"/>
      <c r="N27" s="1492"/>
      <c r="O27" s="1492"/>
      <c r="S27" s="2387" t="s">
        <v>41</v>
      </c>
      <c r="T27" s="2387"/>
      <c r="U27" s="1496"/>
      <c r="V27" s="2388" t="str">
        <f>IF(TITLE_NAME_OR_PR_CHANGE="",IF(TITLE_NAME_OR_PR="","",TITLE_NAME_OR_PR),TITLE_NAME_OR_PR_CHANGE)</f>
        <v/>
      </c>
      <c r="W27" s="2388"/>
      <c r="X27" s="2388"/>
      <c r="Y27" s="2388"/>
      <c r="Z27" s="2388"/>
      <c r="AA27" s="2388"/>
      <c r="AB27" s="2388"/>
      <c r="AC27" s="2388"/>
      <c r="AD27" s="2388"/>
      <c r="AE27" s="2388"/>
      <c r="AF27" s="450"/>
      <c r="AG27" s="2388" t="str">
        <f>IF(TITLE_NAME_OR_PR_CHANGE="",IF(TITLE_NAME_OR_PR="","",TITLE_NAME_OR_PR),TITLE_NAME_OR_PR_CHANGE)</f>
        <v/>
      </c>
      <c r="AH27" s="2388"/>
      <c r="AI27" s="2388"/>
      <c r="AJ27" s="2388"/>
      <c r="AK27" s="2388"/>
      <c r="AL27" s="2388"/>
      <c r="AM27" s="2388"/>
      <c r="AN27" s="2388"/>
      <c r="AO27" s="2388"/>
      <c r="AP27" s="2388"/>
      <c r="AQ27" s="450"/>
      <c r="AR27" s="450"/>
      <c r="AS27" s="404"/>
      <c r="AT27" s="492"/>
      <c r="AU27" s="492"/>
      <c r="AV27" s="492"/>
      <c r="AW27" s="492"/>
      <c r="AX27" s="492"/>
      <c r="AY27" s="542">
        <v>0</v>
      </c>
    </row>
    <row s="7787" customFormat="1" customHeight="1" ht="18.75" hidden="1">
      <c r="A28" s="1492"/>
      <c r="B28" s="1492"/>
      <c r="C28" s="1492"/>
      <c r="D28" s="1492"/>
      <c r="E28" s="1492"/>
      <c r="F28" s="1492"/>
      <c r="G28" s="1492"/>
      <c r="H28" s="1492"/>
      <c r="I28" s="1492"/>
      <c r="J28" s="1492"/>
      <c r="K28" s="1492"/>
      <c r="L28" s="1493"/>
      <c r="M28" s="1492"/>
      <c r="N28" s="1492"/>
      <c r="O28" s="1492"/>
      <c r="S28" s="2387" t="s">
        <v>535</v>
      </c>
      <c r="T28" s="2387"/>
      <c r="U28" s="1496"/>
      <c r="V28" s="2401" t="str">
        <f>IF(TITLE_DATE_PR_CHANGE="",IF(TITLE_DATE_PR="","",TITLE_DATE_PR),TITLE_DATE_PR_CHANGE)</f>
        <v/>
      </c>
      <c r="W28" s="2401"/>
      <c r="X28" s="2401"/>
      <c r="Y28" s="2401"/>
      <c r="Z28" s="2401"/>
      <c r="AA28" s="2401"/>
      <c r="AB28" s="2401"/>
      <c r="AC28" s="2401"/>
      <c r="AD28" s="2401"/>
      <c r="AE28" s="2401"/>
      <c r="AF28" s="450"/>
      <c r="AG28" s="2401" t="str">
        <f>IF(TITLE_DATE_PR_CHANGE="",IF(TITLE_DATE_PR="","",TITLE_DATE_PR),TITLE_DATE_PR_CHANGE)</f>
        <v/>
      </c>
      <c r="AH28" s="2401"/>
      <c r="AI28" s="2401"/>
      <c r="AJ28" s="2401"/>
      <c r="AK28" s="2401"/>
      <c r="AL28" s="2401"/>
      <c r="AM28" s="2401"/>
      <c r="AN28" s="2401"/>
      <c r="AO28" s="2401"/>
      <c r="AP28" s="2401"/>
      <c r="AQ28" s="450"/>
      <c r="AR28" s="450"/>
      <c r="AS28" s="404"/>
      <c r="AT28" s="492"/>
      <c r="AU28" s="492"/>
      <c r="AV28" s="492"/>
      <c r="AW28" s="492"/>
      <c r="AX28" s="492"/>
      <c r="AY28" s="542">
        <v>0</v>
      </c>
    </row>
    <row s="7787" customFormat="1" customHeight="1" ht="18.75" hidden="1">
      <c r="A29" s="1492"/>
      <c r="B29" s="1492"/>
      <c r="C29" s="1492"/>
      <c r="D29" s="1492"/>
      <c r="E29" s="1492"/>
      <c r="F29" s="1492"/>
      <c r="G29" s="1492"/>
      <c r="H29" s="1492"/>
      <c r="I29" s="1492"/>
      <c r="J29" s="1492"/>
      <c r="K29" s="1492"/>
      <c r="L29" s="1493"/>
      <c r="M29" s="1492"/>
      <c r="N29" s="1492"/>
      <c r="O29" s="1492"/>
      <c r="S29" s="2387" t="s">
        <v>536</v>
      </c>
      <c r="T29" s="2387"/>
      <c r="U29" s="1496"/>
      <c r="V29" s="2388" t="str">
        <f>IF(TITLE_NUMBER_PR_CHANGE="",IF(TITLE_NUMBER_PR="","",TITLE_NUMBER_PR),TITLE_NUMBER_PR_CHANGE)</f>
        <v/>
      </c>
      <c r="W29" s="2388"/>
      <c r="X29" s="2388"/>
      <c r="Y29" s="2388"/>
      <c r="Z29" s="2388"/>
      <c r="AA29" s="2388"/>
      <c r="AB29" s="2388"/>
      <c r="AC29" s="2388"/>
      <c r="AD29" s="2388"/>
      <c r="AE29" s="2388"/>
      <c r="AF29" s="450"/>
      <c r="AG29" s="2388" t="str">
        <f>IF(TITLE_NUMBER_PR_CHANGE="",IF(TITLE_NUMBER_PR="","",TITLE_NUMBER_PR),TITLE_NUMBER_PR_CHANGE)</f>
        <v/>
      </c>
      <c r="AH29" s="2388"/>
      <c r="AI29" s="2388"/>
      <c r="AJ29" s="2388"/>
      <c r="AK29" s="2388"/>
      <c r="AL29" s="2388"/>
      <c r="AM29" s="2388"/>
      <c r="AN29" s="2388"/>
      <c r="AO29" s="2388"/>
      <c r="AP29" s="2388"/>
      <c r="AQ29" s="450"/>
      <c r="AR29" s="450"/>
      <c r="AS29" s="404"/>
      <c r="AT29" s="492"/>
      <c r="AU29" s="492"/>
      <c r="AV29" s="492"/>
      <c r="AW29" s="492"/>
      <c r="AX29" s="492"/>
      <c r="AY29" s="542">
        <v>0</v>
      </c>
    </row>
    <row s="7787" customFormat="1" customHeight="1" ht="18.75" hidden="1">
      <c r="A30" s="1492"/>
      <c r="B30" s="1492"/>
      <c r="C30" s="1492"/>
      <c r="D30" s="1492"/>
      <c r="E30" s="1492"/>
      <c r="F30" s="1492"/>
      <c r="G30" s="1492"/>
      <c r="H30" s="1492"/>
      <c r="I30" s="1492"/>
      <c r="J30" s="1492"/>
      <c r="K30" s="1492"/>
      <c r="L30" s="1493"/>
      <c r="M30" s="1492"/>
      <c r="N30" s="1492"/>
      <c r="O30" s="1492"/>
      <c r="S30" s="2387" t="s">
        <v>42</v>
      </c>
      <c r="T30" s="2387"/>
      <c r="U30" s="1496"/>
      <c r="V30" s="2388" t="str">
        <f>IF(TITLE_IST_PUB_CHANGE="",IF(TITLE_IST_PUB="","",TITLE_IST_PUB),TITLE_IST_PUB_CHANGE)</f>
        <v/>
      </c>
      <c r="W30" s="2388"/>
      <c r="X30" s="2388"/>
      <c r="Y30" s="2388"/>
      <c r="Z30" s="2388"/>
      <c r="AA30" s="2388"/>
      <c r="AB30" s="2388"/>
      <c r="AC30" s="2388"/>
      <c r="AD30" s="2388"/>
      <c r="AE30" s="2388"/>
      <c r="AF30" s="450"/>
      <c r="AG30" s="2388" t="str">
        <f>IF(TITLE_IST_PUB_CHANGE="",IF(TITLE_IST_PUB="","",TITLE_IST_PUB),TITLE_IST_PUB_CHANGE)</f>
        <v/>
      </c>
      <c r="AH30" s="2388"/>
      <c r="AI30" s="2388"/>
      <c r="AJ30" s="2388"/>
      <c r="AK30" s="2388"/>
      <c r="AL30" s="2388"/>
      <c r="AM30" s="2388"/>
      <c r="AN30" s="2388"/>
      <c r="AO30" s="2388"/>
      <c r="AP30" s="2388"/>
      <c r="AQ30" s="450"/>
      <c r="AR30" s="450"/>
      <c r="AS30" s="404"/>
      <c r="AT30" s="492"/>
      <c r="AU30" s="492"/>
      <c r="AV30" s="492"/>
      <c r="AW30" s="492"/>
      <c r="AX30" s="492"/>
      <c r="AY30" s="542">
        <v>0</v>
      </c>
    </row>
    <row customHeight="1" ht="14.25" hidden="1">
      <c r="Q31" s="500"/>
      <c r="R31" s="500"/>
      <c r="S31" s="1399"/>
      <c r="T31" s="487"/>
      <c r="U31" s="487"/>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633"/>
      <c r="AY31" s="1279">
        <v>0</v>
      </c>
    </row>
    <row s="7787" customFormat="1" customHeight="1" ht="18.75" hidden="1">
      <c r="A32" s="1492"/>
      <c r="B32" s="1492"/>
      <c r="C32" s="1492"/>
      <c r="D32" s="1492"/>
      <c r="E32" s="1492"/>
      <c r="F32" s="1492"/>
      <c r="G32" s="1492"/>
      <c r="H32" s="1492"/>
      <c r="I32" s="1492"/>
      <c r="J32" s="1492"/>
      <c r="K32" s="1492"/>
      <c r="L32" s="1493"/>
      <c r="M32" s="1492"/>
      <c r="N32" s="1492"/>
      <c r="O32" s="1492"/>
      <c r="S32" s="2387" t="s">
        <v>537</v>
      </c>
      <c r="T32" s="2387"/>
      <c r="U32" s="1496"/>
      <c r="V32" s="2401" t="str">
        <f>IF(TITLE_DATE_PR_CHANGE="",IF(TITLE_DATE_PR="","",TITLE_DATE_PR),TITLE_DATE_PR_CHANGE)</f>
        <v/>
      </c>
      <c r="W32" s="2401"/>
      <c r="X32" s="2401"/>
      <c r="Y32" s="2401"/>
      <c r="Z32" s="2401"/>
      <c r="AA32" s="2401"/>
      <c r="AB32" s="2401"/>
      <c r="AC32" s="2401"/>
      <c r="AD32" s="2401"/>
      <c r="AE32" s="2401"/>
      <c r="AF32" s="450"/>
      <c r="AG32" s="2401" t="str">
        <f>IF(TITLE_DATE_PR_CHANGE="",IF(TITLE_DATE_PR="","",TITLE_DATE_PR),TITLE_DATE_PR_CHANGE)</f>
        <v/>
      </c>
      <c r="AH32" s="2401"/>
      <c r="AI32" s="2401"/>
      <c r="AJ32" s="2401"/>
      <c r="AK32" s="2401"/>
      <c r="AL32" s="2401"/>
      <c r="AM32" s="2401"/>
      <c r="AN32" s="2401"/>
      <c r="AO32" s="2401"/>
      <c r="AP32" s="2401"/>
      <c r="AQ32" s="450"/>
      <c r="AR32" s="450"/>
      <c r="AS32" s="404"/>
      <c r="AT32" s="492"/>
      <c r="AU32" s="492"/>
      <c r="AV32" s="492"/>
      <c r="AW32" s="492"/>
      <c r="AX32" s="492"/>
      <c r="AY32" s="542">
        <v>0</v>
      </c>
    </row>
    <row s="7787" customFormat="1" customHeight="1" ht="18.75" hidden="1">
      <c r="A33" s="1492"/>
      <c r="B33" s="1492"/>
      <c r="C33" s="1492"/>
      <c r="D33" s="1492"/>
      <c r="E33" s="1492"/>
      <c r="F33" s="1492"/>
      <c r="G33" s="1492"/>
      <c r="H33" s="1492"/>
      <c r="I33" s="1492"/>
      <c r="J33" s="1492"/>
      <c r="K33" s="1492"/>
      <c r="L33" s="1493"/>
      <c r="M33" s="1492"/>
      <c r="N33" s="1492"/>
      <c r="O33" s="1492"/>
      <c r="S33" s="2387" t="s">
        <v>538</v>
      </c>
      <c r="T33" s="2387"/>
      <c r="U33" s="1496"/>
      <c r="V33" s="2388" t="str">
        <f>IF(TITLE_NUMBER_PR_CHANGE="",IF(TITLE_NUMBER_PR="","",TITLE_NUMBER_PR),TITLE_NUMBER_PR_CHANGE)</f>
        <v/>
      </c>
      <c r="W33" s="2388"/>
      <c r="X33" s="2388"/>
      <c r="Y33" s="2388"/>
      <c r="Z33" s="2388"/>
      <c r="AA33" s="2388"/>
      <c r="AB33" s="2388"/>
      <c r="AC33" s="2388"/>
      <c r="AD33" s="2388"/>
      <c r="AE33" s="2388"/>
      <c r="AF33" s="450"/>
      <c r="AG33" s="2388" t="str">
        <f>IF(TITLE_NUMBER_PR_CHANGE="",IF(TITLE_NUMBER_PR="","",TITLE_NUMBER_PR),TITLE_NUMBER_PR_CHANGE)</f>
        <v/>
      </c>
      <c r="AH33" s="2388"/>
      <c r="AI33" s="2388"/>
      <c r="AJ33" s="2388"/>
      <c r="AK33" s="2388"/>
      <c r="AL33" s="2388"/>
      <c r="AM33" s="2388"/>
      <c r="AN33" s="2388"/>
      <c r="AO33" s="2388"/>
      <c r="AP33" s="2388"/>
      <c r="AQ33" s="450"/>
      <c r="AR33" s="450"/>
      <c r="AS33" s="404"/>
      <c r="AT33" s="492"/>
      <c r="AU33" s="492"/>
      <c r="AV33" s="492"/>
      <c r="AW33" s="492"/>
      <c r="AX33" s="492"/>
      <c r="AY33" s="542">
        <v>0</v>
      </c>
    </row>
    <row s="7787" customFormat="1" customHeight="1" ht="1.05">
      <c r="A34" s="1492"/>
      <c r="B34" s="1492"/>
      <c r="C34" s="1492"/>
      <c r="D34" s="1492"/>
      <c r="E34" s="1492"/>
      <c r="F34" s="1492"/>
      <c r="G34" s="1492"/>
      <c r="H34" s="1492"/>
      <c r="I34" s="1492"/>
      <c r="J34" s="1492"/>
      <c r="K34" s="1492"/>
      <c r="L34" s="1493"/>
      <c r="M34" s="1492"/>
      <c r="N34" s="1492"/>
      <c r="O34" s="1492"/>
      <c r="S34" s="447"/>
      <c r="T34" s="447"/>
      <c r="U34" s="1612"/>
      <c r="V34" s="450"/>
      <c r="W34" s="1759"/>
      <c r="X34" s="1759"/>
      <c r="Y34" s="1759"/>
      <c r="Z34" s="1759"/>
      <c r="AA34" s="1759"/>
      <c r="AB34" s="450"/>
      <c r="AC34" s="450"/>
      <c r="AD34" s="450"/>
      <c r="AE34" s="450"/>
      <c r="AF34" s="402" t="s">
        <v>539</v>
      </c>
      <c r="AG34" s="450"/>
      <c r="AH34" s="1759"/>
      <c r="AI34" s="1759"/>
      <c r="AJ34" s="1759"/>
      <c r="AK34" s="1759"/>
      <c r="AL34" s="1759"/>
      <c r="AM34" s="450"/>
      <c r="AN34" s="450"/>
      <c r="AO34" s="450"/>
      <c r="AP34" s="450"/>
      <c r="AQ34" s="402" t="s">
        <v>539</v>
      </c>
      <c r="AT34" s="492"/>
      <c r="AU34" s="492"/>
      <c r="AV34" s="492"/>
      <c r="AW34" s="492"/>
      <c r="AX34" s="492"/>
      <c r="AY34" s="542">
        <v>1</v>
      </c>
    </row>
    <row customHeight="1" ht="14.699999999999998">
      <c r="Q35" s="500"/>
      <c r="R35" s="500"/>
      <c r="S35" s="1399"/>
      <c r="T35" s="487"/>
      <c r="U35" s="1368"/>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Y35" s="1279">
        <v>14</v>
      </c>
    </row>
    <row customHeight="1" ht="14.699999999999998">
      <c r="Q36" s="500"/>
      <c r="R36" s="500"/>
      <c r="S36" s="2264" t="s">
        <v>412</v>
      </c>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c r="AS36" s="2264" t="s">
        <v>413</v>
      </c>
      <c r="AY36" s="1279">
        <v>14</v>
      </c>
    </row>
    <row customHeight="1" ht="14.699999999999998">
      <c r="Q37" s="500"/>
      <c r="R37" s="500"/>
      <c r="S37" s="2410" t="s">
        <v>88</v>
      </c>
      <c r="T37" s="2346" t="s">
        <v>540</v>
      </c>
      <c r="U37" s="425"/>
      <c r="V37" s="2411" t="s">
        <v>541</v>
      </c>
      <c r="W37" s="2412"/>
      <c r="X37" s="2412"/>
      <c r="Y37" s="2412"/>
      <c r="Z37" s="2412"/>
      <c r="AA37" s="2412"/>
      <c r="AB37" s="2412"/>
      <c r="AC37" s="2412"/>
      <c r="AD37" s="2412"/>
      <c r="AE37" s="2413"/>
      <c r="AF37" s="2414" t="s">
        <v>542</v>
      </c>
      <c r="AG37" s="2411" t="s">
        <v>541</v>
      </c>
      <c r="AH37" s="2412"/>
      <c r="AI37" s="2412"/>
      <c r="AJ37" s="2412"/>
      <c r="AK37" s="2412"/>
      <c r="AL37" s="2412"/>
      <c r="AM37" s="2412"/>
      <c r="AN37" s="2412"/>
      <c r="AO37" s="2412"/>
      <c r="AP37" s="2413"/>
      <c r="AQ37" s="2414" t="s">
        <v>543</v>
      </c>
      <c r="AR37" s="2417" t="s">
        <v>544</v>
      </c>
      <c r="AS37" s="2264"/>
      <c r="AY37" s="1279">
        <v>14</v>
      </c>
    </row>
    <row s="7213" customFormat="1" customHeight="1" ht="19.95">
      <c r="A38" s="1490"/>
      <c r="B38" s="1490"/>
      <c r="C38" s="1490"/>
      <c r="D38" s="1490"/>
      <c r="E38" s="1490"/>
      <c r="F38" s="1490"/>
      <c r="G38" s="1490"/>
      <c r="H38" s="1490"/>
      <c r="I38" s="1490"/>
      <c r="J38" s="1490"/>
      <c r="K38" s="1490"/>
      <c r="L38" s="2101"/>
      <c r="M38" s="1486"/>
      <c r="N38" s="1486"/>
      <c r="O38" s="1486"/>
      <c r="P38" s="2102"/>
      <c r="Q38" s="500"/>
      <c r="R38" s="500"/>
      <c r="S38" s="2410"/>
      <c r="T38" s="2346"/>
      <c r="U38" s="1155"/>
      <c r="V38" s="2503" t="s">
        <v>644</v>
      </c>
      <c r="W38" s="2502" t="s">
        <v>645</v>
      </c>
      <c r="X38" s="2502"/>
      <c r="Y38" s="2502"/>
      <c r="Z38" s="2502" t="s">
        <v>646</v>
      </c>
      <c r="AA38" s="2502"/>
      <c r="AB38" s="2502"/>
      <c r="AC38" s="2431" t="s">
        <v>548</v>
      </c>
      <c r="AD38" s="2450"/>
      <c r="AE38" s="2451"/>
      <c r="AF38" s="2415"/>
      <c r="AG38" s="2503" t="s">
        <v>644</v>
      </c>
      <c r="AH38" s="2502" t="s">
        <v>645</v>
      </c>
      <c r="AI38" s="2502"/>
      <c r="AJ38" s="2502"/>
      <c r="AK38" s="2502" t="s">
        <v>646</v>
      </c>
      <c r="AL38" s="2502"/>
      <c r="AM38" s="2502"/>
      <c r="AN38" s="2431" t="s">
        <v>548</v>
      </c>
      <c r="AO38" s="2450"/>
      <c r="AP38" s="2451"/>
      <c r="AQ38" s="2415"/>
      <c r="AR38" s="2418"/>
      <c r="AS38" s="2264"/>
      <c r="AT38" s="1760"/>
      <c r="AU38" s="1760"/>
      <c r="AV38" s="1760"/>
      <c r="AW38" s="1760"/>
      <c r="AX38" s="1760"/>
      <c r="AY38" s="1755">
        <v>19</v>
      </c>
    </row>
    <row customHeight="1" ht="19.95">
      <c r="Q39" s="500"/>
      <c r="R39" s="500"/>
      <c r="S39" s="2410"/>
      <c r="T39" s="2346"/>
      <c r="U39" s="1155"/>
      <c r="V39" s="2503"/>
      <c r="W39" s="2502" t="s">
        <v>647</v>
      </c>
      <c r="X39" s="2502" t="s">
        <v>648</v>
      </c>
      <c r="Y39" s="2502"/>
      <c r="Z39" s="2502" t="s">
        <v>649</v>
      </c>
      <c r="AA39" s="2502" t="s">
        <v>648</v>
      </c>
      <c r="AB39" s="2502"/>
      <c r="AC39" s="2432"/>
      <c r="AD39" s="2452"/>
      <c r="AE39" s="2453"/>
      <c r="AF39" s="2415"/>
      <c r="AG39" s="2503"/>
      <c r="AH39" s="2502" t="s">
        <v>647</v>
      </c>
      <c r="AI39" s="2502" t="s">
        <v>648</v>
      </c>
      <c r="AJ39" s="2502"/>
      <c r="AK39" s="2502" t="s">
        <v>649</v>
      </c>
      <c r="AL39" s="2502" t="s">
        <v>648</v>
      </c>
      <c r="AM39" s="2502"/>
      <c r="AN39" s="2432"/>
      <c r="AO39" s="2452"/>
      <c r="AP39" s="2453"/>
      <c r="AQ39" s="2415"/>
      <c r="AR39" s="2418"/>
      <c r="AS39" s="2264"/>
      <c r="AY39" s="1279">
        <v>19</v>
      </c>
    </row>
    <row customHeight="1" ht="61.949999999999996">
      <c r="A40" s="1494"/>
      <c r="B40" s="1494" t="s">
        <v>255</v>
      </c>
      <c r="C40" s="1494" t="s">
        <v>256</v>
      </c>
      <c r="D40" s="1494" t="s">
        <v>257</v>
      </c>
      <c r="E40" s="1488" t="s">
        <v>549</v>
      </c>
      <c r="F40" s="1488" t="s">
        <v>550</v>
      </c>
      <c r="G40" s="1488" t="s">
        <v>551</v>
      </c>
      <c r="H40" s="1488"/>
      <c r="I40" s="1488" t="s">
        <v>602</v>
      </c>
      <c r="J40" s="1488" t="s">
        <v>554</v>
      </c>
      <c r="K40" s="1488" t="s">
        <v>603</v>
      </c>
      <c r="L40" s="1488" t="s">
        <v>530</v>
      </c>
      <c r="Q40" s="500"/>
      <c r="R40" s="500"/>
      <c r="S40" s="2410"/>
      <c r="T40" s="2346"/>
      <c r="U40" s="426"/>
      <c r="V40" s="2503"/>
      <c r="W40" s="2502"/>
      <c r="X40" s="2104" t="s">
        <v>650</v>
      </c>
      <c r="Y40" s="2104" t="s">
        <v>651</v>
      </c>
      <c r="Z40" s="2502"/>
      <c r="AA40" s="2104" t="s">
        <v>652</v>
      </c>
      <c r="AB40" s="2104" t="s">
        <v>653</v>
      </c>
      <c r="AC40" s="1613" t="s">
        <v>558</v>
      </c>
      <c r="AD40" s="2407" t="s">
        <v>559</v>
      </c>
      <c r="AE40" s="2408"/>
      <c r="AF40" s="2416"/>
      <c r="AG40" s="2503"/>
      <c r="AH40" s="2502"/>
      <c r="AI40" s="2104" t="s">
        <v>650</v>
      </c>
      <c r="AJ40" s="2104" t="s">
        <v>651</v>
      </c>
      <c r="AK40" s="2502"/>
      <c r="AL40" s="2104" t="s">
        <v>652</v>
      </c>
      <c r="AM40" s="2104" t="s">
        <v>653</v>
      </c>
      <c r="AN40" s="1613" t="s">
        <v>558</v>
      </c>
      <c r="AO40" s="2407" t="s">
        <v>559</v>
      </c>
      <c r="AP40" s="2408"/>
      <c r="AQ40" s="2416"/>
      <c r="AR40" s="2419"/>
      <c r="AS40" s="2264"/>
      <c r="AY40" s="1279">
        <v>59</v>
      </c>
    </row>
    <row s="6292" customFormat="1" customHeight="1" ht="11.25" hidden="1">
      <c r="A41" s="1494"/>
      <c r="B41" s="1494"/>
      <c r="C41" s="1494"/>
      <c r="D41" s="1494"/>
      <c r="E41" s="1494"/>
      <c r="F41" s="1494"/>
      <c r="G41" s="1494"/>
      <c r="H41" s="1494"/>
      <c r="I41" s="1494"/>
      <c r="J41" s="1494"/>
      <c r="K41" s="1494"/>
      <c r="L41" s="1488"/>
      <c r="M41" s="1486"/>
      <c r="N41" s="1486"/>
      <c r="O41" s="1486"/>
      <c r="P41" s="1370"/>
      <c r="Q41" s="1371"/>
      <c r="R41" s="1378">
        <v>1</v>
      </c>
      <c r="S41" s="1401" t="s">
        <v>210</v>
      </c>
      <c r="T41" s="1379" t="s">
        <v>102</v>
      </c>
      <c r="U41" s="1369" t="str">
        <f>OFFSET(U41,0,-1)</f>
        <v>2</v>
      </c>
      <c r="V41" s="1606">
        <f>OFFSET(V41,0,-1)+1</f>
        <v>3</v>
      </c>
      <c r="W41" s="2100"/>
      <c r="X41" s="2100"/>
      <c r="Y41" s="2100"/>
      <c r="Z41" s="2100"/>
      <c r="AA41" s="2100"/>
      <c r="AB41" s="1606">
        <f>OFFSET(AB41,0,-1)+1</f>
        <v>1</v>
      </c>
      <c r="AC41" s="1606">
        <f>OFFSET(AC41,0,-1)+1</f>
        <v>2</v>
      </c>
      <c r="AD41" s="2409">
        <f>OFFSET(AD41,0,-1)+1</f>
        <v>3</v>
      </c>
      <c r="AE41" s="2409"/>
      <c r="AF41" s="1606">
        <f>OFFSET(AF41,0,-2)+1</f>
        <v>4</v>
      </c>
      <c r="AG41" s="1606">
        <f>OFFSET(AG41,0,-1)+1</f>
        <v>5</v>
      </c>
      <c r="AH41" s="2100"/>
      <c r="AI41" s="2100"/>
      <c r="AJ41" s="2100"/>
      <c r="AK41" s="2100"/>
      <c r="AL41" s="2100"/>
      <c r="AM41" s="1606">
        <f>OFFSET(AM41,0,-1)+1</f>
        <v>1</v>
      </c>
      <c r="AN41" s="1606">
        <f>OFFSET(AN41,0,-1)+1</f>
        <v>2</v>
      </c>
      <c r="AO41" s="2409">
        <f>OFFSET(AO41,0,-1)+1</f>
        <v>3</v>
      </c>
      <c r="AP41" s="2409"/>
      <c r="AQ41" s="1606">
        <f>OFFSET(AQ41,0,-2)+1</f>
        <v>4</v>
      </c>
      <c r="AR41" s="1369">
        <f>OFFSET(AR41,0,-1)</f>
        <v>4</v>
      </c>
      <c r="AS41" s="1606">
        <f>OFFSET(AS41,0,-1)+1</f>
        <v>5</v>
      </c>
      <c r="AT41" s="635"/>
      <c r="AU41" s="635"/>
      <c r="AV41" s="635"/>
      <c r="AW41" s="635"/>
      <c r="AX41" s="635"/>
      <c r="AY41" s="620">
        <v>0</v>
      </c>
    </row>
    <row customHeight="1" ht="24">
      <c r="A42" s="1487" t="s">
        <v>368</v>
      </c>
      <c r="B42" s="1487"/>
      <c r="C42" s="1487"/>
      <c r="D42" s="1487"/>
      <c r="E42" s="2395">
        <v>1</v>
      </c>
      <c r="F42" s="1487"/>
      <c r="G42" s="1487"/>
      <c r="H42" s="1487"/>
      <c r="I42" s="1487"/>
      <c r="J42" s="1487"/>
      <c r="K42" s="1487"/>
      <c r="L42" s="1488"/>
      <c r="M42" s="1489"/>
      <c r="N42" s="1489"/>
      <c r="O42" s="1489"/>
      <c r="P42" s="485"/>
      <c r="Q42" s="484"/>
      <c r="R42" s="479"/>
      <c r="S42" s="1617">
        <f>INDEX(PT_DIFFERENTIATION_NUM_NTAR,MATCH(A42,PT_DIFFERENTIATION_NTAR_ID,0))</f>
        <v>0</v>
      </c>
      <c r="T42" s="422" t="s">
        <v>243</v>
      </c>
      <c r="U42" s="424"/>
      <c r="V42" s="2379"/>
      <c r="W42" s="2380"/>
      <c r="X42" s="2380"/>
      <c r="Y42" s="2380"/>
      <c r="Z42" s="2380"/>
      <c r="AA42" s="2380"/>
      <c r="AB42" s="2380"/>
      <c r="AC42" s="2380"/>
      <c r="AD42" s="2380"/>
      <c r="AE42" s="2380"/>
      <c r="AF42" s="2381"/>
      <c r="AG42" s="2379" t="str">
        <f>INDEX(PT_DIFFERENTIATION_NTAR,MATCH(A42,PT_DIFFERENTIATION_NTAR_ID,0))</f>
        <v/>
      </c>
      <c r="AH42" s="2380"/>
      <c r="AI42" s="2380"/>
      <c r="AJ42" s="2380"/>
      <c r="AK42" s="2380"/>
      <c r="AL42" s="2380"/>
      <c r="AM42" s="2380"/>
      <c r="AN42" s="2380"/>
      <c r="AO42" s="2380"/>
      <c r="AP42" s="2380"/>
      <c r="AQ42" s="2380"/>
      <c r="AR42" s="2381"/>
      <c r="AS4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24"/>
      <c r="AV42" s="624" t="str">
        <f>IF(T42="","",T42)</f>
        <v>Наименование тарифа</v>
      </c>
      <c r="AW42" s="624"/>
      <c r="AX42" s="624"/>
      <c r="AY42" s="1279">
        <v>23</v>
      </c>
    </row>
    <row customHeight="1" ht="24">
      <c r="A43" s="1487" t="s">
        <v>368</v>
      </c>
      <c r="B43" s="1487" t="s">
        <v>369</v>
      </c>
      <c r="C43" s="1487"/>
      <c r="D43" s="1487"/>
      <c r="E43" s="2396"/>
      <c r="F43" s="2395">
        <v>1</v>
      </c>
      <c r="G43" s="1487"/>
      <c r="H43" s="1487"/>
      <c r="I43" s="1487"/>
      <c r="J43" s="1487"/>
      <c r="K43" s="1487"/>
      <c r="L43" s="1488"/>
      <c r="M43" s="1489"/>
      <c r="N43" s="1489"/>
      <c r="O43" s="1489"/>
      <c r="P43" s="1611"/>
      <c r="Q43" s="476"/>
      <c r="R43" s="477"/>
      <c r="S43" s="1617" t="str">
        <f>INDEX(PT_DIFFERENTIATION_NUM_TER,MATCH(B43,PT_DIFFERENTIATION_TER_ID,0))</f>
        <v>.</v>
      </c>
      <c r="T43" s="432" t="s">
        <v>509</v>
      </c>
      <c r="U43" s="424"/>
      <c r="V43" s="2379"/>
      <c r="W43" s="2380"/>
      <c r="X43" s="2380"/>
      <c r="Y43" s="2380"/>
      <c r="Z43" s="2380"/>
      <c r="AA43" s="2380"/>
      <c r="AB43" s="2380"/>
      <c r="AC43" s="2380"/>
      <c r="AD43" s="2380"/>
      <c r="AE43" s="2380"/>
      <c r="AF43" s="2381"/>
      <c r="AG43" s="2379" t="str">
        <f>INDEX(PT_DIFFERENTIATION_TER,MATCH(B43,PT_DIFFERENTIATION_TER_ID,0))</f>
        <v/>
      </c>
      <c r="AH43" s="2380"/>
      <c r="AI43" s="2380"/>
      <c r="AJ43" s="2380"/>
      <c r="AK43" s="2380"/>
      <c r="AL43" s="2380"/>
      <c r="AM43" s="2380"/>
      <c r="AN43" s="2380"/>
      <c r="AO43" s="2380"/>
      <c r="AP43" s="2380"/>
      <c r="AQ43" s="2380"/>
      <c r="AR43" s="2381"/>
      <c r="AS43" s="1382" t="s">
        <v>510</v>
      </c>
      <c r="AU43" s="624"/>
      <c r="AV43" s="624" t="str">
        <f>IF(T43="","",T43)</f>
        <v>Территория действия тарифа</v>
      </c>
      <c r="AW43" s="624"/>
      <c r="AX43" s="624"/>
      <c r="AY43" s="1279">
        <v>23</v>
      </c>
    </row>
    <row customHeight="1" ht="24">
      <c r="A44" s="1487" t="s">
        <v>368</v>
      </c>
      <c r="B44" s="1487" t="s">
        <v>369</v>
      </c>
      <c r="C44" s="1487" t="s">
        <v>370</v>
      </c>
      <c r="D44" s="1487"/>
      <c r="E44" s="2396"/>
      <c r="F44" s="2396"/>
      <c r="G44" s="2395">
        <v>1</v>
      </c>
      <c r="H44" s="1487"/>
      <c r="I44" s="1487"/>
      <c r="J44" s="1487"/>
      <c r="K44" s="1487"/>
      <c r="L44" s="1488"/>
      <c r="M44" s="1489"/>
      <c r="N44" s="1489"/>
      <c r="O44" s="1489"/>
      <c r="P44" s="478"/>
      <c r="Q44" s="476"/>
      <c r="R44" s="477"/>
      <c r="S44" s="1617" t="str">
        <f>INDEX(PT_DIFFERENTIATION_NUM_CS,MATCH(C44,PT_DIFFERENTIATION_CS_ID,0))</f>
        <v>..</v>
      </c>
      <c r="T44" s="433" t="s">
        <v>642</v>
      </c>
      <c r="U44" s="424"/>
      <c r="V44" s="2379"/>
      <c r="W44" s="2380"/>
      <c r="X44" s="2380"/>
      <c r="Y44" s="2380"/>
      <c r="Z44" s="2380"/>
      <c r="AA44" s="2380"/>
      <c r="AB44" s="2380"/>
      <c r="AC44" s="2380"/>
      <c r="AD44" s="2380"/>
      <c r="AE44" s="2380"/>
      <c r="AF44" s="2381"/>
      <c r="AG44" s="2379" t="str">
        <f>INDEX(PT_DIFFERENTIATION_CS,MATCH(C44,PT_DIFFERENTIATION_CS_ID,0))</f>
        <v/>
      </c>
      <c r="AH44" s="2380"/>
      <c r="AI44" s="2380"/>
      <c r="AJ44" s="2380"/>
      <c r="AK44" s="2380"/>
      <c r="AL44" s="2380"/>
      <c r="AM44" s="2380"/>
      <c r="AN44" s="2380"/>
      <c r="AO44" s="2380"/>
      <c r="AP44" s="2380"/>
      <c r="AQ44" s="2380"/>
      <c r="AR44" s="2381"/>
      <c r="AS44" s="1382" t="s">
        <v>643</v>
      </c>
      <c r="AU44" s="624"/>
      <c r="AV44" s="624" t="str">
        <f>IF(T44="","",T44)</f>
        <v>Наименование централизованной системы горячего водоснабжения</v>
      </c>
      <c r="AW44" s="624"/>
      <c r="AX44" s="624"/>
      <c r="AY44" s="1279">
        <v>23</v>
      </c>
    </row>
    <row customHeight="1" ht="24">
      <c r="A45" s="1487" t="s">
        <v>368</v>
      </c>
      <c r="B45" s="1487" t="s">
        <v>369</v>
      </c>
      <c r="C45" s="1487" t="s">
        <v>370</v>
      </c>
      <c r="D45" s="1487" t="s">
        <v>655</v>
      </c>
      <c r="E45" s="2396"/>
      <c r="F45" s="2396"/>
      <c r="G45" s="2396"/>
      <c r="H45" s="2396"/>
      <c r="I45" s="2393" t="str">
        <f>S44&amp;".1"</f>
        <v>...1</v>
      </c>
      <c r="J45" s="1487"/>
      <c r="K45" s="1487"/>
      <c r="L45" s="1488"/>
      <c r="P45" s="2394">
        <v>1</v>
      </c>
      <c r="Q45" s="1605"/>
      <c r="R45" s="480"/>
      <c r="S45" s="1617" t="str">
        <f>$I45</f>
        <v>...1</v>
      </c>
      <c r="T45" s="409" t="s">
        <v>595</v>
      </c>
      <c r="U45" s="424"/>
      <c r="V45" s="2487"/>
      <c r="W45" s="2488"/>
      <c r="X45" s="2488"/>
      <c r="Y45" s="2488"/>
      <c r="Z45" s="2488"/>
      <c r="AA45" s="2488"/>
      <c r="AB45" s="2488"/>
      <c r="AC45" s="2488"/>
      <c r="AD45" s="2488"/>
      <c r="AE45" s="2488"/>
      <c r="AF45" s="2489"/>
      <c r="AG45" s="2490"/>
      <c r="AH45" s="2491"/>
      <c r="AI45" s="2491"/>
      <c r="AJ45" s="2491"/>
      <c r="AK45" s="2491"/>
      <c r="AL45" s="2491"/>
      <c r="AM45" s="2491"/>
      <c r="AN45" s="2491"/>
      <c r="AO45" s="2491"/>
      <c r="AP45" s="2491"/>
      <c r="AQ45" s="2491"/>
      <c r="AR45" s="2492"/>
      <c r="AS45" s="1382" t="s">
        <v>596</v>
      </c>
      <c r="AU45" s="624"/>
      <c r="AV45" s="624" t="str">
        <f>IF(T45="","",T45)</f>
        <v>Наименование признака дифференциации</v>
      </c>
      <c r="AW45" s="624"/>
      <c r="AX45" s="624"/>
      <c r="AY45" s="1279">
        <v>23</v>
      </c>
    </row>
    <row customHeight="1" ht="24">
      <c r="A46" s="1487" t="s">
        <v>368</v>
      </c>
      <c r="B46" s="1487" t="s">
        <v>369</v>
      </c>
      <c r="C46" s="1487" t="s">
        <v>370</v>
      </c>
      <c r="D46" s="1487" t="s">
        <v>655</v>
      </c>
      <c r="E46" s="2396"/>
      <c r="F46" s="2396"/>
      <c r="G46" s="2396"/>
      <c r="H46" s="2396"/>
      <c r="I46" s="2423"/>
      <c r="J46" s="2393" t="str">
        <f>I45&amp;".1"</f>
        <v>...1.1</v>
      </c>
      <c r="K46" s="1487"/>
      <c r="L46" s="1488" t="s">
        <v>518</v>
      </c>
      <c r="P46" s="2394"/>
      <c r="Q46" s="2394">
        <v>1</v>
      </c>
      <c r="R46" s="481"/>
      <c r="S46" s="1617" t="str">
        <f>$J46</f>
        <v>...1.1</v>
      </c>
      <c r="T46" s="410" t="s">
        <v>519</v>
      </c>
      <c r="U46" s="424"/>
      <c r="V46" s="2382"/>
      <c r="W46" s="2383"/>
      <c r="X46" s="2383"/>
      <c r="Y46" s="2383"/>
      <c r="Z46" s="2383"/>
      <c r="AA46" s="2383"/>
      <c r="AB46" s="2383"/>
      <c r="AC46" s="2383"/>
      <c r="AD46" s="2383"/>
      <c r="AE46" s="2383"/>
      <c r="AF46" s="2384"/>
      <c r="AG46" s="2382"/>
      <c r="AH46" s="2383"/>
      <c r="AI46" s="2383"/>
      <c r="AJ46" s="2383"/>
      <c r="AK46" s="2383"/>
      <c r="AL46" s="2383"/>
      <c r="AM46" s="2383"/>
      <c r="AN46" s="2383"/>
      <c r="AO46" s="2383"/>
      <c r="AP46" s="2383"/>
      <c r="AQ46" s="2383"/>
      <c r="AR46" s="2384"/>
      <c r="AS46" s="1431" t="s">
        <v>597</v>
      </c>
      <c r="AU46" s="624"/>
      <c r="AV46" s="624" t="str">
        <f>IF(T46="","",T46)</f>
        <v>Группа потребителей</v>
      </c>
      <c r="AW46" s="624"/>
      <c r="AX46" s="624"/>
      <c r="AY46" s="1279">
        <v>23</v>
      </c>
    </row>
    <row customHeight="1" ht="24">
      <c r="A47" s="1487" t="s">
        <v>368</v>
      </c>
      <c r="B47" s="1487" t="s">
        <v>369</v>
      </c>
      <c r="C47" s="1487" t="s">
        <v>370</v>
      </c>
      <c r="D47" s="1487" t="s">
        <v>655</v>
      </c>
      <c r="E47" s="2396"/>
      <c r="F47" s="2396"/>
      <c r="G47" s="2396"/>
      <c r="H47" s="2396"/>
      <c r="I47" s="2423"/>
      <c r="J47" s="2423"/>
      <c r="K47" s="2393" t="str">
        <f>J46&amp;".1"</f>
        <v>...1.1.1</v>
      </c>
      <c r="L47" s="1488"/>
      <c r="P47" s="2394"/>
      <c r="Q47" s="2394"/>
      <c r="R47" s="481">
        <v>1</v>
      </c>
      <c r="S47" s="1617" t="str">
        <f>$K47</f>
        <v>...1.1.1</v>
      </c>
      <c r="T47" s="1561"/>
      <c r="U47" s="424"/>
      <c r="V47" s="1484"/>
      <c r="W47" s="1484"/>
      <c r="X47" s="1484"/>
      <c r="Y47" s="1484"/>
      <c r="Z47" s="1484"/>
      <c r="AA47" s="1484"/>
      <c r="AB47" s="1485"/>
      <c r="AC47" s="2404"/>
      <c r="AD47" s="2405" t="s">
        <v>62</v>
      </c>
      <c r="AE47" s="2404"/>
      <c r="AF47" s="2405" t="s">
        <v>62</v>
      </c>
      <c r="AG47" s="875"/>
      <c r="AH47" s="875"/>
      <c r="AI47" s="875"/>
      <c r="AJ47" s="875"/>
      <c r="AK47" s="875"/>
      <c r="AL47" s="875"/>
      <c r="AM47" s="1381"/>
      <c r="AN47" s="2402"/>
      <c r="AO47" s="2244" t="s">
        <v>62</v>
      </c>
      <c r="AP47" s="2424"/>
      <c r="AQ47" s="2244" t="s">
        <v>19</v>
      </c>
      <c r="AR47" s="1562"/>
      <c r="AS47" s="2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35">
        <f>STRCHECKDATE(V48:AR48)</f>
      </c>
      <c r="AU47" s="624"/>
      <c r="AV47" s="624" t="str">
        <f>IF(T47="","",T47)</f>
        <v/>
      </c>
      <c r="AW47" s="624"/>
      <c r="AX47" s="624"/>
      <c r="AY47" s="1279">
        <v>23</v>
      </c>
    </row>
    <row customHeight="1" ht="0">
      <c r="A48" s="1487" t="s">
        <v>368</v>
      </c>
      <c r="B48" s="1487" t="s">
        <v>369</v>
      </c>
      <c r="C48" s="1487" t="s">
        <v>370</v>
      </c>
      <c r="D48" s="1487" t="s">
        <v>655</v>
      </c>
      <c r="E48" s="2396"/>
      <c r="F48" s="2396"/>
      <c r="G48" s="2396"/>
      <c r="H48" s="2396"/>
      <c r="I48" s="2423"/>
      <c r="J48" s="2423"/>
      <c r="K48" s="2393"/>
      <c r="L48" s="1488"/>
      <c r="P48" s="2394"/>
      <c r="Q48" s="2394"/>
      <c r="R48" s="481"/>
      <c r="S48" s="1614"/>
      <c r="T48" s="424"/>
      <c r="U48" s="424"/>
      <c r="V48" s="1484"/>
      <c r="W48" s="1484"/>
      <c r="X48" s="1484"/>
      <c r="Y48" s="1484"/>
      <c r="Z48" s="1484"/>
      <c r="AA48" s="1484"/>
      <c r="AB48" s="452" t="str">
        <f>AC47&amp;"-"&amp;AE47</f>
        <v>-</v>
      </c>
      <c r="AC48" s="2405"/>
      <c r="AD48" s="2405"/>
      <c r="AE48" s="2405"/>
      <c r="AF48" s="2405"/>
      <c r="AG48" s="449"/>
      <c r="AH48" s="449"/>
      <c r="AI48" s="449"/>
      <c r="AJ48" s="449"/>
      <c r="AK48" s="449"/>
      <c r="AL48" s="449"/>
      <c r="AM48" s="452" t="str">
        <f>AN47&amp;"-"&amp;AP47</f>
        <v>-</v>
      </c>
      <c r="AN48" s="2403"/>
      <c r="AO48" s="2244"/>
      <c r="AP48" s="2425"/>
      <c r="AQ48" s="2244"/>
      <c r="AR48" s="1563"/>
      <c r="AS48" s="2486"/>
      <c r="AU48" s="624"/>
      <c r="AV48" s="624" t="str">
        <f>IF(T48="","",T48)</f>
        <v/>
      </c>
      <c r="AW48" s="624"/>
      <c r="AX48" s="624"/>
      <c r="AY48" s="1279">
        <v>0</v>
      </c>
    </row>
    <row customHeight="1" ht="21">
      <c r="A49" s="1487" t="s">
        <v>368</v>
      </c>
      <c r="B49" s="1487" t="s">
        <v>369</v>
      </c>
      <c r="C49" s="1487" t="s">
        <v>370</v>
      </c>
      <c r="D49" s="1487" t="s">
        <v>655</v>
      </c>
      <c r="E49" s="2396"/>
      <c r="F49" s="2396"/>
      <c r="G49" s="2396"/>
      <c r="H49" s="2396"/>
      <c r="I49" s="2423"/>
      <c r="J49" s="2393"/>
      <c r="K49" s="1487"/>
      <c r="L49" s="1488"/>
      <c r="P49" s="2394"/>
      <c r="Q49" s="2394"/>
      <c r="R49" s="480"/>
      <c r="S49" s="1402"/>
      <c r="T49" s="411" t="s">
        <v>598</v>
      </c>
      <c r="U49" s="491"/>
      <c r="V49" s="491"/>
      <c r="W49" s="724"/>
      <c r="X49" s="724"/>
      <c r="Y49" s="724"/>
      <c r="Z49" s="724"/>
      <c r="AA49" s="724"/>
      <c r="AB49" s="491"/>
      <c r="AC49" s="491"/>
      <c r="AD49" s="491"/>
      <c r="AE49" s="491"/>
      <c r="AF49" s="491"/>
      <c r="AG49" s="491"/>
      <c r="AH49" s="724"/>
      <c r="AI49" s="724"/>
      <c r="AJ49" s="724"/>
      <c r="AK49" s="724"/>
      <c r="AL49" s="724"/>
      <c r="AM49" s="491"/>
      <c r="AN49" s="491"/>
      <c r="AO49" s="491"/>
      <c r="AP49" s="491"/>
      <c r="AQ49" s="491"/>
      <c r="AR49" s="491"/>
      <c r="AS49" s="1382" t="s">
        <v>599</v>
      </c>
      <c r="AU49" s="624"/>
      <c r="AV49" s="624" t="str">
        <f>IF(T49="","",T49)</f>
        <v>Добавить значение признака дифференциации</v>
      </c>
      <c r="AW49" s="624"/>
      <c r="AX49" s="624"/>
      <c r="AY49" s="1279">
        <v>20</v>
      </c>
    </row>
    <row customHeight="1" ht="22.049999999999997">
      <c r="A50" s="1487" t="s">
        <v>368</v>
      </c>
      <c r="B50" s="1487" t="s">
        <v>369</v>
      </c>
      <c r="C50" s="1487" t="s">
        <v>370</v>
      </c>
      <c r="D50" s="1487" t="s">
        <v>655</v>
      </c>
      <c r="E50" s="2396"/>
      <c r="F50" s="2396"/>
      <c r="G50" s="2396"/>
      <c r="H50" s="2396"/>
      <c r="I50" s="2393"/>
      <c r="J50" s="1487"/>
      <c r="K50" s="1487"/>
      <c r="L50" s="1488"/>
      <c r="P50" s="2394"/>
      <c r="Q50" s="1605"/>
      <c r="R50" s="480"/>
      <c r="S50" s="1402"/>
      <c r="T50" s="489" t="s">
        <v>524</v>
      </c>
      <c r="U50" s="491"/>
      <c r="V50" s="491"/>
      <c r="W50" s="724"/>
      <c r="X50" s="724"/>
      <c r="Y50" s="724"/>
      <c r="Z50" s="724"/>
      <c r="AA50" s="724"/>
      <c r="AB50" s="491"/>
      <c r="AC50" s="491"/>
      <c r="AD50" s="491"/>
      <c r="AE50" s="491"/>
      <c r="AF50" s="490"/>
      <c r="AG50" s="491"/>
      <c r="AH50" s="724"/>
      <c r="AI50" s="724"/>
      <c r="AJ50" s="724"/>
      <c r="AK50" s="724"/>
      <c r="AL50" s="724"/>
      <c r="AM50" s="491"/>
      <c r="AN50" s="491"/>
      <c r="AO50" s="491"/>
      <c r="AP50" s="491"/>
      <c r="AQ50" s="490"/>
      <c r="AR50" s="491"/>
      <c r="AS50" s="1564"/>
      <c r="AU50" s="624"/>
      <c r="AV50" s="624" t="str">
        <f>IF(T50="","",T50)</f>
        <v>Добавить группу потребителей</v>
      </c>
      <c r="AW50" s="624"/>
      <c r="AX50" s="624"/>
      <c r="AY50" s="1279">
        <v>21</v>
      </c>
    </row>
    <row customHeight="1" ht="22.049999999999997">
      <c r="A51" s="1487" t="s">
        <v>368</v>
      </c>
      <c r="B51" s="1487" t="s">
        <v>369</v>
      </c>
      <c r="C51" s="1487" t="s">
        <v>370</v>
      </c>
      <c r="D51" s="1487" t="s">
        <v>655</v>
      </c>
      <c r="E51" s="2396"/>
      <c r="F51" s="2396"/>
      <c r="G51" s="2396"/>
      <c r="H51" s="2395"/>
      <c r="I51" s="1487"/>
      <c r="J51" s="1487"/>
      <c r="K51" s="1487"/>
      <c r="L51" s="1488"/>
      <c r="M51" s="1489"/>
      <c r="N51" s="1489"/>
      <c r="O51" s="661"/>
      <c r="P51" s="484"/>
      <c r="Q51" s="499"/>
      <c r="R51" s="479"/>
      <c r="S51" s="1402"/>
      <c r="T51" s="496" t="s">
        <v>600</v>
      </c>
      <c r="U51" s="491"/>
      <c r="V51" s="491"/>
      <c r="W51" s="724"/>
      <c r="X51" s="724"/>
      <c r="Y51" s="724"/>
      <c r="Z51" s="724"/>
      <c r="AA51" s="724"/>
      <c r="AB51" s="491"/>
      <c r="AC51" s="491"/>
      <c r="AD51" s="491"/>
      <c r="AE51" s="491"/>
      <c r="AF51" s="490"/>
      <c r="AG51" s="491"/>
      <c r="AH51" s="724"/>
      <c r="AI51" s="724"/>
      <c r="AJ51" s="724"/>
      <c r="AK51" s="724"/>
      <c r="AL51" s="724"/>
      <c r="AM51" s="491"/>
      <c r="AN51" s="491"/>
      <c r="AO51" s="491"/>
      <c r="AP51" s="491"/>
      <c r="AQ51" s="490"/>
      <c r="AR51" s="491"/>
      <c r="AS51" s="427"/>
      <c r="AU51" s="624"/>
      <c r="AV51" s="624" t="str">
        <f>IF(T51="","",T51)</f>
        <v>Добавить наименование признака дифференциации</v>
      </c>
      <c r="AW51" s="624"/>
      <c r="AX51" s="624"/>
      <c r="AY51" s="1279">
        <v>21</v>
      </c>
    </row>
    <row s="6698" customFormat="1" customHeight="1" ht="0">
      <c r="A52" s="1467" t="s">
        <v>368</v>
      </c>
      <c r="B52" s="1467" t="s">
        <v>369</v>
      </c>
      <c r="C52" s="1438"/>
      <c r="D52" s="1438"/>
      <c r="E52" s="2396"/>
      <c r="F52" s="2395"/>
      <c r="G52" s="1438"/>
      <c r="H52" s="1438"/>
      <c r="I52" s="1438"/>
      <c r="J52" s="1438"/>
      <c r="K52" s="1438"/>
      <c r="L52" s="1618"/>
      <c r="M52" s="1445"/>
      <c r="N52" s="1445"/>
      <c r="P52" s="1440"/>
      <c r="Q52" s="1441"/>
      <c r="R52" s="1440"/>
      <c r="S52" s="1446"/>
      <c r="T52" s="1449" t="s">
        <v>527</v>
      </c>
      <c r="U52" s="1448"/>
      <c r="V52" s="1448"/>
      <c r="W52" s="1448"/>
      <c r="X52" s="1448"/>
      <c r="Y52" s="1448"/>
      <c r="Z52" s="1448"/>
      <c r="AA52" s="1448"/>
      <c r="AB52" s="1448"/>
      <c r="AC52" s="1448"/>
      <c r="AD52" s="1448"/>
      <c r="AE52" s="1448"/>
      <c r="AF52" s="1448"/>
      <c r="AG52" s="1448"/>
      <c r="AH52" s="1448"/>
      <c r="AI52" s="1448"/>
      <c r="AJ52" s="1448"/>
      <c r="AK52" s="1448"/>
      <c r="AL52" s="1448"/>
      <c r="AM52" s="1448"/>
      <c r="AN52" s="1448"/>
      <c r="AO52" s="1448"/>
      <c r="AP52" s="1448"/>
      <c r="AQ52" s="1448"/>
      <c r="AR52" s="1448"/>
      <c r="AS52" s="1448"/>
      <c r="AU52" s="913"/>
      <c r="AV52" s="913" t="str">
        <f>IF(T52="","",T52)</f>
        <v>Добавить централизованную систему для дифференциации</v>
      </c>
      <c r="AW52" s="913"/>
      <c r="AX52" s="913"/>
      <c r="AY52" s="642">
        <v>0</v>
      </c>
    </row>
    <row s="6698" customFormat="1" customHeight="1" ht="0">
      <c r="A53" s="1467" t="s">
        <v>368</v>
      </c>
      <c r="B53" s="1467"/>
      <c r="C53" s="1467"/>
      <c r="D53" s="1467"/>
      <c r="E53" s="2395"/>
      <c r="F53" s="1467"/>
      <c r="G53" s="1467"/>
      <c r="H53" s="1467"/>
      <c r="I53" s="1467"/>
      <c r="J53" s="1467"/>
      <c r="K53" s="1467"/>
      <c r="L53" s="1470"/>
      <c r="M53" s="1445"/>
      <c r="N53" s="1445"/>
      <c r="O53" s="642"/>
      <c r="P53" s="504"/>
      <c r="Q53" s="1468"/>
      <c r="R53" s="504"/>
      <c r="S53" s="1446"/>
      <c r="T53" s="1449" t="s">
        <v>528</v>
      </c>
      <c r="U53" s="1448"/>
      <c r="V53" s="1448"/>
      <c r="W53" s="1448"/>
      <c r="X53" s="1448"/>
      <c r="Y53" s="1448"/>
      <c r="Z53" s="1448"/>
      <c r="AA53" s="1448"/>
      <c r="AB53" s="1448"/>
      <c r="AC53" s="1448"/>
      <c r="AD53" s="1448"/>
      <c r="AE53" s="1448"/>
      <c r="AF53" s="1448"/>
      <c r="AG53" s="1448"/>
      <c r="AH53" s="1448"/>
      <c r="AI53" s="1448"/>
      <c r="AJ53" s="1448"/>
      <c r="AK53" s="1448"/>
      <c r="AL53" s="1448"/>
      <c r="AM53" s="1448"/>
      <c r="AN53" s="1448"/>
      <c r="AO53" s="1448"/>
      <c r="AP53" s="1448"/>
      <c r="AQ53" s="1448"/>
      <c r="AR53" s="1448"/>
      <c r="AS53" s="1448"/>
      <c r="AU53" s="624"/>
      <c r="AV53" s="624" t="str">
        <f>IF(T53="","",T53)</f>
        <v>Добавить территорию для дифференциации</v>
      </c>
      <c r="AW53" s="624"/>
      <c r="AX53" s="624"/>
      <c r="AY53" s="635">
        <v>0</v>
      </c>
    </row>
    <row s="6698" customFormat="1" customHeight="1" ht="0">
      <c r="A54" s="1438"/>
      <c r="B54" s="1438"/>
      <c r="C54" s="1438"/>
      <c r="D54" s="1438"/>
      <c r="E54" s="1467"/>
      <c r="F54" s="1438"/>
      <c r="G54" s="1438"/>
      <c r="H54" s="1438"/>
      <c r="I54" s="1438"/>
      <c r="J54" s="1438"/>
      <c r="K54" s="1438"/>
      <c r="L54" s="1618"/>
      <c r="M54" s="1445"/>
      <c r="N54" s="1445"/>
      <c r="P54" s="1440"/>
      <c r="Q54" s="1441"/>
      <c r="R54" s="1440"/>
      <c r="S54" s="1446"/>
      <c r="T54" s="1449" t="s">
        <v>560</v>
      </c>
      <c r="U54" s="1448"/>
      <c r="V54" s="1448"/>
      <c r="W54" s="1448"/>
      <c r="X54" s="1448"/>
      <c r="Y54" s="1448"/>
      <c r="Z54" s="1448"/>
      <c r="AA54" s="1448"/>
      <c r="AB54" s="1448"/>
      <c r="AC54" s="1448"/>
      <c r="AD54" s="1448"/>
      <c r="AE54" s="1448"/>
      <c r="AF54" s="1448"/>
      <c r="AG54" s="1448"/>
      <c r="AH54" s="1448"/>
      <c r="AI54" s="1448"/>
      <c r="AJ54" s="1448"/>
      <c r="AK54" s="1448"/>
      <c r="AL54" s="1448"/>
      <c r="AM54" s="1448"/>
      <c r="AN54" s="1448"/>
      <c r="AO54" s="1448"/>
      <c r="AP54" s="1448"/>
      <c r="AQ54" s="1448"/>
      <c r="AR54" s="1448"/>
      <c r="AS54" s="1448"/>
      <c r="AU54" s="913"/>
      <c r="AV54" s="913" t="str">
        <f>IF(T54="","",T54)</f>
        <v>Добавить наименование тарифа</v>
      </c>
      <c r="AW54" s="913"/>
      <c r="AX54" s="913"/>
      <c r="AY54" s="642">
        <v>0</v>
      </c>
    </row>
    <row customHeight="1" ht="11.549999999999999">
      <c r="M55" s="1284"/>
      <c r="N55" s="1284"/>
      <c r="O55" s="661"/>
      <c r="P55" s="1279"/>
      <c r="Q55" s="1279"/>
      <c r="R55" s="1279"/>
      <c r="S55" s="1279"/>
      <c r="AT55" s="1279"/>
      <c r="AU55" s="1279"/>
      <c r="AV55" s="1279"/>
      <c r="AW55" s="1279"/>
      <c r="AX55" s="1279"/>
      <c r="AY55" s="1279">
        <v>11</v>
      </c>
    </row>
    <row customHeight="1" ht="14.699999999999998">
      <c r="O56" s="661"/>
      <c r="S56" s="1377"/>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c r="AS56" s="2422"/>
      <c r="AY56" s="1279">
        <v>14</v>
      </c>
    </row>
    <row customHeight="1" ht="14.699999999999998">
      <c r="O57" s="661"/>
      <c r="AY57" s="1279">
        <v>14</v>
      </c>
    </row>
    <row customHeight="1" ht="14.699999999999998">
      <c r="O58" s="661"/>
      <c r="S58" s="1377"/>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c r="AS58" s="2422"/>
      <c r="AY58" s="1279">
        <v>14</v>
      </c>
    </row>
    <row customHeight="1" ht="22.5" hidden="1">
      <c r="A59" s="1284" t="s">
        <v>82</v>
      </c>
      <c r="B59" s="1284">
        <v>0</v>
      </c>
      <c r="C59" s="1284">
        <v>0</v>
      </c>
      <c r="D59" s="1284">
        <v>0</v>
      </c>
      <c r="E59" s="1284">
        <v>0</v>
      </c>
      <c r="F59" s="1284">
        <v>0</v>
      </c>
      <c r="G59" s="1284">
        <v>0</v>
      </c>
      <c r="H59" s="1284">
        <v>0</v>
      </c>
      <c r="I59" s="1284">
        <v>0</v>
      </c>
      <c r="J59" s="1284">
        <v>0</v>
      </c>
      <c r="K59" s="1284">
        <v>0</v>
      </c>
      <c r="L59" s="1602">
        <v>0</v>
      </c>
      <c r="M59" s="1486">
        <v>0</v>
      </c>
      <c r="N59" s="1486">
        <v>0</v>
      </c>
      <c r="O59" s="1486">
        <v>0</v>
      </c>
      <c r="P59" s="1597">
        <v>3</v>
      </c>
      <c r="Q59" s="468">
        <v>3</v>
      </c>
      <c r="R59" s="468">
        <v>3</v>
      </c>
      <c r="S59" s="705">
        <v>12</v>
      </c>
      <c r="T59" s="1279">
        <v>35</v>
      </c>
      <c r="U59" s="1279">
        <v>0</v>
      </c>
      <c r="V59" s="1279">
        <v>0</v>
      </c>
      <c r="W59" s="1755">
        <v>0</v>
      </c>
      <c r="X59" s="1755">
        <v>0</v>
      </c>
      <c r="Y59" s="1755">
        <v>0</v>
      </c>
      <c r="Z59" s="1755">
        <v>0</v>
      </c>
      <c r="AA59" s="1755">
        <v>0</v>
      </c>
      <c r="AB59" s="1279">
        <v>0</v>
      </c>
      <c r="AC59" s="1279">
        <v>0</v>
      </c>
      <c r="AD59" s="1279">
        <v>0</v>
      </c>
      <c r="AE59" s="1279">
        <v>0</v>
      </c>
      <c r="AF59" s="1279">
        <v>0</v>
      </c>
      <c r="AG59" s="1279">
        <v>19</v>
      </c>
      <c r="AH59" s="1755">
        <v>19</v>
      </c>
      <c r="AI59" s="1755">
        <v>19</v>
      </c>
      <c r="AJ59" s="1755">
        <v>19</v>
      </c>
      <c r="AK59" s="1755">
        <v>19</v>
      </c>
      <c r="AL59" s="1755">
        <v>19</v>
      </c>
      <c r="AM59" s="1279">
        <v>19</v>
      </c>
      <c r="AN59" s="1279">
        <v>11</v>
      </c>
      <c r="AO59" s="1279">
        <v>3</v>
      </c>
      <c r="AP59" s="1279">
        <v>11</v>
      </c>
      <c r="AQ59" s="1279">
        <v>0</v>
      </c>
      <c r="AR59" s="1279">
        <v>4</v>
      </c>
      <c r="AS59" s="1279">
        <v>115</v>
      </c>
      <c r="AT59" s="635">
        <v>10</v>
      </c>
      <c r="AU59" s="635">
        <v>10</v>
      </c>
      <c r="AV59" s="635">
        <v>10</v>
      </c>
      <c r="AW59" s="635">
        <v>10</v>
      </c>
      <c r="AX59" s="635">
        <v>10</v>
      </c>
      <c r="AY59" s="127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3D1194-095A-DE98-A868-B755540D6C9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7158" width="11.57421875" hidden="1" customWidth="1"/>
    <col min="2" max="2" style="7158" width="11.00390625" hidden="1" customWidth="1"/>
    <col min="3" max="3" style="7158" width="10.57421875" hidden="1"/>
    <col min="4" max="4" style="7158" width="12.8515625" hidden="1" customWidth="1"/>
    <col min="5" max="5" style="7158" width="10.00390625" hidden="1" customWidth="1"/>
    <col min="6" max="6" style="7158" width="8.7109375" hidden="1" customWidth="1"/>
    <col min="7" max="7" style="7158" width="7.57421875" hidden="1" customWidth="1"/>
    <col min="8" max="8" style="7158" width="11.421875" hidden="1" customWidth="1"/>
    <col min="9" max="9" style="7158" width="12.00390625" hidden="1" customWidth="1"/>
    <col min="10" max="10" style="7158" width="9.8515625" hidden="1" customWidth="1"/>
    <col min="11" max="11" style="7158" width="11.421875" hidden="1" customWidth="1"/>
    <col min="12" max="12" style="7896" width="19.140625" hidden="1" customWidth="1"/>
    <col min="13" max="14" style="6374" width="12.28125" hidden="1" customWidth="1"/>
    <col min="15" max="15" style="6374" width="23.421875" hidden="1" customWidth="1"/>
    <col min="16" max="16" style="6374" width="3.7109375" hidden="1" customWidth="1"/>
    <col min="17" max="17" style="6440" width="3.7109375" hidden="1" customWidth="1"/>
    <col min="18" max="18" style="7183" width="3.00390625" customWidth="1"/>
    <col min="19" max="19" style="7888" width="12.00390625" customWidth="1"/>
    <col min="20" max="20" style="7213" width="31.00390625" customWidth="1"/>
    <col min="21" max="21" style="7213" width="0.140625" customWidth="1"/>
    <col min="22" max="25" style="7213" width="21.7109375" hidden="1" customWidth="1"/>
    <col min="26" max="26" style="7213" width="11.7109375" hidden="1" customWidth="1"/>
    <col min="27" max="27" style="7213" width="3.7109375" hidden="1" customWidth="1"/>
    <col min="28" max="28" style="7213" width="11.7109375" hidden="1" customWidth="1"/>
    <col min="29" max="29" style="7213" width="8.57421875" hidden="1" customWidth="1"/>
    <col min="30" max="30" style="7213" width="3.7109375" customWidth="1"/>
    <col min="31" max="32" style="7213" width="3.00390625" customWidth="1"/>
    <col min="33" max="33" style="7213" width="24.00390625" customWidth="1"/>
    <col min="34" max="34" style="7213" width="3.7109375" customWidth="1"/>
    <col min="35" max="36" style="7213" width="3.00390625" customWidth="1"/>
    <col min="37" max="37" style="7213" width="24.00390625" customWidth="1"/>
    <col min="38" max="38" style="7213" width="3.7109375" customWidth="1"/>
    <col min="39" max="40" style="7213" width="3.00390625" customWidth="1"/>
    <col min="41" max="41" style="7213" width="18.00390625" customWidth="1"/>
    <col min="42" max="42" style="7213" width="3.7109375" customWidth="1"/>
    <col min="43" max="44" style="7213" width="3.00390625" customWidth="1"/>
    <col min="45" max="45" style="7213" width="18.00390625" customWidth="1"/>
    <col min="46" max="49" style="7213" width="21.00390625" customWidth="1"/>
    <col min="50" max="50" style="7213" width="11.00390625" customWidth="1"/>
    <col min="51" max="51" style="7213" width="3.7109375" customWidth="1"/>
    <col min="52" max="52" style="7213" width="11.00390625" customWidth="1"/>
    <col min="53" max="53" style="7213" width="8.57421875" hidden="1" customWidth="1"/>
    <col min="54" max="54" style="7213" width="4.00390625" customWidth="1"/>
    <col min="55" max="55" style="7213" width="115.00390625" customWidth="1"/>
    <col min="56" max="60" style="6698" width="10.00390625" customWidth="1"/>
    <col min="61" max="61" style="7213" width="10.57421875" hidden="1"/>
  </cols>
  <sheetData>
    <row customHeight="1" ht="22.5" hidden="1">
      <c r="W1" s="451"/>
      <c r="Y1" s="451"/>
      <c r="Z1" s="451"/>
      <c r="AW1" s="451"/>
      <c r="AX1" s="451"/>
      <c r="BI1" s="1279" t="s">
        <v>14</v>
      </c>
    </row>
    <row customHeight="1" ht="21" hidden="1">
      <c r="A2" s="1487"/>
      <c r="B2" s="1487"/>
      <c r="C2" s="1487"/>
      <c r="D2" s="1487"/>
      <c r="E2" s="2395">
        <v>1</v>
      </c>
      <c r="F2" s="1487"/>
      <c r="G2" s="1487"/>
      <c r="H2" s="1487"/>
      <c r="I2" s="1487"/>
      <c r="J2" s="1487"/>
      <c r="K2" s="1487"/>
      <c r="L2" s="1488"/>
      <c r="M2" s="1489"/>
      <c r="N2" s="1489"/>
      <c r="O2" s="1489"/>
      <c r="P2" s="1533"/>
      <c r="Q2" s="997"/>
      <c r="R2" s="479"/>
      <c r="S2" s="1617">
        <f>INDEX(PT_DIFFERENTIATION_NUM_NTAR,MATCH(A2,PT_DIFFERENTIATION_NTAR_ID,0))</f>
      </c>
      <c r="T2" s="422" t="s">
        <v>243</v>
      </c>
      <c r="U2" s="424"/>
      <c r="V2" s="2380"/>
      <c r="W2" s="2380"/>
      <c r="X2" s="2380"/>
      <c r="Y2" s="2380"/>
      <c r="Z2" s="2380"/>
      <c r="AA2" s="2380"/>
      <c r="AB2" s="2380"/>
      <c r="AC2" s="2381"/>
      <c r="AD2" s="2379">
        <f>INDEX(PT_DIFFERENTIATION_NTAR,MATCH(A2,PT_DIFFERENTIATION_NTAR_ID,0))</f>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24"/>
      <c r="BF2" s="624" t="str">
        <f>IF(T2="","",T2)</f>
        <v>Наименование тарифа</v>
      </c>
      <c r="BG2" s="624"/>
      <c r="BH2" s="624"/>
      <c r="BI2" s="1279">
        <v>0</v>
      </c>
    </row>
    <row customHeight="1" ht="21" hidden="1">
      <c r="A3" s="1487"/>
      <c r="B3" s="1487"/>
      <c r="C3" s="1487"/>
      <c r="D3" s="1487"/>
      <c r="E3" s="2396"/>
      <c r="F3" s="2395">
        <v>1</v>
      </c>
      <c r="G3" s="1487"/>
      <c r="H3" s="1487"/>
      <c r="I3" s="1487"/>
      <c r="J3" s="1487"/>
      <c r="K3" s="1487"/>
      <c r="L3" s="1488"/>
      <c r="M3" s="1489"/>
      <c r="N3" s="1489"/>
      <c r="O3" s="1489"/>
      <c r="P3" s="1534"/>
      <c r="Q3" s="1535"/>
      <c r="R3" s="477"/>
      <c r="S3" s="1617">
        <f>INDEX(PT_DIFFERENTIATION_NUM_TER,MATCH(B3,PT_DIFFERENTIATION_TER_ID,0))</f>
      </c>
      <c r="T3" s="432" t="s">
        <v>509</v>
      </c>
      <c r="U3" s="424"/>
      <c r="V3" s="2380"/>
      <c r="W3" s="2380"/>
      <c r="X3" s="2380"/>
      <c r="Y3" s="2380"/>
      <c r="Z3" s="2380"/>
      <c r="AA3" s="2380"/>
      <c r="AB3" s="2380"/>
      <c r="AC3" s="2381"/>
      <c r="AD3" s="2379">
        <f>INDEX(PT_DIFFERENTIATION_TER,MATCH(B3,PT_DIFFERENTIATION_TER_ID,0))</f>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382" t="s">
        <v>510</v>
      </c>
      <c r="BE3" s="624"/>
      <c r="BF3" s="624" t="str">
        <f>IF(T3="","",T3)</f>
        <v>Территория действия тарифа</v>
      </c>
      <c r="BG3" s="624"/>
      <c r="BH3" s="624"/>
      <c r="BI3" s="1279">
        <v>0</v>
      </c>
    </row>
    <row customHeight="1" ht="33.75" hidden="1">
      <c r="A4" s="1487"/>
      <c r="B4" s="1487"/>
      <c r="C4" s="1487"/>
      <c r="D4" s="1487"/>
      <c r="E4" s="2396"/>
      <c r="F4" s="2396"/>
      <c r="G4" s="2395">
        <v>1</v>
      </c>
      <c r="H4" s="1487"/>
      <c r="I4" s="1487"/>
      <c r="J4" s="1487"/>
      <c r="K4" s="1487"/>
      <c r="L4" s="1488"/>
      <c r="M4" s="1489"/>
      <c r="N4" s="1489"/>
      <c r="O4" s="1489"/>
      <c r="P4" s="1536"/>
      <c r="Q4" s="1535"/>
      <c r="R4" s="477"/>
      <c r="S4" s="1617">
        <f>INDEX(PT_DIFFERENTIATION_NUM_CS,MATCH(C4,PT_DIFFERENTIATION_CS_ID,0))</f>
      </c>
      <c r="T4" s="433" t="s">
        <v>642</v>
      </c>
      <c r="U4" s="424"/>
      <c r="V4" s="2380"/>
      <c r="W4" s="2380"/>
      <c r="X4" s="2380"/>
      <c r="Y4" s="2380"/>
      <c r="Z4" s="2380"/>
      <c r="AA4" s="2380"/>
      <c r="AB4" s="2380"/>
      <c r="AC4" s="2381"/>
      <c r="AD4" s="2379">
        <f>INDEX(PT_DIFFERENTIATION_CS,MATCH(C4,PT_DIFFERENTIATION_CS_ID,0))</f>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382" t="s">
        <v>643</v>
      </c>
      <c r="BE4" s="624"/>
      <c r="BF4" s="624" t="str">
        <f>IF(T4="","",T4)</f>
        <v>Наименование централизованной системы горячего водоснабжения</v>
      </c>
      <c r="BG4" s="624"/>
      <c r="BH4" s="624"/>
      <c r="BI4" s="1279">
        <v>0</v>
      </c>
    </row>
    <row s="6698" customFormat="1" customHeight="1" ht="14.25" hidden="1">
      <c r="A5" s="1467"/>
      <c r="B5" s="1467"/>
      <c r="C5" s="1467"/>
      <c r="D5" s="1467"/>
      <c r="E5" s="2396"/>
      <c r="F5" s="2396"/>
      <c r="G5" s="2396"/>
      <c r="H5" s="2395">
        <v>1</v>
      </c>
      <c r="I5" s="1467"/>
      <c r="J5" s="1467"/>
      <c r="K5" s="1467"/>
      <c r="L5" s="1470"/>
      <c r="M5" s="1439"/>
      <c r="N5" s="1439"/>
      <c r="O5" s="1439"/>
      <c r="P5" s="1621"/>
      <c r="Q5" s="1622"/>
      <c r="R5" s="481"/>
      <c r="S5" s="1166"/>
      <c r="T5" s="1623"/>
      <c r="U5" s="1508"/>
      <c r="V5" s="2434"/>
      <c r="W5" s="2434"/>
      <c r="X5" s="2434"/>
      <c r="Y5" s="2434"/>
      <c r="Z5" s="2434"/>
      <c r="AA5" s="2434"/>
      <c r="AB5" s="2434"/>
      <c r="AC5" s="2435"/>
      <c r="AD5" s="2433"/>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5"/>
      <c r="BC5" s="1509" t="s">
        <v>514</v>
      </c>
      <c r="BE5" s="624"/>
      <c r="BF5" s="624" t="str">
        <f>IF(T5="","",T5)</f>
        <v/>
      </c>
      <c r="BG5" s="624"/>
      <c r="BH5" s="624"/>
      <c r="BI5" s="635">
        <v>0</v>
      </c>
    </row>
    <row s="6698" customFormat="1" customHeight="1" ht="14.25" hidden="1">
      <c r="A6" s="1467"/>
      <c r="B6" s="1467"/>
      <c r="C6" s="1467"/>
      <c r="D6" s="1467"/>
      <c r="E6" s="2396"/>
      <c r="F6" s="2396"/>
      <c r="G6" s="2396"/>
      <c r="H6" s="2396"/>
      <c r="I6" s="2393" t="str">
        <f>S5&amp;".1"</f>
        <v>.1</v>
      </c>
      <c r="J6" s="1467"/>
      <c r="K6" s="1467"/>
      <c r="L6" s="1470" t="s">
        <v>515</v>
      </c>
      <c r="M6" s="634"/>
      <c r="N6" s="634"/>
      <c r="O6" s="634"/>
      <c r="P6" s="2394">
        <v>1</v>
      </c>
      <c r="Q6" s="1605"/>
      <c r="R6" s="480"/>
      <c r="S6" s="1166"/>
      <c r="T6" s="1507"/>
      <c r="U6" s="1508"/>
      <c r="V6" s="2434"/>
      <c r="W6" s="2434"/>
      <c r="X6" s="2434"/>
      <c r="Y6" s="2434"/>
      <c r="Z6" s="2434"/>
      <c r="AA6" s="2434"/>
      <c r="AB6" s="2434"/>
      <c r="AC6" s="2435"/>
      <c r="AD6" s="2433"/>
      <c r="AE6" s="2434"/>
      <c r="AF6" s="2434"/>
      <c r="AG6" s="2434"/>
      <c r="AH6" s="2434"/>
      <c r="AI6" s="2434"/>
      <c r="AJ6" s="2434"/>
      <c r="AK6" s="2434"/>
      <c r="AL6" s="2434"/>
      <c r="AM6" s="2434"/>
      <c r="AN6" s="2434"/>
      <c r="AO6" s="2434"/>
      <c r="AP6" s="2434"/>
      <c r="AQ6" s="2434"/>
      <c r="AR6" s="2434"/>
      <c r="AS6" s="2434"/>
      <c r="AT6" s="2434"/>
      <c r="AU6" s="2434"/>
      <c r="AV6" s="2434"/>
      <c r="AW6" s="2434"/>
      <c r="AX6" s="2434"/>
      <c r="AY6" s="2434"/>
      <c r="AZ6" s="2434"/>
      <c r="BA6" s="2434"/>
      <c r="BB6" s="2435"/>
      <c r="BC6" s="1509"/>
      <c r="BE6" s="624"/>
      <c r="BF6" s="624" t="str">
        <f>IF(T6="","",T6)</f>
        <v/>
      </c>
      <c r="BG6" s="624"/>
      <c r="BH6" s="624"/>
      <c r="BI6" s="635">
        <v>0</v>
      </c>
    </row>
    <row s="6698" customFormat="1" customHeight="1" ht="14.25" hidden="1">
      <c r="A7" s="1467"/>
      <c r="B7" s="1467"/>
      <c r="C7" s="1467"/>
      <c r="D7" s="1467"/>
      <c r="E7" s="2396"/>
      <c r="F7" s="2396"/>
      <c r="G7" s="2396"/>
      <c r="H7" s="2396"/>
      <c r="I7" s="2423"/>
      <c r="J7" s="2393" t="str">
        <f>S5&amp;".1"</f>
        <v>.1</v>
      </c>
      <c r="K7" s="1467"/>
      <c r="L7" s="1470"/>
      <c r="M7" s="634"/>
      <c r="N7" s="634"/>
      <c r="O7" s="634"/>
      <c r="P7" s="2394"/>
      <c r="Q7" s="2394">
        <v>1</v>
      </c>
      <c r="R7" s="481"/>
      <c r="S7" s="1166"/>
      <c r="T7" s="1523"/>
      <c r="U7" s="1508"/>
      <c r="V7" s="2434"/>
      <c r="W7" s="2434"/>
      <c r="X7" s="2434"/>
      <c r="Y7" s="2434"/>
      <c r="Z7" s="2434"/>
      <c r="AA7" s="2434"/>
      <c r="AB7" s="2434"/>
      <c r="AC7" s="2435"/>
      <c r="AD7" s="2433"/>
      <c r="AE7" s="2434"/>
      <c r="AF7" s="2434"/>
      <c r="AG7" s="2434"/>
      <c r="AH7" s="2434"/>
      <c r="AI7" s="2434"/>
      <c r="AJ7" s="2434"/>
      <c r="AK7" s="2434"/>
      <c r="AL7" s="2434"/>
      <c r="AM7" s="2434"/>
      <c r="AN7" s="2434"/>
      <c r="AO7" s="2434"/>
      <c r="AP7" s="2434"/>
      <c r="AQ7" s="2434"/>
      <c r="AR7" s="2434"/>
      <c r="AS7" s="2434"/>
      <c r="AT7" s="2434"/>
      <c r="AU7" s="2434"/>
      <c r="AV7" s="2434"/>
      <c r="AW7" s="2434"/>
      <c r="AX7" s="2434"/>
      <c r="AY7" s="2434"/>
      <c r="AZ7" s="2434"/>
      <c r="BA7" s="2434"/>
      <c r="BB7" s="2435"/>
      <c r="BC7" s="1509"/>
      <c r="BE7" s="624"/>
      <c r="BF7" s="624" t="str">
        <f>IF(T7="","",T7)</f>
        <v/>
      </c>
      <c r="BG7" s="624"/>
      <c r="BH7" s="624"/>
      <c r="BI7" s="635">
        <v>0</v>
      </c>
    </row>
    <row customHeight="1" ht="11.25" hidden="1">
      <c r="A8" s="1487"/>
      <c r="B8" s="1487"/>
      <c r="C8" s="1487"/>
      <c r="D8" s="1487"/>
      <c r="E8" s="2396"/>
      <c r="F8" s="2396"/>
      <c r="G8" s="2396"/>
      <c r="H8" s="2396"/>
      <c r="I8" s="2423"/>
      <c r="J8" s="2423"/>
      <c r="K8" s="2393">
        <f>S4&amp;".1"</f>
      </c>
      <c r="L8" s="1488"/>
      <c r="P8" s="2394"/>
      <c r="Q8" s="2394"/>
      <c r="R8" s="2484">
        <v>1</v>
      </c>
      <c r="S8" s="2478">
        <f>$K8</f>
      </c>
      <c r="T8" s="2497"/>
      <c r="U8" s="424"/>
      <c r="V8" s="875"/>
      <c r="W8" s="1381"/>
      <c r="X8" s="875"/>
      <c r="Y8" s="1381"/>
      <c r="Z8" s="1857"/>
      <c r="AA8" s="1593" t="s">
        <v>62</v>
      </c>
      <c r="AB8" s="1857"/>
      <c r="AC8" s="1593" t="s">
        <v>62</v>
      </c>
      <c r="AD8" s="2322" t="s">
        <v>62</v>
      </c>
      <c r="AE8" s="2463"/>
      <c r="AF8" s="2342">
        <v>1</v>
      </c>
      <c r="AG8" s="2500"/>
      <c r="AH8" s="2244" t="s">
        <v>62</v>
      </c>
      <c r="AI8" s="2463"/>
      <c r="AJ8" s="2342">
        <v>1</v>
      </c>
      <c r="AK8" s="2464" t="s">
        <v>22</v>
      </c>
      <c r="AL8" s="2244" t="s">
        <v>62</v>
      </c>
      <c r="AM8" s="2329"/>
      <c r="AN8" s="2342">
        <v>1</v>
      </c>
      <c r="AO8" s="2494"/>
      <c r="AP8" s="2495" t="s">
        <v>62</v>
      </c>
      <c r="AQ8" s="435"/>
      <c r="AR8" s="1610">
        <v>1</v>
      </c>
      <c r="AS8" s="1616" t="s">
        <v>22</v>
      </c>
      <c r="AT8" s="875"/>
      <c r="AU8" s="1381"/>
      <c r="AV8" s="875"/>
      <c r="AW8" s="1381"/>
      <c r="AX8" s="1857"/>
      <c r="AY8" s="1593" t="s">
        <v>62</v>
      </c>
      <c r="AZ8" s="1857"/>
      <c r="BA8" s="1593" t="s">
        <v>62</v>
      </c>
      <c r="BB8" s="1472"/>
      <c r="BC8" s="2390" t="s">
        <v>613</v>
      </c>
      <c r="BE8" s="624"/>
      <c r="BF8" s="624" t="str">
        <f>IF(T8="","",T8)</f>
        <v/>
      </c>
      <c r="BG8" s="624"/>
      <c r="BH8" s="624"/>
      <c r="BI8" s="1279">
        <v>0</v>
      </c>
    </row>
    <row customHeight="1" ht="11.25" hidden="1">
      <c r="A9" s="1487"/>
      <c r="B9" s="1487"/>
      <c r="C9" s="1487"/>
      <c r="D9" s="1487"/>
      <c r="E9" s="2396"/>
      <c r="F9" s="2396"/>
      <c r="G9" s="2396"/>
      <c r="H9" s="2396"/>
      <c r="I9" s="2423"/>
      <c r="J9" s="2423"/>
      <c r="K9" s="2393"/>
      <c r="L9" s="1488"/>
      <c r="P9" s="2394"/>
      <c r="Q9" s="2394"/>
      <c r="R9" s="2484"/>
      <c r="S9" s="2479"/>
      <c r="T9" s="2498"/>
      <c r="U9" s="424"/>
      <c r="V9" s="1517"/>
      <c r="W9" s="1620"/>
      <c r="X9" s="1517"/>
      <c r="Y9" s="1620"/>
      <c r="Z9" s="1517"/>
      <c r="AA9" s="1517"/>
      <c r="AB9" s="1517"/>
      <c r="AC9" s="1517"/>
      <c r="AD9" s="2323"/>
      <c r="AE9" s="2463"/>
      <c r="AF9" s="2342"/>
      <c r="AG9" s="2500"/>
      <c r="AH9" s="2244"/>
      <c r="AI9" s="2463"/>
      <c r="AJ9" s="2342"/>
      <c r="AK9" s="2464"/>
      <c r="AL9" s="2244"/>
      <c r="AM9" s="2337"/>
      <c r="AN9" s="2342"/>
      <c r="AO9" s="2494"/>
      <c r="AP9" s="2496"/>
      <c r="AQ9" s="440"/>
      <c r="AR9" s="540"/>
      <c r="AS9" s="540" t="s">
        <v>614</v>
      </c>
      <c r="AT9" s="1517"/>
      <c r="AU9" s="1620"/>
      <c r="AV9" s="1517"/>
      <c r="AW9" s="1620"/>
      <c r="AX9" s="1517"/>
      <c r="AY9" s="1517"/>
      <c r="AZ9" s="1517"/>
      <c r="BA9" s="1517"/>
      <c r="BB9" s="1521"/>
      <c r="BC9" s="2391"/>
      <c r="BE9" s="624"/>
      <c r="BF9" s="624"/>
      <c r="BG9" s="624"/>
      <c r="BH9" s="624"/>
      <c r="BI9" s="1279">
        <v>0</v>
      </c>
    </row>
    <row customHeight="1" ht="11.25" hidden="1">
      <c r="A10" s="1487"/>
      <c r="B10" s="1487"/>
      <c r="C10" s="1487"/>
      <c r="D10" s="1487"/>
      <c r="E10" s="2396"/>
      <c r="F10" s="2396"/>
      <c r="G10" s="2396"/>
      <c r="H10" s="2396"/>
      <c r="I10" s="2423"/>
      <c r="J10" s="2423"/>
      <c r="K10" s="2393"/>
      <c r="L10" s="1488"/>
      <c r="P10" s="2394"/>
      <c r="Q10" s="2394"/>
      <c r="R10" s="2484"/>
      <c r="S10" s="2479"/>
      <c r="T10" s="2498"/>
      <c r="U10" s="424"/>
      <c r="V10" s="1517"/>
      <c r="W10" s="1620"/>
      <c r="X10" s="1517"/>
      <c r="Y10" s="1620"/>
      <c r="Z10" s="1517"/>
      <c r="AA10" s="1517"/>
      <c r="AB10" s="1517"/>
      <c r="AC10" s="1517"/>
      <c r="AD10" s="2323"/>
      <c r="AE10" s="2463"/>
      <c r="AF10" s="2342"/>
      <c r="AG10" s="2500"/>
      <c r="AH10" s="2244"/>
      <c r="AI10" s="2463"/>
      <c r="AJ10" s="2342"/>
      <c r="AK10" s="2464"/>
      <c r="AL10" s="2244"/>
      <c r="AM10" s="440"/>
      <c r="AN10" s="1624"/>
      <c r="AO10" s="1624" t="s">
        <v>615</v>
      </c>
      <c r="AP10" s="540"/>
      <c r="AQ10" s="540"/>
      <c r="AR10" s="540"/>
      <c r="AS10" s="1517"/>
      <c r="AT10" s="1517"/>
      <c r="AU10" s="1620"/>
      <c r="AV10" s="1517"/>
      <c r="AW10" s="1620"/>
      <c r="AX10" s="1517"/>
      <c r="AY10" s="1517"/>
      <c r="AZ10" s="1517"/>
      <c r="BA10" s="1517"/>
      <c r="BB10" s="1521"/>
      <c r="BC10" s="2391"/>
      <c r="BE10" s="624"/>
      <c r="BF10" s="624"/>
      <c r="BG10" s="624"/>
      <c r="BH10" s="624"/>
      <c r="BI10" s="1279">
        <v>0</v>
      </c>
    </row>
    <row customHeight="1" ht="11.25" hidden="1">
      <c r="A11" s="1487"/>
      <c r="B11" s="1487"/>
      <c r="C11" s="1487"/>
      <c r="D11" s="1487"/>
      <c r="E11" s="2396"/>
      <c r="F11" s="2396"/>
      <c r="G11" s="2396"/>
      <c r="H11" s="2396"/>
      <c r="I11" s="2423"/>
      <c r="J11" s="2423"/>
      <c r="K11" s="2393"/>
      <c r="L11" s="1488"/>
      <c r="P11" s="2394"/>
      <c r="Q11" s="2394"/>
      <c r="R11" s="2484"/>
      <c r="S11" s="2479"/>
      <c r="T11" s="2498"/>
      <c r="U11" s="424"/>
      <c r="V11" s="1517"/>
      <c r="W11" s="1620"/>
      <c r="X11" s="1517"/>
      <c r="Y11" s="1620"/>
      <c r="Z11" s="1517"/>
      <c r="AA11" s="1517"/>
      <c r="AB11" s="1517"/>
      <c r="AC11" s="1517"/>
      <c r="AD11" s="2323"/>
      <c r="AE11" s="2463"/>
      <c r="AF11" s="2342"/>
      <c r="AG11" s="2500"/>
      <c r="AH11" s="2244"/>
      <c r="AI11" s="418"/>
      <c r="AJ11" s="539"/>
      <c r="AK11" s="437" t="s">
        <v>616</v>
      </c>
      <c r="AL11" s="1517"/>
      <c r="AM11" s="1517"/>
      <c r="AN11" s="1517"/>
      <c r="AO11" s="1517"/>
      <c r="AP11" s="1517"/>
      <c r="AQ11" s="1517"/>
      <c r="AR11" s="1517"/>
      <c r="AS11" s="1517"/>
      <c r="AT11" s="1517"/>
      <c r="AU11" s="1620"/>
      <c r="AV11" s="1517"/>
      <c r="AW11" s="1620"/>
      <c r="AX11" s="1517"/>
      <c r="AY11" s="1517"/>
      <c r="AZ11" s="1517"/>
      <c r="BA11" s="1517"/>
      <c r="BB11" s="1521"/>
      <c r="BC11" s="2391"/>
      <c r="BE11" s="624"/>
      <c r="BF11" s="624"/>
      <c r="BG11" s="624"/>
      <c r="BH11" s="624"/>
      <c r="BI11" s="1279">
        <v>0</v>
      </c>
    </row>
    <row customHeight="1" ht="11.25" hidden="1">
      <c r="A12" s="1487"/>
      <c r="B12" s="1487"/>
      <c r="C12" s="1487"/>
      <c r="D12" s="1487"/>
      <c r="E12" s="2396"/>
      <c r="F12" s="2396"/>
      <c r="G12" s="2396"/>
      <c r="H12" s="2396"/>
      <c r="I12" s="2423"/>
      <c r="J12" s="2423"/>
      <c r="K12" s="2393"/>
      <c r="L12" s="1488"/>
      <c r="P12" s="2394"/>
      <c r="Q12" s="2394"/>
      <c r="R12" s="2484"/>
      <c r="S12" s="2480"/>
      <c r="T12" s="2499"/>
      <c r="U12" s="424"/>
      <c r="V12" s="1517"/>
      <c r="W12" s="1518" t="str">
        <f>Z8&amp;"-"&amp;AB8</f>
        <v>-</v>
      </c>
      <c r="X12" s="1517"/>
      <c r="Y12" s="1518" t="str">
        <f>AB8&amp;"-"&amp;AD8</f>
        <v>-да</v>
      </c>
      <c r="Z12" s="1517"/>
      <c r="AA12" s="1517"/>
      <c r="AB12" s="1517"/>
      <c r="AC12" s="1517"/>
      <c r="AD12" s="2249"/>
      <c r="AE12" s="436"/>
      <c r="AF12" s="438"/>
      <c r="AG12" s="540" t="s">
        <v>617</v>
      </c>
      <c r="AH12" s="1517"/>
      <c r="AI12" s="1517"/>
      <c r="AJ12" s="1517"/>
      <c r="AK12" s="1517"/>
      <c r="AL12" s="1517"/>
      <c r="AM12" s="1517"/>
      <c r="AN12" s="1517"/>
      <c r="AO12" s="1517"/>
      <c r="AP12" s="1517"/>
      <c r="AQ12" s="1517"/>
      <c r="AR12" s="1517"/>
      <c r="AS12" s="1517"/>
      <c r="AT12" s="1517"/>
      <c r="AU12" s="1518" t="str">
        <f>AX8&amp;"-"&amp;AZ8</f>
        <v>-</v>
      </c>
      <c r="AV12" s="1517"/>
      <c r="AW12" s="1518" t="str">
        <f>AZ8&amp;"-"&amp;BB8</f>
        <v>-</v>
      </c>
      <c r="AX12" s="1517"/>
      <c r="AY12" s="1517"/>
      <c r="AZ12" s="1517"/>
      <c r="BA12" s="1517"/>
      <c r="BB12" s="1520" t="str">
        <f>BE8&amp;"-"&amp;BG8</f>
        <v>-</v>
      </c>
      <c r="BC12" s="2391"/>
      <c r="BE12" s="624"/>
      <c r="BF12" s="624" t="str">
        <f>IF(T12="","",T12)</f>
        <v/>
      </c>
      <c r="BG12" s="624"/>
      <c r="BH12" s="624"/>
      <c r="BI12" s="1279">
        <v>0</v>
      </c>
    </row>
    <row customHeight="1" ht="11.25" hidden="1">
      <c r="A13" s="1487"/>
      <c r="B13" s="1487"/>
      <c r="C13" s="1487"/>
      <c r="D13" s="1487"/>
      <c r="E13" s="2396"/>
      <c r="F13" s="2396"/>
      <c r="G13" s="2396"/>
      <c r="H13" s="2396"/>
      <c r="I13" s="2423"/>
      <c r="J13" s="2393"/>
      <c r="K13" s="1487"/>
      <c r="L13" s="1488"/>
      <c r="P13" s="2394"/>
      <c r="Q13" s="2394"/>
      <c r="R13" s="480"/>
      <c r="S13" s="1402"/>
      <c r="T13" s="411" t="s">
        <v>580</v>
      </c>
      <c r="U13" s="491"/>
      <c r="V13" s="491"/>
      <c r="W13" s="491"/>
      <c r="X13" s="491"/>
      <c r="Y13" s="491"/>
      <c r="Z13" s="491"/>
      <c r="AA13" s="491"/>
      <c r="AB13" s="491"/>
      <c r="AC13" s="491"/>
      <c r="AD13" s="1629"/>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48"/>
      <c r="BC13" s="2392"/>
      <c r="BE13" s="624"/>
      <c r="BF13" s="624" t="str">
        <f>IF(T13="","",T13)</f>
        <v>Добавить строку</v>
      </c>
      <c r="BG13" s="624"/>
      <c r="BH13" s="624"/>
      <c r="BI13" s="1279">
        <v>0</v>
      </c>
    </row>
    <row s="6698" customFormat="1" customHeight="1" ht="14.25" hidden="1">
      <c r="A14" s="1467"/>
      <c r="B14" s="1467"/>
      <c r="C14" s="1467"/>
      <c r="D14" s="1467"/>
      <c r="E14" s="2396"/>
      <c r="F14" s="2396"/>
      <c r="G14" s="2396"/>
      <c r="H14" s="2396"/>
      <c r="I14" s="2393"/>
      <c r="J14" s="1467"/>
      <c r="K14" s="1467"/>
      <c r="L14" s="1470"/>
      <c r="M14" s="634"/>
      <c r="N14" s="634"/>
      <c r="O14" s="634"/>
      <c r="P14" s="2394"/>
      <c r="Q14" s="1605"/>
      <c r="R14" s="480"/>
      <c r="S14" s="1510"/>
      <c r="T14" s="1511"/>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c r="AW14" s="1512"/>
      <c r="AX14" s="1512"/>
      <c r="AY14" s="1512"/>
      <c r="AZ14" s="1512"/>
      <c r="BA14" s="1512"/>
      <c r="BB14" s="1512"/>
      <c r="BC14" s="1513"/>
      <c r="BE14" s="624"/>
      <c r="BF14" s="624" t="str">
        <f>IF(T14="","",T14)</f>
        <v/>
      </c>
      <c r="BG14" s="624"/>
      <c r="BH14" s="624"/>
      <c r="BI14" s="635">
        <v>0</v>
      </c>
    </row>
    <row s="6698" customFormat="1" customHeight="1" ht="14.25" hidden="1">
      <c r="A15" s="1467"/>
      <c r="B15" s="1467"/>
      <c r="C15" s="1467"/>
      <c r="D15" s="1467"/>
      <c r="E15" s="2396"/>
      <c r="F15" s="2396"/>
      <c r="G15" s="2396"/>
      <c r="H15" s="2395"/>
      <c r="I15" s="1467"/>
      <c r="J15" s="1467"/>
      <c r="K15" s="1467"/>
      <c r="L15" s="1470"/>
      <c r="M15" s="1439"/>
      <c r="N15" s="1439"/>
      <c r="O15" s="642"/>
      <c r="P15" s="504"/>
      <c r="Q15" s="1468"/>
      <c r="R15" s="1525"/>
      <c r="S15" s="1510"/>
      <c r="T15" s="1511"/>
      <c r="U15" s="1512"/>
      <c r="V15" s="1512"/>
      <c r="W15" s="1512"/>
      <c r="X15" s="1512"/>
      <c r="Y15" s="1512"/>
      <c r="Z15" s="1512"/>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512"/>
      <c r="AV15" s="1512"/>
      <c r="AW15" s="1512"/>
      <c r="AX15" s="1512"/>
      <c r="AY15" s="1512"/>
      <c r="AZ15" s="1512"/>
      <c r="BA15" s="1512"/>
      <c r="BB15" s="1512"/>
      <c r="BC15" s="1513"/>
      <c r="BE15" s="624"/>
      <c r="BF15" s="624" t="str">
        <f>IF(T15="","",T15)</f>
        <v/>
      </c>
      <c r="BG15" s="624"/>
      <c r="BH15" s="624"/>
      <c r="BI15" s="635">
        <v>0</v>
      </c>
    </row>
    <row s="6698" customFormat="1" customHeight="1" ht="14.25" hidden="1">
      <c r="A16" s="1467"/>
      <c r="B16" s="1467"/>
      <c r="C16" s="1467"/>
      <c r="D16" s="1438"/>
      <c r="E16" s="2396"/>
      <c r="F16" s="2396"/>
      <c r="G16" s="2395"/>
      <c r="H16" s="1438"/>
      <c r="I16" s="1438"/>
      <c r="J16" s="1438"/>
      <c r="K16" s="1438"/>
      <c r="L16" s="1618"/>
      <c r="M16" s="1439"/>
      <c r="N16" s="1439"/>
      <c r="P16" s="1440"/>
      <c r="Q16" s="1441"/>
      <c r="R16" s="1440"/>
      <c r="S16" s="1446"/>
      <c r="T16" s="1449"/>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E16" s="913"/>
      <c r="BF16" s="913" t="str">
        <f>IF(T16="","",T16)</f>
        <v/>
      </c>
      <c r="BG16" s="913"/>
      <c r="BH16" s="913"/>
      <c r="BI16" s="642">
        <v>0</v>
      </c>
    </row>
    <row s="6698" customFormat="1" customHeight="1" ht="14.25" hidden="1">
      <c r="A17" s="1467"/>
      <c r="B17" s="1467"/>
      <c r="C17" s="1438"/>
      <c r="D17" s="1438"/>
      <c r="E17" s="2396"/>
      <c r="F17" s="2395"/>
      <c r="G17" s="1438"/>
      <c r="H17" s="1438"/>
      <c r="I17" s="1438"/>
      <c r="J17" s="1438"/>
      <c r="K17" s="1438"/>
      <c r="L17" s="1618"/>
      <c r="M17" s="1445"/>
      <c r="N17" s="1445"/>
      <c r="P17" s="1440"/>
      <c r="Q17" s="1441"/>
      <c r="R17" s="1440"/>
      <c r="S17" s="1446"/>
      <c r="T17" s="1449" t="s">
        <v>527</v>
      </c>
      <c r="U17" s="1448"/>
      <c r="V17" s="1448"/>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E17" s="913"/>
      <c r="BF17" s="913" t="str">
        <f>IF(T17="","",T17)</f>
        <v>Добавить централизованную систему для дифференциации</v>
      </c>
      <c r="BG17" s="913"/>
      <c r="BH17" s="913"/>
      <c r="BI17" s="642">
        <v>0</v>
      </c>
    </row>
    <row s="6698" customFormat="1" customHeight="1" ht="14.25" hidden="1">
      <c r="A18" s="1467"/>
      <c r="B18" s="1467"/>
      <c r="C18" s="1467"/>
      <c r="D18" s="1467"/>
      <c r="E18" s="2395"/>
      <c r="F18" s="1467"/>
      <c r="G18" s="1467"/>
      <c r="H18" s="1467"/>
      <c r="I18" s="1467"/>
      <c r="J18" s="1467"/>
      <c r="K18" s="1467"/>
      <c r="L18" s="1470"/>
      <c r="M18" s="1445"/>
      <c r="N18" s="1445"/>
      <c r="O18" s="642"/>
      <c r="P18" s="504"/>
      <c r="Q18" s="1468"/>
      <c r="R18" s="504"/>
      <c r="S18" s="1446"/>
      <c r="T18" s="1449" t="s">
        <v>528</v>
      </c>
      <c r="U18" s="1448"/>
      <c r="V18" s="1448"/>
      <c r="W18" s="1448"/>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E18" s="624"/>
      <c r="BF18" s="624" t="str">
        <f>IF(T18="","",T18)</f>
        <v>Добавить территорию для дифференциации</v>
      </c>
      <c r="BG18" s="624"/>
      <c r="BH18" s="624"/>
      <c r="BI18" s="635">
        <v>0</v>
      </c>
    </row>
    <row customHeight="1" ht="14.25" hidden="1">
      <c r="AC19" s="451"/>
      <c r="BA19" s="451"/>
      <c r="BI19" s="1279">
        <v>0</v>
      </c>
    </row>
    <row customHeight="1" ht="14.25" hidden="1">
      <c r="AD20" s="1448" t="s">
        <v>19</v>
      </c>
      <c r="AE20" s="1625"/>
      <c r="AF20" s="672">
        <v>1</v>
      </c>
      <c r="AG20" s="1626"/>
      <c r="AH20" s="1448" t="s">
        <v>19</v>
      </c>
      <c r="AI20" s="1625"/>
      <c r="AJ20" s="672">
        <v>1</v>
      </c>
      <c r="AK20" s="1626"/>
      <c r="AL20" s="1448" t="s">
        <v>19</v>
      </c>
      <c r="AM20" s="1627"/>
      <c r="AN20" s="672">
        <v>1</v>
      </c>
      <c r="AO20" s="1628"/>
      <c r="AP20" s="1448" t="s">
        <v>19</v>
      </c>
      <c r="AQ20" s="1627"/>
      <c r="AR20" s="672">
        <v>1</v>
      </c>
      <c r="AS20" s="1628"/>
      <c r="AT20" s="449"/>
      <c r="AU20" s="508"/>
      <c r="AV20" s="449"/>
      <c r="AW20" s="508"/>
      <c r="AX20" s="1859"/>
      <c r="AY20" s="1609" t="s">
        <v>62</v>
      </c>
      <c r="AZ20" s="1859"/>
      <c r="BA20" s="1609" t="s">
        <v>62</v>
      </c>
      <c r="BI20" s="1279">
        <v>0</v>
      </c>
    </row>
    <row customHeight="1" ht="14.25" hidden="1">
      <c r="BD21" s="620"/>
      <c r="BE21" s="620"/>
      <c r="BF21" s="620"/>
      <c r="BG21" s="620"/>
      <c r="BH21" s="620"/>
      <c r="BI21" s="1279">
        <v>0</v>
      </c>
    </row>
    <row customHeight="1" ht="14.25" hidden="1">
      <c r="O22" s="1491" t="s">
        <v>529</v>
      </c>
      <c r="Z22" s="1469"/>
      <c r="AB22" s="1469"/>
      <c r="AC22" s="451"/>
      <c r="AX22" s="1469"/>
      <c r="AZ22" s="1469"/>
      <c r="BA22" s="451"/>
      <c r="BD22" s="620"/>
      <c r="BE22" s="620"/>
      <c r="BF22" s="620"/>
      <c r="BG22" s="620"/>
      <c r="BH22" s="620"/>
      <c r="BI22" s="1279">
        <v>0</v>
      </c>
    </row>
    <row customHeight="1" ht="14.25" hidden="1">
      <c r="AC23" s="451"/>
      <c r="BA23" s="451"/>
      <c r="BD23" s="620"/>
      <c r="BE23" s="620"/>
      <c r="BF23" s="620"/>
      <c r="BG23" s="620"/>
      <c r="BH23" s="620"/>
      <c r="BI23" s="1279">
        <v>0</v>
      </c>
    </row>
    <row s="6415" customFormat="1" customHeight="1" ht="14.25" hidden="1">
      <c r="M24" s="1632"/>
      <c r="N24" s="1632"/>
      <c r="O24" s="1633" t="s">
        <v>530</v>
      </c>
      <c r="P24" s="1632"/>
      <c r="Q24" s="1634"/>
      <c r="R24" s="1634"/>
      <c r="AA24" s="1631" t="s">
        <v>532</v>
      </c>
      <c r="AC24" s="1631" t="s">
        <v>533</v>
      </c>
      <c r="AD24" s="1631" t="s">
        <v>581</v>
      </c>
      <c r="AH24" s="1631" t="s">
        <v>581</v>
      </c>
      <c r="AK24" s="1631" t="s">
        <v>618</v>
      </c>
      <c r="AL24" s="1631" t="s">
        <v>581</v>
      </c>
      <c r="AP24" s="1631" t="s">
        <v>581</v>
      </c>
      <c r="AY24" s="1631" t="s">
        <v>532</v>
      </c>
      <c r="BA24" s="1631" t="s">
        <v>533</v>
      </c>
      <c r="BD24" s="1635"/>
      <c r="BE24" s="1635"/>
      <c r="BF24" s="1635"/>
      <c r="BG24" s="1635"/>
      <c r="BH24" s="1635"/>
      <c r="BI24" s="1631">
        <v>0</v>
      </c>
    </row>
    <row customHeight="1" ht="14.25" hidden="1">
      <c r="O25" s="1488"/>
      <c r="BD25" s="620"/>
      <c r="BE25" s="620"/>
      <c r="BF25" s="620"/>
      <c r="BG25" s="620"/>
      <c r="BH25" s="620"/>
      <c r="BI25" s="1279">
        <v>0</v>
      </c>
    </row>
    <row customHeight="1" ht="14.25" hidden="1">
      <c r="O26" s="1488"/>
      <c r="BD26" s="620"/>
      <c r="BE26" s="620"/>
      <c r="BF26" s="620"/>
      <c r="BG26" s="620"/>
      <c r="BH26" s="620"/>
      <c r="BI26" s="1279">
        <v>0</v>
      </c>
    </row>
    <row customHeight="1" ht="14.699999999999998">
      <c r="Q27" s="415"/>
      <c r="R27" s="500"/>
      <c r="S27" s="1399"/>
      <c r="T27" s="487"/>
      <c r="U27" s="487"/>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c r="BI27" s="1279">
        <v>14</v>
      </c>
    </row>
    <row customHeight="1" ht="14.699999999999998">
      <c r="Q28" s="415"/>
      <c r="R28" s="500"/>
      <c r="S28" s="238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85"/>
      <c r="AT28" s="2385"/>
      <c r="AU28" s="2385"/>
      <c r="AV28" s="2385"/>
      <c r="AW28" s="2385"/>
      <c r="AX28" s="2385"/>
      <c r="AY28" s="2385"/>
      <c r="AZ28" s="2385"/>
      <c r="BA28" s="1367"/>
      <c r="BI28" s="1279">
        <v>14</v>
      </c>
    </row>
    <row customHeight="1" ht="14.699999999999998">
      <c r="Q29" s="415"/>
      <c r="R29" s="500"/>
      <c r="S29" s="2386" t="str">
        <f>IF(org=0,"Не определено",org)</f>
        <v>ООО "СамРЭК-Эксплуатация"</v>
      </c>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86"/>
      <c r="AT29" s="2386"/>
      <c r="AU29" s="2386"/>
      <c r="AV29" s="2386"/>
      <c r="AW29" s="2386"/>
      <c r="AX29" s="2386"/>
      <c r="AY29" s="2386"/>
      <c r="AZ29" s="2386"/>
      <c r="BA29" s="1367"/>
      <c r="BI29" s="1279">
        <v>14</v>
      </c>
    </row>
    <row customHeight="1" ht="14.25" hidden="1">
      <c r="Q30" s="415"/>
      <c r="R30" s="500"/>
      <c r="S30" s="1399"/>
      <c r="T30" s="487"/>
      <c r="U30" s="487"/>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633"/>
      <c r="BI30" s="1279">
        <v>0</v>
      </c>
    </row>
    <row s="7787" customFormat="1" customHeight="1" ht="25.5" hidden="1">
      <c r="A31" s="1492"/>
      <c r="B31" s="1492"/>
      <c r="C31" s="1492"/>
      <c r="D31" s="1492"/>
      <c r="E31" s="1492"/>
      <c r="F31" s="1492"/>
      <c r="G31" s="1492"/>
      <c r="H31" s="1492"/>
      <c r="I31" s="1492"/>
      <c r="J31" s="1492"/>
      <c r="K31" s="1492"/>
      <c r="L31" s="1493"/>
      <c r="M31" s="1492"/>
      <c r="N31" s="1492"/>
      <c r="O31" s="1492"/>
      <c r="P31" s="1492"/>
      <c r="Q31" s="1492"/>
      <c r="S31" s="2387" t="s">
        <v>41</v>
      </c>
      <c r="T31" s="2387"/>
      <c r="U31" s="1496"/>
      <c r="V31" s="2388" t="str">
        <f>IF(TITLE_NAME_OR_PR_CHANGE="",IF(TITLE_NAME_OR_PR="","",TITLE_NAME_OR_PR),TITLE_NAME_OR_PR_CHANGE)</f>
        <v/>
      </c>
      <c r="W31" s="2388"/>
      <c r="X31" s="2388"/>
      <c r="Y31" s="2388"/>
      <c r="Z31" s="2388"/>
      <c r="AA31" s="2388"/>
      <c r="AB31" s="2388"/>
      <c r="AC31" s="45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450"/>
      <c r="BB31" s="450"/>
      <c r="BC31" s="404"/>
      <c r="BD31" s="492"/>
      <c r="BE31" s="492"/>
      <c r="BF31" s="492"/>
      <c r="BG31" s="492"/>
      <c r="BH31" s="492"/>
      <c r="BI31" s="542">
        <v>0</v>
      </c>
    </row>
    <row s="7787" customFormat="1" customHeight="1" ht="18.75" hidden="1">
      <c r="A32" s="1492"/>
      <c r="B32" s="1492"/>
      <c r="C32" s="1492"/>
      <c r="D32" s="1492"/>
      <c r="E32" s="1492"/>
      <c r="F32" s="1492"/>
      <c r="G32" s="1492"/>
      <c r="H32" s="1492"/>
      <c r="I32" s="1492"/>
      <c r="J32" s="1492"/>
      <c r="K32" s="1492"/>
      <c r="L32" s="1493"/>
      <c r="M32" s="1492"/>
      <c r="N32" s="1492"/>
      <c r="O32" s="1492"/>
      <c r="P32" s="1492"/>
      <c r="Q32" s="1492"/>
      <c r="S32" s="2387" t="s">
        <v>535</v>
      </c>
      <c r="T32" s="2387"/>
      <c r="U32" s="1496"/>
      <c r="V32" s="2401" t="str">
        <f>IF(TITLE_DATE_PR_CHANGE="",IF(TITLE_DATE_PR="","",TITLE_DATE_PR),TITLE_DATE_PR_CHANGE)</f>
        <v/>
      </c>
      <c r="W32" s="2401"/>
      <c r="X32" s="2401"/>
      <c r="Y32" s="2401"/>
      <c r="Z32" s="2401"/>
      <c r="AA32" s="2401"/>
      <c r="AB32" s="2401"/>
      <c r="AC32" s="450"/>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450"/>
      <c r="BB32" s="450"/>
      <c r="BC32" s="404"/>
      <c r="BD32" s="492"/>
      <c r="BE32" s="492"/>
      <c r="BF32" s="492"/>
      <c r="BG32" s="492"/>
      <c r="BH32" s="492"/>
      <c r="BI32" s="542">
        <v>0</v>
      </c>
    </row>
    <row s="7787" customFormat="1" customHeight="1" ht="18.75" hidden="1">
      <c r="A33" s="1492"/>
      <c r="B33" s="1492"/>
      <c r="C33" s="1492"/>
      <c r="D33" s="1492"/>
      <c r="E33" s="1492"/>
      <c r="F33" s="1492"/>
      <c r="G33" s="1492"/>
      <c r="H33" s="1492"/>
      <c r="I33" s="1492"/>
      <c r="J33" s="1492"/>
      <c r="K33" s="1492"/>
      <c r="L33" s="1493"/>
      <c r="M33" s="1492"/>
      <c r="N33" s="1492"/>
      <c r="O33" s="1492"/>
      <c r="P33" s="1492"/>
      <c r="Q33" s="1492"/>
      <c r="S33" s="2387" t="s">
        <v>536</v>
      </c>
      <c r="T33" s="2387"/>
      <c r="U33" s="1496"/>
      <c r="V33" s="2388" t="str">
        <f>IF(TITLE_NUMBER_PR_CHANGE="",IF(TITLE_NUMBER_PR="","",TITLE_NUMBER_PR),TITLE_NUMBER_PR_CHANGE)</f>
        <v/>
      </c>
      <c r="W33" s="2388"/>
      <c r="X33" s="2388"/>
      <c r="Y33" s="2388"/>
      <c r="Z33" s="2388"/>
      <c r="AA33" s="2388"/>
      <c r="AB33" s="2388"/>
      <c r="AC33" s="45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450"/>
      <c r="BB33" s="450"/>
      <c r="BC33" s="404"/>
      <c r="BD33" s="492"/>
      <c r="BE33" s="492"/>
      <c r="BF33" s="492"/>
      <c r="BG33" s="492"/>
      <c r="BH33" s="492"/>
      <c r="BI33" s="542">
        <v>0</v>
      </c>
    </row>
    <row s="7787" customFormat="1" customHeight="1" ht="18.75" hidden="1">
      <c r="A34" s="1492"/>
      <c r="B34" s="1492"/>
      <c r="C34" s="1492"/>
      <c r="D34" s="1492"/>
      <c r="E34" s="1492"/>
      <c r="F34" s="1492"/>
      <c r="G34" s="1492"/>
      <c r="H34" s="1492"/>
      <c r="I34" s="1492"/>
      <c r="J34" s="1492"/>
      <c r="K34" s="1492"/>
      <c r="L34" s="1493"/>
      <c r="M34" s="1492"/>
      <c r="N34" s="1492"/>
      <c r="O34" s="1492"/>
      <c r="P34" s="1492"/>
      <c r="Q34" s="1492"/>
      <c r="S34" s="2387" t="s">
        <v>42</v>
      </c>
      <c r="T34" s="2387"/>
      <c r="U34" s="1496"/>
      <c r="V34" s="2388" t="str">
        <f>IF(TITLE_IST_PUB_CHANGE="",IF(TITLE_IST_PUB="","",TITLE_IST_PUB),TITLE_IST_PUB_CHANGE)</f>
        <v/>
      </c>
      <c r="W34" s="2388"/>
      <c r="X34" s="2388"/>
      <c r="Y34" s="2388"/>
      <c r="Z34" s="2388"/>
      <c r="AA34" s="2388"/>
      <c r="AB34" s="2388"/>
      <c r="AC34" s="45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450"/>
      <c r="BB34" s="450"/>
      <c r="BC34" s="404"/>
      <c r="BD34" s="492"/>
      <c r="BE34" s="492"/>
      <c r="BF34" s="492"/>
      <c r="BG34" s="492"/>
      <c r="BH34" s="492"/>
      <c r="BI34" s="542">
        <v>0</v>
      </c>
    </row>
    <row customHeight="1" ht="14.25" hidden="1">
      <c r="Q35" s="415"/>
      <c r="R35" s="500"/>
      <c r="S35" s="1399"/>
      <c r="T35" s="487"/>
      <c r="U35" s="487"/>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633"/>
      <c r="BI35" s="1279">
        <v>0</v>
      </c>
    </row>
    <row s="7787" customFormat="1" customHeight="1" ht="18.75" hidden="1">
      <c r="A36" s="1492"/>
      <c r="B36" s="1492"/>
      <c r="C36" s="1492"/>
      <c r="D36" s="1492"/>
      <c r="E36" s="1492"/>
      <c r="F36" s="1492"/>
      <c r="G36" s="1492"/>
      <c r="H36" s="1492"/>
      <c r="I36" s="1492"/>
      <c r="J36" s="1492"/>
      <c r="K36" s="1492"/>
      <c r="L36" s="1493"/>
      <c r="M36" s="1492"/>
      <c r="N36" s="1492"/>
      <c r="O36" s="1492"/>
      <c r="P36" s="1492"/>
      <c r="Q36" s="1492"/>
      <c r="S36" s="2387" t="s">
        <v>535</v>
      </c>
      <c r="T36" s="2387"/>
      <c r="U36" s="1496"/>
      <c r="V36" s="2401" t="str">
        <f>IF(TITLE_DATE_PR_CHANGE="",IF(TITLE_DATE_PR="","",TITLE_DATE_PR),TITLE_DATE_PR_CHANGE)</f>
        <v/>
      </c>
      <c r="W36" s="2401"/>
      <c r="X36" s="2401"/>
      <c r="Y36" s="2401"/>
      <c r="Z36" s="2401"/>
      <c r="AA36" s="2401"/>
      <c r="AB36" s="2401"/>
      <c r="AC36" s="450"/>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450"/>
      <c r="BB36" s="450"/>
      <c r="BC36" s="404"/>
      <c r="BD36" s="492"/>
      <c r="BE36" s="492"/>
      <c r="BF36" s="492"/>
      <c r="BG36" s="492"/>
      <c r="BH36" s="492"/>
      <c r="BI36" s="542">
        <v>0</v>
      </c>
    </row>
    <row s="7787" customFormat="1" customHeight="1" ht="18.75" hidden="1">
      <c r="A37" s="1492"/>
      <c r="B37" s="1492"/>
      <c r="C37" s="1492"/>
      <c r="D37" s="1492"/>
      <c r="E37" s="1492"/>
      <c r="F37" s="1492"/>
      <c r="G37" s="1492"/>
      <c r="H37" s="1492"/>
      <c r="I37" s="1492"/>
      <c r="J37" s="1492"/>
      <c r="K37" s="1492"/>
      <c r="L37" s="1493"/>
      <c r="M37" s="1492"/>
      <c r="N37" s="1492"/>
      <c r="O37" s="1492"/>
      <c r="P37" s="1492"/>
      <c r="Q37" s="1492"/>
      <c r="S37" s="2387" t="s">
        <v>536</v>
      </c>
      <c r="T37" s="2387"/>
      <c r="U37" s="1496"/>
      <c r="V37" s="2388" t="str">
        <f>IF(TITLE_NUMBER_PR_CHANGE="",IF(TITLE_NUMBER_PR="","",TITLE_NUMBER_PR),TITLE_NUMBER_PR_CHANGE)</f>
        <v/>
      </c>
      <c r="W37" s="2388"/>
      <c r="X37" s="2388"/>
      <c r="Y37" s="2388"/>
      <c r="Z37" s="2388"/>
      <c r="AA37" s="2388"/>
      <c r="AB37" s="2388"/>
      <c r="AC37" s="45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450"/>
      <c r="BB37" s="450"/>
      <c r="BC37" s="404"/>
      <c r="BD37" s="492"/>
      <c r="BE37" s="492"/>
      <c r="BF37" s="492"/>
      <c r="BG37" s="492"/>
      <c r="BH37" s="492"/>
      <c r="BI37" s="542">
        <v>0</v>
      </c>
    </row>
    <row s="7787" customFormat="1" customHeight="1" ht="0">
      <c r="A38" s="1492"/>
      <c r="B38" s="1492"/>
      <c r="C38" s="1492"/>
      <c r="D38" s="1492"/>
      <c r="E38" s="1492"/>
      <c r="F38" s="1492"/>
      <c r="G38" s="1492"/>
      <c r="H38" s="1492"/>
      <c r="I38" s="1492"/>
      <c r="J38" s="1492"/>
      <c r="K38" s="1492"/>
      <c r="L38" s="1493"/>
      <c r="M38" s="1492"/>
      <c r="N38" s="1492"/>
      <c r="O38" s="1492"/>
      <c r="P38" s="1492"/>
      <c r="Q38" s="1492"/>
      <c r="S38" s="447"/>
      <c r="T38" s="447"/>
      <c r="U38" s="1612"/>
      <c r="V38" s="450"/>
      <c r="W38" s="450"/>
      <c r="X38" s="450"/>
      <c r="Y38" s="450"/>
      <c r="Z38" s="450"/>
      <c r="AA38" s="450"/>
      <c r="AB38" s="450"/>
      <c r="AC38" s="402" t="s">
        <v>539</v>
      </c>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02" t="s">
        <v>539</v>
      </c>
      <c r="BD38" s="492"/>
      <c r="BE38" s="492"/>
      <c r="BF38" s="492"/>
      <c r="BG38" s="492"/>
      <c r="BH38" s="492"/>
      <c r="BI38" s="542">
        <v>0</v>
      </c>
    </row>
    <row customHeight="1" ht="14.699999999999998">
      <c r="Q39" s="415"/>
      <c r="R39" s="500"/>
      <c r="S39" s="1399"/>
      <c r="T39" s="487"/>
      <c r="U39" s="1368"/>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279">
        <v>14</v>
      </c>
    </row>
    <row customHeight="1" ht="14.699999999999998">
      <c r="Q40" s="415"/>
      <c r="R40" s="500"/>
      <c r="S40" s="2264" t="s">
        <v>412</v>
      </c>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4"/>
      <c r="AX40" s="2264"/>
      <c r="AY40" s="2264"/>
      <c r="AZ40" s="2264"/>
      <c r="BA40" s="2264"/>
      <c r="BB40" s="2264"/>
      <c r="BC40" s="2264" t="s">
        <v>413</v>
      </c>
      <c r="BI40" s="1279">
        <v>14</v>
      </c>
    </row>
    <row customHeight="1" ht="14.699999999999998">
      <c r="Q41" s="415"/>
      <c r="R41" s="500"/>
      <c r="S41" s="2410" t="s">
        <v>88</v>
      </c>
      <c r="T41" s="2346" t="s">
        <v>619</v>
      </c>
      <c r="U41" s="425"/>
      <c r="V41" s="2411" t="s">
        <v>541</v>
      </c>
      <c r="W41" s="2412"/>
      <c r="X41" s="2412"/>
      <c r="Y41" s="2412"/>
      <c r="Z41" s="2412"/>
      <c r="AA41" s="2412"/>
      <c r="AB41" s="2413"/>
      <c r="AC41" s="2414" t="s">
        <v>542</v>
      </c>
      <c r="AD41" s="2465" t="s">
        <v>620</v>
      </c>
      <c r="AE41" s="2428"/>
      <c r="AF41" s="2428"/>
      <c r="AG41" s="2466"/>
      <c r="AH41" s="2465" t="s">
        <v>621</v>
      </c>
      <c r="AI41" s="2428"/>
      <c r="AJ41" s="2428"/>
      <c r="AK41" s="2466"/>
      <c r="AL41" s="2465" t="s">
        <v>622</v>
      </c>
      <c r="AM41" s="2428"/>
      <c r="AN41" s="2428"/>
      <c r="AO41" s="2466"/>
      <c r="AP41" s="2465" t="s">
        <v>623</v>
      </c>
      <c r="AQ41" s="2428"/>
      <c r="AR41" s="2428"/>
      <c r="AS41" s="2466"/>
      <c r="AT41" s="2411" t="s">
        <v>541</v>
      </c>
      <c r="AU41" s="2412"/>
      <c r="AV41" s="2412"/>
      <c r="AW41" s="2412"/>
      <c r="AX41" s="2412"/>
      <c r="AY41" s="2412"/>
      <c r="AZ41" s="2413"/>
      <c r="BA41" s="2414" t="s">
        <v>542</v>
      </c>
      <c r="BB41" s="2417" t="s">
        <v>544</v>
      </c>
      <c r="BC41" s="2264"/>
      <c r="BI41" s="1279">
        <v>14</v>
      </c>
    </row>
    <row customHeight="1" ht="35.699999999999996">
      <c r="Q42" s="415"/>
      <c r="R42" s="500"/>
      <c r="S42" s="2410"/>
      <c r="T42" s="2346"/>
      <c r="U42" s="1155"/>
      <c r="V42" s="2329" t="s">
        <v>624</v>
      </c>
      <c r="W42" s="2330"/>
      <c r="X42" s="2329" t="s">
        <v>625</v>
      </c>
      <c r="Y42" s="2330"/>
      <c r="Z42" s="2431" t="s">
        <v>626</v>
      </c>
      <c r="AA42" s="2450"/>
      <c r="AB42" s="2451"/>
      <c r="AC42" s="2415"/>
      <c r="AD42" s="2467"/>
      <c r="AE42" s="2468"/>
      <c r="AF42" s="2468"/>
      <c r="AG42" s="2469"/>
      <c r="AH42" s="2467"/>
      <c r="AI42" s="2468"/>
      <c r="AJ42" s="2468"/>
      <c r="AK42" s="2469"/>
      <c r="AL42" s="2467"/>
      <c r="AM42" s="2468"/>
      <c r="AN42" s="2468"/>
      <c r="AO42" s="2469"/>
      <c r="AP42" s="2467"/>
      <c r="AQ42" s="2468"/>
      <c r="AR42" s="2468"/>
      <c r="AS42" s="2469"/>
      <c r="AT42" s="2329" t="s">
        <v>624</v>
      </c>
      <c r="AU42" s="2330"/>
      <c r="AV42" s="2329" t="s">
        <v>625</v>
      </c>
      <c r="AW42" s="2330"/>
      <c r="AX42" s="2431" t="s">
        <v>626</v>
      </c>
      <c r="AY42" s="2450"/>
      <c r="AZ42" s="2451"/>
      <c r="BA42" s="2415"/>
      <c r="BB42" s="2418"/>
      <c r="BC42" s="2264"/>
      <c r="BI42" s="1279">
        <v>34</v>
      </c>
    </row>
    <row customHeight="1" ht="14.699999999999998">
      <c r="Q43" s="415"/>
      <c r="R43" s="500"/>
      <c r="S43" s="2410"/>
      <c r="T43" s="2346"/>
      <c r="U43" s="1155"/>
      <c r="V43" s="2337"/>
      <c r="W43" s="2338"/>
      <c r="X43" s="2337"/>
      <c r="Y43" s="2338"/>
      <c r="Z43" s="2432"/>
      <c r="AA43" s="2452"/>
      <c r="AB43" s="2453"/>
      <c r="AC43" s="2415"/>
      <c r="AD43" s="2467"/>
      <c r="AE43" s="2468"/>
      <c r="AF43" s="2468"/>
      <c r="AG43" s="2469"/>
      <c r="AH43" s="2467"/>
      <c r="AI43" s="2468"/>
      <c r="AJ43" s="2468"/>
      <c r="AK43" s="2469"/>
      <c r="AL43" s="2467"/>
      <c r="AM43" s="2468"/>
      <c r="AN43" s="2468"/>
      <c r="AO43" s="2469"/>
      <c r="AP43" s="2467"/>
      <c r="AQ43" s="2468"/>
      <c r="AR43" s="2468"/>
      <c r="AS43" s="2469"/>
      <c r="AT43" s="2337"/>
      <c r="AU43" s="2338"/>
      <c r="AV43" s="2337"/>
      <c r="AW43" s="2338"/>
      <c r="AX43" s="2432"/>
      <c r="AY43" s="2452"/>
      <c r="AZ43" s="2453"/>
      <c r="BA43" s="2415"/>
      <c r="BB43" s="2418"/>
      <c r="BC43" s="2264"/>
      <c r="BI43" s="1279">
        <v>14</v>
      </c>
    </row>
    <row customHeight="1" ht="14.699999999999998">
      <c r="A44" s="1494"/>
      <c r="B44" s="1494" t="s">
        <v>255</v>
      </c>
      <c r="C44" s="1494" t="s">
        <v>256</v>
      </c>
      <c r="D44" s="1494" t="s">
        <v>257</v>
      </c>
      <c r="E44" s="1488" t="s">
        <v>549</v>
      </c>
      <c r="F44" s="1488" t="s">
        <v>550</v>
      </c>
      <c r="G44" s="1488" t="s">
        <v>551</v>
      </c>
      <c r="H44" s="1488" t="s">
        <v>552</v>
      </c>
      <c r="I44" s="1488" t="s">
        <v>553</v>
      </c>
      <c r="J44" s="1488" t="s">
        <v>554</v>
      </c>
      <c r="K44" s="1488" t="s">
        <v>555</v>
      </c>
      <c r="L44" s="1488" t="s">
        <v>530</v>
      </c>
      <c r="Q44" s="415"/>
      <c r="R44" s="500"/>
      <c r="S44" s="2410"/>
      <c r="T44" s="2346"/>
      <c r="U44" s="426"/>
      <c r="V44" s="1603" t="s">
        <v>590</v>
      </c>
      <c r="W44" s="1603" t="s">
        <v>591</v>
      </c>
      <c r="X44" s="1603" t="s">
        <v>590</v>
      </c>
      <c r="Y44" s="1603" t="s">
        <v>591</v>
      </c>
      <c r="Z44" s="1613" t="s">
        <v>558</v>
      </c>
      <c r="AA44" s="2407" t="s">
        <v>559</v>
      </c>
      <c r="AB44" s="2408"/>
      <c r="AC44" s="2416"/>
      <c r="AD44" s="2470"/>
      <c r="AE44" s="2471"/>
      <c r="AF44" s="2471"/>
      <c r="AG44" s="2472"/>
      <c r="AH44" s="2470"/>
      <c r="AI44" s="2471"/>
      <c r="AJ44" s="2471"/>
      <c r="AK44" s="2472"/>
      <c r="AL44" s="2470"/>
      <c r="AM44" s="2471"/>
      <c r="AN44" s="2471"/>
      <c r="AO44" s="2472"/>
      <c r="AP44" s="2470"/>
      <c r="AQ44" s="2471"/>
      <c r="AR44" s="2471"/>
      <c r="AS44" s="2472"/>
      <c r="AT44" s="1603" t="s">
        <v>590</v>
      </c>
      <c r="AU44" s="1603" t="s">
        <v>591</v>
      </c>
      <c r="AV44" s="1603" t="s">
        <v>590</v>
      </c>
      <c r="AW44" s="1603" t="s">
        <v>591</v>
      </c>
      <c r="AX44" s="1613" t="s">
        <v>558</v>
      </c>
      <c r="AY44" s="2407" t="s">
        <v>559</v>
      </c>
      <c r="AZ44" s="2408"/>
      <c r="BA44" s="2416"/>
      <c r="BB44" s="2419"/>
      <c r="BC44" s="2264"/>
      <c r="BI44" s="1279">
        <v>14</v>
      </c>
    </row>
    <row s="6292" customFormat="1" customHeight="1" ht="0">
      <c r="A45" s="1494"/>
      <c r="B45" s="1494"/>
      <c r="C45" s="1494"/>
      <c r="D45" s="1494"/>
      <c r="E45" s="1494"/>
      <c r="F45" s="1494"/>
      <c r="G45" s="1494"/>
      <c r="H45" s="1494"/>
      <c r="I45" s="1494"/>
      <c r="J45" s="1494"/>
      <c r="K45" s="1494"/>
      <c r="L45" s="1488"/>
      <c r="M45" s="1486"/>
      <c r="N45" s="1486"/>
      <c r="O45" s="1486"/>
      <c r="P45" s="634"/>
      <c r="Q45" s="1378"/>
      <c r="R45" s="1378">
        <v>1</v>
      </c>
      <c r="S45" s="1401" t="s">
        <v>210</v>
      </c>
      <c r="T45" s="1379" t="s">
        <v>102</v>
      </c>
      <c r="U45" s="1369" t="str">
        <f>OFFSET(U45,0,-1)</f>
        <v>2</v>
      </c>
      <c r="V45" s="1606">
        <f>OFFSET(V45,0,-1)+1</f>
        <v>3</v>
      </c>
      <c r="W45" s="1606">
        <f>OFFSET(W45,0,-1)+1</f>
        <v>4</v>
      </c>
      <c r="X45" s="1606">
        <f>OFFSET(X45,0,-1)+1</f>
        <v>5</v>
      </c>
      <c r="Y45" s="1606">
        <f>OFFSET(Y45,0,-1)+1</f>
        <v>6</v>
      </c>
      <c r="Z45" s="1606">
        <f>OFFSET(Z45,0,-1)+1</f>
        <v>7</v>
      </c>
      <c r="AA45" s="2409">
        <f>OFFSET(AA45,0,-1)+1</f>
        <v>8</v>
      </c>
      <c r="AB45" s="2409"/>
      <c r="AC45" s="1606">
        <f>OFFSET(AC45,0,-2)+1</f>
        <v>9</v>
      </c>
      <c r="AD45" s="1606">
        <f>OFFSET(AD45,0,-1)+1</f>
        <v>10</v>
      </c>
      <c r="AE45" s="1606"/>
      <c r="AF45" s="1606"/>
      <c r="AG45" s="1606"/>
      <c r="AH45" s="1606"/>
      <c r="AI45" s="1606"/>
      <c r="AJ45" s="1606"/>
      <c r="AK45" s="1606"/>
      <c r="AL45" s="1606"/>
      <c r="AM45" s="1606"/>
      <c r="AN45" s="1606"/>
      <c r="AO45" s="1606"/>
      <c r="AP45" s="1606"/>
      <c r="AQ45" s="1606"/>
      <c r="AR45" s="1606"/>
      <c r="AS45" s="1606"/>
      <c r="AT45" s="1606"/>
      <c r="AU45" s="1606"/>
      <c r="AV45" s="1606"/>
      <c r="AW45" s="1606">
        <f>OFFSET(AW45,0,-1)+1</f>
        <v>1</v>
      </c>
      <c r="AX45" s="1606">
        <f>OFFSET(AX45,0,-1)+1</f>
        <v>2</v>
      </c>
      <c r="AY45" s="2409">
        <f>OFFSET(AY45,0,-1)+1</f>
        <v>3</v>
      </c>
      <c r="AZ45" s="2409"/>
      <c r="BA45" s="1606">
        <f>OFFSET(BA45,0,-2)+1</f>
        <v>4</v>
      </c>
      <c r="BB45" s="1369">
        <f>OFFSET(BB45,0,-1)</f>
        <v>4</v>
      </c>
      <c r="BC45" s="1606">
        <f>OFFSET(BC45,0,-1)+1</f>
        <v>5</v>
      </c>
      <c r="BD45" s="635"/>
      <c r="BE45" s="635"/>
      <c r="BF45" s="635"/>
      <c r="BG45" s="635"/>
      <c r="BH45" s="635"/>
      <c r="BI45" s="620">
        <v>0</v>
      </c>
    </row>
    <row customHeight="1" ht="22.049999999999997">
      <c r="A46" s="1487" t="s">
        <v>373</v>
      </c>
      <c r="B46" s="1487"/>
      <c r="C46" s="1487"/>
      <c r="D46" s="1487"/>
      <c r="E46" s="2395">
        <v>1</v>
      </c>
      <c r="F46" s="1487"/>
      <c r="G46" s="1487"/>
      <c r="H46" s="1487"/>
      <c r="I46" s="1487"/>
      <c r="J46" s="1487"/>
      <c r="K46" s="1487"/>
      <c r="L46" s="1488"/>
      <c r="M46" s="1489"/>
      <c r="N46" s="1489"/>
      <c r="O46" s="1489"/>
      <c r="P46" s="1533"/>
      <c r="Q46" s="997"/>
      <c r="R46" s="479"/>
      <c r="S46" s="1617">
        <f>INDEX(PT_DIFFERENTIATION_NUM_NTAR,MATCH(A46,PT_DIFFERENTIATION_NTAR_ID,0))</f>
        <v>0</v>
      </c>
      <c r="T46" s="422" t="s">
        <v>243</v>
      </c>
      <c r="U46" s="424"/>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3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24"/>
      <c r="BF46" s="624" t="str">
        <f>IF(T46="","",T46)</f>
        <v>Наименование тарифа</v>
      </c>
      <c r="BG46" s="624"/>
      <c r="BH46" s="624"/>
      <c r="BI46" s="1279">
        <v>21</v>
      </c>
    </row>
    <row customHeight="1" ht="22.049999999999997">
      <c r="A47" s="1487" t="s">
        <v>373</v>
      </c>
      <c r="B47" s="1487" t="s">
        <v>374</v>
      </c>
      <c r="C47" s="1487"/>
      <c r="D47" s="1487"/>
      <c r="E47" s="2396"/>
      <c r="F47" s="2395">
        <v>1</v>
      </c>
      <c r="G47" s="1487"/>
      <c r="H47" s="1487"/>
      <c r="I47" s="1487"/>
      <c r="J47" s="1487"/>
      <c r="K47" s="1487"/>
      <c r="L47" s="1488"/>
      <c r="M47" s="1489"/>
      <c r="N47" s="1489"/>
      <c r="O47" s="1489"/>
      <c r="P47" s="1534"/>
      <c r="Q47" s="1535"/>
      <c r="R47" s="477"/>
      <c r="S47" s="1617" t="str">
        <f>INDEX(PT_DIFFERENTIATION_NUM_TER,MATCH(B47,PT_DIFFERENTIATION_TER_ID,0))</f>
        <v>.</v>
      </c>
      <c r="T47" s="432" t="s">
        <v>509</v>
      </c>
      <c r="U47" s="424"/>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382" t="s">
        <v>510</v>
      </c>
      <c r="BE47" s="624"/>
      <c r="BF47" s="624" t="str">
        <f>IF(T47="","",T47)</f>
        <v>Территория действия тарифа</v>
      </c>
      <c r="BG47" s="624"/>
      <c r="BH47" s="624"/>
      <c r="BI47" s="1279">
        <v>21</v>
      </c>
    </row>
    <row customHeight="1" ht="35.699999999999996">
      <c r="A48" s="1487" t="s">
        <v>373</v>
      </c>
      <c r="B48" s="1487" t="s">
        <v>374</v>
      </c>
      <c r="C48" s="1487" t="s">
        <v>375</v>
      </c>
      <c r="D48" s="1487"/>
      <c r="E48" s="2396"/>
      <c r="F48" s="2396"/>
      <c r="G48" s="2395">
        <v>1</v>
      </c>
      <c r="H48" s="1487"/>
      <c r="I48" s="1487"/>
      <c r="J48" s="1487"/>
      <c r="K48" s="1487"/>
      <c r="L48" s="1488"/>
      <c r="M48" s="1489"/>
      <c r="N48" s="1489"/>
      <c r="O48" s="1489"/>
      <c r="P48" s="1536"/>
      <c r="Q48" s="1535"/>
      <c r="R48" s="477"/>
      <c r="S48" s="1617" t="str">
        <f>INDEX(PT_DIFFERENTIATION_NUM_CS,MATCH(C48,PT_DIFFERENTIATION_CS_ID,0))</f>
        <v>..</v>
      </c>
      <c r="T48" s="433" t="s">
        <v>642</v>
      </c>
      <c r="U48" s="424"/>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382" t="s">
        <v>643</v>
      </c>
      <c r="BE48" s="624"/>
      <c r="BF48" s="624" t="str">
        <f>IF(T48="","",T48)</f>
        <v>Наименование централизованной системы горячего водоснабжения</v>
      </c>
      <c r="BG48" s="624"/>
      <c r="BH48" s="624"/>
      <c r="BI48" s="1279">
        <v>34</v>
      </c>
    </row>
    <row s="6698" customFormat="1" customHeight="1" ht="0">
      <c r="A49" s="1467" t="s">
        <v>373</v>
      </c>
      <c r="B49" s="1467" t="s">
        <v>374</v>
      </c>
      <c r="C49" s="1467" t="s">
        <v>375</v>
      </c>
      <c r="D49" s="1467" t="s">
        <v>656</v>
      </c>
      <c r="E49" s="2396"/>
      <c r="F49" s="2396"/>
      <c r="G49" s="2396"/>
      <c r="H49" s="2395">
        <v>1</v>
      </c>
      <c r="I49" s="1467"/>
      <c r="J49" s="1467"/>
      <c r="K49" s="1467"/>
      <c r="L49" s="1470"/>
      <c r="M49" s="1439"/>
      <c r="N49" s="1439"/>
      <c r="O49" s="1439"/>
      <c r="P49" s="1621"/>
      <c r="Q49" s="1622"/>
      <c r="R49" s="481"/>
      <c r="S49" s="1166"/>
      <c r="T49" s="1623"/>
      <c r="U49" s="1508"/>
      <c r="V49" s="2434"/>
      <c r="W49" s="2434"/>
      <c r="X49" s="2434"/>
      <c r="Y49" s="2434"/>
      <c r="Z49" s="2434"/>
      <c r="AA49" s="2434"/>
      <c r="AB49" s="2434"/>
      <c r="AC49" s="2435"/>
      <c r="AD49" s="2433"/>
      <c r="AE49" s="2434"/>
      <c r="AF49" s="2434"/>
      <c r="AG49" s="2434"/>
      <c r="AH49" s="2434"/>
      <c r="AI49" s="2434"/>
      <c r="AJ49" s="2434"/>
      <c r="AK49" s="2434"/>
      <c r="AL49" s="2434"/>
      <c r="AM49" s="2434"/>
      <c r="AN49" s="2434"/>
      <c r="AO49" s="2434"/>
      <c r="AP49" s="2434"/>
      <c r="AQ49" s="2434"/>
      <c r="AR49" s="2434"/>
      <c r="AS49" s="2434"/>
      <c r="AT49" s="2434"/>
      <c r="AU49" s="2434"/>
      <c r="AV49" s="2434"/>
      <c r="AW49" s="2434"/>
      <c r="AX49" s="2434"/>
      <c r="AY49" s="2434"/>
      <c r="AZ49" s="2434"/>
      <c r="BA49" s="2434"/>
      <c r="BB49" s="2435"/>
      <c r="BC49" s="1509" t="s">
        <v>514</v>
      </c>
      <c r="BE49" s="624"/>
      <c r="BF49" s="624" t="str">
        <f>IF(T49="","",T49)</f>
        <v/>
      </c>
      <c r="BG49" s="624"/>
      <c r="BH49" s="624"/>
      <c r="BI49" s="635">
        <v>0</v>
      </c>
    </row>
    <row s="6698" customFormat="1" customHeight="1" ht="0">
      <c r="A50" s="1467" t="s">
        <v>373</v>
      </c>
      <c r="B50" s="1467" t="s">
        <v>374</v>
      </c>
      <c r="C50" s="1467" t="s">
        <v>375</v>
      </c>
      <c r="D50" s="1467" t="s">
        <v>656</v>
      </c>
      <c r="E50" s="2396"/>
      <c r="F50" s="2396"/>
      <c r="G50" s="2396"/>
      <c r="H50" s="2396"/>
      <c r="I50" s="2393" t="str">
        <f>S49&amp;".1"</f>
        <v>.1</v>
      </c>
      <c r="J50" s="1467"/>
      <c r="K50" s="1467"/>
      <c r="L50" s="1470" t="s">
        <v>515</v>
      </c>
      <c r="M50" s="634"/>
      <c r="N50" s="634"/>
      <c r="O50" s="634"/>
      <c r="P50" s="2394">
        <v>1</v>
      </c>
      <c r="Q50" s="1605"/>
      <c r="R50" s="480"/>
      <c r="S50" s="1166"/>
      <c r="T50" s="1507"/>
      <c r="U50" s="1508"/>
      <c r="V50" s="2434"/>
      <c r="W50" s="2434"/>
      <c r="X50" s="2434"/>
      <c r="Y50" s="2434"/>
      <c r="Z50" s="2434"/>
      <c r="AA50" s="2434"/>
      <c r="AB50" s="2434"/>
      <c r="AC50" s="2435"/>
      <c r="AD50" s="2433"/>
      <c r="AE50" s="2434"/>
      <c r="AF50" s="2434"/>
      <c r="AG50" s="2434"/>
      <c r="AH50" s="2434"/>
      <c r="AI50" s="2434"/>
      <c r="AJ50" s="2434"/>
      <c r="AK50" s="2434"/>
      <c r="AL50" s="2434"/>
      <c r="AM50" s="2434"/>
      <c r="AN50" s="2434"/>
      <c r="AO50" s="2434"/>
      <c r="AP50" s="2434"/>
      <c r="AQ50" s="2434"/>
      <c r="AR50" s="2434"/>
      <c r="AS50" s="2434"/>
      <c r="AT50" s="2434"/>
      <c r="AU50" s="2434"/>
      <c r="AV50" s="2434"/>
      <c r="AW50" s="2434"/>
      <c r="AX50" s="2434"/>
      <c r="AY50" s="2434"/>
      <c r="AZ50" s="2434"/>
      <c r="BA50" s="2434"/>
      <c r="BB50" s="2435"/>
      <c r="BC50" s="1509"/>
      <c r="BE50" s="624"/>
      <c r="BF50" s="624" t="str">
        <f>IF(T50="","",T50)</f>
        <v/>
      </c>
      <c r="BG50" s="624"/>
      <c r="BH50" s="624"/>
      <c r="BI50" s="635">
        <v>0</v>
      </c>
    </row>
    <row s="6698" customFormat="1" customHeight="1" ht="0">
      <c r="A51" s="1467" t="s">
        <v>373</v>
      </c>
      <c r="B51" s="1467" t="s">
        <v>374</v>
      </c>
      <c r="C51" s="1467" t="s">
        <v>375</v>
      </c>
      <c r="D51" s="1467" t="s">
        <v>656</v>
      </c>
      <c r="E51" s="2396"/>
      <c r="F51" s="2396"/>
      <c r="G51" s="2396"/>
      <c r="H51" s="2396"/>
      <c r="I51" s="2423"/>
      <c r="J51" s="2393" t="str">
        <f>S49&amp;".1"</f>
        <v>.1</v>
      </c>
      <c r="K51" s="1467"/>
      <c r="L51" s="1470"/>
      <c r="M51" s="634"/>
      <c r="N51" s="634"/>
      <c r="O51" s="634"/>
      <c r="P51" s="2394"/>
      <c r="Q51" s="2394">
        <v>1</v>
      </c>
      <c r="R51" s="481"/>
      <c r="S51" s="1166"/>
      <c r="T51" s="1523"/>
      <c r="U51" s="1508"/>
      <c r="V51" s="2434"/>
      <c r="W51" s="2434"/>
      <c r="X51" s="2434"/>
      <c r="Y51" s="2434"/>
      <c r="Z51" s="2434"/>
      <c r="AA51" s="2434"/>
      <c r="AB51" s="2434"/>
      <c r="AC51" s="2435"/>
      <c r="AD51" s="2433"/>
      <c r="AE51" s="2434"/>
      <c r="AF51" s="2434"/>
      <c r="AG51" s="2434"/>
      <c r="AH51" s="2434"/>
      <c r="AI51" s="2434"/>
      <c r="AJ51" s="2434"/>
      <c r="AK51" s="2434"/>
      <c r="AL51" s="2434"/>
      <c r="AM51" s="2434"/>
      <c r="AN51" s="2501"/>
      <c r="AO51" s="2501"/>
      <c r="AP51" s="2434"/>
      <c r="AQ51" s="2434"/>
      <c r="AR51" s="2434"/>
      <c r="AS51" s="2434"/>
      <c r="AT51" s="2434"/>
      <c r="AU51" s="2434"/>
      <c r="AV51" s="2434"/>
      <c r="AW51" s="2434"/>
      <c r="AX51" s="2434"/>
      <c r="AY51" s="2434"/>
      <c r="AZ51" s="2434"/>
      <c r="BA51" s="2434"/>
      <c r="BB51" s="2435"/>
      <c r="BC51" s="1509"/>
      <c r="BE51" s="624"/>
      <c r="BF51" s="624" t="str">
        <f>IF(T51="","",T51)</f>
        <v/>
      </c>
      <c r="BG51" s="624"/>
      <c r="BH51" s="624"/>
      <c r="BI51" s="635">
        <v>0</v>
      </c>
    </row>
    <row customHeight="1" ht="11.549999999999999">
      <c r="A52" s="1487" t="s">
        <v>373</v>
      </c>
      <c r="B52" s="1487" t="s">
        <v>374</v>
      </c>
      <c r="C52" s="1487" t="s">
        <v>375</v>
      </c>
      <c r="D52" s="1487" t="s">
        <v>656</v>
      </c>
      <c r="E52" s="2396"/>
      <c r="F52" s="2396"/>
      <c r="G52" s="2396"/>
      <c r="H52" s="2396"/>
      <c r="I52" s="2423"/>
      <c r="J52" s="2423"/>
      <c r="K52" s="2393" t="str">
        <f>S48&amp;".1"</f>
        <v>...1</v>
      </c>
      <c r="L52" s="1488"/>
      <c r="P52" s="2394"/>
      <c r="Q52" s="2394"/>
      <c r="R52" s="481">
        <v>1</v>
      </c>
      <c r="S52" s="2478" t="str">
        <f>$K52</f>
        <v>...1</v>
      </c>
      <c r="T52" s="2497"/>
      <c r="U52" s="424"/>
      <c r="V52" s="875"/>
      <c r="W52" s="1381"/>
      <c r="X52" s="875"/>
      <c r="Y52" s="1381"/>
      <c r="Z52" s="1857"/>
      <c r="AA52" s="1593" t="s">
        <v>62</v>
      </c>
      <c r="AB52" s="1857"/>
      <c r="AC52" s="1593" t="s">
        <v>62</v>
      </c>
      <c r="AD52" s="2322" t="s">
        <v>62</v>
      </c>
      <c r="AE52" s="2463"/>
      <c r="AF52" s="2342">
        <v>1</v>
      </c>
      <c r="AG52" s="2500"/>
      <c r="AH52" s="2244" t="s">
        <v>62</v>
      </c>
      <c r="AI52" s="2463"/>
      <c r="AJ52" s="2342">
        <v>1</v>
      </c>
      <c r="AK52" s="2464" t="s">
        <v>22</v>
      </c>
      <c r="AL52" s="2244" t="s">
        <v>62</v>
      </c>
      <c r="AM52" s="2329"/>
      <c r="AN52" s="2342">
        <v>1</v>
      </c>
      <c r="AO52" s="2494"/>
      <c r="AP52" s="2495" t="s">
        <v>62</v>
      </c>
      <c r="AQ52" s="435"/>
      <c r="AR52" s="1610">
        <v>1</v>
      </c>
      <c r="AS52" s="1616" t="s">
        <v>22</v>
      </c>
      <c r="AT52" s="875"/>
      <c r="AU52" s="1381"/>
      <c r="AV52" s="875"/>
      <c r="AW52" s="1381"/>
      <c r="AX52" s="1857"/>
      <c r="AY52" s="1593" t="s">
        <v>62</v>
      </c>
      <c r="AZ52" s="1857"/>
      <c r="BA52" s="1593" t="s">
        <v>62</v>
      </c>
      <c r="BB52" s="1472"/>
      <c r="BC52" s="2390" t="s">
        <v>613</v>
      </c>
      <c r="BE52" s="624"/>
      <c r="BF52" s="624" t="str">
        <f>IF(T52="","",T52)</f>
        <v/>
      </c>
      <c r="BG52" s="624"/>
      <c r="BH52" s="624"/>
      <c r="BI52" s="1279">
        <v>11</v>
      </c>
    </row>
    <row customHeight="1" ht="11.549999999999999">
      <c r="A53" s="1487"/>
      <c r="B53" s="1487"/>
      <c r="C53" s="1487"/>
      <c r="D53" s="1487"/>
      <c r="E53" s="2396"/>
      <c r="F53" s="2396"/>
      <c r="G53" s="2396"/>
      <c r="H53" s="2396"/>
      <c r="I53" s="2423"/>
      <c r="J53" s="2423"/>
      <c r="K53" s="2393"/>
      <c r="L53" s="1488"/>
      <c r="P53" s="2394"/>
      <c r="Q53" s="2394"/>
      <c r="R53" s="481"/>
      <c r="S53" s="2479"/>
      <c r="T53" s="2498"/>
      <c r="U53" s="424"/>
      <c r="V53" s="1517"/>
      <c r="W53" s="1620"/>
      <c r="X53" s="1517"/>
      <c r="Y53" s="1620"/>
      <c r="Z53" s="1517"/>
      <c r="AA53" s="1517"/>
      <c r="AB53" s="1517"/>
      <c r="AC53" s="1517"/>
      <c r="AD53" s="2323"/>
      <c r="AE53" s="2463"/>
      <c r="AF53" s="2342"/>
      <c r="AG53" s="2500"/>
      <c r="AH53" s="2244"/>
      <c r="AI53" s="2463"/>
      <c r="AJ53" s="2342"/>
      <c r="AK53" s="2464"/>
      <c r="AL53" s="2244"/>
      <c r="AM53" s="2337"/>
      <c r="AN53" s="2342"/>
      <c r="AO53" s="2494"/>
      <c r="AP53" s="2496"/>
      <c r="AQ53" s="440"/>
      <c r="AR53" s="540"/>
      <c r="AS53" s="540" t="s">
        <v>614</v>
      </c>
      <c r="AT53" s="1517"/>
      <c r="AU53" s="1620"/>
      <c r="AV53" s="1517"/>
      <c r="AW53" s="1620"/>
      <c r="AX53" s="1517"/>
      <c r="AY53" s="1517"/>
      <c r="AZ53" s="1517"/>
      <c r="BA53" s="1517"/>
      <c r="BB53" s="1521"/>
      <c r="BC53" s="2391"/>
      <c r="BE53" s="624"/>
      <c r="BF53" s="624"/>
      <c r="BG53" s="624"/>
      <c r="BH53" s="624"/>
      <c r="BI53" s="1279">
        <v>11</v>
      </c>
    </row>
    <row customHeight="1" ht="11.549999999999999">
      <c r="A54" s="1487" t="s">
        <v>373</v>
      </c>
      <c r="B54" s="1487"/>
      <c r="C54" s="1487"/>
      <c r="D54" s="1487"/>
      <c r="E54" s="2396"/>
      <c r="F54" s="2396"/>
      <c r="G54" s="2396"/>
      <c r="H54" s="2396"/>
      <c r="I54" s="2423"/>
      <c r="J54" s="2423"/>
      <c r="K54" s="2393"/>
      <c r="L54" s="1488"/>
      <c r="P54" s="2394"/>
      <c r="Q54" s="2394"/>
      <c r="R54" s="481"/>
      <c r="S54" s="2479"/>
      <c r="T54" s="2498"/>
      <c r="U54" s="424"/>
      <c r="V54" s="1517"/>
      <c r="W54" s="1620"/>
      <c r="X54" s="1517"/>
      <c r="Y54" s="1620"/>
      <c r="Z54" s="1517"/>
      <c r="AA54" s="1517"/>
      <c r="AB54" s="1517"/>
      <c r="AC54" s="1517"/>
      <c r="AD54" s="2323"/>
      <c r="AE54" s="2463"/>
      <c r="AF54" s="2342"/>
      <c r="AG54" s="2500"/>
      <c r="AH54" s="2244"/>
      <c r="AI54" s="2463"/>
      <c r="AJ54" s="2342"/>
      <c r="AK54" s="2464"/>
      <c r="AL54" s="2244"/>
      <c r="AM54" s="440"/>
      <c r="AN54" s="1624"/>
      <c r="AO54" s="1624" t="s">
        <v>615</v>
      </c>
      <c r="AP54" s="540"/>
      <c r="AQ54" s="540"/>
      <c r="AR54" s="540"/>
      <c r="AS54" s="1517"/>
      <c r="AT54" s="1517"/>
      <c r="AU54" s="1620"/>
      <c r="AV54" s="1517"/>
      <c r="AW54" s="1620"/>
      <c r="AX54" s="1517"/>
      <c r="AY54" s="1517"/>
      <c r="AZ54" s="1517"/>
      <c r="BA54" s="1517"/>
      <c r="BB54" s="1521"/>
      <c r="BC54" s="2391"/>
      <c r="BE54" s="624"/>
      <c r="BF54" s="624"/>
      <c r="BG54" s="624"/>
      <c r="BH54" s="624"/>
      <c r="BI54" s="1279">
        <v>11</v>
      </c>
    </row>
    <row customHeight="1" ht="11.549999999999999">
      <c r="A55" s="1487" t="s">
        <v>373</v>
      </c>
      <c r="B55" s="1487"/>
      <c r="C55" s="1487"/>
      <c r="D55" s="1487"/>
      <c r="E55" s="2396"/>
      <c r="F55" s="2396"/>
      <c r="G55" s="2396"/>
      <c r="H55" s="2396"/>
      <c r="I55" s="2423"/>
      <c r="J55" s="2423"/>
      <c r="K55" s="2393"/>
      <c r="L55" s="1488"/>
      <c r="P55" s="2394"/>
      <c r="Q55" s="2394"/>
      <c r="R55" s="481"/>
      <c r="S55" s="2479"/>
      <c r="T55" s="2498"/>
      <c r="U55" s="424"/>
      <c r="V55" s="1517"/>
      <c r="W55" s="1620"/>
      <c r="X55" s="1517"/>
      <c r="Y55" s="1620"/>
      <c r="Z55" s="1517"/>
      <c r="AA55" s="1517"/>
      <c r="AB55" s="1517"/>
      <c r="AC55" s="1517"/>
      <c r="AD55" s="2323"/>
      <c r="AE55" s="2463"/>
      <c r="AF55" s="2342"/>
      <c r="AG55" s="2500"/>
      <c r="AH55" s="2244"/>
      <c r="AI55" s="418"/>
      <c r="AJ55" s="539"/>
      <c r="AK55" s="437" t="s">
        <v>616</v>
      </c>
      <c r="AL55" s="1517"/>
      <c r="AM55" s="1517"/>
      <c r="AN55" s="1517"/>
      <c r="AO55" s="1517"/>
      <c r="AP55" s="1517"/>
      <c r="AQ55" s="1517"/>
      <c r="AR55" s="1517"/>
      <c r="AS55" s="1517"/>
      <c r="AT55" s="1517"/>
      <c r="AU55" s="1620"/>
      <c r="AV55" s="1517"/>
      <c r="AW55" s="1620"/>
      <c r="AX55" s="1517"/>
      <c r="AY55" s="1517"/>
      <c r="AZ55" s="1517"/>
      <c r="BA55" s="1517"/>
      <c r="BB55" s="1521"/>
      <c r="BC55" s="2391"/>
      <c r="BE55" s="624"/>
      <c r="BF55" s="624"/>
      <c r="BG55" s="624"/>
      <c r="BH55" s="624"/>
      <c r="BI55" s="1279">
        <v>11</v>
      </c>
    </row>
    <row customHeight="1" ht="11.549999999999999">
      <c r="A56" s="1487" t="s">
        <v>373</v>
      </c>
      <c r="B56" s="1487" t="s">
        <v>374</v>
      </c>
      <c r="C56" s="1487" t="s">
        <v>375</v>
      </c>
      <c r="D56" s="1487" t="s">
        <v>656</v>
      </c>
      <c r="E56" s="2396"/>
      <c r="F56" s="2396"/>
      <c r="G56" s="2396"/>
      <c r="H56" s="2396"/>
      <c r="I56" s="2423"/>
      <c r="J56" s="2423"/>
      <c r="K56" s="2393"/>
      <c r="L56" s="1488"/>
      <c r="P56" s="2394"/>
      <c r="Q56" s="2394"/>
      <c r="R56" s="481"/>
      <c r="S56" s="2480"/>
      <c r="T56" s="2499"/>
      <c r="U56" s="424"/>
      <c r="V56" s="1517"/>
      <c r="W56" s="1518" t="str">
        <f>Z52&amp;"-"&amp;AB52</f>
        <v>-</v>
      </c>
      <c r="X56" s="1517"/>
      <c r="Y56" s="1518" t="str">
        <f>AB52&amp;"-"&amp;AD52</f>
        <v>-да</v>
      </c>
      <c r="Z56" s="1517"/>
      <c r="AA56" s="1517"/>
      <c r="AB56" s="1517"/>
      <c r="AC56" s="1517"/>
      <c r="AD56" s="2249"/>
      <c r="AE56" s="436"/>
      <c r="AF56" s="438"/>
      <c r="AG56" s="540" t="s">
        <v>617</v>
      </c>
      <c r="AH56" s="1517"/>
      <c r="AI56" s="1517"/>
      <c r="AJ56" s="1517"/>
      <c r="AK56" s="1517"/>
      <c r="AL56" s="1517"/>
      <c r="AM56" s="1517"/>
      <c r="AN56" s="1517"/>
      <c r="AO56" s="1517"/>
      <c r="AP56" s="1517"/>
      <c r="AQ56" s="1517"/>
      <c r="AR56" s="1517"/>
      <c r="AS56" s="1517"/>
      <c r="AT56" s="1517"/>
      <c r="AU56" s="1518" t="str">
        <f>AX52&amp;"-"&amp;AZ52</f>
        <v>-</v>
      </c>
      <c r="AV56" s="1517"/>
      <c r="AW56" s="1518" t="str">
        <f>AZ52&amp;"-"&amp;BB52</f>
        <v>-</v>
      </c>
      <c r="AX56" s="1517"/>
      <c r="AY56" s="1517"/>
      <c r="AZ56" s="1517"/>
      <c r="BA56" s="1517"/>
      <c r="BB56" s="1520" t="str">
        <f>BE52&amp;"-"&amp;BG52</f>
        <v>-</v>
      </c>
      <c r="BC56" s="2391"/>
      <c r="BE56" s="624"/>
      <c r="BF56" s="624" t="str">
        <f>IF(T56="","",T56)</f>
        <v/>
      </c>
      <c r="BG56" s="624"/>
      <c r="BH56" s="624"/>
      <c r="BI56" s="1279">
        <v>11</v>
      </c>
    </row>
    <row customHeight="1" ht="11.549999999999999">
      <c r="A57" s="1487" t="s">
        <v>373</v>
      </c>
      <c r="B57" s="1487" t="s">
        <v>374</v>
      </c>
      <c r="C57" s="1487" t="s">
        <v>375</v>
      </c>
      <c r="D57" s="1487" t="s">
        <v>656</v>
      </c>
      <c r="E57" s="2396"/>
      <c r="F57" s="2396"/>
      <c r="G57" s="2396"/>
      <c r="H57" s="2396"/>
      <c r="I57" s="2423"/>
      <c r="J57" s="2393"/>
      <c r="K57" s="1487"/>
      <c r="L57" s="1488"/>
      <c r="P57" s="2394"/>
      <c r="Q57" s="2394"/>
      <c r="R57" s="480"/>
      <c r="S57" s="1402"/>
      <c r="T57" s="411" t="s">
        <v>580</v>
      </c>
      <c r="U57" s="491"/>
      <c r="V57" s="491"/>
      <c r="W57" s="491"/>
      <c r="X57" s="491"/>
      <c r="Y57" s="491"/>
      <c r="Z57" s="491"/>
      <c r="AA57" s="491"/>
      <c r="AB57" s="491"/>
      <c r="AC57" s="448"/>
      <c r="AD57" s="1629"/>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48"/>
      <c r="BC57" s="2392"/>
      <c r="BE57" s="624"/>
      <c r="BF57" s="624" t="str">
        <f>IF(T57="","",T57)</f>
        <v>Добавить строку</v>
      </c>
      <c r="BG57" s="624"/>
      <c r="BH57" s="624"/>
      <c r="BI57" s="1279">
        <v>11</v>
      </c>
    </row>
    <row s="6698" customFormat="1" customHeight="1" ht="0">
      <c r="A58" s="1467" t="s">
        <v>373</v>
      </c>
      <c r="B58" s="1467" t="s">
        <v>374</v>
      </c>
      <c r="C58" s="1467" t="s">
        <v>375</v>
      </c>
      <c r="D58" s="1467" t="s">
        <v>656</v>
      </c>
      <c r="E58" s="2396"/>
      <c r="F58" s="2396"/>
      <c r="G58" s="2396"/>
      <c r="H58" s="2396"/>
      <c r="I58" s="2393"/>
      <c r="J58" s="1467"/>
      <c r="K58" s="1467"/>
      <c r="L58" s="1470"/>
      <c r="M58" s="634"/>
      <c r="N58" s="634"/>
      <c r="O58" s="634"/>
      <c r="P58" s="2394"/>
      <c r="Q58" s="1605"/>
      <c r="R58" s="480"/>
      <c r="S58" s="1510"/>
      <c r="T58" s="1511"/>
      <c r="U58" s="1512"/>
      <c r="V58" s="1512"/>
      <c r="W58" s="1512"/>
      <c r="X58" s="1512"/>
      <c r="Y58" s="1512"/>
      <c r="Z58" s="1512"/>
      <c r="AA58" s="1512"/>
      <c r="AB58" s="1512"/>
      <c r="AC58" s="1512"/>
      <c r="AD58" s="1512"/>
      <c r="AE58" s="1512"/>
      <c r="AF58" s="1512"/>
      <c r="AG58" s="1512"/>
      <c r="AH58" s="1512"/>
      <c r="AI58" s="1512"/>
      <c r="AJ58" s="1512"/>
      <c r="AK58" s="1512"/>
      <c r="AL58" s="1512"/>
      <c r="AM58" s="1512"/>
      <c r="AN58" s="1512"/>
      <c r="AO58" s="1512"/>
      <c r="AP58" s="1512"/>
      <c r="AQ58" s="1512"/>
      <c r="AR58" s="1512"/>
      <c r="AS58" s="1512"/>
      <c r="AT58" s="1512"/>
      <c r="AU58" s="1512"/>
      <c r="AV58" s="1512"/>
      <c r="AW58" s="1512"/>
      <c r="AX58" s="1512"/>
      <c r="AY58" s="1512"/>
      <c r="AZ58" s="1512"/>
      <c r="BA58" s="1512"/>
      <c r="BB58" s="1512"/>
      <c r="BC58" s="1513"/>
      <c r="BE58" s="624"/>
      <c r="BF58" s="624" t="str">
        <f>IF(T58="","",T58)</f>
        <v/>
      </c>
      <c r="BG58" s="624"/>
      <c r="BH58" s="624"/>
      <c r="BI58" s="635">
        <v>0</v>
      </c>
    </row>
    <row s="6698" customFormat="1" customHeight="1" ht="0">
      <c r="A59" s="1467" t="s">
        <v>373</v>
      </c>
      <c r="B59" s="1467" t="s">
        <v>374</v>
      </c>
      <c r="C59" s="1467" t="s">
        <v>375</v>
      </c>
      <c r="D59" s="1467" t="s">
        <v>656</v>
      </c>
      <c r="E59" s="2396"/>
      <c r="F59" s="2396"/>
      <c r="G59" s="2396"/>
      <c r="H59" s="2395"/>
      <c r="I59" s="1467"/>
      <c r="J59" s="1467"/>
      <c r="K59" s="1467"/>
      <c r="L59" s="1470"/>
      <c r="M59" s="1439"/>
      <c r="N59" s="1439"/>
      <c r="O59" s="642"/>
      <c r="P59" s="504"/>
      <c r="Q59" s="1468"/>
      <c r="R59" s="1525"/>
      <c r="S59" s="1510"/>
      <c r="T59" s="1511"/>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c r="BB59" s="1512"/>
      <c r="BC59" s="1513"/>
      <c r="BE59" s="624"/>
      <c r="BF59" s="624" t="str">
        <f>IF(T59="","",T59)</f>
        <v/>
      </c>
      <c r="BG59" s="624"/>
      <c r="BH59" s="624"/>
      <c r="BI59" s="635">
        <v>0</v>
      </c>
    </row>
    <row s="6698" customFormat="1" customHeight="1" ht="0">
      <c r="A60" s="1467" t="s">
        <v>373</v>
      </c>
      <c r="B60" s="1467" t="s">
        <v>374</v>
      </c>
      <c r="C60" s="1467" t="s">
        <v>375</v>
      </c>
      <c r="D60" s="1438"/>
      <c r="E60" s="2396"/>
      <c r="F60" s="2396"/>
      <c r="G60" s="2395"/>
      <c r="H60" s="1438"/>
      <c r="I60" s="1438"/>
      <c r="J60" s="1438"/>
      <c r="K60" s="1438"/>
      <c r="L60" s="1618"/>
      <c r="M60" s="1439"/>
      <c r="N60" s="1439"/>
      <c r="P60" s="1440"/>
      <c r="Q60" s="1441"/>
      <c r="R60" s="1440"/>
      <c r="S60" s="1446"/>
      <c r="T60" s="1449"/>
      <c r="U60" s="1448"/>
      <c r="V60" s="1448"/>
      <c r="W60" s="1448"/>
      <c r="X60" s="1448"/>
      <c r="Y60" s="1448"/>
      <c r="Z60" s="1448"/>
      <c r="AA60" s="1448"/>
      <c r="AB60" s="1448"/>
      <c r="AC60" s="1448"/>
      <c r="AD60" s="1448"/>
      <c r="AE60" s="1448"/>
      <c r="AF60" s="1448"/>
      <c r="AG60" s="1448"/>
      <c r="AH60" s="1448"/>
      <c r="AI60" s="1448"/>
      <c r="AJ60" s="1448"/>
      <c r="AK60" s="1448"/>
      <c r="AL60" s="1448"/>
      <c r="AM60" s="1448"/>
      <c r="AN60" s="1448"/>
      <c r="AO60" s="1448"/>
      <c r="AP60" s="1448"/>
      <c r="AQ60" s="1448"/>
      <c r="AR60" s="1448"/>
      <c r="AS60" s="1448"/>
      <c r="AT60" s="1448"/>
      <c r="AU60" s="1448"/>
      <c r="AV60" s="1448"/>
      <c r="AW60" s="1448"/>
      <c r="AX60" s="1448"/>
      <c r="AY60" s="1448"/>
      <c r="AZ60" s="1448"/>
      <c r="BA60" s="1448"/>
      <c r="BB60" s="1448"/>
      <c r="BC60" s="1448"/>
      <c r="BE60" s="913"/>
      <c r="BF60" s="913" t="str">
        <f>IF(T60="","",T60)</f>
        <v/>
      </c>
      <c r="BG60" s="913"/>
      <c r="BH60" s="913"/>
      <c r="BI60" s="642">
        <v>0</v>
      </c>
    </row>
    <row s="6698" customFormat="1" customHeight="1" ht="0">
      <c r="A61" s="1467" t="s">
        <v>373</v>
      </c>
      <c r="B61" s="1467" t="s">
        <v>374</v>
      </c>
      <c r="C61" s="1438"/>
      <c r="D61" s="1438"/>
      <c r="E61" s="2396"/>
      <c r="F61" s="2395"/>
      <c r="G61" s="1438"/>
      <c r="H61" s="1438"/>
      <c r="I61" s="1438"/>
      <c r="J61" s="1438"/>
      <c r="K61" s="1438"/>
      <c r="L61" s="1618"/>
      <c r="M61" s="1445"/>
      <c r="N61" s="1445"/>
      <c r="P61" s="1440"/>
      <c r="Q61" s="1441"/>
      <c r="R61" s="1440"/>
      <c r="S61" s="1446"/>
      <c r="T61" s="1449" t="s">
        <v>527</v>
      </c>
      <c r="U61" s="1448"/>
      <c r="V61" s="1448"/>
      <c r="W61" s="1448"/>
      <c r="X61" s="1448"/>
      <c r="Y61" s="1448"/>
      <c r="Z61" s="1448"/>
      <c r="AA61" s="1448"/>
      <c r="AB61" s="1448"/>
      <c r="AC61" s="1448"/>
      <c r="AD61" s="1448"/>
      <c r="AE61" s="1448"/>
      <c r="AF61" s="1448"/>
      <c r="AG61" s="1448"/>
      <c r="AH61" s="1448"/>
      <c r="AI61" s="1448"/>
      <c r="AJ61" s="1448"/>
      <c r="AK61" s="1448"/>
      <c r="AL61" s="1448"/>
      <c r="AM61" s="1448"/>
      <c r="AN61" s="1448"/>
      <c r="AO61" s="1448"/>
      <c r="AP61" s="1448"/>
      <c r="AQ61" s="1448"/>
      <c r="AR61" s="1448"/>
      <c r="AS61" s="1448"/>
      <c r="AT61" s="1448"/>
      <c r="AU61" s="1448"/>
      <c r="AV61" s="1448"/>
      <c r="AW61" s="1448"/>
      <c r="AX61" s="1448"/>
      <c r="AY61" s="1448"/>
      <c r="AZ61" s="1448"/>
      <c r="BA61" s="1448"/>
      <c r="BB61" s="1448"/>
      <c r="BC61" s="1448"/>
      <c r="BE61" s="913"/>
      <c r="BF61" s="913" t="str">
        <f>IF(T61="","",T61)</f>
        <v>Добавить централизованную систему для дифференциации</v>
      </c>
      <c r="BG61" s="913"/>
      <c r="BH61" s="913"/>
      <c r="BI61" s="642">
        <v>0</v>
      </c>
    </row>
    <row s="6698" customFormat="1" customHeight="1" ht="0">
      <c r="A62" s="1467" t="s">
        <v>373</v>
      </c>
      <c r="B62" s="1467"/>
      <c r="C62" s="1467"/>
      <c r="D62" s="1467"/>
      <c r="E62" s="2395"/>
      <c r="F62" s="1467"/>
      <c r="G62" s="1467"/>
      <c r="H62" s="1467"/>
      <c r="I62" s="1467"/>
      <c r="J62" s="1467"/>
      <c r="K62" s="1467"/>
      <c r="L62" s="1470"/>
      <c r="M62" s="1445"/>
      <c r="N62" s="1445"/>
      <c r="O62" s="642"/>
      <c r="P62" s="504"/>
      <c r="Q62" s="1468"/>
      <c r="R62" s="504"/>
      <c r="S62" s="1446"/>
      <c r="T62" s="1449" t="s">
        <v>528</v>
      </c>
      <c r="U62" s="1448"/>
      <c r="V62" s="1448"/>
      <c r="W62" s="1448"/>
      <c r="X62" s="1448"/>
      <c r="Y62" s="1448"/>
      <c r="Z62" s="1448"/>
      <c r="AA62" s="1448"/>
      <c r="AB62" s="1448"/>
      <c r="AC62" s="1448"/>
      <c r="AD62" s="1448"/>
      <c r="AE62" s="1448"/>
      <c r="AF62" s="1448"/>
      <c r="AG62" s="1448"/>
      <c r="AH62" s="1448"/>
      <c r="AI62" s="1448"/>
      <c r="AJ62" s="1448"/>
      <c r="AK62" s="1448"/>
      <c r="AL62" s="1448"/>
      <c r="AM62" s="1448"/>
      <c r="AN62" s="1448"/>
      <c r="AO62" s="1448"/>
      <c r="AP62" s="1448"/>
      <c r="AQ62" s="1448"/>
      <c r="AR62" s="1448"/>
      <c r="AS62" s="1448"/>
      <c r="AT62" s="1448"/>
      <c r="AU62" s="1448"/>
      <c r="AV62" s="1448"/>
      <c r="AW62" s="1448"/>
      <c r="AX62" s="1448"/>
      <c r="AY62" s="1448"/>
      <c r="AZ62" s="1448"/>
      <c r="BA62" s="1448"/>
      <c r="BB62" s="1448"/>
      <c r="BC62" s="1448"/>
      <c r="BE62" s="624"/>
      <c r="BF62" s="624" t="str">
        <f>IF(T62="","",T62)</f>
        <v>Добавить территорию для дифференциации</v>
      </c>
      <c r="BG62" s="624"/>
      <c r="BH62" s="624"/>
      <c r="BI62" s="635">
        <v>0</v>
      </c>
    </row>
    <row s="6698" customFormat="1" customHeight="1" ht="0">
      <c r="A63" s="1438"/>
      <c r="B63" s="1438"/>
      <c r="C63" s="1438"/>
      <c r="D63" s="1438"/>
      <c r="E63" s="1467"/>
      <c r="F63" s="1438"/>
      <c r="G63" s="1438"/>
      <c r="H63" s="1438"/>
      <c r="I63" s="1438"/>
      <c r="J63" s="1438"/>
      <c r="K63" s="1438"/>
      <c r="L63" s="1618"/>
      <c r="M63" s="1445"/>
      <c r="N63" s="1445"/>
      <c r="P63" s="1440"/>
      <c r="Q63" s="1441"/>
      <c r="R63" s="1440"/>
      <c r="S63" s="1446"/>
      <c r="T63" s="1449" t="s">
        <v>560</v>
      </c>
      <c r="U63" s="1448"/>
      <c r="V63" s="1448"/>
      <c r="W63" s="1448"/>
      <c r="X63" s="1448"/>
      <c r="Y63" s="1448"/>
      <c r="Z63" s="1448"/>
      <c r="AA63" s="1448"/>
      <c r="AB63" s="1448"/>
      <c r="AC63" s="1448"/>
      <c r="AD63" s="1448"/>
      <c r="AE63" s="1448"/>
      <c r="AF63" s="1448"/>
      <c r="AG63" s="1448"/>
      <c r="AH63" s="1448"/>
      <c r="AI63" s="1448"/>
      <c r="AJ63" s="1448"/>
      <c r="AK63" s="1448"/>
      <c r="AL63" s="1448"/>
      <c r="AM63" s="1448"/>
      <c r="AN63" s="1448"/>
      <c r="AO63" s="1448"/>
      <c r="AP63" s="1448"/>
      <c r="AQ63" s="1448"/>
      <c r="AR63" s="1448"/>
      <c r="AS63" s="1448"/>
      <c r="AT63" s="1448"/>
      <c r="AU63" s="1448"/>
      <c r="AV63" s="1448"/>
      <c r="AW63" s="1448"/>
      <c r="AX63" s="1448"/>
      <c r="AY63" s="1448"/>
      <c r="AZ63" s="1448"/>
      <c r="BA63" s="1448"/>
      <c r="BB63" s="1448"/>
      <c r="BC63" s="1448"/>
      <c r="BE63" s="913"/>
      <c r="BF63" s="913" t="str">
        <f>IF(T63="","",T63)</f>
        <v>Добавить наименование тарифа</v>
      </c>
      <c r="BG63" s="913"/>
      <c r="BH63" s="913"/>
      <c r="BI63" s="642">
        <v>0</v>
      </c>
    </row>
    <row customHeight="1" ht="11.549999999999999">
      <c r="M64" s="1284"/>
      <c r="N64" s="1284"/>
      <c r="O64" s="661"/>
      <c r="P64" s="1284"/>
      <c r="Q64" s="1284"/>
      <c r="R64" s="1279"/>
      <c r="S64" s="1279"/>
      <c r="BD64" s="1279"/>
      <c r="BE64" s="1279"/>
      <c r="BF64" s="1279"/>
      <c r="BG64" s="1279"/>
      <c r="BH64" s="1279"/>
      <c r="BI64" s="1279">
        <v>11</v>
      </c>
    </row>
    <row customHeight="1" ht="19.95">
      <c r="O65" s="661"/>
      <c r="S65" s="1377"/>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c r="AS65" s="2422"/>
      <c r="AT65" s="2422"/>
      <c r="AU65" s="2422"/>
      <c r="AV65" s="2422"/>
      <c r="AW65" s="2422"/>
      <c r="AX65" s="2422"/>
      <c r="AY65" s="2422"/>
      <c r="AZ65" s="2422"/>
      <c r="BA65" s="2422"/>
      <c r="BB65" s="2422"/>
      <c r="BC65" s="2422"/>
      <c r="BI65" s="1279">
        <v>19</v>
      </c>
    </row>
    <row customHeight="1" ht="14.699999999999998">
      <c r="O66" s="661"/>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c r="AS66" s="1604"/>
      <c r="AT66" s="1604"/>
      <c r="AU66" s="1604"/>
      <c r="AV66" s="1604"/>
      <c r="AW66" s="1604"/>
      <c r="AX66" s="1604"/>
      <c r="AY66" s="1604"/>
      <c r="AZ66" s="1604"/>
      <c r="BA66" s="1604"/>
      <c r="BB66" s="1604"/>
      <c r="BC66" s="1604"/>
      <c r="BI66" s="1279">
        <v>14</v>
      </c>
    </row>
    <row customHeight="1" ht="19.95">
      <c r="O67" s="661"/>
      <c r="S67" s="1377"/>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c r="AS67" s="2422"/>
      <c r="AT67" s="2422"/>
      <c r="AU67" s="2422"/>
      <c r="AV67" s="2422"/>
      <c r="AW67" s="2422"/>
      <c r="AX67" s="2422"/>
      <c r="AY67" s="2422"/>
      <c r="AZ67" s="2422"/>
      <c r="BA67" s="2422"/>
      <c r="BB67" s="2422"/>
      <c r="BC67" s="2422"/>
      <c r="BI67" s="1279">
        <v>19</v>
      </c>
    </row>
    <row customHeight="1" ht="14.699999999999998">
      <c r="O68" s="661"/>
      <c r="BI68" s="1279">
        <v>14</v>
      </c>
    </row>
    <row customHeight="1" ht="14.25" hidden="1">
      <c r="A69" s="1284" t="s">
        <v>82</v>
      </c>
      <c r="B69" s="1284">
        <v>0</v>
      </c>
      <c r="C69" s="1284">
        <v>0</v>
      </c>
      <c r="D69" s="1284">
        <v>0</v>
      </c>
      <c r="E69" s="1284">
        <v>0</v>
      </c>
      <c r="F69" s="1284">
        <v>0</v>
      </c>
      <c r="G69" s="1284">
        <v>0</v>
      </c>
      <c r="H69" s="1284">
        <v>0</v>
      </c>
      <c r="I69" s="1284">
        <v>0</v>
      </c>
      <c r="J69" s="1284">
        <v>0</v>
      </c>
      <c r="K69" s="1284">
        <v>0</v>
      </c>
      <c r="L69" s="1602">
        <v>0</v>
      </c>
      <c r="M69" s="1486">
        <v>0</v>
      </c>
      <c r="N69" s="1486">
        <v>0</v>
      </c>
      <c r="O69" s="1486">
        <v>0</v>
      </c>
      <c r="P69" s="1486">
        <v>0</v>
      </c>
      <c r="Q69" s="1495">
        <v>0</v>
      </c>
      <c r="R69" s="468">
        <v>3</v>
      </c>
      <c r="S69" s="705">
        <v>12</v>
      </c>
      <c r="T69" s="1279">
        <v>31</v>
      </c>
      <c r="U69" s="1279">
        <v>0</v>
      </c>
      <c r="V69" s="1279">
        <v>0</v>
      </c>
      <c r="W69" s="1279">
        <v>0</v>
      </c>
      <c r="X69" s="1279">
        <v>0</v>
      </c>
      <c r="Y69" s="1279">
        <v>0</v>
      </c>
      <c r="Z69" s="1279">
        <v>0</v>
      </c>
      <c r="AA69" s="1279">
        <v>0</v>
      </c>
      <c r="AB69" s="1279">
        <v>0</v>
      </c>
      <c r="AC69" s="1279">
        <v>0</v>
      </c>
      <c r="AD69" s="1279">
        <v>3</v>
      </c>
      <c r="AE69" s="1279">
        <v>3</v>
      </c>
      <c r="AF69" s="1279">
        <v>3</v>
      </c>
      <c r="AG69" s="1279">
        <v>24</v>
      </c>
      <c r="AH69" s="1279">
        <v>3</v>
      </c>
      <c r="AI69" s="1279">
        <v>3</v>
      </c>
      <c r="AJ69" s="1279">
        <v>3</v>
      </c>
      <c r="AK69" s="1279">
        <v>24</v>
      </c>
      <c r="AL69" s="1279">
        <v>3</v>
      </c>
      <c r="AM69" s="1279">
        <v>3</v>
      </c>
      <c r="AN69" s="1279">
        <v>3</v>
      </c>
      <c r="AO69" s="1279">
        <v>18</v>
      </c>
      <c r="AP69" s="1279">
        <v>3</v>
      </c>
      <c r="AQ69" s="1279">
        <v>3</v>
      </c>
      <c r="AR69" s="1279">
        <v>3</v>
      </c>
      <c r="AS69" s="1279">
        <v>18</v>
      </c>
      <c r="AT69" s="1279">
        <v>21</v>
      </c>
      <c r="AU69" s="1279">
        <v>21</v>
      </c>
      <c r="AV69" s="1279">
        <v>21</v>
      </c>
      <c r="AW69" s="1279">
        <v>21</v>
      </c>
      <c r="AX69" s="1279">
        <v>11</v>
      </c>
      <c r="AY69" s="1279">
        <v>3</v>
      </c>
      <c r="AZ69" s="1279">
        <v>11</v>
      </c>
      <c r="BA69" s="1279">
        <v>0</v>
      </c>
      <c r="BB69" s="1279">
        <v>4</v>
      </c>
      <c r="BC69" s="1279">
        <v>115</v>
      </c>
      <c r="BD69" s="635">
        <v>10</v>
      </c>
      <c r="BE69" s="635">
        <v>10</v>
      </c>
      <c r="BF69" s="635">
        <v>10</v>
      </c>
      <c r="BG69" s="635">
        <v>10</v>
      </c>
      <c r="BH69" s="635">
        <v>10</v>
      </c>
      <c r="BI69" s="127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CEE14C-17A8-7704-9A48-DA29174B3418}" mc:Ignorable="x14ac xr xr2 xr3">
  <sheetPr>
    <tabColor theme="9" tint="-0.25"/>
  </sheetPr>
  <dimension ref="A1:BA332"/>
  <sheetViews>
    <sheetView showGridLines="0" zoomScale="90" workbookViewId="0">
      <pane xSplit="8" ySplit="29" topLeftCell="T84" activePane="bottomRight" state="frozen"/>
      <selection pane="bottomLeft" activeCell="A30" sqref="A30"/>
      <selection pane="topRight" activeCell="I1" sqref="I1"/>
      <selection pane="bottomRight" activeCell="U93" sqref="U93"/>
    </sheetView>
  </sheetViews>
  <sheetFormatPr defaultColWidth="9.140625" customHeight="1" defaultRowHeight="11.25"/>
  <cols>
    <col min="1" max="1" style="6675" width="10.7109375" hidden="1" customWidth="1"/>
    <col min="2" max="2" style="7158" width="16.8515625" hidden="1" customWidth="1"/>
    <col min="3" max="3" style="6698" width="5.57421875" hidden="1" customWidth="1"/>
    <col min="4" max="4" style="7213" width="3.00390625" customWidth="1"/>
    <col min="5" max="5" style="7213" width="7.00390625" customWidth="1"/>
    <col min="6" max="6" style="7213" width="54.00390625" customWidth="1"/>
    <col min="7" max="7" style="7213" width="10.00390625" customWidth="1"/>
    <col min="8" max="8" style="7213" width="40.7109375" hidden="1" customWidth="1"/>
    <col min="9" max="30" style="7213" width="40.7109375" customWidth="1"/>
    <col min="31" max="31" style="7213" width="102.00390625" customWidth="1"/>
    <col min="32" max="32" style="7158" width="9.00390625" customWidth="1"/>
    <col min="33" max="33" style="6698" width="5.00390625" customWidth="1"/>
    <col min="34" max="34" style="6698" width="3.00390625" customWidth="1"/>
    <col min="35" max="38" style="7158" width="3.00390625" customWidth="1"/>
    <col min="39" max="39" style="6698" width="10.00390625" customWidth="1"/>
    <col min="40" max="40" style="7158" width="34.00390625" customWidth="1"/>
    <col min="41" max="41" style="7158" width="9.00390625" customWidth="1"/>
    <col min="42" max="42" style="6676" width="8.00390625" customWidth="1"/>
    <col min="43" max="47" style="7158" width="8.00390625" customWidth="1"/>
    <col min="48" max="52" style="7464" width="8.00390625" customWidth="1"/>
    <col min="53" max="53" style="7213" width="9.140625" hidden="1"/>
  </cols>
  <sheetData>
    <row customHeight="1" ht="22.5" hidden="1">
      <c r="J1" s="7213"/>
      <c r="K1" s="7213"/>
      <c r="L1" s="7213"/>
      <c r="M1" s="7213"/>
      <c r="N1" s="7213"/>
      <c r="O1" s="7213"/>
      <c r="P1" s="7213"/>
      <c r="Q1" s="7213"/>
      <c r="R1" s="7213"/>
      <c r="S1" s="7213"/>
      <c r="T1" s="7213"/>
      <c r="U1" s="7213"/>
      <c r="V1" s="7213"/>
      <c r="W1" s="7213"/>
      <c r="X1" s="7213"/>
      <c r="Y1" s="7213"/>
      <c r="Z1" s="7213"/>
      <c r="AA1" s="7213"/>
      <c r="AB1" s="7213"/>
      <c r="AC1" s="7213"/>
      <c r="AD1" s="7213"/>
      <c r="BA1" s="1755" t="s">
        <v>14</v>
      </c>
    </row>
    <row customHeight="1" ht="23.25" hidden="1">
      <c r="B2" s="2236"/>
      <c r="C2" s="1291" t="s">
        <v>657</v>
      </c>
      <c r="D2" s="1762"/>
      <c r="E2" s="670">
        <f>B2</f>
        <v>0</v>
      </c>
      <c r="F2" s="671"/>
      <c r="G2" s="1770" t="s">
        <v>658</v>
      </c>
      <c r="H2" s="1770" t="s">
        <v>658</v>
      </c>
      <c r="I2" s="1770" t="s">
        <v>658</v>
      </c>
      <c r="J2" s="7577" t="s">
        <v>658</v>
      </c>
      <c r="K2" s="7577" t="s">
        <v>658</v>
      </c>
      <c r="L2" s="7577" t="s">
        <v>658</v>
      </c>
      <c r="M2" s="7577" t="s">
        <v>658</v>
      </c>
      <c r="N2" s="7577" t="s">
        <v>658</v>
      </c>
      <c r="O2" s="7577" t="s">
        <v>658</v>
      </c>
      <c r="P2" s="7577" t="s">
        <v>658</v>
      </c>
      <c r="Q2" s="7577" t="s">
        <v>658</v>
      </c>
      <c r="R2" s="7577" t="s">
        <v>658</v>
      </c>
      <c r="S2" s="7577" t="s">
        <v>658</v>
      </c>
      <c r="T2" s="7577" t="s">
        <v>658</v>
      </c>
      <c r="U2" s="7577" t="s">
        <v>658</v>
      </c>
      <c r="V2" s="7577" t="s">
        <v>658</v>
      </c>
      <c r="W2" s="7577" t="s">
        <v>658</v>
      </c>
      <c r="X2" s="7577" t="s">
        <v>658</v>
      </c>
      <c r="Y2" s="7577" t="s">
        <v>658</v>
      </c>
      <c r="Z2" s="7577" t="s">
        <v>658</v>
      </c>
      <c r="AA2" s="7577" t="s">
        <v>658</v>
      </c>
      <c r="AB2" s="7577" t="s">
        <v>658</v>
      </c>
      <c r="AC2" s="7577" t="s">
        <v>658</v>
      </c>
      <c r="AD2" s="7577" t="s">
        <v>658</v>
      </c>
      <c r="AE2" s="413" t="s">
        <v>659</v>
      </c>
      <c r="AF2" s="667"/>
      <c r="BA2" s="1755">
        <v>0</v>
      </c>
    </row>
    <row s="6698" customFormat="1" customHeight="1" ht="0.75" hidden="1">
      <c r="B3" s="2236"/>
      <c r="C3" s="1291"/>
      <c r="D3" s="672"/>
      <c r="E3" s="673"/>
      <c r="F3" s="674" t="s">
        <v>660</v>
      </c>
      <c r="G3" s="675"/>
      <c r="H3" s="1137">
        <f>H4*H5+H6</f>
        <v>0</v>
      </c>
      <c r="I3" s="675">
        <f>I4*I5+I6</f>
        <v>0</v>
      </c>
      <c r="J3" s="6562">
        <f>J4*J5+J6</f>
        <v>0</v>
      </c>
      <c r="K3" s="6562">
        <f>K4*K5+K6</f>
        <v>0</v>
      </c>
      <c r="L3" s="6562">
        <f>L4*L5+L6</f>
        <v>0</v>
      </c>
      <c r="M3" s="6562">
        <f>M4*M5+M6</f>
        <v>0</v>
      </c>
      <c r="N3" s="6562">
        <f>N4*N5+N6</f>
        <v>0</v>
      </c>
      <c r="O3" s="6562">
        <f>O4*O5+O6</f>
        <v>0</v>
      </c>
      <c r="P3" s="6562">
        <f>P4*P5+P6</f>
        <v>0</v>
      </c>
      <c r="Q3" s="6562">
        <f>Q4*Q5+Q6</f>
        <v>0</v>
      </c>
      <c r="R3" s="6562">
        <f>R4*R5+R6</f>
        <v>0</v>
      </c>
      <c r="S3" s="6562">
        <f>S4*S5+S6</f>
        <v>0</v>
      </c>
      <c r="T3" s="6562">
        <f>T4*T5+T6</f>
        <v>0</v>
      </c>
      <c r="U3" s="6562">
        <f>U4*U5+U6</f>
        <v>0</v>
      </c>
      <c r="V3" s="6562">
        <f>V4*V5+V6</f>
        <v>0</v>
      </c>
      <c r="W3" s="6562">
        <f>W4*W5+W6</f>
        <v>0</v>
      </c>
      <c r="X3" s="6562">
        <f>X4*X5+X6</f>
        <v>0</v>
      </c>
      <c r="Y3" s="6562">
        <f>Y4*Y5+Y6</f>
        <v>0</v>
      </c>
      <c r="Z3" s="6562">
        <f>Z4*Z5+Z6</f>
        <v>0</v>
      </c>
      <c r="AA3" s="6562">
        <f>AA4*AA5+AA6</f>
        <v>0</v>
      </c>
      <c r="AB3" s="6562">
        <f>AB4*AB5+AB6</f>
        <v>0</v>
      </c>
      <c r="AC3" s="6562">
        <f>AC4*AC5+AC6</f>
        <v>0</v>
      </c>
      <c r="AD3" s="6562">
        <f>AD4*AD5+AD6</f>
        <v>0</v>
      </c>
      <c r="AE3" s="676"/>
      <c r="BA3" s="1760">
        <v>0</v>
      </c>
    </row>
    <row customHeight="1" ht="23.25" hidden="1">
      <c r="B4" s="2236"/>
      <c r="C4" s="1291"/>
      <c r="D4" s="1762"/>
      <c r="E4" s="670" t="str">
        <f>B2&amp;".1"</f>
        <v>.1</v>
      </c>
      <c r="F4" s="677" t="s">
        <v>661</v>
      </c>
      <c r="G4" s="678"/>
      <c r="H4" s="665"/>
      <c r="I4" s="665"/>
      <c r="J4" s="6566"/>
      <c r="K4" s="6566"/>
      <c r="L4" s="6566"/>
      <c r="M4" s="6566"/>
      <c r="N4" s="6566"/>
      <c r="O4" s="6566"/>
      <c r="P4" s="6566"/>
      <c r="Q4" s="6566"/>
      <c r="R4" s="6566"/>
      <c r="S4" s="6566"/>
      <c r="T4" s="6566"/>
      <c r="U4" s="6566"/>
      <c r="V4" s="6566"/>
      <c r="W4" s="6566"/>
      <c r="X4" s="6566"/>
      <c r="Y4" s="6566"/>
      <c r="Z4" s="6566"/>
      <c r="AA4" s="6566"/>
      <c r="AB4" s="6566"/>
      <c r="AC4" s="6566"/>
      <c r="AD4" s="6566"/>
      <c r="AE4" s="413" t="s">
        <v>662</v>
      </c>
      <c r="AF4" s="667"/>
      <c r="BA4" s="1755">
        <v>0</v>
      </c>
    </row>
    <row customHeight="1" ht="18.75" hidden="1">
      <c r="B5" s="2236"/>
      <c r="C5" s="1291"/>
      <c r="D5" s="1762"/>
      <c r="E5" s="670" t="str">
        <f>B2&amp;".2"</f>
        <v>.2</v>
      </c>
      <c r="F5" s="677" t="s">
        <v>663</v>
      </c>
      <c r="G5" s="1770" t="s">
        <v>664</v>
      </c>
      <c r="H5" s="665"/>
      <c r="I5" s="665"/>
      <c r="J5" s="6566"/>
      <c r="K5" s="6566"/>
      <c r="L5" s="6566"/>
      <c r="M5" s="6566"/>
      <c r="N5" s="6566"/>
      <c r="O5" s="6566"/>
      <c r="P5" s="6566"/>
      <c r="Q5" s="6566"/>
      <c r="R5" s="6566"/>
      <c r="S5" s="6566"/>
      <c r="T5" s="6566"/>
      <c r="U5" s="6566"/>
      <c r="V5" s="6566"/>
      <c r="W5" s="6566"/>
      <c r="X5" s="6566"/>
      <c r="Y5" s="6566"/>
      <c r="Z5" s="6566"/>
      <c r="AA5" s="6566"/>
      <c r="AB5" s="6566"/>
      <c r="AC5" s="6566"/>
      <c r="AD5" s="6566"/>
      <c r="AE5" s="413"/>
      <c r="AF5" s="667"/>
      <c r="BA5" s="1755">
        <v>0</v>
      </c>
    </row>
    <row customHeight="1" ht="18.75" hidden="1">
      <c r="B6" s="2236"/>
      <c r="C6" s="1291"/>
      <c r="D6" s="1762"/>
      <c r="E6" s="670" t="str">
        <f>B2&amp;".3"</f>
        <v>.3</v>
      </c>
      <c r="F6" s="677" t="s">
        <v>665</v>
      </c>
      <c r="G6" s="1770" t="s">
        <v>664</v>
      </c>
      <c r="H6" s="665"/>
      <c r="I6" s="665"/>
      <c r="J6" s="6566"/>
      <c r="K6" s="6566"/>
      <c r="L6" s="6566"/>
      <c r="M6" s="6566"/>
      <c r="N6" s="6566"/>
      <c r="O6" s="6566"/>
      <c r="P6" s="6566"/>
      <c r="Q6" s="6566"/>
      <c r="R6" s="6566"/>
      <c r="S6" s="6566"/>
      <c r="T6" s="6566"/>
      <c r="U6" s="6566"/>
      <c r="V6" s="6566"/>
      <c r="W6" s="6566"/>
      <c r="X6" s="6566"/>
      <c r="Y6" s="6566"/>
      <c r="Z6" s="6566"/>
      <c r="AA6" s="6566"/>
      <c r="AB6" s="6566"/>
      <c r="AC6" s="6566"/>
      <c r="AD6" s="6566"/>
      <c r="AE6" s="413"/>
      <c r="AF6" s="667"/>
      <c r="BA6" s="1755">
        <v>0</v>
      </c>
    </row>
    <row customHeight="1" ht="18.75" hidden="1">
      <c r="B7" s="2236"/>
      <c r="C7" s="1291"/>
      <c r="D7" s="1762"/>
      <c r="E7" s="670" t="str">
        <f>B2&amp;".4"</f>
        <v>.4</v>
      </c>
      <c r="F7" s="677" t="s">
        <v>666</v>
      </c>
      <c r="G7" s="1770" t="s">
        <v>658</v>
      </c>
      <c r="H7" s="679"/>
      <c r="I7" s="679"/>
      <c r="J7" s="6567"/>
      <c r="K7" s="6567"/>
      <c r="L7" s="6567"/>
      <c r="M7" s="6567"/>
      <c r="N7" s="6567"/>
      <c r="O7" s="6567"/>
      <c r="P7" s="6567"/>
      <c r="Q7" s="6567"/>
      <c r="R7" s="6567"/>
      <c r="S7" s="6567"/>
      <c r="T7" s="6567"/>
      <c r="U7" s="6567"/>
      <c r="V7" s="6567"/>
      <c r="W7" s="6567"/>
      <c r="X7" s="6567"/>
      <c r="Y7" s="6567"/>
      <c r="Z7" s="6567"/>
      <c r="AA7" s="6567"/>
      <c r="AB7" s="6567"/>
      <c r="AC7" s="6567"/>
      <c r="AD7" s="6567"/>
      <c r="AE7" s="413"/>
      <c r="AF7" s="667"/>
      <c r="BA7" s="1755">
        <v>0</v>
      </c>
    </row>
    <row s="7158" customFormat="1" customHeight="1" ht="11.25" hidden="1">
      <c r="A8" s="1111"/>
      <c r="C8" s="1760"/>
      <c r="D8" s="661"/>
      <c r="H8" s="1284">
        <v>4</v>
      </c>
      <c r="I8" s="1284">
        <v>4</v>
      </c>
      <c r="J8" s="7158">
        <v>4</v>
      </c>
      <c r="K8" s="7158">
        <v>4</v>
      </c>
      <c r="L8" s="7158">
        <v>4</v>
      </c>
      <c r="M8" s="7158">
        <v>4</v>
      </c>
      <c r="N8" s="7158">
        <v>4</v>
      </c>
      <c r="O8" s="7158">
        <v>4</v>
      </c>
      <c r="P8" s="7158">
        <v>4</v>
      </c>
      <c r="Q8" s="7158">
        <v>4</v>
      </c>
      <c r="R8" s="7158">
        <v>4</v>
      </c>
      <c r="S8" s="7158">
        <v>4</v>
      </c>
      <c r="T8" s="7158">
        <v>4</v>
      </c>
      <c r="U8" s="7158">
        <v>4</v>
      </c>
      <c r="V8" s="7158">
        <v>4</v>
      </c>
      <c r="W8" s="7158">
        <v>4</v>
      </c>
      <c r="X8" s="7158">
        <v>4</v>
      </c>
      <c r="Y8" s="7158">
        <v>4</v>
      </c>
      <c r="Z8" s="7158">
        <v>4</v>
      </c>
      <c r="AA8" s="7158">
        <v>4</v>
      </c>
      <c r="AB8" s="7158">
        <v>4</v>
      </c>
      <c r="AC8" s="7158">
        <v>4</v>
      </c>
      <c r="AD8" s="7158">
        <v>4</v>
      </c>
      <c r="AG8" s="1760"/>
      <c r="AH8" s="1760"/>
      <c r="AM8" s="1760"/>
      <c r="BA8" s="1284">
        <v>0</v>
      </c>
    </row>
    <row s="7158" customFormat="1" customHeight="1" ht="22.5" hidden="1">
      <c r="A9" s="1111"/>
      <c r="C9" s="1760"/>
      <c r="D9" s="662"/>
      <c r="E9" s="1772"/>
      <c r="F9" s="664"/>
      <c r="G9" s="1770" t="s">
        <v>664</v>
      </c>
      <c r="H9" s="665"/>
      <c r="I9" s="665"/>
      <c r="J9" s="6566"/>
      <c r="K9" s="6566"/>
      <c r="L9" s="6566"/>
      <c r="M9" s="6566"/>
      <c r="N9" s="6566"/>
      <c r="O9" s="6566"/>
      <c r="P9" s="6566"/>
      <c r="Q9" s="6566"/>
      <c r="R9" s="6566"/>
      <c r="S9" s="6566"/>
      <c r="T9" s="6566"/>
      <c r="U9" s="6566"/>
      <c r="V9" s="6566"/>
      <c r="W9" s="6566"/>
      <c r="X9" s="6566"/>
      <c r="Y9" s="6566"/>
      <c r="Z9" s="6566"/>
      <c r="AA9" s="6566"/>
      <c r="AB9" s="6566"/>
      <c r="AC9" s="6566"/>
      <c r="AD9" s="6566"/>
      <c r="AE9" s="666" t="s">
        <v>667</v>
      </c>
      <c r="AF9" s="667"/>
      <c r="AG9" s="1760"/>
      <c r="AH9" s="1760"/>
      <c r="AM9" s="1760"/>
      <c r="AP9" s="668"/>
      <c r="AV9" s="1756"/>
      <c r="AW9" s="1756"/>
      <c r="AX9" s="1756"/>
      <c r="AY9" s="1756"/>
      <c r="AZ9" s="1756"/>
      <c r="BA9" s="1284">
        <v>0</v>
      </c>
    </row>
    <row customHeight="1" ht="11.25" hidden="1">
      <c r="J10" s="7213"/>
      <c r="K10" s="7213"/>
      <c r="L10" s="7213"/>
      <c r="M10" s="7213"/>
      <c r="N10" s="7213"/>
      <c r="O10" s="7213"/>
      <c r="P10" s="7213"/>
      <c r="Q10" s="7213"/>
      <c r="R10" s="7213"/>
      <c r="S10" s="7213"/>
      <c r="T10" s="7213"/>
      <c r="U10" s="7213"/>
      <c r="V10" s="7213"/>
      <c r="W10" s="7213"/>
      <c r="X10" s="7213"/>
      <c r="Y10" s="7213"/>
      <c r="Z10" s="7213"/>
      <c r="AA10" s="7213"/>
      <c r="AB10" s="7213"/>
      <c r="AC10" s="7213"/>
      <c r="AD10" s="7213"/>
      <c r="BA10" s="1755">
        <v>0</v>
      </c>
    </row>
    <row customHeight="1" ht="18.75" hidden="1">
      <c r="D11" s="1762"/>
      <c r="E11" s="670"/>
      <c r="F11" s="664"/>
      <c r="G11" s="1770" t="s">
        <v>668</v>
      </c>
      <c r="H11" s="665"/>
      <c r="I11" s="665"/>
      <c r="J11" s="6566"/>
      <c r="K11" s="6566"/>
      <c r="L11" s="6566"/>
      <c r="M11" s="6566"/>
      <c r="N11" s="6566"/>
      <c r="O11" s="6566"/>
      <c r="P11" s="6566"/>
      <c r="Q11" s="6566"/>
      <c r="R11" s="6566"/>
      <c r="S11" s="6566"/>
      <c r="T11" s="6566"/>
      <c r="U11" s="6566"/>
      <c r="V11" s="6566"/>
      <c r="W11" s="6566"/>
      <c r="X11" s="6566"/>
      <c r="Y11" s="6566"/>
      <c r="Z11" s="6566"/>
      <c r="AA11" s="6566"/>
      <c r="AB11" s="6566"/>
      <c r="AC11" s="6566"/>
      <c r="AD11" s="6566"/>
      <c r="AE11" s="413" t="s">
        <v>669</v>
      </c>
      <c r="AF11" s="667"/>
      <c r="BA11" s="1755">
        <v>0</v>
      </c>
    </row>
    <row customHeight="1" ht="11.25" hidden="1">
      <c r="J12" s="7213"/>
      <c r="K12" s="7213"/>
      <c r="L12" s="7213"/>
      <c r="M12" s="7213"/>
      <c r="N12" s="7213"/>
      <c r="O12" s="7213"/>
      <c r="P12" s="7213"/>
      <c r="Q12" s="7213"/>
      <c r="R12" s="7213"/>
      <c r="S12" s="7213"/>
      <c r="T12" s="7213"/>
      <c r="U12" s="7213"/>
      <c r="V12" s="7213"/>
      <c r="W12" s="7213"/>
      <c r="X12" s="7213"/>
      <c r="Y12" s="7213"/>
      <c r="Z12" s="7213"/>
      <c r="AA12" s="7213"/>
      <c r="AB12" s="7213"/>
      <c r="AC12" s="7213"/>
      <c r="AD12" s="7213"/>
      <c r="BA12" s="1755">
        <v>0</v>
      </c>
    </row>
    <row customHeight="1" ht="22.5" hidden="1">
      <c r="D13" s="1762"/>
      <c r="E13" s="670"/>
      <c r="F13" s="664"/>
      <c r="G13" s="1093" t="s">
        <v>670</v>
      </c>
      <c r="H13" s="669"/>
      <c r="I13" s="669"/>
      <c r="J13" s="6574"/>
      <c r="K13" s="6574"/>
      <c r="L13" s="6574"/>
      <c r="M13" s="6574"/>
      <c r="N13" s="6574"/>
      <c r="O13" s="6574"/>
      <c r="P13" s="6574"/>
      <c r="Q13" s="6574"/>
      <c r="R13" s="6574"/>
      <c r="S13" s="6574"/>
      <c r="T13" s="6574"/>
      <c r="U13" s="6574"/>
      <c r="V13" s="6574"/>
      <c r="W13" s="6574"/>
      <c r="X13" s="6574"/>
      <c r="Y13" s="6574"/>
      <c r="Z13" s="6574"/>
      <c r="AA13" s="6574"/>
      <c r="AB13" s="6574"/>
      <c r="AC13" s="6574"/>
      <c r="AD13" s="6574"/>
      <c r="AE13" s="869" t="s">
        <v>671</v>
      </c>
      <c r="AF13" s="667"/>
      <c r="BA13" s="1755">
        <v>0</v>
      </c>
    </row>
    <row customHeight="1" ht="11.25" hidden="1">
      <c r="J14" s="7213"/>
      <c r="K14" s="7213"/>
      <c r="L14" s="7213"/>
      <c r="M14" s="7213"/>
      <c r="N14" s="7213"/>
      <c r="O14" s="7213"/>
      <c r="P14" s="7213"/>
      <c r="Q14" s="7213"/>
      <c r="R14" s="7213"/>
      <c r="S14" s="7213"/>
      <c r="T14" s="7213"/>
      <c r="U14" s="7213"/>
      <c r="V14" s="7213"/>
      <c r="W14" s="7213"/>
      <c r="X14" s="7213"/>
      <c r="Y14" s="7213"/>
      <c r="Z14" s="7213"/>
      <c r="AA14" s="7213"/>
      <c r="AB14" s="7213"/>
      <c r="AC14" s="7213"/>
      <c r="AD14" s="7213"/>
      <c r="BA14" s="1755">
        <v>0</v>
      </c>
    </row>
    <row customHeight="1" ht="22.5" hidden="1">
      <c r="D15" s="1762"/>
      <c r="E15" s="670"/>
      <c r="F15" s="664"/>
      <c r="G15" s="1770" t="s">
        <v>672</v>
      </c>
      <c r="H15" s="669"/>
      <c r="I15" s="669"/>
      <c r="J15" s="6574"/>
      <c r="K15" s="6574"/>
      <c r="L15" s="6574"/>
      <c r="M15" s="6574"/>
      <c r="N15" s="6574"/>
      <c r="O15" s="6574"/>
      <c r="P15" s="6574"/>
      <c r="Q15" s="6574"/>
      <c r="R15" s="6574"/>
      <c r="S15" s="6574"/>
      <c r="T15" s="6574"/>
      <c r="U15" s="6574"/>
      <c r="V15" s="6574"/>
      <c r="W15" s="6574"/>
      <c r="X15" s="6574"/>
      <c r="Y15" s="6574"/>
      <c r="Z15" s="6574"/>
      <c r="AA15" s="6574"/>
      <c r="AB15" s="6574"/>
      <c r="AC15" s="6574"/>
      <c r="AD15" s="6574"/>
      <c r="AE15" s="413" t="s">
        <v>673</v>
      </c>
      <c r="AF15" s="667"/>
      <c r="BA15" s="1755">
        <v>0</v>
      </c>
    </row>
    <row customHeight="1" ht="11.25" hidden="1">
      <c r="J16" s="7213"/>
      <c r="K16" s="7213"/>
      <c r="L16" s="7213"/>
      <c r="M16" s="7213"/>
      <c r="N16" s="7213"/>
      <c r="O16" s="7213"/>
      <c r="P16" s="7213"/>
      <c r="Q16" s="7213"/>
      <c r="R16" s="7213"/>
      <c r="S16" s="7213"/>
      <c r="T16" s="7213"/>
      <c r="U16" s="7213"/>
      <c r="V16" s="7213"/>
      <c r="W16" s="7213"/>
      <c r="X16" s="7213"/>
      <c r="Y16" s="7213"/>
      <c r="Z16" s="7213"/>
      <c r="AA16" s="7213"/>
      <c r="AB16" s="7213"/>
      <c r="AC16" s="7213"/>
      <c r="AD16" s="7213"/>
      <c r="BA16" s="1755">
        <v>0</v>
      </c>
    </row>
    <row customHeight="1" ht="22.5" hidden="1">
      <c r="D17" s="1762"/>
      <c r="E17" s="670"/>
      <c r="F17" s="664"/>
      <c r="G17" s="1770" t="s">
        <v>674</v>
      </c>
      <c r="H17" s="669"/>
      <c r="I17" s="669"/>
      <c r="J17" s="6574"/>
      <c r="K17" s="6574"/>
      <c r="L17" s="6574"/>
      <c r="M17" s="6574"/>
      <c r="N17" s="6574"/>
      <c r="O17" s="6574"/>
      <c r="P17" s="6574"/>
      <c r="Q17" s="6574"/>
      <c r="R17" s="6574"/>
      <c r="S17" s="6574"/>
      <c r="T17" s="6574"/>
      <c r="U17" s="6574"/>
      <c r="V17" s="6574"/>
      <c r="W17" s="6574"/>
      <c r="X17" s="6574"/>
      <c r="Y17" s="6574"/>
      <c r="Z17" s="6574"/>
      <c r="AA17" s="6574"/>
      <c r="AB17" s="6574"/>
      <c r="AC17" s="6574"/>
      <c r="AD17" s="6574"/>
      <c r="AE17" s="413" t="s">
        <v>675</v>
      </c>
      <c r="AF17" s="667"/>
      <c r="BA17" s="1755">
        <v>0</v>
      </c>
    </row>
    <row customHeight="1" ht="11.25" hidden="1">
      <c r="J18" s="7213"/>
      <c r="K18" s="7213"/>
      <c r="L18" s="7213"/>
      <c r="M18" s="7213"/>
      <c r="N18" s="7213"/>
      <c r="O18" s="7213"/>
      <c r="P18" s="7213"/>
      <c r="Q18" s="7213"/>
      <c r="R18" s="7213"/>
      <c r="S18" s="7213"/>
      <c r="T18" s="7213"/>
      <c r="U18" s="7213"/>
      <c r="V18" s="7213"/>
      <c r="W18" s="7213"/>
      <c r="X18" s="7213"/>
      <c r="Y18" s="7213"/>
      <c r="Z18" s="7213"/>
      <c r="AA18" s="7213"/>
      <c r="AB18" s="7213"/>
      <c r="AC18" s="7213"/>
      <c r="AD18" s="7213"/>
      <c r="BA18" s="1755">
        <v>0</v>
      </c>
    </row>
    <row s="7464" customFormat="1" customHeight="1" ht="11.25" hidden="1">
      <c r="A19" s="1111"/>
      <c r="B19" s="1284"/>
      <c r="C19" s="1760"/>
      <c r="D19" s="486"/>
      <c r="J19" s="7464"/>
      <c r="K19" s="7464"/>
      <c r="L19" s="7464"/>
      <c r="M19" s="7464"/>
      <c r="N19" s="7464"/>
      <c r="O19" s="7464"/>
      <c r="P19" s="7464"/>
      <c r="Q19" s="7464"/>
      <c r="R19" s="7464"/>
      <c r="S19" s="7464"/>
      <c r="T19" s="7464"/>
      <c r="U19" s="7464"/>
      <c r="V19" s="7464"/>
      <c r="W19" s="7464"/>
      <c r="X19" s="7464"/>
      <c r="Y19" s="7464"/>
      <c r="Z19" s="7464"/>
      <c r="AA19" s="7464"/>
      <c r="AB19" s="7464"/>
      <c r="AC19" s="7464"/>
      <c r="AD19" s="7464"/>
      <c r="AE19" s="1756">
        <v>4</v>
      </c>
      <c r="AF19" s="1284"/>
      <c r="AG19" s="1760"/>
      <c r="AH19" s="1760"/>
      <c r="AI19" s="1284"/>
      <c r="AJ19" s="1284"/>
      <c r="AK19" s="1284"/>
      <c r="AL19" s="1284"/>
      <c r="AM19" s="1760"/>
      <c r="AN19" s="1284"/>
      <c r="AO19" s="1284"/>
      <c r="AP19" s="668"/>
      <c r="AQ19" s="1284"/>
      <c r="AR19" s="1284"/>
      <c r="AS19" s="1284"/>
      <c r="AT19" s="1284"/>
      <c r="AU19" s="1284"/>
      <c r="BA19" s="1756">
        <v>0</v>
      </c>
    </row>
    <row customHeight="1" ht="11.549999999999999">
      <c r="J20" s="7213"/>
      <c r="K20" s="7213"/>
      <c r="L20" s="7213"/>
      <c r="M20" s="7213"/>
      <c r="N20" s="7213"/>
      <c r="O20" s="7213"/>
      <c r="P20" s="7213"/>
      <c r="Q20" s="7213"/>
      <c r="R20" s="7213"/>
      <c r="S20" s="7213"/>
      <c r="T20" s="7213"/>
      <c r="U20" s="7213"/>
      <c r="V20" s="7213"/>
      <c r="W20" s="7213"/>
      <c r="X20" s="7213"/>
      <c r="Y20" s="7213"/>
      <c r="Z20" s="7213"/>
      <c r="AA20" s="7213"/>
      <c r="AB20" s="7213"/>
      <c r="AC20" s="7213"/>
      <c r="AD20" s="7213"/>
      <c r="BA20" s="1755">
        <v>11</v>
      </c>
    </row>
    <row customHeight="1" ht="25.2">
      <c r="E21" s="238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85"/>
      <c r="G21" s="2385"/>
      <c r="H21" s="2385"/>
      <c r="I21" s="2385"/>
      <c r="J21" s="6180"/>
      <c r="K21" s="6180"/>
      <c r="L21" s="6180"/>
      <c r="M21" s="6180"/>
      <c r="N21" s="6180"/>
      <c r="O21" s="6180"/>
      <c r="P21" s="6180"/>
      <c r="Q21" s="6180"/>
      <c r="R21" s="6180"/>
      <c r="S21" s="6180"/>
      <c r="T21" s="6180"/>
      <c r="U21" s="6180"/>
      <c r="V21" s="6180"/>
      <c r="W21" s="6180"/>
      <c r="X21" s="6180"/>
      <c r="Y21" s="6180"/>
      <c r="Z21" s="6180"/>
      <c r="AA21" s="6180"/>
      <c r="AB21" s="6180"/>
      <c r="AC21" s="6180"/>
      <c r="AD21" s="6180"/>
      <c r="AE21" s="680"/>
      <c r="BA21" s="1755">
        <v>24</v>
      </c>
    </row>
    <row customHeight="1" ht="25.2">
      <c r="E22" s="2386" t="str">
        <f>IF(org=0,"Не определено",org)</f>
        <v>ООО "СамРЭК-Эксплуатация"</v>
      </c>
      <c r="F22" s="2386"/>
      <c r="G22" s="2386"/>
      <c r="H22" s="2386"/>
      <c r="I22" s="2386"/>
      <c r="J22" s="6182"/>
      <c r="K22" s="6182"/>
      <c r="L22" s="6182"/>
      <c r="M22" s="6182"/>
      <c r="N22" s="6182"/>
      <c r="O22" s="6182"/>
      <c r="P22" s="6182"/>
      <c r="Q22" s="6182"/>
      <c r="R22" s="6182"/>
      <c r="S22" s="6182"/>
      <c r="T22" s="6182"/>
      <c r="U22" s="6182"/>
      <c r="V22" s="6182"/>
      <c r="W22" s="6182"/>
      <c r="X22" s="6182"/>
      <c r="Y22" s="6182"/>
      <c r="Z22" s="6182"/>
      <c r="AA22" s="6182"/>
      <c r="AB22" s="6182"/>
      <c r="AC22" s="6182"/>
      <c r="AD22" s="6182"/>
      <c r="BA22" s="1755">
        <v>24</v>
      </c>
    </row>
    <row customHeight="1" ht="11.549999999999999">
      <c r="E23" s="1259"/>
      <c r="F23" s="1259"/>
      <c r="G23" s="1259"/>
      <c r="H23" s="1259"/>
      <c r="I23" s="1259"/>
      <c r="J23" s="6969" t="s">
        <v>22</v>
      </c>
      <c r="K23" s="6969" t="s">
        <v>22</v>
      </c>
      <c r="L23" s="6969" t="s">
        <v>22</v>
      </c>
      <c r="M23" s="6969" t="s">
        <v>22</v>
      </c>
      <c r="N23" s="6969" t="s">
        <v>22</v>
      </c>
      <c r="O23" s="6969" t="s">
        <v>22</v>
      </c>
      <c r="P23" s="6969" t="s">
        <v>22</v>
      </c>
      <c r="Q23" s="6969" t="s">
        <v>22</v>
      </c>
      <c r="R23" s="6969" t="s">
        <v>22</v>
      </c>
      <c r="S23" s="6969" t="s">
        <v>22</v>
      </c>
      <c r="T23" s="6969" t="s">
        <v>22</v>
      </c>
      <c r="U23" s="6969" t="s">
        <v>22</v>
      </c>
      <c r="V23" s="6969" t="s">
        <v>22</v>
      </c>
      <c r="W23" s="6969" t="s">
        <v>22</v>
      </c>
      <c r="X23" s="6969" t="s">
        <v>22</v>
      </c>
      <c r="Y23" s="6969" t="s">
        <v>22</v>
      </c>
      <c r="Z23" s="6969" t="s">
        <v>22</v>
      </c>
      <c r="AA23" s="6969" t="s">
        <v>22</v>
      </c>
      <c r="AB23" s="6969" t="s">
        <v>22</v>
      </c>
      <c r="AC23" s="6969" t="s">
        <v>22</v>
      </c>
      <c r="AD23" s="6969" t="s">
        <v>22</v>
      </c>
      <c r="BA23" s="1755">
        <v>11</v>
      </c>
    </row>
    <row s="6698" customFormat="1" customHeight="1" ht="1.05">
      <c r="A24" s="1291"/>
      <c r="D24" s="1766"/>
      <c r="H24" s="1013"/>
      <c r="I24" s="1013" t="s">
        <v>215</v>
      </c>
      <c r="J24" s="6579" t="s">
        <v>219</v>
      </c>
      <c r="K24" s="6579" t="s">
        <v>220</v>
      </c>
      <c r="L24" s="6579" t="s">
        <v>221</v>
      </c>
      <c r="M24" s="6579" t="s">
        <v>222</v>
      </c>
      <c r="N24" s="6579" t="s">
        <v>223</v>
      </c>
      <c r="O24" s="6579" t="s">
        <v>224</v>
      </c>
      <c r="P24" s="6579" t="s">
        <v>225</v>
      </c>
      <c r="Q24" s="6579" t="s">
        <v>226</v>
      </c>
      <c r="R24" s="6579" t="s">
        <v>227</v>
      </c>
      <c r="S24" s="6579" t="s">
        <v>228</v>
      </c>
      <c r="T24" s="6579" t="s">
        <v>229</v>
      </c>
      <c r="U24" s="6579" t="s">
        <v>230</v>
      </c>
      <c r="V24" s="6579" t="s">
        <v>231</v>
      </c>
      <c r="W24" s="6579" t="s">
        <v>232</v>
      </c>
      <c r="X24" s="6579" t="s">
        <v>233</v>
      </c>
      <c r="Y24" s="6579" t="s">
        <v>234</v>
      </c>
      <c r="Z24" s="6579" t="s">
        <v>235</v>
      </c>
      <c r="AA24" s="6579" t="s">
        <v>236</v>
      </c>
      <c r="AB24" s="6579" t="s">
        <v>237</v>
      </c>
      <c r="AC24" s="6579" t="s">
        <v>238</v>
      </c>
      <c r="AD24" s="6579" t="s">
        <v>239</v>
      </c>
      <c r="BA24" s="1760">
        <v>1</v>
      </c>
    </row>
    <row customHeight="1" ht="11.549999999999999">
      <c r="E25" s="835"/>
      <c r="F25" s="2504" t="s">
        <v>206</v>
      </c>
      <c r="G25" s="2505"/>
      <c r="H25" s="1776" t="str">
        <f>IF(H24="","",INDEX(DIFFERENTIATION_UNMERGE_VD,MATCH(H24,DIFFERENTIATION_ID_DIFF,0)))</f>
        <v/>
      </c>
      <c r="I25" s="1776" t="str">
        <f>IF(I24="","",INDEX(DIFFERENTIATION_UNMERGE_VD,MATCH(I24,DIFFERENTIATION_ID_DIFF,0)))</f>
        <v>Производство тепловой энергии. Некомбинированная выработка</v>
      </c>
      <c r="J25" s="6847" t="str">
        <f>IF(J24="","",INDEX(DIFFERENTIATION_UNMERGE_VD,MATCH(J24,DIFFERENTIATION_ID_DIFF,0)))</f>
        <v>Производство тепловой энергии. Некомбинированная выработка</v>
      </c>
      <c r="K25" s="6847" t="str">
        <f>IF(K24="","",INDEX(DIFFERENTIATION_UNMERGE_VD,MATCH(K24,DIFFERENTIATION_ID_DIFF,0)))</f>
        <v>Производство тепловой энергии. Некомбинированная выработка</v>
      </c>
      <c r="L25" s="6847" t="str">
        <f>IF(L24="","",INDEX(DIFFERENTIATION_UNMERGE_VD,MATCH(L24,DIFFERENTIATION_ID_DIFF,0)))</f>
        <v>Производство тепловой энергии. Некомбинированная выработка</v>
      </c>
      <c r="M25" s="6847" t="str">
        <f>IF(M24="","",INDEX(DIFFERENTIATION_UNMERGE_VD,MATCH(M24,DIFFERENTIATION_ID_DIFF,0)))</f>
        <v>Производство тепловой энергии. Некомбинированная выработка</v>
      </c>
      <c r="N25" s="6847" t="str">
        <f>IF(N24="","",INDEX(DIFFERENTIATION_UNMERGE_VD,MATCH(N24,DIFFERENTIATION_ID_DIFF,0)))</f>
        <v>Производство тепловой энергии. Некомбинированная выработка</v>
      </c>
      <c r="O25" s="6847" t="str">
        <f>IF(O24="","",INDEX(DIFFERENTIATION_UNMERGE_VD,MATCH(O24,DIFFERENTIATION_ID_DIFF,0)))</f>
        <v>Производство тепловой энергии. Некомбинированная выработка</v>
      </c>
      <c r="P25" s="6847" t="str">
        <f>IF(P24="","",INDEX(DIFFERENTIATION_UNMERGE_VD,MATCH(P24,DIFFERENTIATION_ID_DIFF,0)))</f>
        <v>Производство тепловой энергии. Некомбинированная выработка</v>
      </c>
      <c r="Q25" s="6847" t="str">
        <f>IF(Q24="","",INDEX(DIFFERENTIATION_UNMERGE_VD,MATCH(Q24,DIFFERENTIATION_ID_DIFF,0)))</f>
        <v>Производство тепловой энергии. Некомбинированная выработка</v>
      </c>
      <c r="R25" s="6847" t="str">
        <f>IF(R24="","",INDEX(DIFFERENTIATION_UNMERGE_VD,MATCH(R24,DIFFERENTIATION_ID_DIFF,0)))</f>
        <v>Производство тепловой энергии. Некомбинированная выработка</v>
      </c>
      <c r="S25" s="6847" t="str">
        <f>IF(S24="","",INDEX(DIFFERENTIATION_UNMERGE_VD,MATCH(S24,DIFFERENTIATION_ID_DIFF,0)))</f>
        <v>Производство тепловой энергии. Некомбинированная выработка</v>
      </c>
      <c r="T25" s="6847" t="str">
        <f>IF(T24="","",INDEX(DIFFERENTIATION_UNMERGE_VD,MATCH(T24,DIFFERENTIATION_ID_DIFF,0)))</f>
        <v>Производство тепловой энергии. Некомбинированная выработка</v>
      </c>
      <c r="U25" s="6847" t="str">
        <f>IF(U24="","",INDEX(DIFFERENTIATION_UNMERGE_VD,MATCH(U24,DIFFERENTIATION_ID_DIFF,0)))</f>
        <v>Производство тепловой энергии. Некомбинированная выработка</v>
      </c>
      <c r="V25" s="6847" t="str">
        <f>IF(V24="","",INDEX(DIFFERENTIATION_UNMERGE_VD,MATCH(V24,DIFFERENTIATION_ID_DIFF,0)))</f>
        <v>Производство тепловой энергии. Некомбинированная выработка</v>
      </c>
      <c r="W25" s="6847" t="str">
        <f>IF(W24="","",INDEX(DIFFERENTIATION_UNMERGE_VD,MATCH(W24,DIFFERENTIATION_ID_DIFF,0)))</f>
        <v>Производство тепловой энергии. Некомбинированная выработка</v>
      </c>
      <c r="X25" s="6847" t="str">
        <f>IF(X24="","",INDEX(DIFFERENTIATION_UNMERGE_VD,MATCH(X24,DIFFERENTIATION_ID_DIFF,0)))</f>
        <v>Производство тепловой энергии. Некомбинированная выработка</v>
      </c>
      <c r="Y25" s="6847" t="str">
        <f>IF(Y24="","",INDEX(DIFFERENTIATION_UNMERGE_VD,MATCH(Y24,DIFFERENTIATION_ID_DIFF,0)))</f>
        <v>Производство тепловой энергии. Некомбинированная выработка</v>
      </c>
      <c r="Z25" s="6847" t="str">
        <f>IF(Z24="","",INDEX(DIFFERENTIATION_UNMERGE_VD,MATCH(Z24,DIFFERENTIATION_ID_DIFF,0)))</f>
        <v>Производство тепловой энергии. Некомбинированная выработка</v>
      </c>
      <c r="AA25" s="6847" t="str">
        <f>IF(AA24="","",INDEX(DIFFERENTIATION_UNMERGE_VD,MATCH(AA24,DIFFERENTIATION_ID_DIFF,0)))</f>
        <v>Производство тепловой энергии. Некомбинированная выработка</v>
      </c>
      <c r="AB25" s="6847" t="str">
        <f>IF(AB24="","",INDEX(DIFFERENTIATION_UNMERGE_VD,MATCH(AB24,DIFFERENTIATION_ID_DIFF,0)))</f>
        <v>Производство тепловой энергии. Некомбинированная выработка</v>
      </c>
      <c r="AC25" s="6847" t="str">
        <f>IF(AC24="","",INDEX(DIFFERENTIATION_UNMERGE_VD,MATCH(AC24,DIFFERENTIATION_ID_DIFF,0)))</f>
        <v>Производство тепловой энергии. Некомбинированная выработка</v>
      </c>
      <c r="AD25" s="6847" t="str">
        <f>IF(AD24="","",INDEX(DIFFERENTIATION_UNMERGE_VD,MATCH(AD24,DIFFERENTIATION_ID_DIFF,0)))</f>
        <v>Производство тепловой энергии. Некомбинированная выработка</v>
      </c>
      <c r="AE25" s="2264"/>
      <c r="BA25" s="1755">
        <v>11</v>
      </c>
    </row>
    <row customHeight="1" ht="11.549999999999999">
      <c r="E26" s="835"/>
      <c r="F26" s="2504" t="s">
        <v>676</v>
      </c>
      <c r="G26" s="2505"/>
      <c r="H26" s="1776" t="str">
        <f>IF(H24="","",INDEX(DIFFERENTIATION_UNMERGE_AREA,MATCH(H24,DIFFERENTIATION_ID_DIFF,0)))</f>
        <v/>
      </c>
      <c r="I26" s="1776" t="str">
        <f>IF(I24="","",INDEX(DIFFERENTIATION_UNMERGE_AREA,MATCH(I24,DIFFERENTIATION_ID_DIFF,0)))</f>
        <v>Территория 1</v>
      </c>
      <c r="J26" s="6847" t="str">
        <f>IF(J24="","",INDEX(DIFFERENTIATION_UNMERGE_AREA,MATCH(J24,DIFFERENTIATION_ID_DIFF,0)))</f>
        <v>Территория 2</v>
      </c>
      <c r="K26" s="6847" t="str">
        <f>IF(K24="","",INDEX(DIFFERENTIATION_UNMERGE_AREA,MATCH(K24,DIFFERENTIATION_ID_DIFF,0)))</f>
        <v>Территория 3</v>
      </c>
      <c r="L26" s="6847" t="str">
        <f>IF(L24="","",INDEX(DIFFERENTIATION_UNMERGE_AREA,MATCH(L24,DIFFERENTIATION_ID_DIFF,0)))</f>
        <v>Территория 4</v>
      </c>
      <c r="M26" s="6847" t="str">
        <f>IF(M24="","",INDEX(DIFFERENTIATION_UNMERGE_AREA,MATCH(M24,DIFFERENTIATION_ID_DIFF,0)))</f>
        <v>Территория 5</v>
      </c>
      <c r="N26" s="6847" t="str">
        <f>IF(N24="","",INDEX(DIFFERENTIATION_UNMERGE_AREA,MATCH(N24,DIFFERENTIATION_ID_DIFF,0)))</f>
        <v>Территория 6</v>
      </c>
      <c r="O26" s="6847" t="str">
        <f>IF(O24="","",INDEX(DIFFERENTIATION_UNMERGE_AREA,MATCH(O24,DIFFERENTIATION_ID_DIFF,0)))</f>
        <v>Территория 7</v>
      </c>
      <c r="P26" s="6847" t="str">
        <f>IF(P24="","",INDEX(DIFFERENTIATION_UNMERGE_AREA,MATCH(P24,DIFFERENTIATION_ID_DIFF,0)))</f>
        <v>Территория 8</v>
      </c>
      <c r="Q26" s="6847" t="str">
        <f>IF(Q24="","",INDEX(DIFFERENTIATION_UNMERGE_AREA,MATCH(Q24,DIFFERENTIATION_ID_DIFF,0)))</f>
        <v>Территория 9</v>
      </c>
      <c r="R26" s="6847" t="str">
        <f>IF(R24="","",INDEX(DIFFERENTIATION_UNMERGE_AREA,MATCH(R24,DIFFERENTIATION_ID_DIFF,0)))</f>
        <v>Территория 10</v>
      </c>
      <c r="S26" s="6847" t="str">
        <f>IF(S24="","",INDEX(DIFFERENTIATION_UNMERGE_AREA,MATCH(S24,DIFFERENTIATION_ID_DIFF,0)))</f>
        <v>Территория 11</v>
      </c>
      <c r="T26" s="6847" t="str">
        <f>IF(T24="","",INDEX(DIFFERENTIATION_UNMERGE_AREA,MATCH(T24,DIFFERENTIATION_ID_DIFF,0)))</f>
        <v>Территория 12</v>
      </c>
      <c r="U26" s="6847" t="str">
        <f>IF(U24="","",INDEX(DIFFERENTIATION_UNMERGE_AREA,MATCH(U24,DIFFERENTIATION_ID_DIFF,0)))</f>
        <v>Территория 13</v>
      </c>
      <c r="V26" s="6847" t="str">
        <f>IF(V24="","",INDEX(DIFFERENTIATION_UNMERGE_AREA,MATCH(V24,DIFFERENTIATION_ID_DIFF,0)))</f>
        <v>Территория 14</v>
      </c>
      <c r="W26" s="6847" t="str">
        <f>IF(W24="","",INDEX(DIFFERENTIATION_UNMERGE_AREA,MATCH(W24,DIFFERENTIATION_ID_DIFF,0)))</f>
        <v>Территория 15</v>
      </c>
      <c r="X26" s="6847" t="str">
        <f>IF(X24="","",INDEX(DIFFERENTIATION_UNMERGE_AREA,MATCH(X24,DIFFERENTIATION_ID_DIFF,0)))</f>
        <v>Территория 16</v>
      </c>
      <c r="Y26" s="6847" t="str">
        <f>IF(Y24="","",INDEX(DIFFERENTIATION_UNMERGE_AREA,MATCH(Y24,DIFFERENTIATION_ID_DIFF,0)))</f>
        <v>Территория 17</v>
      </c>
      <c r="Z26" s="6847" t="str">
        <f>IF(Z24="","",INDEX(DIFFERENTIATION_UNMERGE_AREA,MATCH(Z24,DIFFERENTIATION_ID_DIFF,0)))</f>
        <v>Территория 18</v>
      </c>
      <c r="AA26" s="6847" t="str">
        <f>IF(AA24="","",INDEX(DIFFERENTIATION_UNMERGE_AREA,MATCH(AA24,DIFFERENTIATION_ID_DIFF,0)))</f>
        <v>Территория 19</v>
      </c>
      <c r="AB26" s="6847" t="str">
        <f>IF(AB24="","",INDEX(DIFFERENTIATION_UNMERGE_AREA,MATCH(AB24,DIFFERENTIATION_ID_DIFF,0)))</f>
        <v>Территория 20</v>
      </c>
      <c r="AC26" s="6847" t="str">
        <f>IF(AC24="","",INDEX(DIFFERENTIATION_UNMERGE_AREA,MATCH(AC24,DIFFERENTIATION_ID_DIFF,0)))</f>
        <v>Территория 21</v>
      </c>
      <c r="AD26" s="6847" t="str">
        <f>IF(AD24="","",INDEX(DIFFERENTIATION_UNMERGE_AREA,MATCH(AD24,DIFFERENTIATION_ID_DIFF,0)))</f>
        <v>Территория 22</v>
      </c>
      <c r="AE26" s="2264"/>
      <c r="BA26" s="1755">
        <v>11</v>
      </c>
    </row>
    <row customHeight="1" ht="11.549999999999999">
      <c r="E27" s="835"/>
      <c r="F27" s="2504" t="s">
        <v>677</v>
      </c>
      <c r="G27" s="2505"/>
      <c r="H27" s="1776" t="str">
        <f>IF(H24="","",INDEX(DIFFERENTIATION_UNMERGE_SYSTEM,MATCH(H24,DIFFERENTIATION_ID_DIFF,0)))</f>
        <v/>
      </c>
      <c r="I27" s="1776" t="str">
        <f>IF(I24="","",INDEX(DIFFERENTIATION_UNMERGE_SYSTEM,MATCH(I24,DIFFERENTIATION_ID_DIFF,0)))</f>
        <v>без дифференциации</v>
      </c>
      <c r="J27" s="6847" t="str">
        <f>IF(J24="","",INDEX(DIFFERENTIATION_UNMERGE_SYSTEM,MATCH(J24,DIFFERENTIATION_ID_DIFF,0)))</f>
        <v>без дифференциации</v>
      </c>
      <c r="K27" s="6847" t="str">
        <f>IF(K24="","",INDEX(DIFFERENTIATION_UNMERGE_SYSTEM,MATCH(K24,DIFFERENTIATION_ID_DIFF,0)))</f>
        <v>без дифференциации</v>
      </c>
      <c r="L27" s="6847" t="str">
        <f>IF(L24="","",INDEX(DIFFERENTIATION_UNMERGE_SYSTEM,MATCH(L24,DIFFERENTIATION_ID_DIFF,0)))</f>
        <v>без дифференциации</v>
      </c>
      <c r="M27" s="6847" t="str">
        <f>IF(M24="","",INDEX(DIFFERENTIATION_UNMERGE_SYSTEM,MATCH(M24,DIFFERENTIATION_ID_DIFF,0)))</f>
        <v>без дифференциации</v>
      </c>
      <c r="N27" s="6847" t="str">
        <f>IF(N24="","",INDEX(DIFFERENTIATION_UNMERGE_SYSTEM,MATCH(N24,DIFFERENTIATION_ID_DIFF,0)))</f>
        <v>без дифференциации</v>
      </c>
      <c r="O27" s="6847" t="str">
        <f>IF(O24="","",INDEX(DIFFERENTIATION_UNMERGE_SYSTEM,MATCH(O24,DIFFERENTIATION_ID_DIFF,0)))</f>
        <v>без дифференциации</v>
      </c>
      <c r="P27" s="6847" t="str">
        <f>IF(P24="","",INDEX(DIFFERENTIATION_UNMERGE_SYSTEM,MATCH(P24,DIFFERENTIATION_ID_DIFF,0)))</f>
        <v>без дифференциации</v>
      </c>
      <c r="Q27" s="6847" t="str">
        <f>IF(Q24="","",INDEX(DIFFERENTIATION_UNMERGE_SYSTEM,MATCH(Q24,DIFFERENTIATION_ID_DIFF,0)))</f>
        <v>без дифференциации</v>
      </c>
      <c r="R27" s="6847" t="str">
        <f>IF(R24="","",INDEX(DIFFERENTIATION_UNMERGE_SYSTEM,MATCH(R24,DIFFERENTIATION_ID_DIFF,0)))</f>
        <v>без дифференциации</v>
      </c>
      <c r="S27" s="6847" t="str">
        <f>IF(S24="","",INDEX(DIFFERENTIATION_UNMERGE_SYSTEM,MATCH(S24,DIFFERENTIATION_ID_DIFF,0)))</f>
        <v>без дифференциации</v>
      </c>
      <c r="T27" s="6847" t="str">
        <f>IF(T24="","",INDEX(DIFFERENTIATION_UNMERGE_SYSTEM,MATCH(T24,DIFFERENTIATION_ID_DIFF,0)))</f>
        <v>без дифференциации</v>
      </c>
      <c r="U27" s="6847" t="str">
        <f>IF(U24="","",INDEX(DIFFERENTIATION_UNMERGE_SYSTEM,MATCH(U24,DIFFERENTIATION_ID_DIFF,0)))</f>
        <v>без дифференциации</v>
      </c>
      <c r="V27" s="6847" t="str">
        <f>IF(V24="","",INDEX(DIFFERENTIATION_UNMERGE_SYSTEM,MATCH(V24,DIFFERENTIATION_ID_DIFF,0)))</f>
        <v>без дифференциации</v>
      </c>
      <c r="W27" s="6847" t="str">
        <f>IF(W24="","",INDEX(DIFFERENTIATION_UNMERGE_SYSTEM,MATCH(W24,DIFFERENTIATION_ID_DIFF,0)))</f>
        <v>без дифференциации</v>
      </c>
      <c r="X27" s="6847" t="str">
        <f>IF(X24="","",INDEX(DIFFERENTIATION_UNMERGE_SYSTEM,MATCH(X24,DIFFERENTIATION_ID_DIFF,0)))</f>
        <v>без дифференциации</v>
      </c>
      <c r="Y27" s="6847" t="str">
        <f>IF(Y24="","",INDEX(DIFFERENTIATION_UNMERGE_SYSTEM,MATCH(Y24,DIFFERENTIATION_ID_DIFF,0)))</f>
        <v>без дифференциации</v>
      </c>
      <c r="Z27" s="6847" t="str">
        <f>IF(Z24="","",INDEX(DIFFERENTIATION_UNMERGE_SYSTEM,MATCH(Z24,DIFFERENTIATION_ID_DIFF,0)))</f>
        <v>без дифференциации</v>
      </c>
      <c r="AA27" s="6847" t="str">
        <f>IF(AA24="","",INDEX(DIFFERENTIATION_UNMERGE_SYSTEM,MATCH(AA24,DIFFERENTIATION_ID_DIFF,0)))</f>
        <v>без дифференциации</v>
      </c>
      <c r="AB27" s="6847" t="str">
        <f>IF(AB24="","",INDEX(DIFFERENTIATION_UNMERGE_SYSTEM,MATCH(AB24,DIFFERENTIATION_ID_DIFF,0)))</f>
        <v>без дифференциации</v>
      </c>
      <c r="AC27" s="6847" t="str">
        <f>IF(AC24="","",INDEX(DIFFERENTIATION_UNMERGE_SYSTEM,MATCH(AC24,DIFFERENTIATION_ID_DIFF,0)))</f>
        <v>без дифференциации</v>
      </c>
      <c r="AD27" s="6847" t="str">
        <f>IF(AD24="","",INDEX(DIFFERENTIATION_UNMERGE_SYSTEM,MATCH(AD24,DIFFERENTIATION_ID_DIFF,0)))</f>
        <v>без дифференциации</v>
      </c>
      <c r="AE27" s="2264"/>
      <c r="BA27" s="1755">
        <v>11</v>
      </c>
    </row>
    <row customHeight="1" ht="11.549999999999999">
      <c r="E28" s="2506" t="s">
        <v>412</v>
      </c>
      <c r="F28" s="2507"/>
      <c r="G28" s="2507"/>
      <c r="H28" s="1769"/>
      <c r="I28" s="1769"/>
      <c r="J28" s="6920"/>
      <c r="K28" s="6920"/>
      <c r="L28" s="6920"/>
      <c r="M28" s="6920"/>
      <c r="N28" s="6920"/>
      <c r="O28" s="6920"/>
      <c r="P28" s="6920"/>
      <c r="Q28" s="6920"/>
      <c r="R28" s="6920"/>
      <c r="S28" s="6920"/>
      <c r="T28" s="6920"/>
      <c r="U28" s="6920"/>
      <c r="V28" s="6920"/>
      <c r="W28" s="6920"/>
      <c r="X28" s="6920"/>
      <c r="Y28" s="6920"/>
      <c r="Z28" s="6920"/>
      <c r="AA28" s="6920"/>
      <c r="AB28" s="6920"/>
      <c r="AC28" s="6920"/>
      <c r="AD28" s="6920"/>
      <c r="AE28" s="2264"/>
      <c r="BA28" s="1755">
        <v>11</v>
      </c>
    </row>
    <row customHeight="1" ht="24">
      <c r="E29" s="1770" t="s">
        <v>88</v>
      </c>
      <c r="F29" s="1777" t="s">
        <v>414</v>
      </c>
      <c r="G29" s="1777" t="s">
        <v>678</v>
      </c>
      <c r="H29" s="1777" t="s">
        <v>415</v>
      </c>
      <c r="I29" s="1777" t="s">
        <v>415</v>
      </c>
      <c r="J29" s="7577" t="s">
        <v>415</v>
      </c>
      <c r="K29" s="7577" t="s">
        <v>415</v>
      </c>
      <c r="L29" s="7577" t="s">
        <v>415</v>
      </c>
      <c r="M29" s="7577" t="s">
        <v>415</v>
      </c>
      <c r="N29" s="7577" t="s">
        <v>415</v>
      </c>
      <c r="O29" s="7577" t="s">
        <v>415</v>
      </c>
      <c r="P29" s="7577" t="s">
        <v>415</v>
      </c>
      <c r="Q29" s="7577" t="s">
        <v>415</v>
      </c>
      <c r="R29" s="7577" t="s">
        <v>415</v>
      </c>
      <c r="S29" s="7577" t="s">
        <v>415</v>
      </c>
      <c r="T29" s="7577" t="s">
        <v>415</v>
      </c>
      <c r="U29" s="7577" t="s">
        <v>415</v>
      </c>
      <c r="V29" s="7577" t="s">
        <v>415</v>
      </c>
      <c r="W29" s="7577" t="s">
        <v>415</v>
      </c>
      <c r="X29" s="7577" t="s">
        <v>415</v>
      </c>
      <c r="Y29" s="7577" t="s">
        <v>415</v>
      </c>
      <c r="Z29" s="7577" t="s">
        <v>415</v>
      </c>
      <c r="AA29" s="7577" t="s">
        <v>415</v>
      </c>
      <c r="AB29" s="7577" t="s">
        <v>415</v>
      </c>
      <c r="AC29" s="7577" t="s">
        <v>415</v>
      </c>
      <c r="AD29" s="7577" t="s">
        <v>415</v>
      </c>
      <c r="AE29" s="2264"/>
      <c r="BA29" s="1755">
        <v>23</v>
      </c>
    </row>
    <row customHeight="1" ht="20.25">
      <c r="D30" s="1762"/>
      <c r="E30" s="670">
        <f>FHD_NUM_P_1</f>
        <v>1</v>
      </c>
      <c r="F30" s="2001" t="str">
        <f>FHD_P_1</f>
        <v>Выручка от регулируемого вида деятельности с распределением по видам деятельности</v>
      </c>
      <c r="G30" s="1999" t="s">
        <v>664</v>
      </c>
      <c r="H30" s="681"/>
      <c r="I30" s="681">
        <v>278143.41</v>
      </c>
      <c r="J30" s="6590">
        <v>10701.08</v>
      </c>
      <c r="K30" s="6590">
        <v>24178.05</v>
      </c>
      <c r="L30" s="6590">
        <v>3917.44</v>
      </c>
      <c r="M30" s="6590">
        <v>13043.72</v>
      </c>
      <c r="N30" s="6590">
        <v>7404.81</v>
      </c>
      <c r="O30" s="6590">
        <v>59486.31</v>
      </c>
      <c r="P30" s="6590">
        <v>8899.15</v>
      </c>
      <c r="Q30" s="6590">
        <v>2490.34</v>
      </c>
      <c r="R30" s="6590">
        <v>7011.41</v>
      </c>
      <c r="S30" s="6590">
        <v>7315.36</v>
      </c>
      <c r="T30" s="6590">
        <v>77559.1</v>
      </c>
      <c r="U30" s="6590">
        <v>5063.51</v>
      </c>
      <c r="V30" s="6590">
        <v>2398.29</v>
      </c>
      <c r="W30" s="6590">
        <v>7842.81</v>
      </c>
      <c r="X30" s="6590">
        <v>14931.19</v>
      </c>
      <c r="Y30" s="6590">
        <v>153201.48</v>
      </c>
      <c r="Z30" s="6590">
        <v>154.83</v>
      </c>
      <c r="AA30" s="6590">
        <v>1245.76</v>
      </c>
      <c r="AB30" s="6590">
        <v>35308.42</v>
      </c>
      <c r="AC30" s="6590">
        <v>10420.74</v>
      </c>
      <c r="AD30" s="6590">
        <v>2083.46</v>
      </c>
      <c r="AE30" s="413" t="str">
        <f>FHD_NOTE_P_1</f>
        <v>Указывается выручка от регулируемого вида деятельности с распределением по видам деятельности.</v>
      </c>
      <c r="AF30" s="667"/>
      <c r="BA30" s="1755">
        <v>19</v>
      </c>
    </row>
    <row customHeight="1" ht="23.25">
      <c r="D31" s="1762"/>
      <c r="E31" s="670">
        <f>FHD_NUM_P_2</f>
        <v>2</v>
      </c>
      <c r="F31" s="2001" t="str">
        <f>FHD_P_2</f>
        <v>Себестоимость производимых товаров (оказываемых услуг) по регулируемому виду деятельности, включая:</v>
      </c>
      <c r="G31" s="1999" t="s">
        <v>664</v>
      </c>
      <c r="H31" s="682">
        <f>SUMIF($AF32:$AF100,$AF31,H32:H100)</f>
        <v>0</v>
      </c>
      <c r="I31" s="682">
        <f>SUMIF($AF32:$AF100,$AF31,I32:I100)</f>
        <v>299318.56</v>
      </c>
      <c r="J31" s="6591">
        <f>SUMIF($AF32:$AF100,$AF31,J32:J100)</f>
        <v>17134.92</v>
      </c>
      <c r="K31" s="6591">
        <f>SUMIF($AF32:$AF100,$AF31,K32:K100)</f>
        <v>43337.51</v>
      </c>
      <c r="L31" s="6591">
        <f>SUMIF($AF32:$AF100,$AF31,L32:L100)</f>
        <v>14358.71</v>
      </c>
      <c r="M31" s="6591">
        <f>SUMIF($AF32:$AF100,$AF31,M32:M100)</f>
        <v>22515.41</v>
      </c>
      <c r="N31" s="6591">
        <f>SUMIF($AF32:$AF100,$AF31,N32:N100)</f>
        <v>17282.13</v>
      </c>
      <c r="O31" s="6591">
        <f>SUMIF($AF32:$AF100,$AF31,O32:O100)</f>
        <v>97640.25</v>
      </c>
      <c r="P31" s="6591">
        <f>SUMIF($AF32:$AF100,$AF31,P32:P100)</f>
        <v>16223.3</v>
      </c>
      <c r="Q31" s="6591">
        <f>SUMIF($AF32:$AF100,$AF31,Q32:Q100)</f>
        <v>5232.8</v>
      </c>
      <c r="R31" s="6591">
        <f>SUMIF($AF32:$AF100,$AF31,R32:R100)</f>
        <v>12569.74</v>
      </c>
      <c r="S31" s="6591">
        <f>SUMIF($AF32:$AF100,$AF31,S32:S100)</f>
        <v>15032.93</v>
      </c>
      <c r="T31" s="6591">
        <f>SUMIF($AF32:$AF100,$AF31,T32:T100)</f>
        <v>128809.6</v>
      </c>
      <c r="U31" s="6591">
        <f>SUMIF($AF32:$AF100,$AF31,U32:U100)</f>
        <v>7296.29</v>
      </c>
      <c r="V31" s="6591">
        <f>SUMIF($AF32:$AF100,$AF31,V32:V100)</f>
        <v>5740.15</v>
      </c>
      <c r="W31" s="6591">
        <f>SUMIF($AF32:$AF100,$AF31,W32:W100)</f>
        <v>11571.55</v>
      </c>
      <c r="X31" s="6591">
        <f>SUMIF($AF32:$AF100,$AF31,X32:X100)</f>
        <v>24688.3434330294</v>
      </c>
      <c r="Y31" s="6591">
        <f>SUMIF($AF32:$AF100,$AF31,Y32:Y100)</f>
        <v>199348.02</v>
      </c>
      <c r="Z31" s="6591">
        <f>SUMIF($AF32:$AF100,$AF31,Z32:Z100)</f>
        <v>775.74</v>
      </c>
      <c r="AA31" s="6591">
        <f>SUMIF($AF32:$AF100,$AF31,AA32:AA100)</f>
        <v>2763.97</v>
      </c>
      <c r="AB31" s="6591">
        <f>SUMIF($AF32:$AF100,$AF31,AB32:AB100)</f>
        <v>88560.6</v>
      </c>
      <c r="AC31" s="6591">
        <f>SUMIF($AF32:$AF100,$AF31,AC32:AC100)</f>
        <v>14047.92</v>
      </c>
      <c r="AD31" s="6591">
        <f>SUMIF($AF32:$AF100,$AF31,AD32:AD100)</f>
        <v>4218.63</v>
      </c>
      <c r="AE31" s="413" t="str">
        <f>FHD_NOTE_P_2</f>
        <v>Указывается суммарная себестоимость производимых товаров.</v>
      </c>
      <c r="AF31" s="1760" t="s">
        <v>679</v>
      </c>
      <c r="BA31" s="1755">
        <v>11</v>
      </c>
    </row>
    <row customHeight="1" ht="25.5">
      <c r="D32" s="1762"/>
      <c r="E32" s="670" t="str">
        <f>FHD_NUM_P_3</f>
        <v>2.1</v>
      </c>
      <c r="F32" s="1648" t="str">
        <f>FHD_P_3</f>
        <v>Расходы на приобретаемую тепловую энергию (мощность), теплоноситель</v>
      </c>
      <c r="G32" s="1999" t="s">
        <v>664</v>
      </c>
      <c r="H32" s="681"/>
      <c r="I32" s="681">
        <v>4668</v>
      </c>
      <c r="J32" s="6590">
        <v>0</v>
      </c>
      <c r="K32" s="6590">
        <v>0</v>
      </c>
      <c r="L32" s="6590">
        <v>0</v>
      </c>
      <c r="M32" s="6590">
        <v>0</v>
      </c>
      <c r="N32" s="6590">
        <v>0</v>
      </c>
      <c r="O32" s="6590">
        <v>0</v>
      </c>
      <c r="P32" s="6590">
        <v>0</v>
      </c>
      <c r="Q32" s="6590">
        <v>0</v>
      </c>
      <c r="R32" s="6590">
        <v>0</v>
      </c>
      <c r="S32" s="6590">
        <v>0</v>
      </c>
      <c r="T32" s="6590">
        <v>0</v>
      </c>
      <c r="U32" s="6590">
        <v>0</v>
      </c>
      <c r="V32" s="6590">
        <v>0</v>
      </c>
      <c r="W32" s="6590">
        <v>0</v>
      </c>
      <c r="X32" s="6590">
        <v>0</v>
      </c>
      <c r="Y32" s="6590">
        <v>0</v>
      </c>
      <c r="Z32" s="6590">
        <v>0</v>
      </c>
      <c r="AA32" s="6590">
        <v>0</v>
      </c>
      <c r="AB32" s="6590">
        <v>0</v>
      </c>
      <c r="AC32" s="6590">
        <v>0</v>
      </c>
      <c r="AD32" s="6590">
        <v>0</v>
      </c>
      <c r="AE32" s="413" t="str">
        <f>FHD_NOTE_P_3</f>
        <v/>
      </c>
      <c r="AF32" s="1760" t="str">
        <f>IF((LEN(E32)-LEN(SUBSTITUTE(E32,".","")))/LEN(".")=1,"p","")</f>
        <v>p</v>
      </c>
      <c r="BA32" s="1755">
        <v>11</v>
      </c>
    </row>
    <row customHeight="1" ht="11.25">
      <c r="A33" s="2508" t="s">
        <v>680</v>
      </c>
      <c r="D33" s="1762"/>
      <c r="E33" s="670" t="str">
        <f>FHD_NUM_P_4</f>
        <v>2.2</v>
      </c>
      <c r="F33" s="16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99" t="s">
        <v>664</v>
      </c>
      <c r="H33" s="682">
        <f>SUMIF($F34:$F52,$F3,H34:H52)</f>
        <v>0</v>
      </c>
      <c r="I33" s="682">
        <f>SUMIF($F34:$F52,$F3,I34:I52)</f>
        <v>117625.34</v>
      </c>
      <c r="J33" s="6591">
        <f>SUMIF($F34:$F52,$F3,J34:J52)</f>
        <v>4671.52</v>
      </c>
      <c r="K33" s="6591">
        <f>SUMIF($F34:$F52,$F3,K34:K52)</f>
        <v>10251.04</v>
      </c>
      <c r="L33" s="6591">
        <f>SUMIF($F34:$F52,$F3,L34:L52)</f>
        <v>1552.97</v>
      </c>
      <c r="M33" s="6591">
        <f>SUMIF($F34:$F52,$F3,M34:M52)</f>
        <v>6958.81</v>
      </c>
      <c r="N33" s="6591">
        <f>SUMIF($F34:$F52,$F3,N34:N52)</f>
        <v>3316.34</v>
      </c>
      <c r="O33" s="6591">
        <f>SUMIF($F34:$F52,$F3,O34:O52)</f>
        <v>32332.43</v>
      </c>
      <c r="P33" s="6591">
        <f>SUMIF($F34:$F52,$F3,P34:P52)</f>
        <v>3461.47</v>
      </c>
      <c r="Q33" s="6591">
        <f>SUMIF($F34:$F52,$F3,Q34:Q52)</f>
        <v>1237.09</v>
      </c>
      <c r="R33" s="6591">
        <f>SUMIF($F34:$F52,$F3,R34:R52)</f>
        <v>3723.82</v>
      </c>
      <c r="S33" s="6591">
        <f>SUMIF($F34:$F52,$F3,S34:S52)</f>
        <v>3855.4</v>
      </c>
      <c r="T33" s="6591">
        <f>SUMIF($F34:$F52,$F3,T34:T52)</f>
        <v>40984.23</v>
      </c>
      <c r="U33" s="6591">
        <f>SUMIF($F34:$F52,$F3,U34:U52)</f>
        <v>1945.06</v>
      </c>
      <c r="V33" s="6591">
        <f>SUMIF($F34:$F52,$F3,V34:V52)</f>
        <v>1488.36</v>
      </c>
      <c r="W33" s="6591">
        <f>SUMIF($F34:$F52,$F3,W34:W52)</f>
        <v>3606.81</v>
      </c>
      <c r="X33" s="6591">
        <f>SUMIF($F34:$F52,$F3,X34:X52)</f>
        <v>6475.9</v>
      </c>
      <c r="Y33" s="6591">
        <f>SUMIF($F34:$F52,$F3,Y34:Y52)</f>
        <v>80937.48</v>
      </c>
      <c r="Z33" s="6591">
        <f>SUMIF($F34:$F52,$F3,Z34:Z52)</f>
        <v>49.35</v>
      </c>
      <c r="AA33" s="6591">
        <f>SUMIF($F34:$F52,$F3,AA34:AA52)</f>
        <v>666.77</v>
      </c>
      <c r="AB33" s="6591">
        <f>SUMIF($F34:$F52,$F3,AB34:AB52)</f>
        <v>27268.22</v>
      </c>
      <c r="AC33" s="6591">
        <f>SUMIF($F34:$F52,$F3,AC34:AC52)</f>
        <v>4422.18</v>
      </c>
      <c r="AD33" s="6591">
        <f>SUMIF($F34:$F52,$F3,AD34:AD52)</f>
        <v>977.13</v>
      </c>
      <c r="AE33" s="413" t="str">
        <f>FHD_NOTE_P_4</f>
        <v>Указываются суммарные расходы на приобретение топлива всех видов.</v>
      </c>
      <c r="AF33" s="1760" t="str">
        <f>IF((LEN(E33)-LEN(SUBSTITUTE(E33,".","")))/LEN(".")=1,"p","")</f>
        <v>p</v>
      </c>
      <c r="BA33" s="1755">
        <v>0</v>
      </c>
    </row>
    <row s="6292" customFormat="1" customHeight="1" ht="0.75">
      <c r="A34" s="2508"/>
      <c r="B34" s="2509" t="str">
        <f>E33&amp;".0"</f>
        <v>2.2.0</v>
      </c>
      <c r="C34" s="1291"/>
      <c r="D34" s="684"/>
      <c r="E34" s="685"/>
      <c r="F34" s="686"/>
      <c r="G34" s="687"/>
      <c r="H34" s="621"/>
      <c r="I34" s="621"/>
      <c r="J34" s="6012"/>
      <c r="K34" s="6012"/>
      <c r="L34" s="6012"/>
      <c r="M34" s="6012"/>
      <c r="N34" s="6012"/>
      <c r="O34" s="6012"/>
      <c r="P34" s="6012"/>
      <c r="Q34" s="6012"/>
      <c r="R34" s="6012"/>
      <c r="S34" s="6012"/>
      <c r="T34" s="6012"/>
      <c r="U34" s="6012"/>
      <c r="V34" s="6012"/>
      <c r="W34" s="6012"/>
      <c r="X34" s="6012"/>
      <c r="Y34" s="6012"/>
      <c r="Z34" s="6012"/>
      <c r="AA34" s="6012"/>
      <c r="AB34" s="6012"/>
      <c r="AC34" s="6012"/>
      <c r="AD34" s="6012"/>
      <c r="AE34" s="688"/>
      <c r="AF34" s="1760" t="str">
        <f>IF((LEN(E34)-LEN(SUBSTITUTE(E34,".","")))/LEN(".")=1,"p","")</f>
        <v/>
      </c>
      <c r="AG34" s="1760"/>
      <c r="AH34" s="1760"/>
      <c r="AI34" s="1760"/>
      <c r="AJ34" s="1760"/>
      <c r="AK34" s="1760"/>
      <c r="AL34" s="1760"/>
      <c r="AM34" s="1760"/>
      <c r="AN34" s="1760"/>
      <c r="AO34" s="1760"/>
      <c r="AP34" s="689"/>
      <c r="AQ34" s="1760"/>
      <c r="AR34" s="1760"/>
      <c r="AS34" s="1760"/>
      <c r="AT34" s="1760"/>
      <c r="AU34" s="1760"/>
      <c r="AV34" s="690"/>
      <c r="AW34" s="690"/>
      <c r="AX34" s="690"/>
      <c r="AY34" s="690"/>
      <c r="AZ34" s="690"/>
      <c r="BA34" s="1765">
        <v>0</v>
      </c>
    </row>
    <row s="6292" customFormat="1" customHeight="1" ht="0.75">
      <c r="A35" s="2508"/>
      <c r="B35" s="2509"/>
      <c r="C35" s="1291"/>
      <c r="D35" s="684"/>
      <c r="E35" s="691"/>
      <c r="F35" s="692"/>
      <c r="G35" s="687"/>
      <c r="H35" s="693"/>
      <c r="I35" s="693"/>
      <c r="J35" s="6604"/>
      <c r="K35" s="6604"/>
      <c r="L35" s="6604"/>
      <c r="M35" s="6604"/>
      <c r="N35" s="6604"/>
      <c r="O35" s="6604"/>
      <c r="P35" s="6604"/>
      <c r="Q35" s="6604"/>
      <c r="R35" s="6604"/>
      <c r="S35" s="6604"/>
      <c r="T35" s="6604"/>
      <c r="U35" s="6604"/>
      <c r="V35" s="6604"/>
      <c r="W35" s="6604"/>
      <c r="X35" s="6604"/>
      <c r="Y35" s="6604"/>
      <c r="Z35" s="6604"/>
      <c r="AA35" s="6604"/>
      <c r="AB35" s="6604"/>
      <c r="AC35" s="6604"/>
      <c r="AD35" s="6604"/>
      <c r="AE35" s="688"/>
      <c r="AF35" s="1760" t="str">
        <f>IF((LEN(E35)-LEN(SUBSTITUTE(E35,".","")))/LEN(".")=1,"p","")</f>
        <v/>
      </c>
      <c r="AG35" s="1760"/>
      <c r="AH35" s="1760"/>
      <c r="AI35" s="1760"/>
      <c r="AJ35" s="1760"/>
      <c r="AK35" s="1760"/>
      <c r="AL35" s="1760"/>
      <c r="AM35" s="1760"/>
      <c r="AN35" s="1760"/>
      <c r="AO35" s="1760"/>
      <c r="AP35" s="689"/>
      <c r="AQ35" s="1760"/>
      <c r="AR35" s="1760"/>
      <c r="AS35" s="1760"/>
      <c r="AT35" s="1760"/>
      <c r="AU35" s="1760"/>
      <c r="AV35" s="690"/>
      <c r="AW35" s="690"/>
      <c r="AX35" s="690"/>
      <c r="AY35" s="690"/>
      <c r="AZ35" s="690"/>
      <c r="BA35" s="1765">
        <v>0</v>
      </c>
    </row>
    <row s="6292" customFormat="1" customHeight="1" ht="0.75">
      <c r="A36" s="2508"/>
      <c r="B36" s="2509"/>
      <c r="C36" s="1291"/>
      <c r="D36" s="684"/>
      <c r="E36" s="691"/>
      <c r="F36" s="692"/>
      <c r="G36" s="687"/>
      <c r="H36" s="693"/>
      <c r="I36" s="693"/>
      <c r="J36" s="6604"/>
      <c r="K36" s="6604"/>
      <c r="L36" s="6604"/>
      <c r="M36" s="6604"/>
      <c r="N36" s="6604"/>
      <c r="O36" s="6604"/>
      <c r="P36" s="6604"/>
      <c r="Q36" s="6604"/>
      <c r="R36" s="6604"/>
      <c r="S36" s="6604"/>
      <c r="T36" s="6604"/>
      <c r="U36" s="6604"/>
      <c r="V36" s="6604"/>
      <c r="W36" s="6604"/>
      <c r="X36" s="6604"/>
      <c r="Y36" s="6604"/>
      <c r="Z36" s="6604"/>
      <c r="AA36" s="6604"/>
      <c r="AB36" s="6604"/>
      <c r="AC36" s="6604"/>
      <c r="AD36" s="6604"/>
      <c r="AE36" s="688"/>
      <c r="AF36" s="1760" t="str">
        <f>IF((LEN(E36)-LEN(SUBSTITUTE(E36,".","")))/LEN(".")=1,"p","")</f>
        <v/>
      </c>
      <c r="AG36" s="1760"/>
      <c r="AH36" s="1760"/>
      <c r="AI36" s="1760"/>
      <c r="AJ36" s="1760"/>
      <c r="AK36" s="1760"/>
      <c r="AL36" s="1760"/>
      <c r="AM36" s="1760"/>
      <c r="AN36" s="1760"/>
      <c r="AO36" s="1760"/>
      <c r="AP36" s="689"/>
      <c r="AQ36" s="1760"/>
      <c r="AR36" s="1760"/>
      <c r="AS36" s="1760"/>
      <c r="AT36" s="1760"/>
      <c r="AU36" s="1760"/>
      <c r="AV36" s="690"/>
      <c r="AW36" s="690"/>
      <c r="AX36" s="690"/>
      <c r="AY36" s="690"/>
      <c r="AZ36" s="690"/>
      <c r="BA36" s="1765">
        <v>0</v>
      </c>
    </row>
    <row s="6292" customFormat="1" customHeight="1" ht="0.75">
      <c r="A37" s="2508"/>
      <c r="B37" s="2509"/>
      <c r="C37" s="1291"/>
      <c r="D37" s="684"/>
      <c r="E37" s="691"/>
      <c r="F37" s="692"/>
      <c r="G37" s="687"/>
      <c r="H37" s="693"/>
      <c r="I37" s="693"/>
      <c r="J37" s="6604"/>
      <c r="K37" s="6604"/>
      <c r="L37" s="6604"/>
      <c r="M37" s="6604"/>
      <c r="N37" s="6604"/>
      <c r="O37" s="6604"/>
      <c r="P37" s="6604"/>
      <c r="Q37" s="6604"/>
      <c r="R37" s="6604"/>
      <c r="S37" s="6604"/>
      <c r="T37" s="6604"/>
      <c r="U37" s="6604"/>
      <c r="V37" s="6604"/>
      <c r="W37" s="6604"/>
      <c r="X37" s="6604"/>
      <c r="Y37" s="6604"/>
      <c r="Z37" s="6604"/>
      <c r="AA37" s="6604"/>
      <c r="AB37" s="6604"/>
      <c r="AC37" s="6604"/>
      <c r="AD37" s="6604"/>
      <c r="AE37" s="688"/>
      <c r="AF37" s="1760" t="str">
        <f>IF((LEN(E37)-LEN(SUBSTITUTE(E37,".","")))/LEN(".")=1,"p","")</f>
        <v/>
      </c>
      <c r="AG37" s="1760"/>
      <c r="AH37" s="1760"/>
      <c r="AI37" s="1760"/>
      <c r="AJ37" s="1760"/>
      <c r="AK37" s="1760"/>
      <c r="AL37" s="1760"/>
      <c r="AM37" s="1760"/>
      <c r="AN37" s="1760"/>
      <c r="AO37" s="1760"/>
      <c r="AP37" s="689"/>
      <c r="AQ37" s="1760"/>
      <c r="AR37" s="1760"/>
      <c r="AS37" s="1760"/>
      <c r="AT37" s="1760"/>
      <c r="AU37" s="1760"/>
      <c r="AV37" s="690"/>
      <c r="AW37" s="690"/>
      <c r="AX37" s="690"/>
      <c r="AY37" s="690"/>
      <c r="AZ37" s="690"/>
      <c r="BA37" s="1765">
        <v>0</v>
      </c>
    </row>
    <row s="6292" customFormat="1" customHeight="1" ht="0.75">
      <c r="A38" s="2508"/>
      <c r="B38" s="2509"/>
      <c r="C38" s="1291"/>
      <c r="D38" s="684"/>
      <c r="E38" s="691"/>
      <c r="F38" s="692"/>
      <c r="G38" s="687"/>
      <c r="H38" s="693"/>
      <c r="I38" s="693"/>
      <c r="J38" s="6604"/>
      <c r="K38" s="6604"/>
      <c r="L38" s="6604"/>
      <c r="M38" s="6604"/>
      <c r="N38" s="6604"/>
      <c r="O38" s="6604"/>
      <c r="P38" s="6604"/>
      <c r="Q38" s="6604"/>
      <c r="R38" s="6604"/>
      <c r="S38" s="6604"/>
      <c r="T38" s="6604"/>
      <c r="U38" s="6604"/>
      <c r="V38" s="6604"/>
      <c r="W38" s="6604"/>
      <c r="X38" s="6604"/>
      <c r="Y38" s="6604"/>
      <c r="Z38" s="6604"/>
      <c r="AA38" s="6604"/>
      <c r="AB38" s="6604"/>
      <c r="AC38" s="6604"/>
      <c r="AD38" s="6604"/>
      <c r="AE38" s="688"/>
      <c r="AF38" s="1760" t="str">
        <f>IF((LEN(E38)-LEN(SUBSTITUTE(E38,".","")))/LEN(".")=1,"p","")</f>
        <v/>
      </c>
      <c r="AG38" s="1760"/>
      <c r="AH38" s="1760"/>
      <c r="AI38" s="1760"/>
      <c r="AJ38" s="1760"/>
      <c r="AK38" s="1760"/>
      <c r="AL38" s="1760"/>
      <c r="AM38" s="1760"/>
      <c r="AN38" s="1760"/>
      <c r="AO38" s="1760"/>
      <c r="AP38" s="689"/>
      <c r="AQ38" s="1760"/>
      <c r="AR38" s="1760"/>
      <c r="AS38" s="1760"/>
      <c r="AT38" s="1760"/>
      <c r="AU38" s="1760"/>
      <c r="AV38" s="690"/>
      <c r="AW38" s="690"/>
      <c r="AX38" s="690"/>
      <c r="AY38" s="690"/>
      <c r="AZ38" s="690"/>
      <c r="BA38" s="1765">
        <v>0</v>
      </c>
    </row>
    <row s="6292" customFormat="1" customHeight="1" ht="0.75">
      <c r="A39" s="2508"/>
      <c r="B39" s="2509"/>
      <c r="C39" s="1291"/>
      <c r="D39" s="684"/>
      <c r="E39" s="691"/>
      <c r="F39" s="692"/>
      <c r="G39" s="687"/>
      <c r="H39" s="621"/>
      <c r="I39" s="621"/>
      <c r="J39" s="6012"/>
      <c r="K39" s="6012"/>
      <c r="L39" s="6012"/>
      <c r="M39" s="6012"/>
      <c r="N39" s="6012"/>
      <c r="O39" s="6012"/>
      <c r="P39" s="6012"/>
      <c r="Q39" s="6012"/>
      <c r="R39" s="6012"/>
      <c r="S39" s="6012"/>
      <c r="T39" s="6012"/>
      <c r="U39" s="6012"/>
      <c r="V39" s="6012"/>
      <c r="W39" s="6012"/>
      <c r="X39" s="6012"/>
      <c r="Y39" s="6012"/>
      <c r="Z39" s="6012"/>
      <c r="AA39" s="6012"/>
      <c r="AB39" s="6012"/>
      <c r="AC39" s="6012"/>
      <c r="AD39" s="6012"/>
      <c r="AE39" s="688"/>
      <c r="AF39" s="1760" t="str">
        <f>IF((LEN(E39)-LEN(SUBSTITUTE(E39,".","")))/LEN(".")=1,"p","")</f>
        <v/>
      </c>
      <c r="AG39" s="1760"/>
      <c r="AH39" s="1760"/>
      <c r="AI39" s="1760"/>
      <c r="AJ39" s="1760"/>
      <c r="AK39" s="1760"/>
      <c r="AL39" s="1760"/>
      <c r="AM39" s="1760"/>
      <c r="AN39" s="1760"/>
      <c r="AO39" s="1760"/>
      <c r="AP39" s="689"/>
      <c r="AQ39" s="1760"/>
      <c r="AR39" s="1760"/>
      <c r="AS39" s="1760"/>
      <c r="AT39" s="1760"/>
      <c r="AU39" s="1760"/>
      <c r="AV39" s="690"/>
      <c r="AW39" s="690"/>
      <c r="AX39" s="690"/>
      <c r="AY39" s="690"/>
      <c r="AZ39" s="690"/>
      <c r="BA39" s="1765">
        <v>0</v>
      </c>
    </row>
    <row s="7954" customFormat="1" customHeight="1" ht="23.25">
      <c r="A40" s="6675"/>
      <c r="B40" s="7895" t="str">
        <f>E33&amp;".1"</f>
        <v>2.2.1</v>
      </c>
      <c r="C40" s="6959" t="s">
        <v>657</v>
      </c>
      <c r="D40" s="7121" t="s">
        <v>103</v>
      </c>
      <c r="E40" s="6555" t="str">
        <f>B40</f>
        <v>2.2.1</v>
      </c>
      <c r="F40" s="6556" t="s">
        <v>681</v>
      </c>
      <c r="G40" s="7577" t="s">
        <v>658</v>
      </c>
      <c r="H40" s="7577" t="s">
        <v>658</v>
      </c>
      <c r="I40" s="7577" t="s">
        <v>658</v>
      </c>
      <c r="J40" s="7577" t="s">
        <v>658</v>
      </c>
      <c r="K40" s="7577" t="s">
        <v>658</v>
      </c>
      <c r="L40" s="7577" t="s">
        <v>658</v>
      </c>
      <c r="M40" s="7577" t="s">
        <v>658</v>
      </c>
      <c r="N40" s="7577" t="s">
        <v>658</v>
      </c>
      <c r="O40" s="7577" t="s">
        <v>658</v>
      </c>
      <c r="P40" s="7577" t="s">
        <v>658</v>
      </c>
      <c r="Q40" s="7577" t="s">
        <v>658</v>
      </c>
      <c r="R40" s="7577" t="s">
        <v>658</v>
      </c>
      <c r="S40" s="7577" t="s">
        <v>658</v>
      </c>
      <c r="T40" s="7577" t="s">
        <v>658</v>
      </c>
      <c r="U40" s="7577" t="s">
        <v>658</v>
      </c>
      <c r="V40" s="7577" t="s">
        <v>658</v>
      </c>
      <c r="W40" s="7577" t="s">
        <v>658</v>
      </c>
      <c r="X40" s="7577" t="s">
        <v>658</v>
      </c>
      <c r="Y40" s="7577" t="s">
        <v>658</v>
      </c>
      <c r="Z40" s="7577" t="s">
        <v>658</v>
      </c>
      <c r="AA40" s="7577" t="s">
        <v>658</v>
      </c>
      <c r="AB40" s="7577" t="s">
        <v>658</v>
      </c>
      <c r="AC40" s="7577" t="s">
        <v>658</v>
      </c>
      <c r="AD40" s="7577" t="s">
        <v>658</v>
      </c>
      <c r="AE40" s="7175" t="s">
        <v>659</v>
      </c>
      <c r="AF40" s="6639"/>
      <c r="AG40" s="6698"/>
      <c r="AH40" s="6698"/>
      <c r="AI40" s="7158"/>
      <c r="AJ40" s="7158"/>
      <c r="AK40" s="7158"/>
      <c r="AL40" s="7158"/>
      <c r="AM40" s="6698"/>
      <c r="AN40" s="7158"/>
      <c r="AO40" s="7158"/>
      <c r="AP40" s="6676"/>
      <c r="AQ40" s="7158"/>
      <c r="AR40" s="7158"/>
      <c r="AS40" s="7158"/>
      <c r="AT40" s="7158"/>
      <c r="AU40" s="7158"/>
      <c r="AV40" s="7464"/>
      <c r="AW40" s="7464"/>
      <c r="AX40" s="7464"/>
      <c r="AY40" s="7464"/>
      <c r="AZ40" s="7464"/>
      <c r="BA40" s="7213">
        <v>0</v>
      </c>
    </row>
    <row s="6688" customFormat="1" customHeight="1" ht="0.75" hidden="1">
      <c r="A41" s="6698"/>
      <c r="B41" s="7895" t="str">
        <f>E33&amp;".0"</f>
        <v>2.2.0</v>
      </c>
      <c r="C41" s="6959"/>
      <c r="D41" s="6959"/>
      <c r="E41" s="6560"/>
      <c r="F41" s="6561" t="s">
        <v>660</v>
      </c>
      <c r="G41" s="6562"/>
      <c r="H41" s="6562">
        <f>H42*H43+H44</f>
        <v>0</v>
      </c>
      <c r="I41" s="6562">
        <f>I42*I43+I44</f>
        <v>944.82</v>
      </c>
      <c r="J41" s="6562">
        <f>J42*J43+J44</f>
        <v>0</v>
      </c>
      <c r="K41" s="6562">
        <f>K42*K43+K44</f>
        <v>0</v>
      </c>
      <c r="L41" s="6562">
        <f>L42*L43+L44</f>
        <v>0</v>
      </c>
      <c r="M41" s="6562">
        <f>M42*M43+M44</f>
        <v>0</v>
      </c>
      <c r="N41" s="6562">
        <f>N42*N43+N44</f>
        <v>0</v>
      </c>
      <c r="O41" s="6562">
        <f>O42*O43+O44</f>
        <v>0</v>
      </c>
      <c r="P41" s="6562">
        <f>P42*P43+P44</f>
        <v>0</v>
      </c>
      <c r="Q41" s="6562">
        <f>Q42*Q43+Q44</f>
        <v>0</v>
      </c>
      <c r="R41" s="6562">
        <f>R42*R43+R44</f>
        <v>0</v>
      </c>
      <c r="S41" s="6562">
        <f>S42*S43+S44</f>
        <v>0</v>
      </c>
      <c r="T41" s="6562">
        <f>T42*T43+T44</f>
        <v>0</v>
      </c>
      <c r="U41" s="6562">
        <f>U42*U43+U44</f>
        <v>0</v>
      </c>
      <c r="V41" s="6562">
        <f>V42*V43+V44</f>
        <v>0</v>
      </c>
      <c r="W41" s="6562">
        <f>W42*W43+W44</f>
        <v>0</v>
      </c>
      <c r="X41" s="6562">
        <f>X42*X43+X44</f>
        <v>0</v>
      </c>
      <c r="Y41" s="6562">
        <f>Y42*Y43+Y44</f>
        <v>0</v>
      </c>
      <c r="Z41" s="6562">
        <f>Z42*Z43+Z44</f>
        <v>0</v>
      </c>
      <c r="AA41" s="6562">
        <f>AA42*AA43+AA44</f>
        <v>0</v>
      </c>
      <c r="AB41" s="6562">
        <f>AB42*AB43+AB44</f>
        <v>0</v>
      </c>
      <c r="AC41" s="6562">
        <f>AC42*AC43+AC44</f>
        <v>0</v>
      </c>
      <c r="AD41" s="6562">
        <f>AD42*AD43+AD44</f>
        <v>0</v>
      </c>
      <c r="AE41" s="6727"/>
      <c r="AF41" s="6698"/>
      <c r="AG41" s="6698"/>
      <c r="AH41" s="6698"/>
      <c r="AI41" s="6698"/>
      <c r="AJ41" s="6698"/>
      <c r="AK41" s="6698"/>
      <c r="AL41" s="6698"/>
      <c r="AM41" s="6698"/>
      <c r="AN41" s="6698"/>
      <c r="AO41" s="6698"/>
      <c r="AP41" s="6698"/>
      <c r="AQ41" s="6698"/>
      <c r="AR41" s="6698"/>
      <c r="AS41" s="6698"/>
      <c r="AT41" s="6698"/>
      <c r="AU41" s="6698"/>
      <c r="AV41" s="6698"/>
      <c r="AW41" s="6698"/>
      <c r="AX41" s="6698"/>
      <c r="AY41" s="6698"/>
      <c r="AZ41" s="6698"/>
      <c r="BA41" s="6698">
        <v>0</v>
      </c>
    </row>
    <row s="7954" customFormat="1" customHeight="1" ht="23.25">
      <c r="A42" s="6675"/>
      <c r="B42" s="7895" t="str">
        <f>E33&amp;".0"</f>
        <v>2.2.0</v>
      </c>
      <c r="C42" s="6959"/>
      <c r="D42" s="7786"/>
      <c r="E42" s="6555" t="str">
        <f>B40&amp;".1"</f>
        <v>2.2.1.1</v>
      </c>
      <c r="F42" s="6564" t="s">
        <v>661</v>
      </c>
      <c r="G42" s="6565" t="s">
        <v>682</v>
      </c>
      <c r="H42" s="6566"/>
      <c r="I42" s="6566">
        <v>112.03</v>
      </c>
      <c r="J42" s="6566"/>
      <c r="K42" s="6566"/>
      <c r="L42" s="6566"/>
      <c r="M42" s="6566"/>
      <c r="N42" s="6566"/>
      <c r="O42" s="6566"/>
      <c r="P42" s="6566"/>
      <c r="Q42" s="6566"/>
      <c r="R42" s="6566"/>
      <c r="S42" s="6566"/>
      <c r="T42" s="6566"/>
      <c r="U42" s="6566"/>
      <c r="V42" s="6566"/>
      <c r="W42" s="6566"/>
      <c r="X42" s="6566"/>
      <c r="Y42" s="6566"/>
      <c r="Z42" s="6566"/>
      <c r="AA42" s="6566"/>
      <c r="AB42" s="6566"/>
      <c r="AC42" s="6566"/>
      <c r="AD42" s="6566"/>
      <c r="AE42" s="7175" t="s">
        <v>662</v>
      </c>
      <c r="AF42" s="6639"/>
      <c r="AG42" s="6698"/>
      <c r="AH42" s="6698"/>
      <c r="AI42" s="7158"/>
      <c r="AJ42" s="7158"/>
      <c r="AK42" s="7158"/>
      <c r="AL42" s="7158"/>
      <c r="AM42" s="6698"/>
      <c r="AN42" s="7158"/>
      <c r="AO42" s="7158"/>
      <c r="AP42" s="6676"/>
      <c r="AQ42" s="7158"/>
      <c r="AR42" s="7158"/>
      <c r="AS42" s="7158"/>
      <c r="AT42" s="7158"/>
      <c r="AU42" s="7158"/>
      <c r="AV42" s="7464"/>
      <c r="AW42" s="7464"/>
      <c r="AX42" s="7464"/>
      <c r="AY42" s="7464"/>
      <c r="AZ42" s="7464"/>
      <c r="BA42" s="7213">
        <v>0</v>
      </c>
    </row>
    <row s="7954" customFormat="1" customHeight="1" ht="18.75">
      <c r="A43" s="6675"/>
      <c r="B43" s="7895" t="str">
        <f>E33&amp;".0"</f>
        <v>2.2.0</v>
      </c>
      <c r="C43" s="6959"/>
      <c r="D43" s="7786"/>
      <c r="E43" s="6555" t="str">
        <f>B40&amp;".2"</f>
        <v>2.2.1.2</v>
      </c>
      <c r="F43" s="6564" t="s">
        <v>663</v>
      </c>
      <c r="G43" s="7577" t="s">
        <v>664</v>
      </c>
      <c r="H43" s="6566"/>
      <c r="I43" s="6566">
        <f>944.82/I42</f>
        <v>8.43363384807641</v>
      </c>
      <c r="J43" s="6566"/>
      <c r="K43" s="6566"/>
      <c r="L43" s="6566"/>
      <c r="M43" s="6566"/>
      <c r="N43" s="6566"/>
      <c r="O43" s="6566"/>
      <c r="P43" s="6566"/>
      <c r="Q43" s="6566"/>
      <c r="R43" s="6566"/>
      <c r="S43" s="6566"/>
      <c r="T43" s="6566"/>
      <c r="U43" s="6566"/>
      <c r="V43" s="6566"/>
      <c r="W43" s="6566"/>
      <c r="X43" s="6566"/>
      <c r="Y43" s="6566"/>
      <c r="Z43" s="6566"/>
      <c r="AA43" s="6566"/>
      <c r="AB43" s="6566"/>
      <c r="AC43" s="6566"/>
      <c r="AD43" s="6566"/>
      <c r="AE43" s="7175"/>
      <c r="AF43" s="6639"/>
      <c r="AG43" s="6698"/>
      <c r="AH43" s="6698"/>
      <c r="AI43" s="7158"/>
      <c r="AJ43" s="7158"/>
      <c r="AK43" s="7158"/>
      <c r="AL43" s="7158"/>
      <c r="AM43" s="6698"/>
      <c r="AN43" s="7158"/>
      <c r="AO43" s="7158"/>
      <c r="AP43" s="6676"/>
      <c r="AQ43" s="7158"/>
      <c r="AR43" s="7158"/>
      <c r="AS43" s="7158"/>
      <c r="AT43" s="7158"/>
      <c r="AU43" s="7158"/>
      <c r="AV43" s="7464"/>
      <c r="AW43" s="7464"/>
      <c r="AX43" s="7464"/>
      <c r="AY43" s="7464"/>
      <c r="AZ43" s="7464"/>
      <c r="BA43" s="7213">
        <v>0</v>
      </c>
    </row>
    <row s="7954" customFormat="1" customHeight="1" ht="18.75">
      <c r="A44" s="6675"/>
      <c r="B44" s="7895" t="str">
        <f>E33&amp;".0"</f>
        <v>2.2.0</v>
      </c>
      <c r="C44" s="6959"/>
      <c r="D44" s="7786"/>
      <c r="E44" s="6555" t="str">
        <f>B40&amp;".3"</f>
        <v>2.2.1.3</v>
      </c>
      <c r="F44" s="6564" t="s">
        <v>665</v>
      </c>
      <c r="G44" s="7577" t="s">
        <v>664</v>
      </c>
      <c r="H44" s="6566"/>
      <c r="I44" s="6566">
        <v>0</v>
      </c>
      <c r="J44" s="6566"/>
      <c r="K44" s="6566"/>
      <c r="L44" s="6566"/>
      <c r="M44" s="6566"/>
      <c r="N44" s="6566"/>
      <c r="O44" s="6566"/>
      <c r="P44" s="6566"/>
      <c r="Q44" s="6566"/>
      <c r="R44" s="6566"/>
      <c r="S44" s="6566"/>
      <c r="T44" s="6566"/>
      <c r="U44" s="6566"/>
      <c r="V44" s="6566"/>
      <c r="W44" s="6566"/>
      <c r="X44" s="6566"/>
      <c r="Y44" s="6566"/>
      <c r="Z44" s="6566"/>
      <c r="AA44" s="6566"/>
      <c r="AB44" s="6566"/>
      <c r="AC44" s="6566"/>
      <c r="AD44" s="6566"/>
      <c r="AE44" s="7175"/>
      <c r="AF44" s="6639"/>
      <c r="AG44" s="6698"/>
      <c r="AH44" s="6698"/>
      <c r="AI44" s="7158"/>
      <c r="AJ44" s="7158"/>
      <c r="AK44" s="7158"/>
      <c r="AL44" s="7158"/>
      <c r="AM44" s="6698"/>
      <c r="AN44" s="7158"/>
      <c r="AO44" s="7158"/>
      <c r="AP44" s="6676"/>
      <c r="AQ44" s="7158"/>
      <c r="AR44" s="7158"/>
      <c r="AS44" s="7158"/>
      <c r="AT44" s="7158"/>
      <c r="AU44" s="7158"/>
      <c r="AV44" s="7464"/>
      <c r="AW44" s="7464"/>
      <c r="AX44" s="7464"/>
      <c r="AY44" s="7464"/>
      <c r="AZ44" s="7464"/>
      <c r="BA44" s="7213">
        <v>0</v>
      </c>
    </row>
    <row s="7954" customFormat="1" customHeight="1" ht="18.75">
      <c r="A45" s="6675"/>
      <c r="B45" s="7895" t="str">
        <f>E33&amp;".0"</f>
        <v>2.2.0</v>
      </c>
      <c r="C45" s="6959"/>
      <c r="D45" s="7786"/>
      <c r="E45" s="6555" t="str">
        <f>B40&amp;".4"</f>
        <v>2.2.1.4</v>
      </c>
      <c r="F45" s="6564" t="s">
        <v>666</v>
      </c>
      <c r="G45" s="7577" t="s">
        <v>658</v>
      </c>
      <c r="H45" s="6567"/>
      <c r="I45" s="6567" t="s">
        <v>683</v>
      </c>
      <c r="J45" s="6567"/>
      <c r="K45" s="6567"/>
      <c r="L45" s="6567"/>
      <c r="M45" s="6567"/>
      <c r="N45" s="6567"/>
      <c r="O45" s="6567"/>
      <c r="P45" s="6567"/>
      <c r="Q45" s="6567"/>
      <c r="R45" s="6567"/>
      <c r="S45" s="6567"/>
      <c r="T45" s="6567"/>
      <c r="U45" s="6567"/>
      <c r="V45" s="6567"/>
      <c r="W45" s="6567"/>
      <c r="X45" s="6567"/>
      <c r="Y45" s="6567"/>
      <c r="Z45" s="6567"/>
      <c r="AA45" s="6567"/>
      <c r="AB45" s="6567"/>
      <c r="AC45" s="6567"/>
      <c r="AD45" s="6567"/>
      <c r="AE45" s="7175"/>
      <c r="AF45" s="6639"/>
      <c r="AG45" s="6698"/>
      <c r="AH45" s="6698"/>
      <c r="AI45" s="7158"/>
      <c r="AJ45" s="7158"/>
      <c r="AK45" s="7158"/>
      <c r="AL45" s="7158"/>
      <c r="AM45" s="6698"/>
      <c r="AN45" s="7158"/>
      <c r="AO45" s="7158"/>
      <c r="AP45" s="6676"/>
      <c r="AQ45" s="7158"/>
      <c r="AR45" s="7158"/>
      <c r="AS45" s="7158"/>
      <c r="AT45" s="7158"/>
      <c r="AU45" s="7158"/>
      <c r="AV45" s="7464"/>
      <c r="AW45" s="7464"/>
      <c r="AX45" s="7464"/>
      <c r="AY45" s="7464"/>
      <c r="AZ45" s="7464"/>
      <c r="BA45" s="7213">
        <v>0</v>
      </c>
    </row>
    <row s="7954" customFormat="1" customHeight="1" ht="23.25">
      <c r="A46" s="6675"/>
      <c r="B46" s="7895" t="str">
        <f>E33&amp;".2"</f>
        <v>2.2.2</v>
      </c>
      <c r="C46" s="6959" t="s">
        <v>657</v>
      </c>
      <c r="D46" s="7121" t="s">
        <v>103</v>
      </c>
      <c r="E46" s="6555" t="str">
        <f>B46</f>
        <v>2.2.2</v>
      </c>
      <c r="F46" s="6556" t="s">
        <v>684</v>
      </c>
      <c r="G46" s="7577" t="s">
        <v>658</v>
      </c>
      <c r="H46" s="7577" t="s">
        <v>658</v>
      </c>
      <c r="I46" s="7577" t="s">
        <v>658</v>
      </c>
      <c r="J46" s="7577" t="s">
        <v>658</v>
      </c>
      <c r="K46" s="7577" t="s">
        <v>658</v>
      </c>
      <c r="L46" s="7577" t="s">
        <v>658</v>
      </c>
      <c r="M46" s="7577" t="s">
        <v>658</v>
      </c>
      <c r="N46" s="7577" t="s">
        <v>658</v>
      </c>
      <c r="O46" s="7577" t="s">
        <v>658</v>
      </c>
      <c r="P46" s="7577" t="s">
        <v>658</v>
      </c>
      <c r="Q46" s="7577" t="s">
        <v>658</v>
      </c>
      <c r="R46" s="7577" t="s">
        <v>658</v>
      </c>
      <c r="S46" s="7577" t="s">
        <v>658</v>
      </c>
      <c r="T46" s="7577" t="s">
        <v>658</v>
      </c>
      <c r="U46" s="7577" t="s">
        <v>658</v>
      </c>
      <c r="V46" s="7577" t="s">
        <v>658</v>
      </c>
      <c r="W46" s="7577" t="s">
        <v>658</v>
      </c>
      <c r="X46" s="7577" t="s">
        <v>658</v>
      </c>
      <c r="Y46" s="7577" t="s">
        <v>658</v>
      </c>
      <c r="Z46" s="7577" t="s">
        <v>658</v>
      </c>
      <c r="AA46" s="7577" t="s">
        <v>658</v>
      </c>
      <c r="AB46" s="7577" t="s">
        <v>658</v>
      </c>
      <c r="AC46" s="7577" t="s">
        <v>658</v>
      </c>
      <c r="AD46" s="7577" t="s">
        <v>658</v>
      </c>
      <c r="AE46" s="7175" t="s">
        <v>659</v>
      </c>
      <c r="AF46" s="6639"/>
      <c r="AG46" s="6698"/>
      <c r="AH46" s="6698"/>
      <c r="AI46" s="7158"/>
      <c r="AJ46" s="7158"/>
      <c r="AK46" s="7158"/>
      <c r="AL46" s="7158"/>
      <c r="AM46" s="6698"/>
      <c r="AN46" s="7158"/>
      <c r="AO46" s="7158"/>
      <c r="AP46" s="6676"/>
      <c r="AQ46" s="7158"/>
      <c r="AR46" s="7158"/>
      <c r="AS46" s="7158"/>
      <c r="AT46" s="7158"/>
      <c r="AU46" s="7158"/>
      <c r="AV46" s="7464"/>
      <c r="AW46" s="7464"/>
      <c r="AX46" s="7464"/>
      <c r="AY46" s="7464"/>
      <c r="AZ46" s="7464"/>
      <c r="BA46" s="7213">
        <v>0</v>
      </c>
    </row>
    <row s="6688" customFormat="1" customHeight="1" ht="0.75" hidden="1">
      <c r="A47" s="6698"/>
      <c r="B47" s="7895" t="str">
        <f>E33&amp;".1"</f>
        <v>2.2.1</v>
      </c>
      <c r="C47" s="6959"/>
      <c r="D47" s="6959"/>
      <c r="E47" s="6560"/>
      <c r="F47" s="6561" t="s">
        <v>660</v>
      </c>
      <c r="G47" s="6562"/>
      <c r="H47" s="6562">
        <f>H48*H49+H50</f>
        <v>0</v>
      </c>
      <c r="I47" s="6562">
        <f>I48*I49+I50</f>
        <v>116680.52</v>
      </c>
      <c r="J47" s="6562">
        <f>J48*J49+J50</f>
        <v>4671.52</v>
      </c>
      <c r="K47" s="6562">
        <f>K48*K49+K50</f>
        <v>10251.04</v>
      </c>
      <c r="L47" s="6562">
        <f>L48*L49+L50</f>
        <v>1552.97</v>
      </c>
      <c r="M47" s="6562">
        <f>M48*M49+M50</f>
        <v>6958.81</v>
      </c>
      <c r="N47" s="6562">
        <f>N48*N49+N50</f>
        <v>3316.34</v>
      </c>
      <c r="O47" s="6562">
        <f>O48*O49+O50</f>
        <v>32332.43</v>
      </c>
      <c r="P47" s="6562">
        <f>P48*P49+P50</f>
        <v>3461.47</v>
      </c>
      <c r="Q47" s="6562">
        <f>Q48*Q49+Q50</f>
        <v>1237.09</v>
      </c>
      <c r="R47" s="6562">
        <f>R48*R49+R50</f>
        <v>3723.82</v>
      </c>
      <c r="S47" s="6562">
        <f>S48*S49+S50</f>
        <v>3855.4</v>
      </c>
      <c r="T47" s="6562">
        <f>T48*T49+T50</f>
        <v>40984.23</v>
      </c>
      <c r="U47" s="6562">
        <f>U48*U49+U50</f>
        <v>1945.06</v>
      </c>
      <c r="V47" s="6562">
        <f>V48*V49+V50</f>
        <v>1488.36</v>
      </c>
      <c r="W47" s="6562">
        <f>W48*W49+W50</f>
        <v>3606.81</v>
      </c>
      <c r="X47" s="6562">
        <f>X48*X49+X50</f>
        <v>6475.9</v>
      </c>
      <c r="Y47" s="6562">
        <f>Y48*Y49+Y50</f>
        <v>80937.48</v>
      </c>
      <c r="Z47" s="6562">
        <f>Z48*Z49+Z50</f>
        <v>49.35</v>
      </c>
      <c r="AA47" s="6562">
        <f>AA48*AA49+AA50</f>
        <v>666.77</v>
      </c>
      <c r="AB47" s="6562">
        <f>AB48*AB49+AB50</f>
        <v>27268.22</v>
      </c>
      <c r="AC47" s="6562">
        <f>AC48*AC49+AC50</f>
        <v>4422.18</v>
      </c>
      <c r="AD47" s="6562">
        <f>AD48*AD49+AD50</f>
        <v>977.13</v>
      </c>
      <c r="AE47" s="6727"/>
      <c r="AF47" s="6698"/>
      <c r="AG47" s="6698"/>
      <c r="AH47" s="6698"/>
      <c r="AI47" s="6698"/>
      <c r="AJ47" s="6698"/>
      <c r="AK47" s="6698"/>
      <c r="AL47" s="6698"/>
      <c r="AM47" s="6698"/>
      <c r="AN47" s="6698"/>
      <c r="AO47" s="6698"/>
      <c r="AP47" s="6698"/>
      <c r="AQ47" s="6698"/>
      <c r="AR47" s="6698"/>
      <c r="AS47" s="6698"/>
      <c r="AT47" s="6698"/>
      <c r="AU47" s="6698"/>
      <c r="AV47" s="6698"/>
      <c r="AW47" s="6698"/>
      <c r="AX47" s="6698"/>
      <c r="AY47" s="6698"/>
      <c r="AZ47" s="6698"/>
      <c r="BA47" s="6698">
        <v>0</v>
      </c>
    </row>
    <row s="7954" customFormat="1" customHeight="1" ht="23.25">
      <c r="A48" s="6675"/>
      <c r="B48" s="7895" t="str">
        <f>E33&amp;".1"</f>
        <v>2.2.1</v>
      </c>
      <c r="C48" s="6959"/>
      <c r="D48" s="7786"/>
      <c r="E48" s="6555" t="str">
        <f>B46&amp;".1"</f>
        <v>2.2.2.1</v>
      </c>
      <c r="F48" s="6564" t="s">
        <v>661</v>
      </c>
      <c r="G48" s="6565" t="s">
        <v>685</v>
      </c>
      <c r="H48" s="6566"/>
      <c r="I48" s="6566">
        <v>17144.22</v>
      </c>
      <c r="J48" s="6566">
        <v>657.8</v>
      </c>
      <c r="K48" s="6566">
        <v>1448.54</v>
      </c>
      <c r="L48" s="6566">
        <v>219.4</v>
      </c>
      <c r="M48" s="6566">
        <v>983.23</v>
      </c>
      <c r="N48" s="6566">
        <v>463.35</v>
      </c>
      <c r="O48" s="6566">
        <v>4529.54</v>
      </c>
      <c r="P48" s="6566">
        <v>458.7</v>
      </c>
      <c r="Q48" s="6566">
        <v>174.54</v>
      </c>
      <c r="R48" s="6566">
        <v>527.27</v>
      </c>
      <c r="S48" s="6566">
        <v>532.52</v>
      </c>
      <c r="T48" s="6566">
        <v>5782.91</v>
      </c>
      <c r="U48" s="6566">
        <v>272.96</v>
      </c>
      <c r="V48" s="6566">
        <v>208.74</v>
      </c>
      <c r="W48" s="6566">
        <v>509.54</v>
      </c>
      <c r="X48" s="6566">
        <v>909.83</v>
      </c>
      <c r="Y48" s="6566">
        <v>11422.27</v>
      </c>
      <c r="Z48" s="6566">
        <v>6.8</v>
      </c>
      <c r="AA48" s="6566">
        <v>92.09</v>
      </c>
      <c r="AB48" s="6566">
        <v>3703.99</v>
      </c>
      <c r="AC48" s="6566">
        <v>617.48</v>
      </c>
      <c r="AD48" s="6566">
        <v>136.99</v>
      </c>
      <c r="AE48" s="7175" t="s">
        <v>662</v>
      </c>
      <c r="AF48" s="6639"/>
      <c r="AG48" s="6698"/>
      <c r="AH48" s="6698"/>
      <c r="AI48" s="7158"/>
      <c r="AJ48" s="7158"/>
      <c r="AK48" s="7158"/>
      <c r="AL48" s="7158"/>
      <c r="AM48" s="6698"/>
      <c r="AN48" s="7158"/>
      <c r="AO48" s="7158"/>
      <c r="AP48" s="6676"/>
      <c r="AQ48" s="7158"/>
      <c r="AR48" s="7158"/>
      <c r="AS48" s="7158"/>
      <c r="AT48" s="7158"/>
      <c r="AU48" s="7158"/>
      <c r="AV48" s="7464"/>
      <c r="AW48" s="7464"/>
      <c r="AX48" s="7464"/>
      <c r="AY48" s="7464"/>
      <c r="AZ48" s="7464"/>
      <c r="BA48" s="7213">
        <v>0</v>
      </c>
    </row>
    <row s="7954" customFormat="1" customHeight="1" ht="18.75">
      <c r="A49" s="6675"/>
      <c r="B49" s="7895" t="str">
        <f>E33&amp;".1"</f>
        <v>2.2.1</v>
      </c>
      <c r="C49" s="6959"/>
      <c r="D49" s="7786"/>
      <c r="E49" s="6555" t="str">
        <f>B46&amp;".2"</f>
        <v>2.2.2.2</v>
      </c>
      <c r="F49" s="6564" t="s">
        <v>663</v>
      </c>
      <c r="G49" s="7577" t="s">
        <v>664</v>
      </c>
      <c r="H49" s="6566"/>
      <c r="I49" s="6566">
        <f>(116680.52-I50)/I48</f>
        <v>5.74228573828381</v>
      </c>
      <c r="J49" s="6566">
        <f>(4671.52-J50)/J48</f>
        <v>5.74758987579812</v>
      </c>
      <c r="K49" s="6566">
        <f>(10251.04-K50)/K48</f>
        <v>5.75079857304596</v>
      </c>
      <c r="L49" s="6566">
        <f>(1552.97-L50)/L48</f>
        <v>5.74772275934366</v>
      </c>
      <c r="M49" s="6566">
        <f>(6958.81-M50)/M48</f>
        <v>5.73179767500992</v>
      </c>
      <c r="N49" s="6566">
        <f>(3316.34-N50)/N48</f>
        <v>5.75529568274522</v>
      </c>
      <c r="O49" s="6566">
        <f>(32332.43-O50)/O48</f>
        <v>5.82647906807314</v>
      </c>
      <c r="P49" s="6566">
        <f>(3461.47-P50)/P48</f>
        <v>6.19980398146937</v>
      </c>
      <c r="Q49" s="6566">
        <f>(1237.09-Q50)/Q48</f>
        <v>5.74975570012605</v>
      </c>
      <c r="R49" s="6566">
        <f>(3723.82-R50)/R48</f>
        <v>5.74317155821496</v>
      </c>
      <c r="S49" s="6566">
        <f>(3855.4-S50)/S48</f>
        <v>5.87316034327349</v>
      </c>
      <c r="T49" s="6566">
        <f>(40984.23-T50)/T48</f>
        <v>5.74555474026053</v>
      </c>
      <c r="U49" s="6566">
        <f>(1945.06-U50)/U48</f>
        <v>5.73921700432298</v>
      </c>
      <c r="V49" s="6566">
        <f>(1488.36-V50)/V48</f>
        <v>5.75617978154642</v>
      </c>
      <c r="W49" s="6566">
        <f>(3606.81-W50)/W48</f>
        <v>5.8232601585744</v>
      </c>
      <c r="X49" s="6566">
        <f>(6475.9-X50)/X48</f>
        <v>5.77651313761911</v>
      </c>
      <c r="Y49" s="6566">
        <f>(80937.48-Y50)/Y48</f>
        <v>5.74165555095441</v>
      </c>
      <c r="Z49" s="6566">
        <f>(49.35-Z50)/Z48</f>
        <v>5.85471861764706</v>
      </c>
      <c r="AA49" s="6566">
        <f>(666.77-AA50)/AA48</f>
        <v>5.85889693234879</v>
      </c>
      <c r="AB49" s="6566">
        <f>(27268.22-AB50)/AB48</f>
        <v>5.89289657909444</v>
      </c>
      <c r="AC49" s="6566">
        <f>(4422.18-AC50)/AC48</f>
        <v>5.81173479302973</v>
      </c>
      <c r="AD49" s="6566">
        <f>(977.13-AD50)/AD48</f>
        <v>5.80485867143587</v>
      </c>
      <c r="AE49" s="7175"/>
      <c r="AF49" s="6639"/>
      <c r="AG49" s="6698"/>
      <c r="AH49" s="6698"/>
      <c r="AI49" s="7158"/>
      <c r="AJ49" s="7158"/>
      <c r="AK49" s="7158"/>
      <c r="AL49" s="7158"/>
      <c r="AM49" s="6698"/>
      <c r="AN49" s="7158"/>
      <c r="AO49" s="7158"/>
      <c r="AP49" s="6676"/>
      <c r="AQ49" s="7158"/>
      <c r="AR49" s="7158"/>
      <c r="AS49" s="7158"/>
      <c r="AT49" s="7158"/>
      <c r="AU49" s="7158"/>
      <c r="AV49" s="7464"/>
      <c r="AW49" s="7464"/>
      <c r="AX49" s="7464"/>
      <c r="AY49" s="7464"/>
      <c r="AZ49" s="7464"/>
      <c r="BA49" s="7213">
        <v>0</v>
      </c>
    </row>
    <row s="7954" customFormat="1" customHeight="1" ht="18.75">
      <c r="A50" s="6675"/>
      <c r="B50" s="7895" t="str">
        <f>E33&amp;".1"</f>
        <v>2.2.1</v>
      </c>
      <c r="C50" s="6959"/>
      <c r="D50" s="7786"/>
      <c r="E50" s="6555" t="str">
        <f>B46&amp;".3"</f>
        <v>2.2.2.3</v>
      </c>
      <c r="F50" s="6564" t="s">
        <v>665</v>
      </c>
      <c r="G50" s="7577" t="s">
        <v>664</v>
      </c>
      <c r="H50" s="6566"/>
      <c r="I50" s="6566">
        <v>18233.51</v>
      </c>
      <c r="J50" s="6566">
        <v>890.7553797</v>
      </c>
      <c r="K50" s="6566">
        <v>1920.778235</v>
      </c>
      <c r="L50" s="6566">
        <v>291.9196266</v>
      </c>
      <c r="M50" s="6566">
        <v>1323.134572</v>
      </c>
      <c r="N50" s="6566">
        <v>649.6237454</v>
      </c>
      <c r="O50" s="6566">
        <v>5941.160002</v>
      </c>
      <c r="P50" s="6566">
        <v>617.6199137</v>
      </c>
      <c r="Q50" s="6566">
        <v>233.5276401</v>
      </c>
      <c r="R50" s="6566">
        <v>695.6179325</v>
      </c>
      <c r="S50" s="6566">
        <v>727.824654</v>
      </c>
      <c r="T50" s="6566">
        <v>7758.204037</v>
      </c>
      <c r="U50" s="6566">
        <v>378.4833265</v>
      </c>
      <c r="V50" s="6566">
        <v>286.8150324</v>
      </c>
      <c r="W50" s="6566">
        <v>639.6260188</v>
      </c>
      <c r="X50" s="6566">
        <v>1220.255052</v>
      </c>
      <c r="Y50" s="6566">
        <v>15354.74005</v>
      </c>
      <c r="Z50" s="6566">
        <v>9.5379134</v>
      </c>
      <c r="AA50" s="6566">
        <v>127.2241815</v>
      </c>
      <c r="AB50" s="6566">
        <v>5440.99</v>
      </c>
      <c r="AC50" s="6566">
        <v>833.55</v>
      </c>
      <c r="AD50" s="6566">
        <v>181.9224106</v>
      </c>
      <c r="AE50" s="7175"/>
      <c r="AF50" s="6639"/>
      <c r="AG50" s="6698"/>
      <c r="AH50" s="6698"/>
      <c r="AI50" s="7158"/>
      <c r="AJ50" s="7158"/>
      <c r="AK50" s="7158"/>
      <c r="AL50" s="7158"/>
      <c r="AM50" s="6698"/>
      <c r="AN50" s="7158"/>
      <c r="AO50" s="7158"/>
      <c r="AP50" s="6676"/>
      <c r="AQ50" s="7158"/>
      <c r="AR50" s="7158"/>
      <c r="AS50" s="7158"/>
      <c r="AT50" s="7158"/>
      <c r="AU50" s="7158"/>
      <c r="AV50" s="7464"/>
      <c r="AW50" s="7464"/>
      <c r="AX50" s="7464"/>
      <c r="AY50" s="7464"/>
      <c r="AZ50" s="7464"/>
      <c r="BA50" s="7213">
        <v>0</v>
      </c>
    </row>
    <row s="7954" customFormat="1" customHeight="1" ht="18.75">
      <c r="A51" s="6675"/>
      <c r="B51" s="7895" t="str">
        <f>E33&amp;".1"</f>
        <v>2.2.1</v>
      </c>
      <c r="C51" s="6959"/>
      <c r="D51" s="7786"/>
      <c r="E51" s="6555" t="str">
        <f>B46&amp;".4"</f>
        <v>2.2.2.4</v>
      </c>
      <c r="F51" s="6564" t="s">
        <v>666</v>
      </c>
      <c r="G51" s="7577" t="s">
        <v>658</v>
      </c>
      <c r="H51" s="6567"/>
      <c r="I51" s="6567" t="s">
        <v>686</v>
      </c>
      <c r="J51" s="6567" t="s">
        <v>686</v>
      </c>
      <c r="K51" s="6567" t="s">
        <v>686</v>
      </c>
      <c r="L51" s="6567" t="s">
        <v>686</v>
      </c>
      <c r="M51" s="6567" t="s">
        <v>686</v>
      </c>
      <c r="N51" s="6567" t="s">
        <v>686</v>
      </c>
      <c r="O51" s="6567" t="s">
        <v>686</v>
      </c>
      <c r="P51" s="6567" t="s">
        <v>686</v>
      </c>
      <c r="Q51" s="6567" t="s">
        <v>686</v>
      </c>
      <c r="R51" s="6567" t="s">
        <v>686</v>
      </c>
      <c r="S51" s="6567" t="s">
        <v>686</v>
      </c>
      <c r="T51" s="6567" t="s">
        <v>686</v>
      </c>
      <c r="U51" s="6567" t="s">
        <v>686</v>
      </c>
      <c r="V51" s="6567" t="s">
        <v>686</v>
      </c>
      <c r="W51" s="6567" t="s">
        <v>686</v>
      </c>
      <c r="X51" s="6567" t="s">
        <v>686</v>
      </c>
      <c r="Y51" s="6567" t="s">
        <v>686</v>
      </c>
      <c r="Z51" s="6567" t="s">
        <v>686</v>
      </c>
      <c r="AA51" s="6567" t="s">
        <v>686</v>
      </c>
      <c r="AB51" s="6567" t="s">
        <v>686</v>
      </c>
      <c r="AC51" s="6567" t="s">
        <v>686</v>
      </c>
      <c r="AD51" s="6567" t="s">
        <v>686</v>
      </c>
      <c r="AE51" s="7175"/>
      <c r="AF51" s="6639"/>
      <c r="AG51" s="6698"/>
      <c r="AH51" s="6698"/>
      <c r="AI51" s="7158"/>
      <c r="AJ51" s="7158"/>
      <c r="AK51" s="7158"/>
      <c r="AL51" s="7158"/>
      <c r="AM51" s="6698"/>
      <c r="AN51" s="7158"/>
      <c r="AO51" s="7158"/>
      <c r="AP51" s="6676"/>
      <c r="AQ51" s="7158"/>
      <c r="AR51" s="7158"/>
      <c r="AS51" s="7158"/>
      <c r="AT51" s="7158"/>
      <c r="AU51" s="7158"/>
      <c r="AV51" s="7464"/>
      <c r="AW51" s="7464"/>
      <c r="AX51" s="7464"/>
      <c r="AY51" s="7464"/>
      <c r="AZ51" s="7464"/>
      <c r="BA51" s="7213">
        <v>0</v>
      </c>
    </row>
    <row s="7158" customFormat="1" customHeight="1" ht="15">
      <c r="A52" s="2508"/>
      <c r="C52" s="1760"/>
      <c r="D52" s="1757"/>
      <c r="E52" s="694"/>
      <c r="F52" s="695" t="s">
        <v>687</v>
      </c>
      <c r="G52" s="696"/>
      <c r="H52" s="697"/>
      <c r="I52" s="697"/>
      <c r="J52" s="7962"/>
      <c r="K52" s="7963"/>
      <c r="L52" s="7964"/>
      <c r="M52" s="7965"/>
      <c r="N52" s="7966"/>
      <c r="O52" s="7967"/>
      <c r="P52" s="7968"/>
      <c r="Q52" s="7969"/>
      <c r="R52" s="7970"/>
      <c r="S52" s="7971"/>
      <c r="T52" s="7972"/>
      <c r="U52" s="7973"/>
      <c r="V52" s="7974"/>
      <c r="W52" s="7975"/>
      <c r="X52" s="7976"/>
      <c r="Y52" s="7977"/>
      <c r="Z52" s="7978"/>
      <c r="AA52" s="7979"/>
      <c r="AB52" s="7980"/>
      <c r="AC52" s="7981"/>
      <c r="AD52" s="7982"/>
      <c r="AE52" s="425"/>
      <c r="AF52" s="1760" t="str">
        <f>IF((LEN(E52)-LEN(SUBSTITUTE(E52,".","")))/LEN(".")=1,"p","")</f>
        <v/>
      </c>
      <c r="AG52" s="1760"/>
      <c r="AH52" s="1760"/>
      <c r="AM52" s="1760"/>
      <c r="AP52" s="668"/>
      <c r="AV52" s="1756"/>
      <c r="AW52" s="1756"/>
      <c r="AX52" s="1756"/>
      <c r="AY52" s="1756"/>
      <c r="AZ52" s="1756"/>
      <c r="BA52" s="1284">
        <v>0</v>
      </c>
    </row>
    <row customHeight="1" ht="11.25" hidden="1">
      <c r="A53" s="2508" t="s">
        <v>688</v>
      </c>
      <c r="D53" s="1762"/>
      <c r="E53" s="670" t="str">
        <f>FHD_NUM_P_5</f>
        <v/>
      </c>
      <c r="F53" s="1648" t="str">
        <f>FHD_P_5</f>
        <v/>
      </c>
      <c r="G53" s="1999" t="s">
        <v>664</v>
      </c>
      <c r="H53" s="681"/>
      <c r="I53" s="681"/>
      <c r="J53" s="6590"/>
      <c r="K53" s="6590"/>
      <c r="L53" s="6590"/>
      <c r="M53" s="6590"/>
      <c r="N53" s="6590"/>
      <c r="O53" s="6590"/>
      <c r="P53" s="6590"/>
      <c r="Q53" s="6590"/>
      <c r="R53" s="6590"/>
      <c r="S53" s="6590"/>
      <c r="T53" s="6590"/>
      <c r="U53" s="6590"/>
      <c r="V53" s="6590"/>
      <c r="W53" s="6590"/>
      <c r="X53" s="6590"/>
      <c r="Y53" s="6590"/>
      <c r="Z53" s="6590"/>
      <c r="AA53" s="6590"/>
      <c r="AB53" s="6590"/>
      <c r="AC53" s="6590"/>
      <c r="AD53" s="6590"/>
      <c r="AE53" s="413" t="str">
        <f>FHD_NOTE_P_5</f>
        <v/>
      </c>
      <c r="AF53" s="1760" t="str">
        <f>IF((LEN(E53)-LEN(SUBSTITUTE(E53,".","")))/LEN(".")=1,"p","")</f>
        <v/>
      </c>
      <c r="BA53" s="1755">
        <v>0</v>
      </c>
    </row>
    <row customHeight="1" ht="11.25" hidden="1">
      <c r="A54" s="2508"/>
      <c r="D54" s="1762"/>
      <c r="E54" s="670" t="str">
        <f>FHD_NUM_P_6</f>
        <v/>
      </c>
      <c r="F54" s="1648" t="str">
        <f>FHD_P_6</f>
        <v/>
      </c>
      <c r="G54" s="1999" t="s">
        <v>664</v>
      </c>
      <c r="H54" s="681"/>
      <c r="I54" s="681"/>
      <c r="J54" s="6590"/>
      <c r="K54" s="6590"/>
      <c r="L54" s="6590"/>
      <c r="M54" s="6590"/>
      <c r="N54" s="6590"/>
      <c r="O54" s="6590"/>
      <c r="P54" s="6590"/>
      <c r="Q54" s="6590"/>
      <c r="R54" s="6590"/>
      <c r="S54" s="6590"/>
      <c r="T54" s="6590"/>
      <c r="U54" s="6590"/>
      <c r="V54" s="6590"/>
      <c r="W54" s="6590"/>
      <c r="X54" s="6590"/>
      <c r="Y54" s="6590"/>
      <c r="Z54" s="6590"/>
      <c r="AA54" s="6590"/>
      <c r="AB54" s="6590"/>
      <c r="AC54" s="6590"/>
      <c r="AD54" s="6590"/>
      <c r="AE54" s="413" t="str">
        <f>FHD_NOTE_P_6</f>
        <v/>
      </c>
      <c r="AF54" s="1760" t="str">
        <f>IF((LEN(E54)-LEN(SUBSTITUTE(E54,".","")))/LEN(".")=1,"p","")</f>
        <v/>
      </c>
      <c r="BA54" s="1755">
        <v>0</v>
      </c>
    </row>
    <row customHeight="1" ht="11.25" hidden="1">
      <c r="A55" s="2508"/>
      <c r="D55" s="1762"/>
      <c r="E55" s="670" t="str">
        <f>FHD_NUM_P_7</f>
        <v/>
      </c>
      <c r="F55" s="1648" t="str">
        <f>FHD_P_7</f>
        <v/>
      </c>
      <c r="G55" s="1999" t="s">
        <v>664</v>
      </c>
      <c r="H55" s="681"/>
      <c r="I55" s="681"/>
      <c r="J55" s="6590"/>
      <c r="K55" s="6590"/>
      <c r="L55" s="6590"/>
      <c r="M55" s="6590"/>
      <c r="N55" s="6590"/>
      <c r="O55" s="6590"/>
      <c r="P55" s="6590"/>
      <c r="Q55" s="6590"/>
      <c r="R55" s="6590"/>
      <c r="S55" s="6590"/>
      <c r="T55" s="6590"/>
      <c r="U55" s="6590"/>
      <c r="V55" s="6590"/>
      <c r="W55" s="6590"/>
      <c r="X55" s="6590"/>
      <c r="Y55" s="6590"/>
      <c r="Z55" s="6590"/>
      <c r="AA55" s="6590"/>
      <c r="AB55" s="6590"/>
      <c r="AC55" s="6590"/>
      <c r="AD55" s="6590"/>
      <c r="AE55" s="413" t="str">
        <f>FHD_NOTE_P_7</f>
        <v/>
      </c>
      <c r="AF55" s="1760" t="str">
        <f>IF((LEN(E55)-LEN(SUBSTITUTE(E55,".","")))/LEN(".")=1,"p","")</f>
        <v/>
      </c>
      <c r="BA55" s="1755">
        <v>0</v>
      </c>
    </row>
    <row customHeight="1" ht="27.75">
      <c r="D56" s="1762"/>
      <c r="E56" s="670" t="str">
        <f>FHD_NUM_P_8</f>
        <v>2.3</v>
      </c>
      <c r="F56" s="1648" t="str">
        <f>FHD_P_8</f>
        <v>Расходы на приобретаемую электрическую энергию (мощность), используемую в технологическом процессе</v>
      </c>
      <c r="G56" s="1999" t="s">
        <v>664</v>
      </c>
      <c r="H56" s="681"/>
      <c r="I56" s="681">
        <v>29236.67</v>
      </c>
      <c r="J56" s="6590">
        <v>1237.56</v>
      </c>
      <c r="K56" s="6590">
        <v>4067.32</v>
      </c>
      <c r="L56" s="6590">
        <v>336.49</v>
      </c>
      <c r="M56" s="6590">
        <v>1925.31</v>
      </c>
      <c r="N56" s="6590">
        <v>419.61</v>
      </c>
      <c r="O56" s="6590">
        <v>6695.72</v>
      </c>
      <c r="P56" s="6590">
        <v>1030.05</v>
      </c>
      <c r="Q56" s="6590">
        <v>348.53</v>
      </c>
      <c r="R56" s="6590">
        <v>1109.32</v>
      </c>
      <c r="S56" s="6590">
        <v>1148.05</v>
      </c>
      <c r="T56" s="6590">
        <v>9026.3</v>
      </c>
      <c r="U56" s="6590">
        <v>278.48</v>
      </c>
      <c r="V56" s="6590">
        <v>446.42</v>
      </c>
      <c r="W56" s="6590">
        <v>333.2</v>
      </c>
      <c r="X56" s="6590">
        <v>1980.31</v>
      </c>
      <c r="Y56" s="6590">
        <v>21130.03</v>
      </c>
      <c r="Z56" s="6590">
        <v>13.11</v>
      </c>
      <c r="AA56" s="6590">
        <v>191.56</v>
      </c>
      <c r="AB56" s="6590">
        <v>4184.48</v>
      </c>
      <c r="AC56" s="6590">
        <v>696.73</v>
      </c>
      <c r="AD56" s="6590">
        <v>312.82</v>
      </c>
      <c r="AE56" s="413" t="str">
        <f>FHD_NOTE_P_8</f>
        <v/>
      </c>
      <c r="AF56" s="1760" t="str">
        <f>IF((LEN(E56)-LEN(SUBSTITUTE(E56,".","")))/LEN(".")=1,"p","")</f>
        <v>p</v>
      </c>
      <c r="BA56" s="1755">
        <v>11</v>
      </c>
    </row>
    <row customHeight="1" ht="11.549999999999999">
      <c r="D57" s="1762"/>
      <c r="E57" s="670" t="str">
        <f>FHD_NUM_P_9</f>
        <v>2.3.1</v>
      </c>
      <c r="F57" s="1774" t="str">
        <f>FHD_P_9</f>
        <v>Средневзвешенная стоимость 1 кВт.ч (с учетом мощности)</v>
      </c>
      <c r="G57" s="1999" t="s">
        <v>689</v>
      </c>
      <c r="H57" s="681"/>
      <c r="I57" s="681">
        <f>I56/I58</f>
        <v>7.23363031543111</v>
      </c>
      <c r="J57" s="6590">
        <f>J56/J58</f>
        <v>8.49097770154374</v>
      </c>
      <c r="K57" s="6590">
        <f>K56/K58</f>
        <v>8.79534642331978</v>
      </c>
      <c r="L57" s="6590">
        <f>L56/L58</f>
        <v>8.94682265354959</v>
      </c>
      <c r="M57" s="6590">
        <f>M56/M58</f>
        <v>7.31084108600721</v>
      </c>
      <c r="N57" s="6590">
        <f>N56/N58</f>
        <v>8.92217733361684</v>
      </c>
      <c r="O57" s="6590">
        <f>O56/O58</f>
        <v>8.29777056250232</v>
      </c>
      <c r="P57" s="6590">
        <f>P56/P58</f>
        <v>7.28516868236792</v>
      </c>
      <c r="Q57" s="6590">
        <f>Q56/Q58</f>
        <v>8.95733744538679</v>
      </c>
      <c r="R57" s="6590">
        <f>R56/R58</f>
        <v>8.9317230273752</v>
      </c>
      <c r="S57" s="6590">
        <f>S56/S58</f>
        <v>8.47457001550159</v>
      </c>
      <c r="T57" s="6590">
        <f>T56/T58</f>
        <v>7.52241816121075</v>
      </c>
      <c r="U57" s="6590">
        <f>U56/U58</f>
        <v>8.93136626042335</v>
      </c>
      <c r="V57" s="6590">
        <f>V56/V58</f>
        <v>7.28730003264773</v>
      </c>
      <c r="W57" s="6590">
        <f>W56/W58</f>
        <v>8.90432923570283</v>
      </c>
      <c r="X57" s="6590">
        <f>X56/X58</f>
        <v>7.3396464178496</v>
      </c>
      <c r="Y57" s="6590">
        <f>Y56/Y58</f>
        <v>7.30452893979044</v>
      </c>
      <c r="Z57" s="6590">
        <f>Z56/Z58</f>
        <v>8.91836734693877</v>
      </c>
      <c r="AA57" s="6590">
        <f>AA56/AA58</f>
        <v>9.62129583124058</v>
      </c>
      <c r="AB57" s="6590">
        <f>AB56/AB58</f>
        <v>8.48451915083436</v>
      </c>
      <c r="AC57" s="6590">
        <f>AC56/AC58</f>
        <v>9.81863021420519</v>
      </c>
      <c r="AD57" s="6590">
        <f>AD56/AD58</f>
        <v>7.23785284590467</v>
      </c>
      <c r="AE57" s="413" t="str">
        <f>FHD_NOTE_P_9</f>
        <v/>
      </c>
      <c r="AF57" s="1760" t="str">
        <f>IF((LEN(E57)-LEN(SUBSTITUTE(E57,".","")))/LEN(".")=1,"p","")</f>
        <v/>
      </c>
      <c r="BA57" s="1755">
        <v>11</v>
      </c>
    </row>
    <row s="7158" customFormat="1" customHeight="1" ht="11.549999999999999">
      <c r="A58" s="1111"/>
      <c r="C58" s="1760"/>
      <c r="D58" s="698"/>
      <c r="E58" s="670" t="str">
        <f>FHD_NUM_P_10</f>
        <v>2.3.2</v>
      </c>
      <c r="F58" s="1774" t="str">
        <f>FHD_P_10</f>
        <v>Объём приобретения электрической энергии</v>
      </c>
      <c r="G58" s="1999" t="s">
        <v>690</v>
      </c>
      <c r="H58" s="681"/>
      <c r="I58" s="681">
        <v>4041.77</v>
      </c>
      <c r="J58" s="6590">
        <v>145.75</v>
      </c>
      <c r="K58" s="6590">
        <v>462.44</v>
      </c>
      <c r="L58" s="6590">
        <v>37.61</v>
      </c>
      <c r="M58" s="6590">
        <v>263.35</v>
      </c>
      <c r="N58" s="6590">
        <v>47.03</v>
      </c>
      <c r="O58" s="6590">
        <v>806.93</v>
      </c>
      <c r="P58" s="6590">
        <v>141.39</v>
      </c>
      <c r="Q58" s="6590">
        <v>38.91</v>
      </c>
      <c r="R58" s="6590">
        <v>124.2</v>
      </c>
      <c r="S58" s="6590">
        <v>135.47</v>
      </c>
      <c r="T58" s="6590">
        <v>1199.92</v>
      </c>
      <c r="U58" s="6590">
        <v>31.18</v>
      </c>
      <c r="V58" s="6590">
        <v>61.26</v>
      </c>
      <c r="W58" s="6590">
        <v>37.42</v>
      </c>
      <c r="X58" s="6590">
        <v>269.81</v>
      </c>
      <c r="Y58" s="6590">
        <v>2892.73</v>
      </c>
      <c r="Z58" s="6590">
        <v>1.47</v>
      </c>
      <c r="AA58" s="6590">
        <v>19.91</v>
      </c>
      <c r="AB58" s="6590">
        <v>493.19</v>
      </c>
      <c r="AC58" s="6590">
        <v>70.96</v>
      </c>
      <c r="AD58" s="6590">
        <v>43.22</v>
      </c>
      <c r="AE58" s="413" t="str">
        <f>FHD_NOTE_P_10</f>
        <v/>
      </c>
      <c r="AF58" s="1760" t="str">
        <f>IF((LEN(E58)-LEN(SUBSTITUTE(E58,".","")))/LEN(".")=1,"p","")</f>
        <v/>
      </c>
      <c r="AG58" s="1760"/>
      <c r="AH58" s="1760"/>
      <c r="AM58" s="1760"/>
      <c r="AP58" s="668"/>
      <c r="AV58" s="1756"/>
      <c r="AW58" s="1756"/>
      <c r="AX58" s="1756"/>
      <c r="AY58" s="1756"/>
      <c r="AZ58" s="1756"/>
      <c r="BA58" s="1284">
        <v>11</v>
      </c>
    </row>
    <row s="7158" customFormat="1" customHeight="1" ht="20.25">
      <c r="A59" s="1113" t="s">
        <v>691</v>
      </c>
      <c r="C59" s="1760"/>
      <c r="D59" s="699"/>
      <c r="E59" s="670" t="str">
        <f>FHD_NUM_P_11</f>
        <v>2.4</v>
      </c>
      <c r="F59" s="1648" t="str">
        <f>FHD_P_11</f>
        <v>Расходы на приобретение холодной воды, используемой в технологическом процессе</v>
      </c>
      <c r="G59" s="1999" t="s">
        <v>664</v>
      </c>
      <c r="H59" s="681"/>
      <c r="I59" s="681">
        <v>0</v>
      </c>
      <c r="J59" s="6590">
        <v>39.19</v>
      </c>
      <c r="K59" s="6590">
        <v>40.78</v>
      </c>
      <c r="L59" s="6590">
        <v>2.19</v>
      </c>
      <c r="M59" s="6590">
        <v>5.08</v>
      </c>
      <c r="N59" s="6590">
        <v>0</v>
      </c>
      <c r="O59" s="6590">
        <v>257.65</v>
      </c>
      <c r="P59" s="6590">
        <v>18.61</v>
      </c>
      <c r="Q59" s="6590">
        <v>0.46</v>
      </c>
      <c r="R59" s="6590">
        <v>35.83</v>
      </c>
      <c r="S59" s="6590">
        <v>18.26</v>
      </c>
      <c r="T59" s="6590">
        <v>0</v>
      </c>
      <c r="U59" s="6590">
        <v>0</v>
      </c>
      <c r="V59" s="6590">
        <v>0</v>
      </c>
      <c r="W59" s="6590">
        <v>0.31</v>
      </c>
      <c r="X59" s="6590">
        <v>407.2</v>
      </c>
      <c r="Y59" s="6590">
        <v>1581.95</v>
      </c>
      <c r="Z59" s="6590">
        <v>0</v>
      </c>
      <c r="AA59" s="6590">
        <v>0.46</v>
      </c>
      <c r="AB59" s="6590">
        <v>164.4</v>
      </c>
      <c r="AC59" s="6590">
        <v>0.84</v>
      </c>
      <c r="AD59" s="6590">
        <v>0.81</v>
      </c>
      <c r="AE59" s="413" t="str">
        <f>FHD_NOTE_P_11</f>
        <v/>
      </c>
      <c r="AF59" s="1760" t="str">
        <f>IF((LEN(E59)-LEN(SUBSTITUTE(E59,".","")))/LEN(".")=1,"p","")</f>
        <v>p</v>
      </c>
      <c r="AG59" s="1760"/>
      <c r="AH59" s="1760"/>
      <c r="AM59" s="1760"/>
      <c r="AP59" s="668"/>
      <c r="AV59" s="1756"/>
      <c r="AW59" s="1756"/>
      <c r="AX59" s="1756"/>
      <c r="AY59" s="1756"/>
      <c r="AZ59" s="1756"/>
      <c r="BA59" s="1284">
        <v>0</v>
      </c>
    </row>
    <row s="7158" customFormat="1" customHeight="1" ht="24">
      <c r="A60" s="1113" t="s">
        <v>692</v>
      </c>
      <c r="C60" s="1760"/>
      <c r="D60" s="1762"/>
      <c r="E60" s="670" t="str">
        <f>FHD_NUM_P_12</f>
        <v>2.5</v>
      </c>
      <c r="F60" s="1648" t="str">
        <f>FHD_P_12</f>
        <v>Расходы на  химические реагенты, используемые в технологическом процессе</v>
      </c>
      <c r="G60" s="1999" t="s">
        <v>664</v>
      </c>
      <c r="H60" s="701"/>
      <c r="I60" s="701">
        <v>0</v>
      </c>
      <c r="J60" s="6613">
        <v>18.49</v>
      </c>
      <c r="K60" s="6613">
        <v>31.34</v>
      </c>
      <c r="L60" s="6613">
        <v>8.95</v>
      </c>
      <c r="M60" s="6613">
        <v>8.45</v>
      </c>
      <c r="N60" s="6613">
        <v>6.24</v>
      </c>
      <c r="O60" s="6613">
        <v>145.2</v>
      </c>
      <c r="P60" s="6613">
        <v>113.27</v>
      </c>
      <c r="Q60" s="6613">
        <v>0.01</v>
      </c>
      <c r="R60" s="6613">
        <v>16.96</v>
      </c>
      <c r="S60" s="6613">
        <v>14.97</v>
      </c>
      <c r="T60" s="6613">
        <v>0</v>
      </c>
      <c r="U60" s="6613">
        <v>42.9</v>
      </c>
      <c r="V60" s="6613">
        <v>62.54</v>
      </c>
      <c r="W60" s="6613">
        <v>33.93</v>
      </c>
      <c r="X60" s="6613">
        <v>101.01</v>
      </c>
      <c r="Y60" s="6613">
        <v>289.83</v>
      </c>
      <c r="Z60" s="6613">
        <v>0</v>
      </c>
      <c r="AA60" s="6613">
        <v>4.99</v>
      </c>
      <c r="AB60" s="6613">
        <v>347.93</v>
      </c>
      <c r="AC60" s="6613">
        <v>0.05</v>
      </c>
      <c r="AD60" s="6613">
        <v>0.01</v>
      </c>
      <c r="AE60" s="413" t="str">
        <f>FHD_NOTE_P_12</f>
        <v/>
      </c>
      <c r="AF60" s="1760" t="str">
        <f>IF((LEN(E60)-LEN(SUBSTITUTE(E60,".","")))/LEN(".")=1,"p","")</f>
        <v>p</v>
      </c>
      <c r="AG60" s="1760"/>
      <c r="AH60" s="1760"/>
      <c r="AM60" s="1760"/>
      <c r="AP60" s="668"/>
      <c r="AV60" s="1756"/>
      <c r="AW60" s="1756"/>
      <c r="AX60" s="1756"/>
      <c r="AY60" s="1756"/>
      <c r="AZ60" s="1756"/>
      <c r="BA60" s="1284">
        <v>18</v>
      </c>
    </row>
    <row s="6614" customFormat="1" customHeight="1" ht="42.75">
      <c r="A61" s="1112"/>
      <c r="C61" s="854"/>
      <c r="D61" s="797"/>
      <c r="E61" s="670" t="str">
        <f>FHD_NUM_P_13</f>
        <v>2.6</v>
      </c>
      <c r="F61" s="16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999" t="s">
        <v>664</v>
      </c>
      <c r="H61" s="681"/>
      <c r="I61" s="681">
        <f>I62+I63</f>
        <v>31027.76</v>
      </c>
      <c r="J61" s="6590">
        <f>J62+J63</f>
        <v>4017.25</v>
      </c>
      <c r="K61" s="6590">
        <f>K62+K63</f>
        <v>8981.96</v>
      </c>
      <c r="L61" s="6590">
        <f>L62+L63</f>
        <v>5126.97</v>
      </c>
      <c r="M61" s="6590">
        <f>M62+M63</f>
        <v>3193.45</v>
      </c>
      <c r="N61" s="6590">
        <f>N62+N63</f>
        <v>6056.52</v>
      </c>
      <c r="O61" s="6590">
        <f>O62+O63</f>
        <v>28370.67</v>
      </c>
      <c r="P61" s="6590">
        <f>P62+P63</f>
        <v>3573.07</v>
      </c>
      <c r="Q61" s="6590">
        <f>Q62+Q63</f>
        <v>1562.29</v>
      </c>
      <c r="R61" s="6590">
        <f>R62+R63</f>
        <v>2261.3</v>
      </c>
      <c r="S61" s="6590">
        <f>S62+S63</f>
        <v>3775.65</v>
      </c>
      <c r="T61" s="6590">
        <f>T62+T63</f>
        <v>21689.22</v>
      </c>
      <c r="U61" s="6590">
        <f>U62+U63</f>
        <v>1474.88</v>
      </c>
      <c r="V61" s="6590">
        <f>V62+V63</f>
        <v>1755.94</v>
      </c>
      <c r="W61" s="6590">
        <f>W62+W63</f>
        <v>2877.07</v>
      </c>
      <c r="X61" s="6590">
        <f>X62+X63</f>
        <v>5126.6</v>
      </c>
      <c r="Y61" s="6590">
        <f>Y62+Y63</f>
        <v>21594.85</v>
      </c>
      <c r="Z61" s="6590">
        <f>Z62+Z63</f>
        <v>329.14</v>
      </c>
      <c r="AA61" s="6590">
        <f>AA62+AA63</f>
        <v>637.35</v>
      </c>
      <c r="AB61" s="6590">
        <f>AB62+AB63</f>
        <v>9083.34</v>
      </c>
      <c r="AC61" s="6590">
        <f>AC62+AC63</f>
        <v>3174.63</v>
      </c>
      <c r="AD61" s="6590">
        <f>AD62+AD63</f>
        <v>1293.78</v>
      </c>
      <c r="AE61" s="413" t="str">
        <f>FHD_NOTE_P_13</f>
        <v/>
      </c>
      <c r="AF61" s="1760" t="str">
        <f>IF((LEN(E61)-LEN(SUBSTITUTE(E61,".","")))/LEN(".")=1,"p","")</f>
        <v>p</v>
      </c>
      <c r="AG61" s="854"/>
      <c r="AH61" s="854"/>
      <c r="AM61" s="854"/>
      <c r="AP61" s="855"/>
      <c r="AV61" s="856"/>
      <c r="AW61" s="856"/>
      <c r="AX61" s="856"/>
      <c r="AY61" s="856"/>
      <c r="AZ61" s="856"/>
      <c r="BA61" s="853">
        <v>11</v>
      </c>
    </row>
    <row s="6614" customFormat="1" customHeight="1" ht="39.75">
      <c r="A62" s="1112"/>
      <c r="C62" s="854"/>
      <c r="D62" s="797"/>
      <c r="E62" s="670" t="str">
        <f>FHD_NUM_P_14</f>
        <v>2.6.1</v>
      </c>
      <c r="F62" s="1774" t="str">
        <f>FHD_P_14</f>
        <v>Расходы на оплату труда основного производственного персонала</v>
      </c>
      <c r="G62" s="1999" t="s">
        <v>664</v>
      </c>
      <c r="H62" s="681"/>
      <c r="I62" s="681">
        <v>23828.93</v>
      </c>
      <c r="J62" s="6590">
        <v>3085.2</v>
      </c>
      <c r="K62" s="6590">
        <v>6898.03</v>
      </c>
      <c r="L62" s="6590">
        <v>3937.45</v>
      </c>
      <c r="M62" s="6590">
        <v>2452.53</v>
      </c>
      <c r="N62" s="6590">
        <v>4651.33</v>
      </c>
      <c r="O62" s="6590">
        <v>21788.32</v>
      </c>
      <c r="P62" s="6590">
        <v>2744.07</v>
      </c>
      <c r="Q62" s="6590">
        <v>1199.82</v>
      </c>
      <c r="R62" s="6590">
        <v>1736.65</v>
      </c>
      <c r="S62" s="6590">
        <v>2899.65</v>
      </c>
      <c r="T62" s="6590">
        <v>16657.05</v>
      </c>
      <c r="U62" s="6590">
        <v>1132.69</v>
      </c>
      <c r="V62" s="6590">
        <v>1348.54</v>
      </c>
      <c r="W62" s="6590">
        <v>2209.55</v>
      </c>
      <c r="X62" s="6590">
        <v>3937.16</v>
      </c>
      <c r="Y62" s="6590">
        <v>16584.57</v>
      </c>
      <c r="Z62" s="6590">
        <v>252.78</v>
      </c>
      <c r="AA62" s="6590">
        <v>489.48</v>
      </c>
      <c r="AB62" s="6590">
        <v>6975.89</v>
      </c>
      <c r="AC62" s="6590">
        <v>2438.08</v>
      </c>
      <c r="AD62" s="6590">
        <v>993.61</v>
      </c>
      <c r="AE62" s="413" t="str">
        <f>FHD_NOTE_P_14</f>
        <v/>
      </c>
      <c r="AF62" s="1760" t="str">
        <f>IF((LEN(E62)-LEN(SUBSTITUTE(E62,".","")))/LEN(".")=1,"p","")</f>
        <v/>
      </c>
      <c r="AG62" s="854"/>
      <c r="AH62" s="854"/>
      <c r="AM62" s="854"/>
      <c r="AP62" s="855"/>
      <c r="AV62" s="856"/>
      <c r="AW62" s="856"/>
      <c r="AX62" s="856"/>
      <c r="AY62" s="856"/>
      <c r="AZ62" s="856"/>
      <c r="BA62" s="853">
        <v>11</v>
      </c>
    </row>
    <row s="6614" customFormat="1" customHeight="1" ht="42.75">
      <c r="A63" s="1112"/>
      <c r="C63" s="854"/>
      <c r="D63" s="797"/>
      <c r="E63" s="670" t="str">
        <f>FHD_NUM_P_15</f>
        <v>2.6.2</v>
      </c>
      <c r="F63" s="1774" t="str">
        <f>FHD_P_15</f>
        <v>Страховые взносы на обязательное социальное страхование, выплачиваемые из фонда оплаты труда основного производственного персонала</v>
      </c>
      <c r="G63" s="1999" t="s">
        <v>664</v>
      </c>
      <c r="H63" s="681"/>
      <c r="I63" s="681">
        <v>7198.83</v>
      </c>
      <c r="J63" s="6590">
        <v>932.05</v>
      </c>
      <c r="K63" s="6590">
        <v>2083.93</v>
      </c>
      <c r="L63" s="6590">
        <v>1189.52</v>
      </c>
      <c r="M63" s="6590">
        <v>740.92</v>
      </c>
      <c r="N63" s="6590">
        <v>1405.19</v>
      </c>
      <c r="O63" s="6590">
        <v>6582.35</v>
      </c>
      <c r="P63" s="6590">
        <v>829</v>
      </c>
      <c r="Q63" s="6590">
        <v>362.47</v>
      </c>
      <c r="R63" s="6590">
        <v>524.65</v>
      </c>
      <c r="S63" s="6590">
        <v>876</v>
      </c>
      <c r="T63" s="6590">
        <v>5032.17</v>
      </c>
      <c r="U63" s="6590">
        <v>342.19</v>
      </c>
      <c r="V63" s="6590">
        <v>407.4</v>
      </c>
      <c r="W63" s="6590">
        <v>667.52</v>
      </c>
      <c r="X63" s="6590">
        <v>1189.44</v>
      </c>
      <c r="Y63" s="6590">
        <v>5010.28</v>
      </c>
      <c r="Z63" s="6590">
        <v>76.36</v>
      </c>
      <c r="AA63" s="6590">
        <v>147.87</v>
      </c>
      <c r="AB63" s="6590">
        <v>2107.45</v>
      </c>
      <c r="AC63" s="6590">
        <v>736.55</v>
      </c>
      <c r="AD63" s="6590">
        <v>300.17</v>
      </c>
      <c r="AE63" s="413" t="str">
        <f>FHD_NOTE_P_15</f>
        <v/>
      </c>
      <c r="AF63" s="1760" t="str">
        <f>IF((LEN(E63)-LEN(SUBSTITUTE(E63,".","")))/LEN(".")=1,"p","")</f>
        <v/>
      </c>
      <c r="AG63" s="854"/>
      <c r="AH63" s="854"/>
      <c r="AM63" s="854"/>
      <c r="AP63" s="855"/>
      <c r="AV63" s="856"/>
      <c r="AW63" s="856"/>
      <c r="AX63" s="856"/>
      <c r="AY63" s="856"/>
      <c r="AZ63" s="856"/>
      <c r="BA63" s="853">
        <v>11</v>
      </c>
    </row>
    <row s="7158" customFormat="1" customHeight="1" ht="40.5">
      <c r="A64" s="1111"/>
      <c r="C64" s="1760"/>
      <c r="D64" s="1762"/>
      <c r="E64" s="670" t="str">
        <f>FHD_NUM_P_16</f>
        <v>2.7</v>
      </c>
      <c r="F64" s="16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999" t="s">
        <v>664</v>
      </c>
      <c r="H64" s="681"/>
      <c r="I64" s="681">
        <f>I65+I66</f>
        <v>47088.91</v>
      </c>
      <c r="J64" s="6590">
        <f>J65+J66</f>
        <v>1671.8</v>
      </c>
      <c r="K64" s="6590">
        <f>K65+K66</f>
        <v>4179.49</v>
      </c>
      <c r="L64" s="6590">
        <f>L65+L66</f>
        <v>3368.92</v>
      </c>
      <c r="M64" s="6590">
        <f>M65+M66</f>
        <v>2153.07</v>
      </c>
      <c r="N64" s="6590">
        <f>N65+N66</f>
        <v>1190.53</v>
      </c>
      <c r="O64" s="6590">
        <f>O65+O66</f>
        <v>10132.1</v>
      </c>
      <c r="P64" s="6590">
        <f>P65+P66</f>
        <v>1747.79</v>
      </c>
      <c r="Q64" s="6590">
        <f>Q65+Q66</f>
        <v>430.62</v>
      </c>
      <c r="R64" s="6590">
        <f>R65+R66</f>
        <v>1139.86</v>
      </c>
      <c r="S64" s="6590">
        <f>S65+S66</f>
        <v>1469.15</v>
      </c>
      <c r="T64" s="6590">
        <f>T65+T66</f>
        <v>13956.96</v>
      </c>
      <c r="U64" s="6590">
        <f>U65+U66</f>
        <v>835.9</v>
      </c>
      <c r="V64" s="6590">
        <f>V65+V66</f>
        <v>481.27</v>
      </c>
      <c r="W64" s="6590">
        <f>W65+W66</f>
        <v>1291.84</v>
      </c>
      <c r="X64" s="6590">
        <f>X65+X66</f>
        <v>2836.99</v>
      </c>
      <c r="Y64" s="6590">
        <f>Y65+Y66</f>
        <v>23911.75</v>
      </c>
      <c r="Z64" s="6590">
        <f>Z65+Z66</f>
        <v>25.33</v>
      </c>
      <c r="AA64" s="6590">
        <f>AA65+AA66</f>
        <v>278.64</v>
      </c>
      <c r="AB64" s="6590">
        <f>AB65+AB66</f>
        <v>5091.37</v>
      </c>
      <c r="AC64" s="6590">
        <f>AC65+AC66</f>
        <v>1266.52</v>
      </c>
      <c r="AD64" s="6590">
        <f>AD65+AD66</f>
        <v>354.63</v>
      </c>
      <c r="AE64" s="413" t="str">
        <f>FHD_NOTE_P_16</f>
        <v/>
      </c>
      <c r="AF64" s="1760" t="str">
        <f>IF((LEN(E64)-LEN(SUBSTITUTE(E64,".","")))/LEN(".")=1,"p","")</f>
        <v>p</v>
      </c>
      <c r="AG64" s="1760"/>
      <c r="AH64" s="1766"/>
      <c r="AI64" s="661"/>
      <c r="AJ64" s="661"/>
      <c r="AM64" s="1760"/>
      <c r="AP64" s="668"/>
      <c r="AV64" s="1756"/>
      <c r="AW64" s="1756"/>
      <c r="AX64" s="1756"/>
      <c r="AY64" s="1756"/>
      <c r="AZ64" s="1756"/>
      <c r="BA64" s="1284">
        <v>11</v>
      </c>
    </row>
    <row s="7158" customFormat="1" customHeight="1" ht="43.5">
      <c r="A65" s="1111"/>
      <c r="C65" s="1760"/>
      <c r="D65" s="1762"/>
      <c r="E65" s="670" t="str">
        <f>FHD_NUM_P_17</f>
        <v>2.7.1</v>
      </c>
      <c r="F65" s="1774" t="str">
        <f>FHD_P_17</f>
        <v>Расходы на оплату труда административно-управленческого персонала</v>
      </c>
      <c r="G65" s="1999" t="s">
        <v>664</v>
      </c>
      <c r="H65" s="681"/>
      <c r="I65" s="681">
        <v>36163.69</v>
      </c>
      <c r="J65" s="6590">
        <v>1283.92</v>
      </c>
      <c r="K65" s="6590">
        <v>3209.8</v>
      </c>
      <c r="L65" s="6590">
        <v>2587.29</v>
      </c>
      <c r="M65" s="6590">
        <v>1653.53</v>
      </c>
      <c r="N65" s="6590">
        <v>914.31</v>
      </c>
      <c r="O65" s="6590">
        <v>7781.32</v>
      </c>
      <c r="P65" s="6590">
        <v>1342.28</v>
      </c>
      <c r="Q65" s="6590">
        <v>330.71</v>
      </c>
      <c r="R65" s="6590">
        <v>875.4</v>
      </c>
      <c r="S65" s="6590">
        <v>1128.29</v>
      </c>
      <c r="T65" s="6590">
        <v>10718.77</v>
      </c>
      <c r="U65" s="6590">
        <v>641.96</v>
      </c>
      <c r="V65" s="6590">
        <v>369.61</v>
      </c>
      <c r="W65" s="6590">
        <v>992.12</v>
      </c>
      <c r="X65" s="6590">
        <v>2178.77</v>
      </c>
      <c r="Y65" s="6590">
        <v>18363.92</v>
      </c>
      <c r="Z65" s="6590">
        <v>19.45</v>
      </c>
      <c r="AA65" s="6590">
        <v>213.99</v>
      </c>
      <c r="AB65" s="6590">
        <v>3910.11</v>
      </c>
      <c r="AC65" s="6590">
        <v>972.67</v>
      </c>
      <c r="AD65" s="6590">
        <v>272.35</v>
      </c>
      <c r="AE65" s="413" t="str">
        <f>FHD_NOTE_P_17</f>
        <v/>
      </c>
      <c r="AF65" s="1760" t="str">
        <f>IF((LEN(E65)-LEN(SUBSTITUTE(E65,".","")))/LEN(".")=1,"p","")</f>
        <v/>
      </c>
      <c r="AG65" s="1760"/>
      <c r="AH65" s="1766"/>
      <c r="AI65" s="661"/>
      <c r="AJ65" s="661"/>
      <c r="AM65" s="1760"/>
      <c r="AP65" s="668"/>
      <c r="AV65" s="1756"/>
      <c r="AW65" s="1756"/>
      <c r="AX65" s="1756"/>
      <c r="AY65" s="1756"/>
      <c r="AZ65" s="1756"/>
      <c r="BA65" s="1284">
        <v>11</v>
      </c>
    </row>
    <row s="7158" customFormat="1" customHeight="1" ht="39.75">
      <c r="A66" s="1111"/>
      <c r="C66" s="1760"/>
      <c r="D66" s="1762"/>
      <c r="E66" s="670" t="str">
        <f>FHD_NUM_P_18</f>
        <v>2.7.2</v>
      </c>
      <c r="F66" s="17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999" t="s">
        <v>664</v>
      </c>
      <c r="H66" s="681"/>
      <c r="I66" s="681">
        <v>10925.22</v>
      </c>
      <c r="J66" s="6590">
        <v>387.88</v>
      </c>
      <c r="K66" s="6590">
        <v>969.69</v>
      </c>
      <c r="L66" s="6590">
        <v>781.63</v>
      </c>
      <c r="M66" s="6590">
        <v>499.54</v>
      </c>
      <c r="N66" s="6590">
        <v>276.22</v>
      </c>
      <c r="O66" s="6590">
        <v>2350.78</v>
      </c>
      <c r="P66" s="6590">
        <v>405.51</v>
      </c>
      <c r="Q66" s="6590">
        <v>99.91</v>
      </c>
      <c r="R66" s="6590">
        <v>264.46</v>
      </c>
      <c r="S66" s="6590">
        <v>340.86</v>
      </c>
      <c r="T66" s="6590">
        <v>3238.19</v>
      </c>
      <c r="U66" s="6590">
        <v>193.94</v>
      </c>
      <c r="V66" s="6590">
        <v>111.66</v>
      </c>
      <c r="W66" s="6590">
        <v>299.72</v>
      </c>
      <c r="X66" s="6590">
        <v>658.22</v>
      </c>
      <c r="Y66" s="6590">
        <v>5547.83</v>
      </c>
      <c r="Z66" s="6590">
        <v>5.88</v>
      </c>
      <c r="AA66" s="6590">
        <v>64.65</v>
      </c>
      <c r="AB66" s="6590">
        <v>1181.26</v>
      </c>
      <c r="AC66" s="6590">
        <v>293.85</v>
      </c>
      <c r="AD66" s="6590">
        <v>82.28</v>
      </c>
      <c r="AE66" s="413" t="str">
        <f>FHD_NOTE_P_18</f>
        <v/>
      </c>
      <c r="AF66" s="1760" t="str">
        <f>IF((LEN(E66)-LEN(SUBSTITUTE(E66,".","")))/LEN(".")=1,"p","")</f>
        <v/>
      </c>
      <c r="AG66" s="1760"/>
      <c r="AH66" s="1766"/>
      <c r="AI66" s="661"/>
      <c r="AJ66" s="661"/>
      <c r="AM66" s="1760"/>
      <c r="AP66" s="668"/>
      <c r="AV66" s="1756"/>
      <c r="AW66" s="1756"/>
      <c r="AX66" s="1756"/>
      <c r="AY66" s="1756"/>
      <c r="AZ66" s="1756"/>
      <c r="BA66" s="1284">
        <v>11</v>
      </c>
    </row>
    <row s="7158" customFormat="1" customHeight="1" ht="32.25">
      <c r="A67" s="1111"/>
      <c r="C67" s="1760"/>
      <c r="D67" s="699"/>
      <c r="E67" s="670" t="str">
        <f>FHD_NUM_P_19</f>
        <v>2.8</v>
      </c>
      <c r="F67" s="1648" t="str">
        <f>FHD_P_19</f>
        <v>Расходы на амортизацию основных средств и нематериальных активов</v>
      </c>
      <c r="G67" s="1999" t="s">
        <v>664</v>
      </c>
      <c r="H67" s="681"/>
      <c r="I67" s="681">
        <f>I68+I69</f>
        <v>866.93</v>
      </c>
      <c r="J67" s="6590">
        <f>J68+J69</f>
        <v>26.21</v>
      </c>
      <c r="K67" s="6590">
        <f>K68+K69</f>
        <v>188.16</v>
      </c>
      <c r="L67" s="6590">
        <f>L68+L69</f>
        <v>8.58</v>
      </c>
      <c r="M67" s="6590">
        <f>M68+M69</f>
        <v>32.5</v>
      </c>
      <c r="N67" s="6590">
        <f>N68+N69</f>
        <v>17.3</v>
      </c>
      <c r="O67" s="6590">
        <f>O68+O69</f>
        <v>156.04</v>
      </c>
      <c r="P67" s="6590">
        <f>P68+P69</f>
        <v>24.86</v>
      </c>
      <c r="Q67" s="6590">
        <f>Q68+Q69</f>
        <v>18.27</v>
      </c>
      <c r="R67" s="6590">
        <f>R68+R69</f>
        <v>17.01</v>
      </c>
      <c r="S67" s="6590">
        <f>S68+S69</f>
        <v>17.45</v>
      </c>
      <c r="T67" s="6590">
        <f>T68+T69</f>
        <v>309.62</v>
      </c>
      <c r="U67" s="6590">
        <f>U68+U69</f>
        <v>12.46</v>
      </c>
      <c r="V67" s="6590">
        <f>V68+V69</f>
        <v>6.51</v>
      </c>
      <c r="W67" s="6590">
        <f>W68+W69</f>
        <v>1869.62</v>
      </c>
      <c r="X67" s="6590">
        <f>X68+X69</f>
        <v>349.47</v>
      </c>
      <c r="Y67" s="6590">
        <f>Y68+Y69</f>
        <v>725.5</v>
      </c>
      <c r="Z67" s="6590">
        <f>Z68+Z69</f>
        <v>0.3</v>
      </c>
      <c r="AA67" s="6590">
        <f>AA68+AA69</f>
        <v>3.47</v>
      </c>
      <c r="AB67" s="6590">
        <f>AB68+AB69</f>
        <v>22929.9</v>
      </c>
      <c r="AC67" s="6590">
        <f>AC68+AC69</f>
        <v>52.46</v>
      </c>
      <c r="AD67" s="6590">
        <f>AD68+AD69</f>
        <v>48.48</v>
      </c>
      <c r="AE67" s="413" t="str">
        <f>FHD_NOTE_P_19</f>
        <v/>
      </c>
      <c r="AF67" s="1760" t="str">
        <f>IF((LEN(E67)-LEN(SUBSTITUTE(E67,".","")))/LEN(".")=1,"p","")</f>
        <v>p</v>
      </c>
      <c r="AG67" s="1760"/>
      <c r="AH67" s="1760"/>
      <c r="AM67" s="1760"/>
      <c r="AP67" s="668"/>
      <c r="AV67" s="1756"/>
      <c r="AW67" s="1756"/>
      <c r="AX67" s="1756"/>
      <c r="AY67" s="1756"/>
      <c r="AZ67" s="1756"/>
      <c r="BA67" s="1284">
        <v>11</v>
      </c>
    </row>
    <row s="7158" customFormat="1" customHeight="1" ht="11.549999999999999">
      <c r="A68" s="1111"/>
      <c r="C68" s="1760"/>
      <c r="D68" s="699"/>
      <c r="E68" s="670" t="str">
        <f>FHD_NUM_P_20</f>
        <v>2.8.1</v>
      </c>
      <c r="F68" s="1774" t="str">
        <f>FHD_P_20</f>
        <v>Расходы на амортизацию основных средств</v>
      </c>
      <c r="G68" s="1999" t="s">
        <v>664</v>
      </c>
      <c r="H68" s="681"/>
      <c r="I68" s="681">
        <v>160.38</v>
      </c>
      <c r="J68" s="6590">
        <v>0</v>
      </c>
      <c r="K68" s="6590">
        <v>127.74</v>
      </c>
      <c r="L68" s="6590">
        <v>0</v>
      </c>
      <c r="M68" s="6590">
        <v>0</v>
      </c>
      <c r="N68" s="6590">
        <v>0</v>
      </c>
      <c r="O68" s="6590">
        <v>0</v>
      </c>
      <c r="P68" s="6590">
        <v>0</v>
      </c>
      <c r="Q68" s="6590">
        <v>12.4</v>
      </c>
      <c r="R68" s="6590">
        <v>0</v>
      </c>
      <c r="S68" s="6590">
        <v>0</v>
      </c>
      <c r="T68" s="6590">
        <v>113.31</v>
      </c>
      <c r="U68" s="6590">
        <v>0</v>
      </c>
      <c r="V68" s="6590">
        <v>0.89</v>
      </c>
      <c r="W68" s="6590">
        <v>1849.96</v>
      </c>
      <c r="X68" s="6590">
        <v>312.21</v>
      </c>
      <c r="Y68" s="6590">
        <v>348.47</v>
      </c>
      <c r="Z68" s="6590">
        <v>0</v>
      </c>
      <c r="AA68" s="6590">
        <v>0</v>
      </c>
      <c r="AB68" s="6590">
        <v>22852.66</v>
      </c>
      <c r="AC68" s="6590">
        <v>26.78</v>
      </c>
      <c r="AD68" s="6590">
        <v>43.31</v>
      </c>
      <c r="AE68" s="413" t="str">
        <f>FHD_NOTE_P_20</f>
        <v/>
      </c>
      <c r="AF68" s="1760" t="str">
        <f>IF((LEN(E68)-LEN(SUBSTITUTE(E68,".","")))/LEN(".")=1,"p","")</f>
        <v/>
      </c>
      <c r="AG68" s="1760"/>
      <c r="AH68" s="1760"/>
      <c r="AM68" s="1760"/>
      <c r="AP68" s="668"/>
      <c r="AV68" s="1756"/>
      <c r="AW68" s="1756"/>
      <c r="AX68" s="1756"/>
      <c r="AY68" s="1756"/>
      <c r="AZ68" s="1756"/>
      <c r="BA68" s="1284">
        <v>11</v>
      </c>
    </row>
    <row s="7158" customFormat="1" customHeight="1" ht="11.549999999999999">
      <c r="A69" s="1111"/>
      <c r="C69" s="1760"/>
      <c r="D69" s="699"/>
      <c r="E69" s="670" t="str">
        <f>FHD_NUM_P_21</f>
        <v>2.8.2</v>
      </c>
      <c r="F69" s="1774" t="str">
        <f>FHD_P_21</f>
        <v>Расходы на амортизацию нематериальных активов</v>
      </c>
      <c r="G69" s="1999" t="s">
        <v>664</v>
      </c>
      <c r="H69" s="681"/>
      <c r="I69" s="681">
        <v>706.55</v>
      </c>
      <c r="J69" s="6590">
        <v>26.21</v>
      </c>
      <c r="K69" s="6590">
        <v>60.42</v>
      </c>
      <c r="L69" s="6590">
        <v>8.58</v>
      </c>
      <c r="M69" s="6590">
        <v>32.5</v>
      </c>
      <c r="N69" s="6590">
        <v>17.3</v>
      </c>
      <c r="O69" s="6590">
        <v>156.04</v>
      </c>
      <c r="P69" s="6590">
        <v>24.86</v>
      </c>
      <c r="Q69" s="6590">
        <v>5.87</v>
      </c>
      <c r="R69" s="6590">
        <v>17.01</v>
      </c>
      <c r="S69" s="6590">
        <v>17.45</v>
      </c>
      <c r="T69" s="6590">
        <v>196.31</v>
      </c>
      <c r="U69" s="6590">
        <v>12.46</v>
      </c>
      <c r="V69" s="6590">
        <v>5.62</v>
      </c>
      <c r="W69" s="6590">
        <v>19.66</v>
      </c>
      <c r="X69" s="6590">
        <v>37.26</v>
      </c>
      <c r="Y69" s="6590">
        <v>377.03</v>
      </c>
      <c r="Z69" s="6590">
        <v>0.3</v>
      </c>
      <c r="AA69" s="6590">
        <v>3.47</v>
      </c>
      <c r="AB69" s="6590">
        <v>77.24</v>
      </c>
      <c r="AC69" s="6590">
        <v>25.68</v>
      </c>
      <c r="AD69" s="6590">
        <v>5.17</v>
      </c>
      <c r="AE69" s="413" t="str">
        <f>FHD_NOTE_P_21</f>
        <v/>
      </c>
      <c r="AF69" s="1760" t="str">
        <f>IF((LEN(E69)-LEN(SUBSTITUTE(E69,".","")))/LEN(".")=1,"p","")</f>
        <v/>
      </c>
      <c r="AG69" s="1760"/>
      <c r="AH69" s="1760"/>
      <c r="AM69" s="1760"/>
      <c r="AP69" s="668"/>
      <c r="AV69" s="1756"/>
      <c r="AW69" s="1756"/>
      <c r="AX69" s="1756"/>
      <c r="AY69" s="1756"/>
      <c r="AZ69" s="1756"/>
      <c r="BA69" s="1284">
        <v>11</v>
      </c>
    </row>
    <row s="7158" customFormat="1" customHeight="1" ht="27">
      <c r="A70" s="1111"/>
      <c r="C70" s="1760"/>
      <c r="D70" s="1762"/>
      <c r="E70" s="670" t="str">
        <f>FHD_NUM_P_22</f>
        <v>2.9</v>
      </c>
      <c r="F70" s="1648" t="str">
        <f>FHD_P_22</f>
        <v>Расходы на аренду имущества, используемого для осуществления регулируемого вида деятельности</v>
      </c>
      <c r="G70" s="1999" t="s">
        <v>664</v>
      </c>
      <c r="H70" s="681"/>
      <c r="I70" s="681">
        <v>3538.88</v>
      </c>
      <c r="J70" s="6590">
        <v>2354.27</v>
      </c>
      <c r="K70" s="6590">
        <v>7231.29</v>
      </c>
      <c r="L70" s="6590">
        <v>1507.33</v>
      </c>
      <c r="M70" s="6590">
        <v>4198.16</v>
      </c>
      <c r="N70" s="6590">
        <v>4199</v>
      </c>
      <c r="O70" s="6590">
        <v>0</v>
      </c>
      <c r="P70" s="6590">
        <v>3474.66</v>
      </c>
      <c r="Q70" s="6590">
        <v>1032.64</v>
      </c>
      <c r="R70" s="6590">
        <v>2339.5</v>
      </c>
      <c r="S70" s="6590">
        <v>2034.66</v>
      </c>
      <c r="T70" s="6590">
        <v>21356.62</v>
      </c>
      <c r="U70" s="6590">
        <v>547.32</v>
      </c>
      <c r="V70" s="6590">
        <v>803.98</v>
      </c>
      <c r="W70" s="6590">
        <v>408.5</v>
      </c>
      <c r="X70" s="6590">
        <v>215.23</v>
      </c>
      <c r="Y70" s="6590">
        <v>21514.82</v>
      </c>
      <c r="Z70" s="6590">
        <v>300.59</v>
      </c>
      <c r="AA70" s="6590">
        <v>455.28</v>
      </c>
      <c r="AB70" s="6590">
        <v>0</v>
      </c>
      <c r="AC70" s="6590">
        <v>1442.62</v>
      </c>
      <c r="AD70" s="6590">
        <v>561.35</v>
      </c>
      <c r="AE70" s="413" t="str">
        <f>FHD_NOTE_P_22</f>
        <v/>
      </c>
      <c r="AF70" s="1760" t="str">
        <f>IF((LEN(E70)-LEN(SUBSTITUTE(E70,".","")))/LEN(".")=1,"p","")</f>
        <v>p</v>
      </c>
      <c r="AG70" s="1760"/>
      <c r="AH70" s="1760"/>
      <c r="AM70" s="1760"/>
      <c r="AP70" s="668"/>
      <c r="AV70" s="1756"/>
      <c r="AW70" s="1756"/>
      <c r="AX70" s="1756"/>
      <c r="AY70" s="1756"/>
      <c r="AZ70" s="1756"/>
      <c r="BA70" s="1284">
        <v>11</v>
      </c>
    </row>
    <row s="7158" customFormat="1" customHeight="1" ht="11.549999999999999">
      <c r="A71" s="1111"/>
      <c r="C71" s="1760"/>
      <c r="D71" s="699"/>
      <c r="E71" s="670" t="str">
        <f>FHD_NUM_P_23</f>
        <v>2.10</v>
      </c>
      <c r="F71" s="1648" t="str">
        <f>FHD_P_23</f>
        <v>Общепроизводственные расходы, в том числе:</v>
      </c>
      <c r="G71" s="1999" t="s">
        <v>664</v>
      </c>
      <c r="H71" s="681"/>
      <c r="I71" s="681">
        <v>0</v>
      </c>
      <c r="J71" s="6590">
        <v>0</v>
      </c>
      <c r="K71" s="6590">
        <v>0</v>
      </c>
      <c r="L71" s="6590">
        <v>0</v>
      </c>
      <c r="M71" s="6590">
        <v>0</v>
      </c>
      <c r="N71" s="6590">
        <v>0</v>
      </c>
      <c r="O71" s="6590">
        <v>0</v>
      </c>
      <c r="P71" s="6590">
        <v>0</v>
      </c>
      <c r="Q71" s="6590">
        <v>0</v>
      </c>
      <c r="R71" s="6590">
        <v>0</v>
      </c>
      <c r="S71" s="6590">
        <v>0</v>
      </c>
      <c r="T71" s="6590">
        <v>0</v>
      </c>
      <c r="U71" s="6590">
        <v>0</v>
      </c>
      <c r="V71" s="6590">
        <v>0</v>
      </c>
      <c r="W71" s="6590">
        <v>0</v>
      </c>
      <c r="X71" s="6590">
        <v>0</v>
      </c>
      <c r="Y71" s="6590">
        <v>0</v>
      </c>
      <c r="Z71" s="6590">
        <v>0</v>
      </c>
      <c r="AA71" s="6590">
        <v>0</v>
      </c>
      <c r="AB71" s="6590">
        <v>0</v>
      </c>
      <c r="AC71" s="6590">
        <v>0</v>
      </c>
      <c r="AD71" s="6590">
        <v>0</v>
      </c>
      <c r="AE71" s="413" t="str">
        <f>FHD_NOTE_P_23</f>
        <v>Указывается общая сумма общепроизводственных расходов.</v>
      </c>
      <c r="AF71" s="1760" t="str">
        <f>IF((LEN(E71)-LEN(SUBSTITUTE(E71,".","")))/LEN(".")=1,"p","")</f>
        <v>p</v>
      </c>
      <c r="AG71" s="1760"/>
      <c r="AH71" s="1760"/>
      <c r="AM71" s="1760"/>
      <c r="AP71" s="668"/>
      <c r="AV71" s="1756"/>
      <c r="AW71" s="1756"/>
      <c r="AX71" s="1756"/>
      <c r="AY71" s="1756"/>
      <c r="AZ71" s="1756"/>
      <c r="BA71" s="1284">
        <v>11</v>
      </c>
    </row>
    <row s="7158" customFormat="1" customHeight="1" ht="11.549999999999999">
      <c r="A72" s="1111"/>
      <c r="C72" s="1760"/>
      <c r="D72" s="699"/>
      <c r="E72" s="670" t="str">
        <f>FHD_NUM_P_24</f>
        <v>2.10.1</v>
      </c>
      <c r="F72" s="1774" t="str">
        <f>FHD_P_24</f>
        <v>Расходы на текущий ремонт</v>
      </c>
      <c r="G72" s="1999" t="s">
        <v>664</v>
      </c>
      <c r="H72" s="681"/>
      <c r="I72" s="681">
        <v>0</v>
      </c>
      <c r="J72" s="6590">
        <v>0</v>
      </c>
      <c r="K72" s="6590">
        <v>0</v>
      </c>
      <c r="L72" s="6590">
        <v>0</v>
      </c>
      <c r="M72" s="6590">
        <v>0</v>
      </c>
      <c r="N72" s="6590">
        <v>0</v>
      </c>
      <c r="O72" s="6590">
        <v>0</v>
      </c>
      <c r="P72" s="6590">
        <v>0</v>
      </c>
      <c r="Q72" s="6590">
        <v>0</v>
      </c>
      <c r="R72" s="6590">
        <v>0</v>
      </c>
      <c r="S72" s="6590">
        <v>0</v>
      </c>
      <c r="T72" s="6590">
        <v>0</v>
      </c>
      <c r="U72" s="6590">
        <v>0</v>
      </c>
      <c r="V72" s="6590">
        <v>0</v>
      </c>
      <c r="W72" s="6590">
        <v>0</v>
      </c>
      <c r="X72" s="6590">
        <v>0</v>
      </c>
      <c r="Y72" s="6590">
        <v>0</v>
      </c>
      <c r="Z72" s="6590">
        <v>0</v>
      </c>
      <c r="AA72" s="6590">
        <v>0</v>
      </c>
      <c r="AB72" s="6590">
        <v>0</v>
      </c>
      <c r="AC72" s="6590">
        <v>0</v>
      </c>
      <c r="AD72" s="6590">
        <v>0</v>
      </c>
      <c r="AE72" s="413" t="str">
        <f>FHD_NOTE_P_24</f>
        <v>Указываются расходы на текущий ремонт, отнесенные к общепроизводственным расходам.</v>
      </c>
      <c r="AF72" s="1760" t="str">
        <f>IF((LEN(E72)-LEN(SUBSTITUTE(E72,".","")))/LEN(".")=1,"p","")</f>
        <v/>
      </c>
      <c r="AG72" s="1760"/>
      <c r="AH72" s="1760"/>
      <c r="AM72" s="1760"/>
      <c r="AP72" s="668"/>
      <c r="AV72" s="1756"/>
      <c r="AW72" s="1756"/>
      <c r="AX72" s="1756"/>
      <c r="AY72" s="1756"/>
      <c r="AZ72" s="1756"/>
      <c r="BA72" s="1284">
        <v>11</v>
      </c>
    </row>
    <row s="7158" customFormat="1" customHeight="1" ht="11.549999999999999">
      <c r="A73" s="1111"/>
      <c r="C73" s="1760"/>
      <c r="D73" s="699"/>
      <c r="E73" s="670" t="str">
        <f>FHD_NUM_P_25</f>
        <v>2.10.2</v>
      </c>
      <c r="F73" s="1774" t="str">
        <f>FHD_P_25</f>
        <v>Расходы на капитальный ремонт</v>
      </c>
      <c r="G73" s="1999" t="s">
        <v>664</v>
      </c>
      <c r="H73" s="681"/>
      <c r="I73" s="681">
        <v>0</v>
      </c>
      <c r="J73" s="6590">
        <v>0</v>
      </c>
      <c r="K73" s="6590">
        <v>0</v>
      </c>
      <c r="L73" s="6590">
        <v>0</v>
      </c>
      <c r="M73" s="6590">
        <v>0</v>
      </c>
      <c r="N73" s="6590">
        <v>0</v>
      </c>
      <c r="O73" s="6590">
        <v>0</v>
      </c>
      <c r="P73" s="6590">
        <v>0</v>
      </c>
      <c r="Q73" s="6590">
        <v>0</v>
      </c>
      <c r="R73" s="6590">
        <v>0</v>
      </c>
      <c r="S73" s="6590">
        <v>0</v>
      </c>
      <c r="T73" s="6590">
        <v>0</v>
      </c>
      <c r="U73" s="6590">
        <v>0</v>
      </c>
      <c r="V73" s="6590">
        <v>0</v>
      </c>
      <c r="W73" s="6590">
        <v>0</v>
      </c>
      <c r="X73" s="6590">
        <v>0</v>
      </c>
      <c r="Y73" s="6590">
        <v>0</v>
      </c>
      <c r="Z73" s="6590">
        <v>0</v>
      </c>
      <c r="AA73" s="6590">
        <v>0</v>
      </c>
      <c r="AB73" s="6590">
        <v>0</v>
      </c>
      <c r="AC73" s="6590">
        <v>0</v>
      </c>
      <c r="AD73" s="6590">
        <v>0</v>
      </c>
      <c r="AE73" s="413" t="str">
        <f>FHD_NOTE_P_25</f>
        <v>Указываются расходы на капитальный ремонт, отнесенные к общепроизводственным расходам.</v>
      </c>
      <c r="AF73" s="1760" t="str">
        <f>IF((LEN(E73)-LEN(SUBSTITUTE(E73,".","")))/LEN(".")=1,"p","")</f>
        <v/>
      </c>
      <c r="AG73" s="1760"/>
      <c r="AH73" s="1760"/>
      <c r="AM73" s="1760"/>
      <c r="AP73" s="668"/>
      <c r="AV73" s="1756"/>
      <c r="AW73" s="1756"/>
      <c r="AX73" s="1756"/>
      <c r="AY73" s="1756"/>
      <c r="AZ73" s="1756"/>
      <c r="BA73" s="1284">
        <v>11</v>
      </c>
    </row>
    <row s="7158" customFormat="1" customHeight="1" ht="11.549999999999999">
      <c r="A74" s="1111"/>
      <c r="C74" s="1760"/>
      <c r="D74" s="1762"/>
      <c r="E74" s="670" t="str">
        <f>FHD_NUM_P_26</f>
        <v>2.11</v>
      </c>
      <c r="F74" s="1648" t="str">
        <f>FHD_P_26</f>
        <v>Общехозяйственные расходы, в том числе:</v>
      </c>
      <c r="G74" s="1999" t="s">
        <v>664</v>
      </c>
      <c r="H74" s="681"/>
      <c r="I74" s="681">
        <v>0</v>
      </c>
      <c r="J74" s="6590">
        <v>0</v>
      </c>
      <c r="K74" s="6590">
        <v>0</v>
      </c>
      <c r="L74" s="6590">
        <v>0</v>
      </c>
      <c r="M74" s="6590">
        <v>0</v>
      </c>
      <c r="N74" s="6590">
        <v>0</v>
      </c>
      <c r="O74" s="6590">
        <v>0</v>
      </c>
      <c r="P74" s="6590">
        <v>0</v>
      </c>
      <c r="Q74" s="6590">
        <v>0</v>
      </c>
      <c r="R74" s="6590">
        <v>0</v>
      </c>
      <c r="S74" s="6590">
        <v>0</v>
      </c>
      <c r="T74" s="6590">
        <v>0</v>
      </c>
      <c r="U74" s="6590">
        <v>0</v>
      </c>
      <c r="V74" s="6590">
        <v>0</v>
      </c>
      <c r="W74" s="6590">
        <v>0</v>
      </c>
      <c r="X74" s="6590">
        <v>0</v>
      </c>
      <c r="Y74" s="6590">
        <v>0</v>
      </c>
      <c r="Z74" s="6590">
        <v>0</v>
      </c>
      <c r="AA74" s="6590">
        <v>0</v>
      </c>
      <c r="AB74" s="6590">
        <v>0</v>
      </c>
      <c r="AC74" s="6590">
        <v>0</v>
      </c>
      <c r="AD74" s="6590">
        <v>0</v>
      </c>
      <c r="AE74" s="413" t="str">
        <f>FHD_NOTE_P_26</f>
        <v>Указывается общая сумма общехозяйственных расходов.</v>
      </c>
      <c r="AF74" s="1760" t="str">
        <f>IF((LEN(E74)-LEN(SUBSTITUTE(E74,".","")))/LEN(".")=1,"p","")</f>
        <v>p</v>
      </c>
      <c r="AG74" s="1760"/>
      <c r="AH74" s="1760"/>
      <c r="AM74" s="1760"/>
      <c r="AP74" s="668"/>
      <c r="AV74" s="1756"/>
      <c r="AW74" s="1756"/>
      <c r="AX74" s="1756"/>
      <c r="AY74" s="1756"/>
      <c r="AZ74" s="1756"/>
      <c r="BA74" s="1284">
        <v>11</v>
      </c>
    </row>
    <row s="7158" customFormat="1" customHeight="1" ht="11.549999999999999">
      <c r="A75" s="1111"/>
      <c r="C75" s="1760"/>
      <c r="D75" s="1762"/>
      <c r="E75" s="670" t="str">
        <f>FHD_NUM_P_27</f>
        <v>2.11.1</v>
      </c>
      <c r="F75" s="1774" t="str">
        <f>FHD_P_27</f>
        <v>Расходы на текущий ремонт</v>
      </c>
      <c r="G75" s="1999" t="s">
        <v>664</v>
      </c>
      <c r="H75" s="681"/>
      <c r="I75" s="681">
        <v>0</v>
      </c>
      <c r="J75" s="6590">
        <v>0</v>
      </c>
      <c r="K75" s="6590">
        <v>0</v>
      </c>
      <c r="L75" s="6590">
        <v>0</v>
      </c>
      <c r="M75" s="6590">
        <v>0</v>
      </c>
      <c r="N75" s="6590">
        <v>0</v>
      </c>
      <c r="O75" s="6590">
        <v>0</v>
      </c>
      <c r="P75" s="6590">
        <v>0</v>
      </c>
      <c r="Q75" s="6590">
        <v>0</v>
      </c>
      <c r="R75" s="6590">
        <v>0</v>
      </c>
      <c r="S75" s="6590">
        <v>0</v>
      </c>
      <c r="T75" s="6590">
        <v>0</v>
      </c>
      <c r="U75" s="6590">
        <v>0</v>
      </c>
      <c r="V75" s="6590">
        <v>0</v>
      </c>
      <c r="W75" s="6590">
        <v>0</v>
      </c>
      <c r="X75" s="6590">
        <v>0</v>
      </c>
      <c r="Y75" s="6590">
        <v>0</v>
      </c>
      <c r="Z75" s="6590">
        <v>0</v>
      </c>
      <c r="AA75" s="6590">
        <v>0</v>
      </c>
      <c r="AB75" s="6590">
        <v>0</v>
      </c>
      <c r="AC75" s="6590">
        <v>0</v>
      </c>
      <c r="AD75" s="6590">
        <v>0</v>
      </c>
      <c r="AE75" s="413" t="str">
        <f>FHD_NOTE_P_27</f>
        <v>Указываются расходы на текущий ремонт, отнесенные к общехозяйственным расходам.</v>
      </c>
      <c r="AF75" s="1760" t="str">
        <f>IF((LEN(E75)-LEN(SUBSTITUTE(E75,".","")))/LEN(".")=1,"p","")</f>
        <v/>
      </c>
      <c r="AG75" s="1760"/>
      <c r="AH75" s="1760"/>
      <c r="AM75" s="1760"/>
      <c r="AP75" s="668"/>
      <c r="AV75" s="1756"/>
      <c r="AW75" s="1756"/>
      <c r="AX75" s="1756"/>
      <c r="AY75" s="1756"/>
      <c r="AZ75" s="1756"/>
      <c r="BA75" s="1284">
        <v>11</v>
      </c>
    </row>
    <row s="7158" customFormat="1" customHeight="1" ht="11.549999999999999">
      <c r="A76" s="1111"/>
      <c r="C76" s="1760"/>
      <c r="D76" s="1762"/>
      <c r="E76" s="670" t="str">
        <f>FHD_NUM_P_28</f>
        <v>2.11.2</v>
      </c>
      <c r="F76" s="1774" t="str">
        <f>FHD_P_28</f>
        <v>Расходы на капитальный ремонт</v>
      </c>
      <c r="G76" s="1999" t="s">
        <v>664</v>
      </c>
      <c r="H76" s="681"/>
      <c r="I76" s="681">
        <v>0</v>
      </c>
      <c r="J76" s="6590">
        <v>0</v>
      </c>
      <c r="K76" s="6590">
        <v>0</v>
      </c>
      <c r="L76" s="6590">
        <v>0</v>
      </c>
      <c r="M76" s="6590">
        <v>0</v>
      </c>
      <c r="N76" s="6590">
        <v>0</v>
      </c>
      <c r="O76" s="6590">
        <v>0</v>
      </c>
      <c r="P76" s="6590">
        <v>0</v>
      </c>
      <c r="Q76" s="6590">
        <v>0</v>
      </c>
      <c r="R76" s="6590">
        <v>0</v>
      </c>
      <c r="S76" s="6590">
        <v>0</v>
      </c>
      <c r="T76" s="6590">
        <v>0</v>
      </c>
      <c r="U76" s="6590">
        <v>0</v>
      </c>
      <c r="V76" s="6590">
        <v>0</v>
      </c>
      <c r="W76" s="6590">
        <v>0</v>
      </c>
      <c r="X76" s="6590">
        <v>0</v>
      </c>
      <c r="Y76" s="6590">
        <v>0</v>
      </c>
      <c r="Z76" s="6590">
        <v>0</v>
      </c>
      <c r="AA76" s="6590">
        <v>0</v>
      </c>
      <c r="AB76" s="6590">
        <v>0</v>
      </c>
      <c r="AC76" s="6590">
        <v>0</v>
      </c>
      <c r="AD76" s="6590">
        <v>0</v>
      </c>
      <c r="AE76" s="413" t="str">
        <f>FHD_NOTE_P_28</f>
        <v>Указываются расходы на капитальный ремонт, отнесенные к общехозяйственным расходам.</v>
      </c>
      <c r="AF76" s="1760" t="str">
        <f>IF((LEN(E76)-LEN(SUBSTITUTE(E76,".","")))/LEN(".")=1,"p","")</f>
        <v/>
      </c>
      <c r="AG76" s="1760"/>
      <c r="AH76" s="1760"/>
      <c r="AM76" s="1760"/>
      <c r="AP76" s="668"/>
      <c r="AV76" s="1756"/>
      <c r="AW76" s="1756"/>
      <c r="AX76" s="1756"/>
      <c r="AY76" s="1756"/>
      <c r="AZ76" s="1756"/>
      <c r="BA76" s="1284">
        <v>11</v>
      </c>
    </row>
    <row s="7158" customFormat="1" customHeight="1" ht="11.549999999999999">
      <c r="A77" s="1111"/>
      <c r="C77" s="1760"/>
      <c r="D77" s="1762"/>
      <c r="E77" s="670" t="str">
        <f>FHD_NUM_P_29</f>
        <v>2.12</v>
      </c>
      <c r="F77" s="1648" t="str">
        <f>FHD_P_29</f>
        <v>Расходы на капитальный и текущий ремонт основных средств</v>
      </c>
      <c r="G77" s="1999" t="s">
        <v>664</v>
      </c>
      <c r="H77" s="681"/>
      <c r="I77" s="681">
        <v>4386.25</v>
      </c>
      <c r="J77" s="6590">
        <v>204.89</v>
      </c>
      <c r="K77" s="6590">
        <v>1063.35</v>
      </c>
      <c r="L77" s="6590">
        <v>44.53</v>
      </c>
      <c r="M77" s="6590">
        <v>14.61</v>
      </c>
      <c r="N77" s="6590">
        <v>1.46</v>
      </c>
      <c r="O77" s="6590">
        <v>106.21</v>
      </c>
      <c r="P77" s="6590">
        <v>204.28</v>
      </c>
      <c r="Q77" s="6590">
        <v>0.33</v>
      </c>
      <c r="R77" s="6590">
        <v>204.65</v>
      </c>
      <c r="S77" s="6590">
        <v>170.9</v>
      </c>
      <c r="T77" s="6590">
        <v>860.7</v>
      </c>
      <c r="U77" s="6590">
        <v>0.41</v>
      </c>
      <c r="V77" s="6590">
        <v>3.81</v>
      </c>
      <c r="W77" s="6590">
        <v>55.55</v>
      </c>
      <c r="X77" s="6590">
        <v>4.79</v>
      </c>
      <c r="Y77" s="6590">
        <v>220.33</v>
      </c>
      <c r="Z77" s="6590">
        <v>0.17</v>
      </c>
      <c r="AA77" s="6590">
        <v>48.06</v>
      </c>
      <c r="AB77" s="6590">
        <v>449.21</v>
      </c>
      <c r="AC77" s="6590">
        <v>8.71</v>
      </c>
      <c r="AD77" s="6590">
        <v>0.83</v>
      </c>
      <c r="AE77" s="41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F77" s="1760" t="str">
        <f>IF((LEN(E77)-LEN(SUBSTITUTE(E77,".","")))/LEN(".")=1,"p","")</f>
        <v>p</v>
      </c>
      <c r="AG77" s="1760"/>
      <c r="AH77" s="1760"/>
      <c r="AM77" s="1760"/>
      <c r="AP77" s="668"/>
      <c r="AV77" s="1756"/>
      <c r="AW77" s="1756"/>
      <c r="AX77" s="1756"/>
      <c r="AY77" s="1756"/>
      <c r="AZ77" s="1756"/>
      <c r="BA77" s="1284">
        <v>11</v>
      </c>
    </row>
    <row s="7158" customFormat="1" customHeight="1" ht="50.25">
      <c r="A78" s="1111"/>
      <c r="C78" s="1760"/>
      <c r="D78" s="1762"/>
      <c r="E78" s="670" t="str">
        <f>FHD_NUM_P_30</f>
        <v>2.12.1</v>
      </c>
      <c r="F78" s="17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999" t="s">
        <v>418</v>
      </c>
      <c r="H78" s="1773" t="s">
        <v>693</v>
      </c>
      <c r="I78" s="1773" t="s">
        <v>693</v>
      </c>
      <c r="J78" s="7432" t="s">
        <v>693</v>
      </c>
      <c r="K78" s="7432" t="s">
        <v>693</v>
      </c>
      <c r="L78" s="7432" t="s">
        <v>693</v>
      </c>
      <c r="M78" s="7432" t="s">
        <v>693</v>
      </c>
      <c r="N78" s="7432" t="s">
        <v>693</v>
      </c>
      <c r="O78" s="7432" t="s">
        <v>693</v>
      </c>
      <c r="P78" s="7432" t="s">
        <v>693</v>
      </c>
      <c r="Q78" s="7432" t="s">
        <v>693</v>
      </c>
      <c r="R78" s="7432" t="s">
        <v>693</v>
      </c>
      <c r="S78" s="7432" t="s">
        <v>693</v>
      </c>
      <c r="T78" s="7432" t="s">
        <v>693</v>
      </c>
      <c r="U78" s="7432" t="s">
        <v>693</v>
      </c>
      <c r="V78" s="7432" t="s">
        <v>693</v>
      </c>
      <c r="W78" s="7432" t="s">
        <v>693</v>
      </c>
      <c r="X78" s="7432" t="s">
        <v>693</v>
      </c>
      <c r="Y78" s="7432" t="s">
        <v>693</v>
      </c>
      <c r="Z78" s="7432" t="s">
        <v>693</v>
      </c>
      <c r="AA78" s="7432" t="s">
        <v>693</v>
      </c>
      <c r="AB78" s="7432" t="s">
        <v>693</v>
      </c>
      <c r="AC78" s="7432" t="s">
        <v>693</v>
      </c>
      <c r="AD78" s="7432" t="s">
        <v>693</v>
      </c>
      <c r="AE78" s="413" t="str">
        <f>FHD_NOTE_P_30</f>
        <v/>
      </c>
      <c r="AF78" s="1760" t="str">
        <f>IF((LEN(E78)-LEN(SUBSTITUTE(E78,".","")))/LEN(".")=1,"p","")</f>
        <v/>
      </c>
      <c r="AG78" s="1760">
        <f>_xlfn.IFERROR(MATCH("есть",B_FHD_FLAG_INDEX_1,0),0)</f>
        <v>0</v>
      </c>
      <c r="AH78" s="1760"/>
      <c r="AM78" s="1760"/>
      <c r="AP78" s="668"/>
      <c r="AV78" s="1756"/>
      <c r="AW78" s="1756"/>
      <c r="AX78" s="1756"/>
      <c r="AY78" s="1756"/>
      <c r="AZ78" s="1756"/>
      <c r="BA78" s="1284">
        <v>11</v>
      </c>
    </row>
    <row s="7158" customFormat="1" customHeight="1" ht="23.25" hidden="1">
      <c r="A79" s="2508" t="s">
        <v>694</v>
      </c>
      <c r="C79" s="1760"/>
      <c r="D79" s="1762"/>
      <c r="E79" s="670" t="str">
        <f>FHD_NUM_P_31</f>
        <v/>
      </c>
      <c r="F79" s="1648" t="str">
        <f>FHD_P_31</f>
        <v/>
      </c>
      <c r="G79" s="1999" t="s">
        <v>664</v>
      </c>
      <c r="H79" s="681"/>
      <c r="I79" s="681"/>
      <c r="J79" s="6590"/>
      <c r="K79" s="6590"/>
      <c r="L79" s="6590"/>
      <c r="M79" s="6590"/>
      <c r="N79" s="6590"/>
      <c r="O79" s="6590"/>
      <c r="P79" s="6590"/>
      <c r="Q79" s="6590"/>
      <c r="R79" s="6590"/>
      <c r="S79" s="6590"/>
      <c r="T79" s="6590"/>
      <c r="U79" s="6590"/>
      <c r="V79" s="6590"/>
      <c r="W79" s="6590"/>
      <c r="X79" s="6590"/>
      <c r="Y79" s="6590"/>
      <c r="Z79" s="6590"/>
      <c r="AA79" s="6590"/>
      <c r="AB79" s="6590"/>
      <c r="AC79" s="6590"/>
      <c r="AD79" s="6590"/>
      <c r="AE79" s="413" t="str">
        <f>FHD_NOTE_P_31</f>
        <v/>
      </c>
      <c r="AF79" s="1760" t="str">
        <f>IF((LEN(E79)-LEN(SUBSTITUTE(E79,".","")))/LEN(".")=1,"p","")</f>
        <v/>
      </c>
      <c r="AG79" s="1760"/>
      <c r="AH79" s="1760"/>
      <c r="AM79" s="1760"/>
      <c r="AP79" s="668"/>
      <c r="AV79" s="1756"/>
      <c r="AW79" s="1756"/>
      <c r="AX79" s="1756"/>
      <c r="AY79" s="1756"/>
      <c r="AZ79" s="1756"/>
      <c r="BA79" s="1284">
        <v>22</v>
      </c>
    </row>
    <row s="7158" customFormat="1" customHeight="1" ht="47.25" hidden="1">
      <c r="A80" s="2508"/>
      <c r="C80" s="1760"/>
      <c r="D80" s="1762"/>
      <c r="E80" s="670" t="str">
        <f>FHD_NUM_P_32</f>
        <v/>
      </c>
      <c r="F80" s="1774" t="str">
        <f>FHD_P_32</f>
        <v/>
      </c>
      <c r="G80" s="1999" t="s">
        <v>418</v>
      </c>
      <c r="H80" s="1773" t="s">
        <v>693</v>
      </c>
      <c r="I80" s="1773" t="s">
        <v>693</v>
      </c>
      <c r="J80" s="7432" t="s">
        <v>693</v>
      </c>
      <c r="K80" s="7432" t="s">
        <v>693</v>
      </c>
      <c r="L80" s="7432" t="s">
        <v>693</v>
      </c>
      <c r="M80" s="7432" t="s">
        <v>693</v>
      </c>
      <c r="N80" s="7432" t="s">
        <v>693</v>
      </c>
      <c r="O80" s="7432" t="s">
        <v>693</v>
      </c>
      <c r="P80" s="7432" t="s">
        <v>693</v>
      </c>
      <c r="Q80" s="7432" t="s">
        <v>693</v>
      </c>
      <c r="R80" s="7432" t="s">
        <v>693</v>
      </c>
      <c r="S80" s="7432" t="s">
        <v>693</v>
      </c>
      <c r="T80" s="7432" t="s">
        <v>693</v>
      </c>
      <c r="U80" s="7432" t="s">
        <v>693</v>
      </c>
      <c r="V80" s="7432" t="s">
        <v>693</v>
      </c>
      <c r="W80" s="7432" t="s">
        <v>693</v>
      </c>
      <c r="X80" s="7432" t="s">
        <v>693</v>
      </c>
      <c r="Y80" s="7432" t="s">
        <v>693</v>
      </c>
      <c r="Z80" s="7432" t="s">
        <v>693</v>
      </c>
      <c r="AA80" s="7432" t="s">
        <v>693</v>
      </c>
      <c r="AB80" s="7432" t="s">
        <v>693</v>
      </c>
      <c r="AC80" s="7432" t="s">
        <v>693</v>
      </c>
      <c r="AD80" s="7432" t="s">
        <v>693</v>
      </c>
      <c r="AE80" s="413" t="str">
        <f>FHD_NOTE_P_32</f>
        <v/>
      </c>
      <c r="AF80" s="1760" t="str">
        <f>IF((LEN(E80)-LEN(SUBSTITUTE(E80,".","")))/LEN(".")=1,"p","")</f>
        <v/>
      </c>
      <c r="AG80" s="1760">
        <f>_xlfn.IFERROR(MATCH("есть",B_FHD_FLAG_INDEX_2,0),0)</f>
        <v>0</v>
      </c>
      <c r="AH80" s="1760"/>
      <c r="AM80" s="1760"/>
      <c r="AP80" s="668"/>
      <c r="AV80" s="1756"/>
      <c r="AW80" s="1756"/>
      <c r="AX80" s="1756"/>
      <c r="AY80" s="1756"/>
      <c r="AZ80" s="1756"/>
      <c r="BA80" s="1284">
        <v>45</v>
      </c>
    </row>
    <row s="7158" customFormat="1" customHeight="1" ht="11.549999999999999">
      <c r="A81" s="1111"/>
      <c r="C81" s="1760"/>
      <c r="D81" s="1762"/>
      <c r="E81" s="670" t="str">
        <f>FHD_NUM_P_33</f>
        <v>2.13</v>
      </c>
      <c r="F81" s="1648" t="str">
        <f>FHD_P_33</f>
        <v>Прочие расходы, которые подлежат отнесению на регулируемые виды деятельности в соответствии с законодательством Российской Федерации</v>
      </c>
      <c r="G81" s="2000" t="s">
        <v>664</v>
      </c>
      <c r="H81" s="703">
        <f>SUM(H82:H100)</f>
        <v>0</v>
      </c>
      <c r="I81" s="703">
        <f>SUM(I82:I100)</f>
        <v>60879.82</v>
      </c>
      <c r="J81" s="6622">
        <f>SUM(J82:J100)</f>
        <v>2893.74</v>
      </c>
      <c r="K81" s="6622">
        <f>SUM(K82:K100)</f>
        <v>7302.78</v>
      </c>
      <c r="L81" s="6622">
        <f>SUM(L82:L100)</f>
        <v>2401.78</v>
      </c>
      <c r="M81" s="6622">
        <f>SUM(M82:M100)</f>
        <v>4025.97</v>
      </c>
      <c r="N81" s="6622">
        <f>SUM(N82:N100)</f>
        <v>2075.13</v>
      </c>
      <c r="O81" s="6622">
        <f>SUM(O82:O100)</f>
        <v>19444.23</v>
      </c>
      <c r="P81" s="6622">
        <f>SUM(P82:P100)</f>
        <v>2575.24</v>
      </c>
      <c r="Q81" s="6622">
        <f>SUM(Q82:Q100)</f>
        <v>602.56</v>
      </c>
      <c r="R81" s="6622">
        <f>SUM(R82:R100)</f>
        <v>1721.49</v>
      </c>
      <c r="S81" s="6622">
        <f>SUM(S82:S100)</f>
        <v>2528.44</v>
      </c>
      <c r="T81" s="6622">
        <f>SUM(T82:T100)</f>
        <v>20625.95</v>
      </c>
      <c r="U81" s="6622">
        <f>SUM(U82:U100)</f>
        <v>2158.88</v>
      </c>
      <c r="V81" s="6622">
        <f>SUM(V82:V100)</f>
        <v>691.32</v>
      </c>
      <c r="W81" s="6622">
        <f>SUM(W82:W100)</f>
        <v>1094.72</v>
      </c>
      <c r="X81" s="6622">
        <f>SUM(X82:X100)</f>
        <v>7190.84343302943</v>
      </c>
      <c r="Y81" s="6622">
        <f>SUM(Y82:Y100)</f>
        <v>27441.48</v>
      </c>
      <c r="Z81" s="6622">
        <f>SUM(Z82:Z100)</f>
        <v>57.75</v>
      </c>
      <c r="AA81" s="6622">
        <f>SUM(AA82:AA100)</f>
        <v>477.39</v>
      </c>
      <c r="AB81" s="6622">
        <f>SUM(AB82:AB100)</f>
        <v>19041.75</v>
      </c>
      <c r="AC81" s="6622">
        <f>SUM(AC82:AC100)</f>
        <v>2983.18</v>
      </c>
      <c r="AD81" s="6622">
        <f>SUM(AD82:AD100)</f>
        <v>668.79</v>
      </c>
      <c r="AE81" s="41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F81" s="1760" t="str">
        <f>IF((LEN(E81)-LEN(SUBSTITUTE(E81,".","")))/LEN(".")=1,"p","")</f>
        <v>p</v>
      </c>
      <c r="AG81" s="1760"/>
      <c r="AH81" s="1760"/>
      <c r="AM81" s="1760"/>
      <c r="AP81" s="668"/>
      <c r="AV81" s="1756"/>
      <c r="AW81" s="1756"/>
      <c r="AX81" s="1756"/>
      <c r="AY81" s="1756"/>
      <c r="AZ81" s="1756"/>
      <c r="BA81" s="1284">
        <v>11</v>
      </c>
    </row>
    <row s="6698" customFormat="1" customHeight="1" ht="1.05">
      <c r="A82" s="1291"/>
      <c r="D82" s="672"/>
      <c r="E82" s="1137" t="str">
        <f>E81&amp;".0"</f>
        <v>2.13.0</v>
      </c>
      <c r="F82" s="1115"/>
      <c r="G82" s="1137"/>
      <c r="H82" s="1116"/>
      <c r="I82" s="1116"/>
      <c r="J82" s="6624"/>
      <c r="K82" s="6624"/>
      <c r="L82" s="6624"/>
      <c r="M82" s="6624"/>
      <c r="N82" s="6624"/>
      <c r="O82" s="6624"/>
      <c r="P82" s="6624"/>
      <c r="Q82" s="6624"/>
      <c r="R82" s="6624"/>
      <c r="S82" s="6624"/>
      <c r="T82" s="6624"/>
      <c r="U82" s="6624"/>
      <c r="V82" s="6624"/>
      <c r="W82" s="6624"/>
      <c r="X82" s="6624"/>
      <c r="Y82" s="6624"/>
      <c r="Z82" s="6624"/>
      <c r="AA82" s="6624"/>
      <c r="AB82" s="6624"/>
      <c r="AC82" s="6624"/>
      <c r="AD82" s="6624"/>
      <c r="AE82" s="1117"/>
      <c r="AF82" s="1760" t="str">
        <f>IF((LEN(E82)-LEN(SUBSTITUTE(E82,".","")))/LEN(".")=1,"p","")</f>
        <v/>
      </c>
      <c r="BA82" s="1760">
        <v>1</v>
      </c>
    </row>
    <row s="7464" customFormat="1" customHeight="1" ht="48">
      <c r="A83" s="6675"/>
      <c r="B83" s="7158"/>
      <c r="C83" s="6698"/>
      <c r="D83" s="7121" t="s">
        <v>103</v>
      </c>
      <c r="E83" s="7577" t="str">
        <f>E81&amp;".1"</f>
        <v>2.13.1</v>
      </c>
      <c r="F83" s="5548" t="s">
        <v>695</v>
      </c>
      <c r="G83" s="7577" t="s">
        <v>664</v>
      </c>
      <c r="H83" s="6566"/>
      <c r="I83" s="6566">
        <v>1196.23</v>
      </c>
      <c r="J83" s="6566">
        <v>124.96</v>
      </c>
      <c r="K83" s="6566">
        <v>185.23</v>
      </c>
      <c r="L83" s="6566">
        <v>51.77</v>
      </c>
      <c r="M83" s="6566">
        <v>103.18</v>
      </c>
      <c r="N83" s="6566">
        <v>143.9</v>
      </c>
      <c r="O83" s="6566">
        <v>1398.59</v>
      </c>
      <c r="P83" s="6566">
        <v>52.69</v>
      </c>
      <c r="Q83" s="6566">
        <v>61.18</v>
      </c>
      <c r="R83" s="6566">
        <v>75.93</v>
      </c>
      <c r="S83" s="6566">
        <v>288.54</v>
      </c>
      <c r="T83" s="6566">
        <v>593.55</v>
      </c>
      <c r="U83" s="6566">
        <v>132.27</v>
      </c>
      <c r="V83" s="6566">
        <v>25.02</v>
      </c>
      <c r="W83" s="6566">
        <v>63.63</v>
      </c>
      <c r="X83" s="6566">
        <v>304.59</v>
      </c>
      <c r="Y83" s="6566">
        <v>643.45</v>
      </c>
      <c r="Z83" s="6566">
        <v>14.18</v>
      </c>
      <c r="AA83" s="6566">
        <v>33.19</v>
      </c>
      <c r="AB83" s="6566">
        <v>359.84</v>
      </c>
      <c r="AC83" s="6566">
        <v>22.57</v>
      </c>
      <c r="AD83" s="6566">
        <v>14.3</v>
      </c>
      <c r="AE83" s="6571" t="s">
        <v>667</v>
      </c>
      <c r="AF83" s="6639"/>
      <c r="AG83" s="6698"/>
      <c r="AH83" s="6698"/>
      <c r="AI83" s="7158"/>
      <c r="AJ83" s="7158"/>
      <c r="AK83" s="7158"/>
      <c r="AL83" s="7158"/>
      <c r="AM83" s="6698"/>
      <c r="AN83" s="7158"/>
      <c r="AO83" s="7158"/>
      <c r="AP83" s="6676"/>
      <c r="AQ83" s="7158"/>
      <c r="AR83" s="7158"/>
      <c r="AS83" s="7158"/>
      <c r="AT83" s="7158"/>
      <c r="AU83" s="7158"/>
      <c r="AV83" s="7464"/>
      <c r="AW83" s="7464"/>
      <c r="AX83" s="7464"/>
      <c r="AY83" s="7464"/>
      <c r="AZ83" s="7464"/>
      <c r="BA83" s="7158">
        <v>0</v>
      </c>
    </row>
    <row s="7464" customFormat="1" customHeight="1" ht="22.5">
      <c r="A84" s="6675"/>
      <c r="B84" s="7158"/>
      <c r="C84" s="6698"/>
      <c r="D84" s="7121" t="s">
        <v>103</v>
      </c>
      <c r="E84" s="7577" t="str">
        <f>E81&amp;".2"</f>
        <v>2.13.2</v>
      </c>
      <c r="F84" s="5548" t="s">
        <v>696</v>
      </c>
      <c r="G84" s="7577" t="s">
        <v>664</v>
      </c>
      <c r="H84" s="6566"/>
      <c r="I84" s="6566">
        <v>1826.49</v>
      </c>
      <c r="J84" s="6566">
        <v>137.25</v>
      </c>
      <c r="K84" s="6566">
        <v>233.13</v>
      </c>
      <c r="L84" s="6566">
        <v>51.25</v>
      </c>
      <c r="M84" s="6566">
        <v>138.59</v>
      </c>
      <c r="N84" s="6566">
        <v>78.34</v>
      </c>
      <c r="O84" s="6566">
        <v>560.81</v>
      </c>
      <c r="P84" s="6566">
        <v>84.55</v>
      </c>
      <c r="Q84" s="6566">
        <v>20.01</v>
      </c>
      <c r="R84" s="6566">
        <v>59.74</v>
      </c>
      <c r="S84" s="6566">
        <v>123.42</v>
      </c>
      <c r="T84" s="6566">
        <v>692.63</v>
      </c>
      <c r="U84" s="6566">
        <v>54.01</v>
      </c>
      <c r="V84" s="6566">
        <v>12.64</v>
      </c>
      <c r="W84" s="6566">
        <v>49.02</v>
      </c>
      <c r="X84" s="6566">
        <v>128.28</v>
      </c>
      <c r="Y84" s="6566">
        <v>973.15</v>
      </c>
      <c r="Z84" s="6566">
        <v>0.9</v>
      </c>
      <c r="AA84" s="6566">
        <v>10.65</v>
      </c>
      <c r="AB84" s="6566">
        <v>199.72</v>
      </c>
      <c r="AC84" s="6566">
        <v>55.19</v>
      </c>
      <c r="AD84" s="6566">
        <v>24.99</v>
      </c>
      <c r="AE84" s="6571" t="s">
        <v>667</v>
      </c>
      <c r="AF84" s="6639"/>
      <c r="AG84" s="6698"/>
      <c r="AH84" s="6698"/>
      <c r="AI84" s="7158"/>
      <c r="AJ84" s="7158"/>
      <c r="AK84" s="7158"/>
      <c r="AL84" s="7158"/>
      <c r="AM84" s="6698"/>
      <c r="AN84" s="7158"/>
      <c r="AO84" s="7158"/>
      <c r="AP84" s="6676"/>
      <c r="AQ84" s="7158"/>
      <c r="AR84" s="7158"/>
      <c r="AS84" s="7158"/>
      <c r="AT84" s="7158"/>
      <c r="AU84" s="7158"/>
      <c r="AV84" s="7464"/>
      <c r="AW84" s="7464"/>
      <c r="AX84" s="7464"/>
      <c r="AY84" s="7464"/>
      <c r="AZ84" s="7464"/>
      <c r="BA84" s="7158">
        <v>0</v>
      </c>
    </row>
    <row s="7464" customFormat="1" customHeight="1" ht="22.5">
      <c r="A85" s="6675"/>
      <c r="B85" s="7158"/>
      <c r="C85" s="6698"/>
      <c r="D85" s="7121" t="s">
        <v>103</v>
      </c>
      <c r="E85" s="7577" t="str">
        <f>E81&amp;".3"</f>
        <v>2.13.3</v>
      </c>
      <c r="F85" s="5548" t="s">
        <v>697</v>
      </c>
      <c r="G85" s="7577" t="s">
        <v>664</v>
      </c>
      <c r="H85" s="6566"/>
      <c r="I85" s="6566">
        <v>23.59</v>
      </c>
      <c r="J85" s="6566">
        <v>0.88</v>
      </c>
      <c r="K85" s="6566">
        <v>2.02</v>
      </c>
      <c r="L85" s="6566">
        <v>0.29</v>
      </c>
      <c r="M85" s="6566">
        <v>1.09</v>
      </c>
      <c r="N85" s="6566">
        <v>0.58</v>
      </c>
      <c r="O85" s="6566">
        <v>5.21</v>
      </c>
      <c r="P85" s="6566">
        <v>0.83</v>
      </c>
      <c r="Q85" s="6566">
        <v>0.2</v>
      </c>
      <c r="R85" s="6566">
        <v>0.57</v>
      </c>
      <c r="S85" s="6566">
        <v>0.58</v>
      </c>
      <c r="T85" s="6566">
        <v>6.56</v>
      </c>
      <c r="U85" s="6566">
        <v>0.42</v>
      </c>
      <c r="V85" s="6566">
        <v>0.19</v>
      </c>
      <c r="W85" s="6566">
        <v>0.66</v>
      </c>
      <c r="X85" s="6566">
        <v>1.24</v>
      </c>
      <c r="Y85" s="6566">
        <v>12.59</v>
      </c>
      <c r="Z85" s="6566">
        <v>0.01</v>
      </c>
      <c r="AA85" s="6566">
        <v>0.12</v>
      </c>
      <c r="AB85" s="6566">
        <v>2.58</v>
      </c>
      <c r="AC85" s="6566">
        <v>0.86</v>
      </c>
      <c r="AD85" s="6566">
        <v>0.17</v>
      </c>
      <c r="AE85" s="6571" t="s">
        <v>667</v>
      </c>
      <c r="AF85" s="6639"/>
      <c r="AG85" s="6698"/>
      <c r="AH85" s="6698"/>
      <c r="AI85" s="7158"/>
      <c r="AJ85" s="7158"/>
      <c r="AK85" s="7158"/>
      <c r="AL85" s="7158"/>
      <c r="AM85" s="6698"/>
      <c r="AN85" s="7158"/>
      <c r="AO85" s="7158"/>
      <c r="AP85" s="6676"/>
      <c r="AQ85" s="7158"/>
      <c r="AR85" s="7158"/>
      <c r="AS85" s="7158"/>
      <c r="AT85" s="7158"/>
      <c r="AU85" s="7158"/>
      <c r="AV85" s="7464"/>
      <c r="AW85" s="7464"/>
      <c r="AX85" s="7464"/>
      <c r="AY85" s="7464"/>
      <c r="AZ85" s="7464"/>
      <c r="BA85" s="7158">
        <v>0</v>
      </c>
    </row>
    <row s="7464" customFormat="1" customHeight="1" ht="22.5">
      <c r="A86" s="6675"/>
      <c r="B86" s="7158"/>
      <c r="C86" s="6698"/>
      <c r="D86" s="7121" t="s">
        <v>103</v>
      </c>
      <c r="E86" s="7577" t="str">
        <f>E81&amp;".4"</f>
        <v>2.13.4</v>
      </c>
      <c r="F86" s="5548" t="s">
        <v>698</v>
      </c>
      <c r="G86" s="7577" t="s">
        <v>664</v>
      </c>
      <c r="H86" s="6566"/>
      <c r="I86" s="6566">
        <v>18.78</v>
      </c>
      <c r="J86" s="6566">
        <v>0.7</v>
      </c>
      <c r="K86" s="6566">
        <v>1.61</v>
      </c>
      <c r="L86" s="6566">
        <v>0.23</v>
      </c>
      <c r="M86" s="6566">
        <v>0.86</v>
      </c>
      <c r="N86" s="6566">
        <v>0.46</v>
      </c>
      <c r="O86" s="6566">
        <v>4.15</v>
      </c>
      <c r="P86" s="6566">
        <v>0.66</v>
      </c>
      <c r="Q86" s="6566">
        <v>0.16</v>
      </c>
      <c r="R86" s="6566">
        <v>0.45</v>
      </c>
      <c r="S86" s="6566">
        <v>0.46</v>
      </c>
      <c r="T86" s="6566">
        <v>5.22</v>
      </c>
      <c r="U86" s="6566">
        <v>0.33</v>
      </c>
      <c r="V86" s="6566">
        <v>0.15</v>
      </c>
      <c r="W86" s="6566">
        <v>0.52</v>
      </c>
      <c r="X86" s="6566">
        <v>0.99</v>
      </c>
      <c r="Y86" s="6566">
        <v>10.02</v>
      </c>
      <c r="Z86" s="6566">
        <v>0.01</v>
      </c>
      <c r="AA86" s="6566">
        <v>0.09</v>
      </c>
      <c r="AB86" s="6566">
        <v>2.05</v>
      </c>
      <c r="AC86" s="6566">
        <v>0.68</v>
      </c>
      <c r="AD86" s="6566">
        <v>0.14</v>
      </c>
      <c r="AE86" s="6571" t="s">
        <v>667</v>
      </c>
      <c r="AF86" s="6639"/>
      <c r="AG86" s="6698"/>
      <c r="AH86" s="6698"/>
      <c r="AI86" s="7158"/>
      <c r="AJ86" s="7158"/>
      <c r="AK86" s="7158"/>
      <c r="AL86" s="7158"/>
      <c r="AM86" s="6698"/>
      <c r="AN86" s="7158"/>
      <c r="AO86" s="7158"/>
      <c r="AP86" s="6676"/>
      <c r="AQ86" s="7158"/>
      <c r="AR86" s="7158"/>
      <c r="AS86" s="7158"/>
      <c r="AT86" s="7158"/>
      <c r="AU86" s="7158"/>
      <c r="AV86" s="7464"/>
      <c r="AW86" s="7464"/>
      <c r="AX86" s="7464"/>
      <c r="AY86" s="7464"/>
      <c r="AZ86" s="7464"/>
      <c r="BA86" s="7158">
        <v>0</v>
      </c>
    </row>
    <row s="7464" customFormat="1" customHeight="1" ht="22.5">
      <c r="A87" s="6675"/>
      <c r="B87" s="7158"/>
      <c r="C87" s="6698"/>
      <c r="D87" s="7121" t="s">
        <v>103</v>
      </c>
      <c r="E87" s="7577" t="str">
        <f>E81&amp;".5"</f>
        <v>2.13.5</v>
      </c>
      <c r="F87" s="5548" t="s">
        <v>699</v>
      </c>
      <c r="G87" s="7577" t="s">
        <v>664</v>
      </c>
      <c r="H87" s="6566"/>
      <c r="I87" s="6566">
        <v>14.56</v>
      </c>
      <c r="J87" s="6566">
        <v>5.17</v>
      </c>
      <c r="K87" s="6566">
        <v>16.17</v>
      </c>
      <c r="L87" s="6566">
        <v>3.07</v>
      </c>
      <c r="M87" s="6566">
        <v>2.16</v>
      </c>
      <c r="N87" s="6566">
        <v>8.03</v>
      </c>
      <c r="O87" s="6566">
        <v>22.05</v>
      </c>
      <c r="P87" s="6566">
        <v>2.59</v>
      </c>
      <c r="Q87" s="6566">
        <v>2.59</v>
      </c>
      <c r="R87" s="6566">
        <v>2.59</v>
      </c>
      <c r="S87" s="6566">
        <v>11.36</v>
      </c>
      <c r="T87" s="6566">
        <v>10.32</v>
      </c>
      <c r="U87" s="6566">
        <v>2.59</v>
      </c>
      <c r="V87" s="6566">
        <v>6.25</v>
      </c>
      <c r="W87" s="6566">
        <v>2.93</v>
      </c>
      <c r="X87" s="6566">
        <v>2.93</v>
      </c>
      <c r="Y87" s="6566">
        <v>1.92</v>
      </c>
      <c r="Z87" s="6566">
        <v>0</v>
      </c>
      <c r="AA87" s="6566">
        <v>0</v>
      </c>
      <c r="AB87" s="6566">
        <v>0</v>
      </c>
      <c r="AC87" s="6566">
        <v>2.93</v>
      </c>
      <c r="AD87" s="6566">
        <v>2.58</v>
      </c>
      <c r="AE87" s="6571" t="s">
        <v>667</v>
      </c>
      <c r="AF87" s="6639"/>
      <c r="AG87" s="6698"/>
      <c r="AH87" s="6698"/>
      <c r="AI87" s="7158"/>
      <c r="AJ87" s="7158"/>
      <c r="AK87" s="7158"/>
      <c r="AL87" s="7158"/>
      <c r="AM87" s="6698"/>
      <c r="AN87" s="7158"/>
      <c r="AO87" s="7158"/>
      <c r="AP87" s="6676"/>
      <c r="AQ87" s="7158"/>
      <c r="AR87" s="7158"/>
      <c r="AS87" s="7158"/>
      <c r="AT87" s="7158"/>
      <c r="AU87" s="7158"/>
      <c r="AV87" s="7464"/>
      <c r="AW87" s="7464"/>
      <c r="AX87" s="7464"/>
      <c r="AY87" s="7464"/>
      <c r="AZ87" s="7464"/>
      <c r="BA87" s="7158">
        <v>0</v>
      </c>
    </row>
    <row s="7464" customFormat="1" customHeight="1" ht="22.5">
      <c r="A88" s="6675"/>
      <c r="B88" s="7158"/>
      <c r="C88" s="6698"/>
      <c r="D88" s="7121" t="s">
        <v>103</v>
      </c>
      <c r="E88" s="7577" t="str">
        <f>E81&amp;".6"</f>
        <v>2.13.6</v>
      </c>
      <c r="F88" s="5548" t="s">
        <v>700</v>
      </c>
      <c r="G88" s="7577" t="s">
        <v>664</v>
      </c>
      <c r="H88" s="6566"/>
      <c r="I88" s="6566">
        <v>3888.07</v>
      </c>
      <c r="J88" s="6566">
        <v>149.23</v>
      </c>
      <c r="K88" s="6566">
        <v>327.39</v>
      </c>
      <c r="L88" s="6566">
        <v>51.74</v>
      </c>
      <c r="M88" s="6566">
        <v>184.03</v>
      </c>
      <c r="N88" s="6566">
        <v>94.22</v>
      </c>
      <c r="O88" s="6566">
        <v>903.48</v>
      </c>
      <c r="P88" s="6566">
        <v>136.04</v>
      </c>
      <c r="Q88" s="6566">
        <v>32.17</v>
      </c>
      <c r="R88" s="6566">
        <v>93.89</v>
      </c>
      <c r="S88" s="6566">
        <v>101.51</v>
      </c>
      <c r="T88" s="6566">
        <v>1125.06</v>
      </c>
      <c r="U88" s="6566">
        <v>68.55</v>
      </c>
      <c r="V88" s="6566">
        <v>30.6</v>
      </c>
      <c r="W88" s="6566">
        <v>106.19</v>
      </c>
      <c r="X88" s="6566">
        <v>202.55</v>
      </c>
      <c r="Y88" s="6566">
        <v>2089.06</v>
      </c>
      <c r="Z88" s="6566">
        <v>1.71</v>
      </c>
      <c r="AA88" s="6566">
        <v>19.72</v>
      </c>
      <c r="AB88" s="6566">
        <v>439.76</v>
      </c>
      <c r="AC88" s="6566">
        <v>102.53</v>
      </c>
      <c r="AD88" s="6566">
        <v>28.59</v>
      </c>
      <c r="AE88" s="6571" t="s">
        <v>667</v>
      </c>
      <c r="AF88" s="6639"/>
      <c r="AG88" s="6698"/>
      <c r="AH88" s="6698"/>
      <c r="AI88" s="7158"/>
      <c r="AJ88" s="7158"/>
      <c r="AK88" s="7158"/>
      <c r="AL88" s="7158"/>
      <c r="AM88" s="6698"/>
      <c r="AN88" s="7158"/>
      <c r="AO88" s="7158"/>
      <c r="AP88" s="6676"/>
      <c r="AQ88" s="7158"/>
      <c r="AR88" s="7158"/>
      <c r="AS88" s="7158"/>
      <c r="AT88" s="7158"/>
      <c r="AU88" s="7158"/>
      <c r="AV88" s="7464"/>
      <c r="AW88" s="7464"/>
      <c r="AX88" s="7464"/>
      <c r="AY88" s="7464"/>
      <c r="AZ88" s="7464"/>
      <c r="BA88" s="7158">
        <v>0</v>
      </c>
    </row>
    <row s="7464" customFormat="1" customHeight="1" ht="22.5">
      <c r="A89" s="6675"/>
      <c r="B89" s="7158"/>
      <c r="C89" s="6698"/>
      <c r="D89" s="7121" t="s">
        <v>103</v>
      </c>
      <c r="E89" s="7577" t="str">
        <f>E81&amp;".7"</f>
        <v>2.13.7</v>
      </c>
      <c r="F89" s="5548" t="s">
        <v>701</v>
      </c>
      <c r="G89" s="7577" t="s">
        <v>664</v>
      </c>
      <c r="H89" s="6566"/>
      <c r="I89" s="6566">
        <v>720.19</v>
      </c>
      <c r="J89" s="6566">
        <v>4.13</v>
      </c>
      <c r="K89" s="6566">
        <v>9.83</v>
      </c>
      <c r="L89" s="6566">
        <v>1.43</v>
      </c>
      <c r="M89" s="6566">
        <v>5.1</v>
      </c>
      <c r="N89" s="6566">
        <v>2.61</v>
      </c>
      <c r="O89" s="6566">
        <v>25.03</v>
      </c>
      <c r="P89" s="6566">
        <v>3.77</v>
      </c>
      <c r="Q89" s="6566">
        <v>0.89</v>
      </c>
      <c r="R89" s="6566">
        <v>2.6</v>
      </c>
      <c r="S89" s="6566">
        <v>2.81</v>
      </c>
      <c r="T89" s="6566">
        <v>31.16</v>
      </c>
      <c r="U89" s="6566">
        <v>1.9</v>
      </c>
      <c r="V89" s="6566">
        <v>0.85</v>
      </c>
      <c r="W89" s="6566">
        <v>2.94</v>
      </c>
      <c r="X89" s="6566">
        <v>7.35</v>
      </c>
      <c r="Y89" s="6566">
        <v>80.61</v>
      </c>
      <c r="Z89" s="6566">
        <v>0.05</v>
      </c>
      <c r="AA89" s="6566">
        <v>0.55</v>
      </c>
      <c r="AB89" s="6566">
        <v>9418.41</v>
      </c>
      <c r="AC89" s="6566">
        <v>2.84</v>
      </c>
      <c r="AD89" s="6566">
        <v>0.79</v>
      </c>
      <c r="AE89" s="6571" t="s">
        <v>667</v>
      </c>
      <c r="AF89" s="6639"/>
      <c r="AG89" s="6698"/>
      <c r="AH89" s="6698"/>
      <c r="AI89" s="7158"/>
      <c r="AJ89" s="7158"/>
      <c r="AK89" s="7158"/>
      <c r="AL89" s="7158"/>
      <c r="AM89" s="6698"/>
      <c r="AN89" s="7158"/>
      <c r="AO89" s="7158"/>
      <c r="AP89" s="6676"/>
      <c r="AQ89" s="7158"/>
      <c r="AR89" s="7158"/>
      <c r="AS89" s="7158"/>
      <c r="AT89" s="7158"/>
      <c r="AU89" s="7158"/>
      <c r="AV89" s="7464"/>
      <c r="AW89" s="7464"/>
      <c r="AX89" s="7464"/>
      <c r="AY89" s="7464"/>
      <c r="AZ89" s="7464"/>
      <c r="BA89" s="7158">
        <v>0</v>
      </c>
    </row>
    <row s="7464" customFormat="1" customHeight="1" ht="22.5">
      <c r="A90" s="6675"/>
      <c r="B90" s="7158"/>
      <c r="C90" s="6698"/>
      <c r="D90" s="7121" t="s">
        <v>103</v>
      </c>
      <c r="E90" s="7577" t="str">
        <f>E81&amp;".8"</f>
        <v>2.13.8</v>
      </c>
      <c r="F90" s="5548" t="s">
        <v>702</v>
      </c>
      <c r="G90" s="7577" t="s">
        <v>664</v>
      </c>
      <c r="H90" s="6566"/>
      <c r="I90" s="6566">
        <v>76.17</v>
      </c>
      <c r="J90" s="6566">
        <v>2.92</v>
      </c>
      <c r="K90" s="6566">
        <v>6.41</v>
      </c>
      <c r="L90" s="6566">
        <v>1.01</v>
      </c>
      <c r="M90" s="6566">
        <v>3.61</v>
      </c>
      <c r="N90" s="6566">
        <v>1.85</v>
      </c>
      <c r="O90" s="6566">
        <v>17.7</v>
      </c>
      <c r="P90" s="6566">
        <v>2.67</v>
      </c>
      <c r="Q90" s="6566">
        <v>0.63</v>
      </c>
      <c r="R90" s="6566">
        <v>1.84</v>
      </c>
      <c r="S90" s="6566">
        <v>1.99</v>
      </c>
      <c r="T90" s="6566">
        <v>22.04</v>
      </c>
      <c r="U90" s="6566">
        <v>1.34</v>
      </c>
      <c r="V90" s="6566">
        <v>0.6</v>
      </c>
      <c r="W90" s="6566">
        <v>2.08</v>
      </c>
      <c r="X90" s="6566">
        <v>3.97</v>
      </c>
      <c r="Y90" s="6566">
        <v>40.93</v>
      </c>
      <c r="Z90" s="6566">
        <v>0.03</v>
      </c>
      <c r="AA90" s="6566">
        <v>0.39</v>
      </c>
      <c r="AB90" s="6566">
        <v>8.62</v>
      </c>
      <c r="AC90" s="6566">
        <v>2.01</v>
      </c>
      <c r="AD90" s="6566">
        <v>0.56</v>
      </c>
      <c r="AE90" s="6571" t="s">
        <v>667</v>
      </c>
      <c r="AF90" s="6639"/>
      <c r="AG90" s="6698"/>
      <c r="AH90" s="6698"/>
      <c r="AI90" s="7158"/>
      <c r="AJ90" s="7158"/>
      <c r="AK90" s="7158"/>
      <c r="AL90" s="7158"/>
      <c r="AM90" s="6698"/>
      <c r="AN90" s="7158"/>
      <c r="AO90" s="7158"/>
      <c r="AP90" s="6676"/>
      <c r="AQ90" s="7158"/>
      <c r="AR90" s="7158"/>
      <c r="AS90" s="7158"/>
      <c r="AT90" s="7158"/>
      <c r="AU90" s="7158"/>
      <c r="AV90" s="7464"/>
      <c r="AW90" s="7464"/>
      <c r="AX90" s="7464"/>
      <c r="AY90" s="7464"/>
      <c r="AZ90" s="7464"/>
      <c r="BA90" s="7158">
        <v>0</v>
      </c>
    </row>
    <row s="7464" customFormat="1" customHeight="1" ht="22.5">
      <c r="A91" s="6675"/>
      <c r="B91" s="7158"/>
      <c r="C91" s="6698"/>
      <c r="D91" s="7121" t="s">
        <v>103</v>
      </c>
      <c r="E91" s="7577" t="str">
        <f>E81&amp;".9"</f>
        <v>2.13.9</v>
      </c>
      <c r="F91" s="5548" t="s">
        <v>703</v>
      </c>
      <c r="G91" s="7577" t="s">
        <v>664</v>
      </c>
      <c r="H91" s="6566"/>
      <c r="I91" s="6566">
        <v>18759.4</v>
      </c>
      <c r="J91" s="6566">
        <v>716.17</v>
      </c>
      <c r="K91" s="6566">
        <v>1670.69</v>
      </c>
      <c r="L91" s="6566">
        <v>217.15</v>
      </c>
      <c r="M91" s="6566">
        <v>825.06</v>
      </c>
      <c r="N91" s="6566">
        <v>457.89</v>
      </c>
      <c r="O91" s="6566">
        <v>3928.25</v>
      </c>
      <c r="P91" s="6566">
        <v>683.61</v>
      </c>
      <c r="Q91" s="6566">
        <v>158.54</v>
      </c>
      <c r="R91" s="6566">
        <v>455.88</v>
      </c>
      <c r="S91" s="6566">
        <v>438.27</v>
      </c>
      <c r="T91" s="6566">
        <v>5748.02</v>
      </c>
      <c r="U91" s="6566">
        <v>406.65</v>
      </c>
      <c r="V91" s="6566">
        <v>141.89</v>
      </c>
      <c r="W91" s="6566">
        <v>487.07</v>
      </c>
      <c r="X91" s="6566">
        <v>1037.04</v>
      </c>
      <c r="Y91" s="6566">
        <v>11833.06</v>
      </c>
      <c r="Z91" s="6566">
        <v>7.4</v>
      </c>
      <c r="AA91" s="6566">
        <v>89.87</v>
      </c>
      <c r="AB91" s="6566">
        <v>2464.02</v>
      </c>
      <c r="AC91" s="6566">
        <v>659.13</v>
      </c>
      <c r="AD91" s="6566">
        <v>165.07</v>
      </c>
      <c r="AE91" s="6571" t="s">
        <v>667</v>
      </c>
      <c r="AF91" s="6639"/>
      <c r="AG91" s="6698"/>
      <c r="AH91" s="6698"/>
      <c r="AI91" s="7158"/>
      <c r="AJ91" s="7158"/>
      <c r="AK91" s="7158"/>
      <c r="AL91" s="7158"/>
      <c r="AM91" s="6698"/>
      <c r="AN91" s="7158"/>
      <c r="AO91" s="7158"/>
      <c r="AP91" s="6676"/>
      <c r="AQ91" s="7158"/>
      <c r="AR91" s="7158"/>
      <c r="AS91" s="7158"/>
      <c r="AT91" s="7158"/>
      <c r="AU91" s="7158"/>
      <c r="AV91" s="7464"/>
      <c r="AW91" s="7464"/>
      <c r="AX91" s="7464"/>
      <c r="AY91" s="7464"/>
      <c r="AZ91" s="7464"/>
      <c r="BA91" s="7158">
        <v>0</v>
      </c>
    </row>
    <row s="7464" customFormat="1" customHeight="1" ht="36.75">
      <c r="A92" s="6675"/>
      <c r="B92" s="7158"/>
      <c r="C92" s="6698"/>
      <c r="D92" s="7121" t="s">
        <v>103</v>
      </c>
      <c r="E92" s="7577" t="str">
        <f>E81&amp;".10"</f>
        <v>2.13.10</v>
      </c>
      <c r="F92" s="5548" t="s">
        <v>704</v>
      </c>
      <c r="G92" s="7577" t="s">
        <v>664</v>
      </c>
      <c r="H92" s="6566"/>
      <c r="I92" s="6566">
        <v>143.29</v>
      </c>
      <c r="J92" s="6566">
        <v>0</v>
      </c>
      <c r="K92" s="6566">
        <v>0</v>
      </c>
      <c r="L92" s="6566">
        <v>0</v>
      </c>
      <c r="M92" s="6566">
        <v>0</v>
      </c>
      <c r="N92" s="6566">
        <v>0</v>
      </c>
      <c r="O92" s="6566">
        <v>0</v>
      </c>
      <c r="P92" s="6566">
        <v>0</v>
      </c>
      <c r="Q92" s="6566">
        <v>0</v>
      </c>
      <c r="R92" s="6566">
        <v>0</v>
      </c>
      <c r="S92" s="6566">
        <v>0</v>
      </c>
      <c r="T92" s="6566">
        <v>0.74</v>
      </c>
      <c r="U92" s="6566">
        <v>0</v>
      </c>
      <c r="V92" s="6566">
        <v>0</v>
      </c>
      <c r="W92" s="6566">
        <v>0</v>
      </c>
      <c r="X92" s="6566">
        <f>0.14+30.183433029427</f>
        <v>30.323433029427</v>
      </c>
      <c r="Y92" s="6566">
        <v>10.26</v>
      </c>
      <c r="Z92" s="6566">
        <v>0</v>
      </c>
      <c r="AA92" s="6566">
        <v>0</v>
      </c>
      <c r="AB92" s="6566">
        <v>1.67</v>
      </c>
      <c r="AC92" s="6566">
        <v>3.37</v>
      </c>
      <c r="AD92" s="6566">
        <v>0</v>
      </c>
      <c r="AE92" s="6571" t="s">
        <v>667</v>
      </c>
      <c r="AF92" s="6639"/>
      <c r="AG92" s="6698"/>
      <c r="AH92" s="6698"/>
      <c r="AI92" s="7158"/>
      <c r="AJ92" s="7158"/>
      <c r="AK92" s="7158"/>
      <c r="AL92" s="7158"/>
      <c r="AM92" s="6698"/>
      <c r="AN92" s="7158"/>
      <c r="AO92" s="7158"/>
      <c r="AP92" s="6676"/>
      <c r="AQ92" s="7158"/>
      <c r="AR92" s="7158"/>
      <c r="AS92" s="7158"/>
      <c r="AT92" s="7158"/>
      <c r="AU92" s="7158"/>
      <c r="AV92" s="7464"/>
      <c r="AW92" s="7464"/>
      <c r="AX92" s="7464"/>
      <c r="AY92" s="7464"/>
      <c r="AZ92" s="7464"/>
      <c r="BA92" s="7158">
        <v>0</v>
      </c>
    </row>
    <row s="7464" customFormat="1" customHeight="1" ht="22.5">
      <c r="A93" s="6675"/>
      <c r="B93" s="7158"/>
      <c r="C93" s="6698"/>
      <c r="D93" s="7121" t="s">
        <v>103</v>
      </c>
      <c r="E93" s="7577" t="str">
        <f>E81&amp;".11"</f>
        <v>2.13.11</v>
      </c>
      <c r="F93" s="5548" t="s">
        <v>705</v>
      </c>
      <c r="G93" s="7577" t="s">
        <v>664</v>
      </c>
      <c r="H93" s="6566"/>
      <c r="I93" s="6566">
        <v>3635.96</v>
      </c>
      <c r="J93" s="6566">
        <v>0</v>
      </c>
      <c r="K93" s="6566">
        <v>0</v>
      </c>
      <c r="L93" s="6566">
        <v>0</v>
      </c>
      <c r="M93" s="6566">
        <v>0</v>
      </c>
      <c r="N93" s="6566">
        <v>0</v>
      </c>
      <c r="O93" s="6566">
        <v>0</v>
      </c>
      <c r="P93" s="6566">
        <v>0</v>
      </c>
      <c r="Q93" s="6566">
        <v>0</v>
      </c>
      <c r="R93" s="6566">
        <v>0</v>
      </c>
      <c r="S93" s="6566">
        <v>0</v>
      </c>
      <c r="T93" s="6566">
        <v>1327.35</v>
      </c>
      <c r="U93" s="6566">
        <v>0</v>
      </c>
      <c r="V93" s="6566">
        <v>0</v>
      </c>
      <c r="W93" s="6566">
        <v>0</v>
      </c>
      <c r="X93" s="6566">
        <v>0</v>
      </c>
      <c r="Y93" s="6566">
        <v>0</v>
      </c>
      <c r="Z93" s="6566">
        <v>0</v>
      </c>
      <c r="AA93" s="6566">
        <v>0</v>
      </c>
      <c r="AB93" s="6566">
        <v>0</v>
      </c>
      <c r="AC93" s="6566">
        <v>0</v>
      </c>
      <c r="AD93" s="6566">
        <v>0</v>
      </c>
      <c r="AE93" s="6571" t="s">
        <v>667</v>
      </c>
      <c r="AF93" s="6639"/>
      <c r="AG93" s="6698"/>
      <c r="AH93" s="6698"/>
      <c r="AI93" s="7158"/>
      <c r="AJ93" s="7158"/>
      <c r="AK93" s="7158"/>
      <c r="AL93" s="7158"/>
      <c r="AM93" s="6698"/>
      <c r="AN93" s="7158"/>
      <c r="AO93" s="7158"/>
      <c r="AP93" s="6676"/>
      <c r="AQ93" s="7158"/>
      <c r="AR93" s="7158"/>
      <c r="AS93" s="7158"/>
      <c r="AT93" s="7158"/>
      <c r="AU93" s="7158"/>
      <c r="AV93" s="7464"/>
      <c r="AW93" s="7464"/>
      <c r="AX93" s="7464"/>
      <c r="AY93" s="7464"/>
      <c r="AZ93" s="7464"/>
      <c r="BA93" s="7158">
        <v>0</v>
      </c>
    </row>
    <row s="7464" customFormat="1" customHeight="1" ht="22.5">
      <c r="A94" s="6675"/>
      <c r="B94" s="7158"/>
      <c r="C94" s="6698"/>
      <c r="D94" s="7121" t="s">
        <v>103</v>
      </c>
      <c r="E94" s="7577" t="str">
        <f>E81&amp;".12"</f>
        <v>2.13.12</v>
      </c>
      <c r="F94" s="5548" t="s">
        <v>706</v>
      </c>
      <c r="G94" s="7577" t="s">
        <v>664</v>
      </c>
      <c r="H94" s="6566"/>
      <c r="I94" s="6566">
        <v>1386.89</v>
      </c>
      <c r="J94" s="6566">
        <v>108.74</v>
      </c>
      <c r="K94" s="6566">
        <v>224.9</v>
      </c>
      <c r="L94" s="6566">
        <v>33.07</v>
      </c>
      <c r="M94" s="6566">
        <v>125.27</v>
      </c>
      <c r="N94" s="6566">
        <v>69.18</v>
      </c>
      <c r="O94" s="6566">
        <v>423.49</v>
      </c>
      <c r="P94" s="6566">
        <v>25.13</v>
      </c>
      <c r="Q94" s="6566">
        <v>21.75</v>
      </c>
      <c r="R94" s="6566">
        <v>70.6</v>
      </c>
      <c r="S94" s="6566">
        <v>37.79</v>
      </c>
      <c r="T94" s="6566">
        <v>797.34</v>
      </c>
      <c r="U94" s="6566">
        <v>20.43</v>
      </c>
      <c r="V94" s="6566">
        <v>11.03</v>
      </c>
      <c r="W94" s="6566">
        <v>50.45</v>
      </c>
      <c r="X94" s="6566">
        <v>376.32</v>
      </c>
      <c r="Y94" s="6566">
        <v>967.87</v>
      </c>
      <c r="Z94" s="6566">
        <v>0.64</v>
      </c>
      <c r="AA94" s="6566">
        <v>7.52</v>
      </c>
      <c r="AB94" s="6566">
        <v>73.02</v>
      </c>
      <c r="AC94" s="6566">
        <v>328.82</v>
      </c>
      <c r="AD94" s="6566">
        <v>81.6</v>
      </c>
      <c r="AE94" s="6571" t="s">
        <v>667</v>
      </c>
      <c r="AF94" s="6639"/>
      <c r="AG94" s="6698"/>
      <c r="AH94" s="6698"/>
      <c r="AI94" s="7158"/>
      <c r="AJ94" s="7158"/>
      <c r="AK94" s="7158"/>
      <c r="AL94" s="7158"/>
      <c r="AM94" s="6698"/>
      <c r="AN94" s="7158"/>
      <c r="AO94" s="7158"/>
      <c r="AP94" s="6676"/>
      <c r="AQ94" s="7158"/>
      <c r="AR94" s="7158"/>
      <c r="AS94" s="7158"/>
      <c r="AT94" s="7158"/>
      <c r="AU94" s="7158"/>
      <c r="AV94" s="7464"/>
      <c r="AW94" s="7464"/>
      <c r="AX94" s="7464"/>
      <c r="AY94" s="7464"/>
      <c r="AZ94" s="7464"/>
      <c r="BA94" s="7158">
        <v>0</v>
      </c>
    </row>
    <row s="7464" customFormat="1" customHeight="1" ht="22.5">
      <c r="A95" s="6675"/>
      <c r="B95" s="7158"/>
      <c r="C95" s="6698"/>
      <c r="D95" s="7121" t="s">
        <v>103</v>
      </c>
      <c r="E95" s="7577" t="str">
        <f>E81&amp;".13"</f>
        <v>2.13.13</v>
      </c>
      <c r="F95" s="5548" t="s">
        <v>707</v>
      </c>
      <c r="G95" s="7577" t="s">
        <v>664</v>
      </c>
      <c r="H95" s="6566"/>
      <c r="I95" s="6566">
        <v>8518.19</v>
      </c>
      <c r="J95" s="6566">
        <v>304.34</v>
      </c>
      <c r="K95" s="6566">
        <v>2247.61</v>
      </c>
      <c r="L95" s="6566">
        <v>125.95</v>
      </c>
      <c r="M95" s="6566">
        <v>1119.97</v>
      </c>
      <c r="N95" s="6566">
        <v>352.29</v>
      </c>
      <c r="O95" s="6566">
        <v>1607.33</v>
      </c>
      <c r="P95" s="6566">
        <v>705.13</v>
      </c>
      <c r="Q95" s="6566">
        <v>100.43</v>
      </c>
      <c r="R95" s="6566">
        <v>209.02</v>
      </c>
      <c r="S95" s="6566">
        <v>285.18</v>
      </c>
      <c r="T95" s="6566">
        <v>2556.1</v>
      </c>
      <c r="U95" s="6566">
        <v>529.96</v>
      </c>
      <c r="V95" s="6566">
        <v>285.77</v>
      </c>
      <c r="W95" s="6566">
        <v>126.3</v>
      </c>
      <c r="X95" s="6566">
        <v>2064.27</v>
      </c>
      <c r="Y95" s="6566">
        <v>3602.19</v>
      </c>
      <c r="Z95" s="6566">
        <v>1.84</v>
      </c>
      <c r="AA95" s="6566">
        <v>23.57</v>
      </c>
      <c r="AB95" s="6566">
        <v>1989.76</v>
      </c>
      <c r="AC95" s="6566">
        <v>502.53</v>
      </c>
      <c r="AD95" s="6566">
        <v>180.11</v>
      </c>
      <c r="AE95" s="6571" t="s">
        <v>667</v>
      </c>
      <c r="AF95" s="6639"/>
      <c r="AG95" s="6698"/>
      <c r="AH95" s="6698"/>
      <c r="AI95" s="7158"/>
      <c r="AJ95" s="7158"/>
      <c r="AK95" s="7158"/>
      <c r="AL95" s="7158"/>
      <c r="AM95" s="6698"/>
      <c r="AN95" s="7158"/>
      <c r="AO95" s="7158"/>
      <c r="AP95" s="6676"/>
      <c r="AQ95" s="7158"/>
      <c r="AR95" s="7158"/>
      <c r="AS95" s="7158"/>
      <c r="AT95" s="7158"/>
      <c r="AU95" s="7158"/>
      <c r="AV95" s="7464"/>
      <c r="AW95" s="7464"/>
      <c r="AX95" s="7464"/>
      <c r="AY95" s="7464"/>
      <c r="AZ95" s="7464"/>
      <c r="BA95" s="7158">
        <v>0</v>
      </c>
    </row>
    <row s="7464" customFormat="1" customHeight="1" ht="22.5">
      <c r="A96" s="6675"/>
      <c r="B96" s="7158"/>
      <c r="C96" s="6698"/>
      <c r="D96" s="7121" t="s">
        <v>103</v>
      </c>
      <c r="E96" s="7577" t="str">
        <f>E81&amp;".14"</f>
        <v>2.13.14</v>
      </c>
      <c r="F96" s="5548" t="s">
        <v>708</v>
      </c>
      <c r="G96" s="7577" t="s">
        <v>664</v>
      </c>
      <c r="H96" s="6566"/>
      <c r="I96" s="6566">
        <v>0</v>
      </c>
      <c r="J96" s="6566">
        <v>0</v>
      </c>
      <c r="K96" s="6566">
        <v>0</v>
      </c>
      <c r="L96" s="6566">
        <v>0</v>
      </c>
      <c r="M96" s="6566">
        <v>0</v>
      </c>
      <c r="N96" s="6566">
        <v>0</v>
      </c>
      <c r="O96" s="6566">
        <v>0</v>
      </c>
      <c r="P96" s="6566">
        <v>0</v>
      </c>
      <c r="Q96" s="6566">
        <v>0</v>
      </c>
      <c r="R96" s="6566">
        <v>0</v>
      </c>
      <c r="S96" s="6566">
        <v>0</v>
      </c>
      <c r="T96" s="6566">
        <v>0</v>
      </c>
      <c r="U96" s="6566">
        <v>0</v>
      </c>
      <c r="V96" s="6566">
        <v>0</v>
      </c>
      <c r="W96" s="6566">
        <v>0</v>
      </c>
      <c r="X96" s="6566">
        <v>1369.18</v>
      </c>
      <c r="Y96" s="6566">
        <v>0</v>
      </c>
      <c r="Z96" s="6566">
        <v>0</v>
      </c>
      <c r="AA96" s="6566">
        <v>0</v>
      </c>
      <c r="AB96" s="6566">
        <v>0</v>
      </c>
      <c r="AC96" s="6566">
        <v>0</v>
      </c>
      <c r="AD96" s="6566">
        <v>0</v>
      </c>
      <c r="AE96" s="6571" t="s">
        <v>667</v>
      </c>
      <c r="AF96" s="6639"/>
      <c r="AG96" s="6698"/>
      <c r="AH96" s="6698"/>
      <c r="AI96" s="7158"/>
      <c r="AJ96" s="7158"/>
      <c r="AK96" s="7158"/>
      <c r="AL96" s="7158"/>
      <c r="AM96" s="6698"/>
      <c r="AN96" s="7158"/>
      <c r="AO96" s="7158"/>
      <c r="AP96" s="6676"/>
      <c r="AQ96" s="7158"/>
      <c r="AR96" s="7158"/>
      <c r="AS96" s="7158"/>
      <c r="AT96" s="7158"/>
      <c r="AU96" s="7158"/>
      <c r="AV96" s="7464"/>
      <c r="AW96" s="7464"/>
      <c r="AX96" s="7464"/>
      <c r="AY96" s="7464"/>
      <c r="AZ96" s="7464"/>
      <c r="BA96" s="7158">
        <v>0</v>
      </c>
    </row>
    <row s="7464" customFormat="1" customHeight="1" ht="30.75">
      <c r="A97" s="6675"/>
      <c r="B97" s="7158"/>
      <c r="C97" s="6698"/>
      <c r="D97" s="7121" t="s">
        <v>103</v>
      </c>
      <c r="E97" s="7577" t="str">
        <f>E81&amp;".15"</f>
        <v>2.13.15</v>
      </c>
      <c r="F97" s="5548" t="s">
        <v>709</v>
      </c>
      <c r="G97" s="7577" t="s">
        <v>664</v>
      </c>
      <c r="H97" s="6566"/>
      <c r="I97" s="6566">
        <v>1430</v>
      </c>
      <c r="J97" s="6566">
        <v>196.68</v>
      </c>
      <c r="K97" s="6566">
        <v>139.06</v>
      </c>
      <c r="L97" s="6566">
        <v>16.6</v>
      </c>
      <c r="M97" s="6566">
        <v>62.86</v>
      </c>
      <c r="N97" s="6566">
        <v>33.46</v>
      </c>
      <c r="O97" s="6566">
        <v>465.97</v>
      </c>
      <c r="P97" s="6566">
        <v>101.5</v>
      </c>
      <c r="Q97" s="6566">
        <v>11.92</v>
      </c>
      <c r="R97" s="6566">
        <v>48.39</v>
      </c>
      <c r="S97" s="6566">
        <v>52.1</v>
      </c>
      <c r="T97" s="6566">
        <v>520.17</v>
      </c>
      <c r="U97" s="6566">
        <v>24.1</v>
      </c>
      <c r="V97" s="6566">
        <v>11.37</v>
      </c>
      <c r="W97" s="6566">
        <v>46.23</v>
      </c>
      <c r="X97" s="6566">
        <v>291.68</v>
      </c>
      <c r="Y97" s="6566">
        <v>857.93</v>
      </c>
      <c r="Z97" s="6566">
        <v>0.88</v>
      </c>
      <c r="AA97" s="6566">
        <v>10.37</v>
      </c>
      <c r="AB97" s="6566">
        <v>1053.79</v>
      </c>
      <c r="AC97" s="6566">
        <v>53.09</v>
      </c>
      <c r="AD97" s="6566">
        <v>10</v>
      </c>
      <c r="AE97" s="6571" t="s">
        <v>667</v>
      </c>
      <c r="AF97" s="6639"/>
      <c r="AG97" s="6698"/>
      <c r="AH97" s="6698"/>
      <c r="AI97" s="7158"/>
      <c r="AJ97" s="7158"/>
      <c r="AK97" s="7158"/>
      <c r="AL97" s="7158"/>
      <c r="AM97" s="6698"/>
      <c r="AN97" s="7158"/>
      <c r="AO97" s="7158"/>
      <c r="AP97" s="6676"/>
      <c r="AQ97" s="7158"/>
      <c r="AR97" s="7158"/>
      <c r="AS97" s="7158"/>
      <c r="AT97" s="7158"/>
      <c r="AU97" s="7158"/>
      <c r="AV97" s="7464"/>
      <c r="AW97" s="7464"/>
      <c r="AX97" s="7464"/>
      <c r="AY97" s="7464"/>
      <c r="AZ97" s="7464"/>
      <c r="BA97" s="7158">
        <v>0</v>
      </c>
    </row>
    <row s="7464" customFormat="1" customHeight="1" ht="22.5">
      <c r="A98" s="6675"/>
      <c r="B98" s="7158"/>
      <c r="C98" s="6698"/>
      <c r="D98" s="7121" t="s">
        <v>103</v>
      </c>
      <c r="E98" s="7577" t="str">
        <f>E81&amp;".16"</f>
        <v>2.13.16</v>
      </c>
      <c r="F98" s="5548" t="s">
        <v>710</v>
      </c>
      <c r="G98" s="7577" t="s">
        <v>664</v>
      </c>
      <c r="H98" s="6566"/>
      <c r="I98" s="6566">
        <v>14777.62</v>
      </c>
      <c r="J98" s="6566">
        <v>877.48</v>
      </c>
      <c r="K98" s="6566">
        <v>1719.32</v>
      </c>
      <c r="L98" s="6566">
        <v>1419.41</v>
      </c>
      <c r="M98" s="6566">
        <v>1116.8</v>
      </c>
      <c r="N98" s="6566">
        <v>639.21</v>
      </c>
      <c r="O98" s="6566">
        <v>7742.98</v>
      </c>
      <c r="P98" s="6566">
        <v>596.01</v>
      </c>
      <c r="Q98" s="6566">
        <v>147.52</v>
      </c>
      <c r="R98" s="6566">
        <v>537.58</v>
      </c>
      <c r="S98" s="6566">
        <v>909.63</v>
      </c>
      <c r="T98" s="6566">
        <v>5521.59</v>
      </c>
      <c r="U98" s="6566">
        <v>703.73</v>
      </c>
      <c r="V98" s="6566">
        <v>126.69</v>
      </c>
      <c r="W98" s="6566">
        <v>120.34</v>
      </c>
      <c r="X98" s="6566">
        <v>1052.24</v>
      </c>
      <c r="Y98" s="6566">
        <v>4852.48</v>
      </c>
      <c r="Z98" s="6566">
        <v>23.12</v>
      </c>
      <c r="AA98" s="6566">
        <v>216.07</v>
      </c>
      <c r="AB98" s="6566">
        <v>2325.86</v>
      </c>
      <c r="AC98" s="6566">
        <v>957.4</v>
      </c>
      <c r="AD98" s="6566">
        <v>122.79</v>
      </c>
      <c r="AE98" s="6571" t="s">
        <v>667</v>
      </c>
      <c r="AF98" s="6639"/>
      <c r="AG98" s="6698"/>
      <c r="AH98" s="6698"/>
      <c r="AI98" s="7158"/>
      <c r="AJ98" s="7158"/>
      <c r="AK98" s="7158"/>
      <c r="AL98" s="7158"/>
      <c r="AM98" s="6698"/>
      <c r="AN98" s="7158"/>
      <c r="AO98" s="7158"/>
      <c r="AP98" s="6676"/>
      <c r="AQ98" s="7158"/>
      <c r="AR98" s="7158"/>
      <c r="AS98" s="7158"/>
      <c r="AT98" s="7158"/>
      <c r="AU98" s="7158"/>
      <c r="AV98" s="7464"/>
      <c r="AW98" s="7464"/>
      <c r="AX98" s="7464"/>
      <c r="AY98" s="7464"/>
      <c r="AZ98" s="7464"/>
      <c r="BA98" s="7158">
        <v>0</v>
      </c>
    </row>
    <row s="7464" customFormat="1" customHeight="1" ht="22.5">
      <c r="A99" s="6675"/>
      <c r="B99" s="7158"/>
      <c r="C99" s="6698"/>
      <c r="D99" s="7121" t="s">
        <v>103</v>
      </c>
      <c r="E99" s="7577" t="str">
        <f>E81&amp;".17"</f>
        <v>2.13.17</v>
      </c>
      <c r="F99" s="5548" t="s">
        <v>711</v>
      </c>
      <c r="G99" s="7577" t="s">
        <v>664</v>
      </c>
      <c r="H99" s="6566"/>
      <c r="I99" s="6566">
        <v>4464.39</v>
      </c>
      <c r="J99" s="6566">
        <v>265.09</v>
      </c>
      <c r="K99" s="6566">
        <v>519.41</v>
      </c>
      <c r="L99" s="6566">
        <v>428.81</v>
      </c>
      <c r="M99" s="6566">
        <v>337.39</v>
      </c>
      <c r="N99" s="6566">
        <v>193.11</v>
      </c>
      <c r="O99" s="6566">
        <v>2339.19</v>
      </c>
      <c r="P99" s="6566">
        <v>180.06</v>
      </c>
      <c r="Q99" s="6566">
        <v>44.57</v>
      </c>
      <c r="R99" s="6566">
        <v>162.41</v>
      </c>
      <c r="S99" s="6566">
        <v>274.8</v>
      </c>
      <c r="T99" s="6566">
        <v>1668.1</v>
      </c>
      <c r="U99" s="6566">
        <v>212.6</v>
      </c>
      <c r="V99" s="6566">
        <v>38.27</v>
      </c>
      <c r="W99" s="6566">
        <v>36.36</v>
      </c>
      <c r="X99" s="6566">
        <v>317.89</v>
      </c>
      <c r="Y99" s="6566">
        <v>1465.96</v>
      </c>
      <c r="Z99" s="6566">
        <v>6.98</v>
      </c>
      <c r="AA99" s="6566">
        <v>65.28</v>
      </c>
      <c r="AB99" s="6566">
        <v>702.65</v>
      </c>
      <c r="AC99" s="6566">
        <v>289.23</v>
      </c>
      <c r="AD99" s="6566">
        <v>37.1</v>
      </c>
      <c r="AE99" s="6571" t="s">
        <v>667</v>
      </c>
      <c r="AF99" s="6639"/>
      <c r="AG99" s="6698"/>
      <c r="AH99" s="6698"/>
      <c r="AI99" s="7158"/>
      <c r="AJ99" s="7158"/>
      <c r="AK99" s="7158"/>
      <c r="AL99" s="7158"/>
      <c r="AM99" s="6698"/>
      <c r="AN99" s="7158"/>
      <c r="AO99" s="7158"/>
      <c r="AP99" s="6676"/>
      <c r="AQ99" s="7158"/>
      <c r="AR99" s="7158"/>
      <c r="AS99" s="7158"/>
      <c r="AT99" s="7158"/>
      <c r="AU99" s="7158"/>
      <c r="AV99" s="7464"/>
      <c r="AW99" s="7464"/>
      <c r="AX99" s="7464"/>
      <c r="AY99" s="7464"/>
      <c r="AZ99" s="7464"/>
      <c r="BA99" s="7158">
        <v>0</v>
      </c>
    </row>
    <row s="7158" customFormat="1" customHeight="1" ht="14.699999999999998">
      <c r="A100" s="1111"/>
      <c r="C100" s="1760"/>
      <c r="D100" s="1757"/>
      <c r="E100" s="694"/>
      <c r="F100" s="695" t="s">
        <v>712</v>
      </c>
      <c r="G100" s="696"/>
      <c r="H100" s="697"/>
      <c r="I100" s="697"/>
      <c r="J100" s="7983"/>
      <c r="K100" s="7984"/>
      <c r="L100" s="7985"/>
      <c r="M100" s="7986"/>
      <c r="N100" s="7987"/>
      <c r="O100" s="7988"/>
      <c r="P100" s="7989"/>
      <c r="Q100" s="7990"/>
      <c r="R100" s="7991"/>
      <c r="S100" s="7992"/>
      <c r="T100" s="7993"/>
      <c r="U100" s="7994"/>
      <c r="V100" s="7995"/>
      <c r="W100" s="7996"/>
      <c r="X100" s="7997"/>
      <c r="Y100" s="7998"/>
      <c r="Z100" s="7999"/>
      <c r="AA100" s="8000"/>
      <c r="AB100" s="8001"/>
      <c r="AC100" s="8002"/>
      <c r="AD100" s="8003"/>
      <c r="AE100" s="425"/>
      <c r="AF100" s="1760"/>
      <c r="AG100" s="1760"/>
      <c r="AH100" s="1760"/>
      <c r="AM100" s="1760"/>
      <c r="AP100" s="668"/>
      <c r="AV100" s="1756"/>
      <c r="AW100" s="1756"/>
      <c r="AX100" s="1756"/>
      <c r="AY100" s="1756"/>
      <c r="AZ100" s="1756"/>
      <c r="BA100" s="1284">
        <v>14</v>
      </c>
    </row>
    <row s="7158" customFormat="1" customHeight="1" ht="27.75">
      <c r="A101" s="1113" t="s">
        <v>713</v>
      </c>
      <c r="C101" s="1760"/>
      <c r="D101" s="1762"/>
      <c r="E101" s="670" t="str">
        <f>FHD_NUM_P_34</f>
        <v>3</v>
      </c>
      <c r="F101" s="2001" t="str">
        <f>FHD_P_34</f>
        <v>Валовая прибыль (убытки) от реализации товаров и оказания услуг по регулируемому виду деятельности</v>
      </c>
      <c r="G101" s="1999" t="s">
        <v>664</v>
      </c>
      <c r="H101" s="681"/>
      <c r="I101" s="681">
        <f>I30-I31</f>
        <v>-21175.15</v>
      </c>
      <c r="J101" s="6590">
        <f>J30-J31</f>
        <v>-6433.84</v>
      </c>
      <c r="K101" s="6590">
        <f>K30-K31</f>
        <v>-19159.46</v>
      </c>
      <c r="L101" s="6590">
        <f>L30-L31</f>
        <v>-10441.27</v>
      </c>
      <c r="M101" s="6590">
        <f>M30-M31</f>
        <v>-9471.69</v>
      </c>
      <c r="N101" s="6590">
        <f>N30-N31</f>
        <v>-9877.32</v>
      </c>
      <c r="O101" s="6590">
        <f>O30-O31</f>
        <v>-38153.94</v>
      </c>
      <c r="P101" s="6590">
        <f>P30-P31</f>
        <v>-7324.15</v>
      </c>
      <c r="Q101" s="6590">
        <f>Q30-Q31</f>
        <v>-2742.46</v>
      </c>
      <c r="R101" s="6590">
        <f>R30-R31</f>
        <v>-5558.33</v>
      </c>
      <c r="S101" s="6590">
        <f>S30-S31</f>
        <v>-7717.57</v>
      </c>
      <c r="T101" s="6590">
        <f>T30-T31</f>
        <v>-51250.5</v>
      </c>
      <c r="U101" s="6590">
        <f>U30-U31</f>
        <v>-2232.78</v>
      </c>
      <c r="V101" s="6590">
        <f>V30-V31</f>
        <v>-3341.86</v>
      </c>
      <c r="W101" s="6590">
        <f>W30-W31</f>
        <v>-3728.74</v>
      </c>
      <c r="X101" s="6590">
        <f>X30-X31</f>
        <v>-9757.1534330294</v>
      </c>
      <c r="Y101" s="6590">
        <f>Y30-Y31</f>
        <v>-46146.54</v>
      </c>
      <c r="Z101" s="6590">
        <f>Z30-Z31</f>
        <v>-620.91</v>
      </c>
      <c r="AA101" s="6590">
        <f>AA30-AA31</f>
        <v>-1518.21</v>
      </c>
      <c r="AB101" s="6590">
        <f>AB30-AB31</f>
        <v>-53252.18</v>
      </c>
      <c r="AC101" s="6590">
        <f>AC30-AC31</f>
        <v>-3627.18</v>
      </c>
      <c r="AD101" s="6590">
        <f>AD30-AD31</f>
        <v>-2135.17</v>
      </c>
      <c r="AE101" s="413" t="str">
        <f>FHD_NOTE_P_34</f>
        <v/>
      </c>
      <c r="AF101" s="667"/>
      <c r="AG101" s="1760"/>
      <c r="AH101" s="1760"/>
      <c r="AM101" s="1760"/>
      <c r="AP101" s="668"/>
      <c r="AV101" s="1756"/>
      <c r="AW101" s="1756"/>
      <c r="AX101" s="1756"/>
      <c r="AY101" s="1756"/>
      <c r="AZ101" s="1756"/>
      <c r="BA101" s="1284">
        <v>0</v>
      </c>
    </row>
    <row s="7158" customFormat="1" customHeight="1" ht="19.95">
      <c r="A102" s="1111"/>
      <c r="C102" s="1760"/>
      <c r="D102" s="699"/>
      <c r="E102" s="670" t="str">
        <f>FHD_NUM_P_35</f>
        <v>4</v>
      </c>
      <c r="F102" s="2001" t="str">
        <f>FHD_P_35</f>
        <v>Чистая прибыль, полученная от регулируемого вида деятельности, в том числе:</v>
      </c>
      <c r="G102" s="1999" t="s">
        <v>664</v>
      </c>
      <c r="H102" s="681"/>
      <c r="I102" s="681">
        <v>0</v>
      </c>
      <c r="J102" s="6590">
        <v>0</v>
      </c>
      <c r="K102" s="6590">
        <v>0</v>
      </c>
      <c r="L102" s="6590">
        <v>0</v>
      </c>
      <c r="M102" s="6590">
        <v>0</v>
      </c>
      <c r="N102" s="6590">
        <v>0</v>
      </c>
      <c r="O102" s="6590">
        <v>0</v>
      </c>
      <c r="P102" s="6590">
        <v>0</v>
      </c>
      <c r="Q102" s="6590">
        <v>0</v>
      </c>
      <c r="R102" s="6590">
        <v>0</v>
      </c>
      <c r="S102" s="6590">
        <v>0</v>
      </c>
      <c r="T102" s="6590">
        <v>0</v>
      </c>
      <c r="U102" s="6590">
        <v>0</v>
      </c>
      <c r="V102" s="6590">
        <v>0</v>
      </c>
      <c r="W102" s="6590">
        <v>0</v>
      </c>
      <c r="X102" s="6590">
        <v>0</v>
      </c>
      <c r="Y102" s="6590">
        <v>0</v>
      </c>
      <c r="Z102" s="6590">
        <v>0</v>
      </c>
      <c r="AA102" s="6590">
        <v>0</v>
      </c>
      <c r="AB102" s="6590">
        <v>0</v>
      </c>
      <c r="AC102" s="6590">
        <v>0</v>
      </c>
      <c r="AD102" s="6590">
        <v>0</v>
      </c>
      <c r="AE102" s="413" t="str">
        <f>FHD_NOTE_P_35</f>
        <v>Указывается общая сумма чистой прибыли, полученной от регулируемого вида деятельности.</v>
      </c>
      <c r="AF102" s="667"/>
      <c r="AG102" s="1760"/>
      <c r="AH102" s="1760"/>
      <c r="AM102" s="1760"/>
      <c r="AP102" s="668"/>
      <c r="AV102" s="1756"/>
      <c r="AW102" s="1756"/>
      <c r="AX102" s="1756"/>
      <c r="AY102" s="1756"/>
      <c r="AZ102" s="1756"/>
      <c r="BA102" s="1284">
        <v>19</v>
      </c>
    </row>
    <row s="7158" customFormat="1" customHeight="1" ht="19.95">
      <c r="A103" s="1111"/>
      <c r="C103" s="1760"/>
      <c r="D103" s="1762"/>
      <c r="E103" s="670" t="str">
        <f>FHD_NUM_P_36</f>
        <v>4.1</v>
      </c>
      <c r="F103" s="1648" t="str">
        <f>FHD_P_36</f>
        <v>Размер расходования чистой прибыли на финансирование мероприятий, предусмотренных инвестиционной программой регулируемой организации</v>
      </c>
      <c r="G103" s="1999" t="s">
        <v>664</v>
      </c>
      <c r="H103" s="681"/>
      <c r="I103" s="681">
        <v>0</v>
      </c>
      <c r="J103" s="6590">
        <v>0</v>
      </c>
      <c r="K103" s="6590">
        <v>0</v>
      </c>
      <c r="L103" s="6590">
        <v>0</v>
      </c>
      <c r="M103" s="6590">
        <v>0</v>
      </c>
      <c r="N103" s="6590">
        <v>0</v>
      </c>
      <c r="O103" s="6590">
        <v>0</v>
      </c>
      <c r="P103" s="6590">
        <v>0</v>
      </c>
      <c r="Q103" s="6590">
        <v>0</v>
      </c>
      <c r="R103" s="6590">
        <v>0</v>
      </c>
      <c r="S103" s="6590">
        <v>0</v>
      </c>
      <c r="T103" s="6590">
        <v>0</v>
      </c>
      <c r="U103" s="6590">
        <v>0</v>
      </c>
      <c r="V103" s="6590">
        <v>0</v>
      </c>
      <c r="W103" s="6590">
        <v>0</v>
      </c>
      <c r="X103" s="6590">
        <v>0</v>
      </c>
      <c r="Y103" s="6590">
        <v>0</v>
      </c>
      <c r="Z103" s="6590">
        <v>0</v>
      </c>
      <c r="AA103" s="6590">
        <v>0</v>
      </c>
      <c r="AB103" s="6590">
        <v>0</v>
      </c>
      <c r="AC103" s="6590">
        <v>0</v>
      </c>
      <c r="AD103" s="6590">
        <v>0</v>
      </c>
      <c r="AE103" s="413" t="str">
        <f>FHD_NOTE_P_36</f>
        <v/>
      </c>
      <c r="AF103" s="667"/>
      <c r="AG103" s="1760"/>
      <c r="AH103" s="1760"/>
      <c r="AM103" s="1760"/>
      <c r="AP103" s="668"/>
      <c r="AV103" s="1756"/>
      <c r="AW103" s="1756"/>
      <c r="AX103" s="1756"/>
      <c r="AY103" s="1756"/>
      <c r="AZ103" s="1756"/>
      <c r="BA103" s="1284">
        <v>19</v>
      </c>
    </row>
    <row s="7158" customFormat="1" customHeight="1" ht="19.95">
      <c r="A104" s="1111"/>
      <c r="C104" s="1760"/>
      <c r="D104" s="1762"/>
      <c r="E104" s="670" t="str">
        <f>FHD_NUM_P_37</f>
        <v>5</v>
      </c>
      <c r="F104" s="2001" t="str">
        <f>FHD_P_37</f>
        <v>Изменение стоимости основных фондов, в том числе:</v>
      </c>
      <c r="G104" s="1999" t="s">
        <v>664</v>
      </c>
      <c r="H104" s="681"/>
      <c r="I104" s="681">
        <v>0</v>
      </c>
      <c r="J104" s="6590">
        <v>0</v>
      </c>
      <c r="K104" s="6590">
        <v>0</v>
      </c>
      <c r="L104" s="6590">
        <v>0</v>
      </c>
      <c r="M104" s="6590">
        <v>0</v>
      </c>
      <c r="N104" s="6590">
        <v>0</v>
      </c>
      <c r="O104" s="6590">
        <v>0</v>
      </c>
      <c r="P104" s="6590">
        <v>0</v>
      </c>
      <c r="Q104" s="6590">
        <v>0</v>
      </c>
      <c r="R104" s="6590">
        <v>0</v>
      </c>
      <c r="S104" s="6590">
        <v>0</v>
      </c>
      <c r="T104" s="6590">
        <v>0</v>
      </c>
      <c r="U104" s="6590">
        <v>0</v>
      </c>
      <c r="V104" s="6590">
        <v>0</v>
      </c>
      <c r="W104" s="6590">
        <v>0</v>
      </c>
      <c r="X104" s="6590">
        <v>0</v>
      </c>
      <c r="Y104" s="6590">
        <v>0</v>
      </c>
      <c r="Z104" s="6590">
        <v>0</v>
      </c>
      <c r="AA104" s="6590">
        <v>0</v>
      </c>
      <c r="AB104" s="6590">
        <v>0</v>
      </c>
      <c r="AC104" s="6590">
        <v>0</v>
      </c>
      <c r="AD104" s="6590">
        <v>0</v>
      </c>
      <c r="AE104" s="413" t="str">
        <f>FHD_NOTE_P_37</f>
        <v>Указывается общее изменение стоимости основных фондов.</v>
      </c>
      <c r="AF104" s="667"/>
      <c r="AG104" s="1760"/>
      <c r="AH104" s="1760"/>
      <c r="AM104" s="1760"/>
      <c r="AP104" s="668"/>
      <c r="AV104" s="1756"/>
      <c r="AW104" s="1756"/>
      <c r="AX104" s="1756"/>
      <c r="AY104" s="1756"/>
      <c r="AZ104" s="1756"/>
      <c r="BA104" s="1284">
        <v>19</v>
      </c>
    </row>
    <row s="7158" customFormat="1" customHeight="1" ht="19.95">
      <c r="A105" s="1111"/>
      <c r="C105" s="1760"/>
      <c r="D105" s="1762"/>
      <c r="E105" s="670" t="str">
        <f>FHD_NUM_P_38</f>
        <v>5.1</v>
      </c>
      <c r="F105" s="1648" t="str">
        <f>FHD_P_38</f>
        <v>Изменение стоимости основных фондов за счет:</v>
      </c>
      <c r="G105" s="1999" t="s">
        <v>664</v>
      </c>
      <c r="H105" s="681"/>
      <c r="I105" s="681">
        <v>0</v>
      </c>
      <c r="J105" s="6590">
        <v>0</v>
      </c>
      <c r="K105" s="6590">
        <v>0</v>
      </c>
      <c r="L105" s="6590">
        <v>0</v>
      </c>
      <c r="M105" s="6590">
        <v>0</v>
      </c>
      <c r="N105" s="6590">
        <v>0</v>
      </c>
      <c r="O105" s="6590">
        <v>0</v>
      </c>
      <c r="P105" s="6590">
        <v>0</v>
      </c>
      <c r="Q105" s="6590">
        <v>0</v>
      </c>
      <c r="R105" s="6590">
        <v>0</v>
      </c>
      <c r="S105" s="6590">
        <v>0</v>
      </c>
      <c r="T105" s="6590">
        <v>0</v>
      </c>
      <c r="U105" s="6590">
        <v>0</v>
      </c>
      <c r="V105" s="6590">
        <v>0</v>
      </c>
      <c r="W105" s="6590">
        <v>0</v>
      </c>
      <c r="X105" s="6590">
        <v>0</v>
      </c>
      <c r="Y105" s="6590">
        <v>0</v>
      </c>
      <c r="Z105" s="6590">
        <v>0</v>
      </c>
      <c r="AA105" s="6590">
        <v>0</v>
      </c>
      <c r="AB105" s="6590">
        <v>0</v>
      </c>
      <c r="AC105" s="6590">
        <v>0</v>
      </c>
      <c r="AD105" s="6590">
        <v>0</v>
      </c>
      <c r="AE105" s="413" t="str">
        <f>FHD_NOTE_P_38</f>
        <v>Указываются общее изменение стоимости основных фондов за счет их ввода в эксплуатацию и вывода из эксплуатации.</v>
      </c>
      <c r="AF105" s="667"/>
      <c r="AG105" s="1760"/>
      <c r="AH105" s="1760"/>
      <c r="AM105" s="1760"/>
      <c r="AP105" s="668"/>
      <c r="AV105" s="1756"/>
      <c r="AW105" s="1756"/>
      <c r="AX105" s="1756"/>
      <c r="AY105" s="1756"/>
      <c r="AZ105" s="1756"/>
      <c r="BA105" s="1284">
        <v>19</v>
      </c>
    </row>
    <row s="7158" customFormat="1" customHeight="1" ht="19.95">
      <c r="A106" s="1111"/>
      <c r="C106" s="1760"/>
      <c r="D106" s="1762"/>
      <c r="E106" s="670" t="str">
        <f>FHD_NUM_P_39</f>
        <v>5.1.1</v>
      </c>
      <c r="F106" s="1774" t="str">
        <f>FHD_P_39</f>
        <v>Изменения стоимости основных фондов за счет их ввода в эксплуатацию</v>
      </c>
      <c r="G106" s="2193" t="s">
        <v>664</v>
      </c>
      <c r="H106" s="681"/>
      <c r="I106" s="681">
        <v>0</v>
      </c>
      <c r="J106" s="6590">
        <v>0</v>
      </c>
      <c r="K106" s="6590">
        <v>0</v>
      </c>
      <c r="L106" s="6590">
        <v>0</v>
      </c>
      <c r="M106" s="6590">
        <v>0</v>
      </c>
      <c r="N106" s="6590">
        <v>0</v>
      </c>
      <c r="O106" s="6590">
        <v>0</v>
      </c>
      <c r="P106" s="6590">
        <v>0</v>
      </c>
      <c r="Q106" s="6590">
        <v>0</v>
      </c>
      <c r="R106" s="6590">
        <v>0</v>
      </c>
      <c r="S106" s="6590">
        <v>0</v>
      </c>
      <c r="T106" s="6590">
        <v>0</v>
      </c>
      <c r="U106" s="6590">
        <v>0</v>
      </c>
      <c r="V106" s="6590">
        <v>0</v>
      </c>
      <c r="W106" s="6590">
        <v>0</v>
      </c>
      <c r="X106" s="6590">
        <v>0</v>
      </c>
      <c r="Y106" s="6590">
        <v>0</v>
      </c>
      <c r="Z106" s="6590">
        <v>0</v>
      </c>
      <c r="AA106" s="6590">
        <v>0</v>
      </c>
      <c r="AB106" s="6590">
        <v>0</v>
      </c>
      <c r="AC106" s="6590">
        <v>0</v>
      </c>
      <c r="AD106" s="6590">
        <v>0</v>
      </c>
      <c r="AE106" s="413" t="str">
        <f>FHD_NOTE_P_39</f>
        <v>Указываются изменение стоимости основных фондов за счет их ввода в эксплуатацию.</v>
      </c>
      <c r="AF106" s="667"/>
      <c r="AG106" s="1760"/>
      <c r="AH106" s="1760"/>
      <c r="AM106" s="1760"/>
      <c r="AP106" s="668"/>
      <c r="AV106" s="1756"/>
      <c r="AW106" s="1756"/>
      <c r="AX106" s="1756"/>
      <c r="AY106" s="1756"/>
      <c r="AZ106" s="1756"/>
      <c r="BA106" s="1284">
        <v>19</v>
      </c>
    </row>
    <row s="7158" customFormat="1" customHeight="1" ht="19.95">
      <c r="A107" s="1111"/>
      <c r="C107" s="1760"/>
      <c r="D107" s="1762"/>
      <c r="E107" s="670" t="str">
        <f>FHD_NUM_P_40</f>
        <v>5.1.2</v>
      </c>
      <c r="F107" s="2197" t="str">
        <f>FHD_P_40</f>
        <v>Изменения стоимости основных фондов за счет их вывода в эксплуатацию</v>
      </c>
      <c r="G107" s="2192" t="s">
        <v>664</v>
      </c>
      <c r="H107" s="1100"/>
      <c r="I107" s="681">
        <v>0</v>
      </c>
      <c r="J107" s="6629">
        <v>0</v>
      </c>
      <c r="K107" s="6629">
        <v>0</v>
      </c>
      <c r="L107" s="6629">
        <v>0</v>
      </c>
      <c r="M107" s="6629">
        <v>0</v>
      </c>
      <c r="N107" s="6629">
        <v>0</v>
      </c>
      <c r="O107" s="6629">
        <v>0</v>
      </c>
      <c r="P107" s="6629">
        <v>0</v>
      </c>
      <c r="Q107" s="6629">
        <v>0</v>
      </c>
      <c r="R107" s="6629">
        <v>0</v>
      </c>
      <c r="S107" s="6629">
        <v>0</v>
      </c>
      <c r="T107" s="6629">
        <v>0</v>
      </c>
      <c r="U107" s="6629">
        <v>0</v>
      </c>
      <c r="V107" s="6629">
        <v>0</v>
      </c>
      <c r="W107" s="6629">
        <v>0</v>
      </c>
      <c r="X107" s="6629">
        <v>0</v>
      </c>
      <c r="Y107" s="6629">
        <v>0</v>
      </c>
      <c r="Z107" s="6629">
        <v>0</v>
      </c>
      <c r="AA107" s="6629">
        <v>0</v>
      </c>
      <c r="AB107" s="6629">
        <v>0</v>
      </c>
      <c r="AC107" s="6629">
        <v>0</v>
      </c>
      <c r="AD107" s="6629">
        <v>0</v>
      </c>
      <c r="AE107" s="413" t="str">
        <f>FHD_NOTE_P_40</f>
        <v>Указываются изменение стоимости основных фондов за счет их вывода из эксплуатации.</v>
      </c>
      <c r="AF107" s="667"/>
      <c r="AG107" s="1760"/>
      <c r="AH107" s="1760"/>
      <c r="AM107" s="1760"/>
      <c r="AP107" s="668"/>
      <c r="AV107" s="1756"/>
      <c r="AW107" s="1756"/>
      <c r="AX107" s="1756"/>
      <c r="AY107" s="1756"/>
      <c r="AZ107" s="1756"/>
      <c r="BA107" s="1284">
        <v>19</v>
      </c>
    </row>
    <row s="7158" customFormat="1" customHeight="1" ht="19.95">
      <c r="A108" s="1111"/>
      <c r="C108" s="1760"/>
      <c r="D108" s="1762"/>
      <c r="E108" s="670" t="str">
        <f>FHD_NUM_P_41</f>
        <v>5.2</v>
      </c>
      <c r="F108" s="2196" t="str">
        <f>FHD_P_41</f>
        <v>Изменение стоимости основных фондов за счет их переоценки</v>
      </c>
      <c r="G108" s="2192" t="s">
        <v>664</v>
      </c>
      <c r="H108" s="1100"/>
      <c r="I108" s="681">
        <v>0</v>
      </c>
      <c r="J108" s="6629">
        <v>0</v>
      </c>
      <c r="K108" s="6629">
        <v>0</v>
      </c>
      <c r="L108" s="6629">
        <v>0</v>
      </c>
      <c r="M108" s="6629">
        <v>0</v>
      </c>
      <c r="N108" s="6629">
        <v>0</v>
      </c>
      <c r="O108" s="6629">
        <v>0</v>
      </c>
      <c r="P108" s="6629">
        <v>0</v>
      </c>
      <c r="Q108" s="6629">
        <v>0</v>
      </c>
      <c r="R108" s="6629">
        <v>0</v>
      </c>
      <c r="S108" s="6629">
        <v>0</v>
      </c>
      <c r="T108" s="6629">
        <v>0</v>
      </c>
      <c r="U108" s="6629">
        <v>0</v>
      </c>
      <c r="V108" s="6629">
        <v>0</v>
      </c>
      <c r="W108" s="6629">
        <v>0</v>
      </c>
      <c r="X108" s="6629">
        <v>0</v>
      </c>
      <c r="Y108" s="6629">
        <v>0</v>
      </c>
      <c r="Z108" s="6629">
        <v>0</v>
      </c>
      <c r="AA108" s="6629">
        <v>0</v>
      </c>
      <c r="AB108" s="6629">
        <v>0</v>
      </c>
      <c r="AC108" s="6629">
        <v>0</v>
      </c>
      <c r="AD108" s="6629">
        <v>0</v>
      </c>
      <c r="AE108" s="413" t="str">
        <f>FHD_NOTE_P_41</f>
        <v/>
      </c>
      <c r="AF108" s="667"/>
      <c r="AG108" s="1760"/>
      <c r="AH108" s="1760"/>
      <c r="AM108" s="1760"/>
      <c r="AP108" s="668"/>
      <c r="AV108" s="1756"/>
      <c r="AW108" s="1756"/>
      <c r="AX108" s="1756"/>
      <c r="AY108" s="1756"/>
      <c r="AZ108" s="1756"/>
      <c r="BA108" s="1284">
        <v>19</v>
      </c>
    </row>
    <row s="7158" customFormat="1" customHeight="1" ht="20.25" hidden="1">
      <c r="A109" s="1113" t="s">
        <v>714</v>
      </c>
      <c r="C109" s="1760" t="s">
        <v>22</v>
      </c>
      <c r="D109" s="1762"/>
      <c r="E109" s="670" t="str">
        <f>FHD_NUM_P_42</f>
        <v/>
      </c>
      <c r="F109" s="2194" t="str">
        <f>FHD_P_42</f>
        <v/>
      </c>
      <c r="G109" s="2192" t="s">
        <v>664</v>
      </c>
      <c r="H109" s="1100"/>
      <c r="I109" s="681"/>
      <c r="J109" s="6629"/>
      <c r="K109" s="6629"/>
      <c r="L109" s="6629"/>
      <c r="M109" s="6629"/>
      <c r="N109" s="6629"/>
      <c r="O109" s="6629"/>
      <c r="P109" s="6629"/>
      <c r="Q109" s="6629"/>
      <c r="R109" s="6629"/>
      <c r="S109" s="6629"/>
      <c r="T109" s="6629"/>
      <c r="U109" s="6629"/>
      <c r="V109" s="6629"/>
      <c r="W109" s="6629"/>
      <c r="X109" s="6629"/>
      <c r="Y109" s="6629"/>
      <c r="Z109" s="6629"/>
      <c r="AA109" s="6629"/>
      <c r="AB109" s="6629"/>
      <c r="AC109" s="6629"/>
      <c r="AD109" s="6629"/>
      <c r="AE109" s="413" t="str">
        <f>FHD_NOTE_P_42</f>
        <v/>
      </c>
      <c r="AF109" s="667"/>
      <c r="AG109" s="1760"/>
      <c r="AH109" s="1760"/>
      <c r="AM109" s="1760"/>
      <c r="AP109" s="668"/>
      <c r="AV109" s="1756"/>
      <c r="AW109" s="1756"/>
      <c r="AX109" s="1756"/>
      <c r="AY109" s="1756"/>
      <c r="AZ109" s="1756"/>
      <c r="BA109" s="1284">
        <v>19</v>
      </c>
    </row>
    <row s="7158" customFormat="1" customHeight="1" ht="20.25">
      <c r="A110" s="1111"/>
      <c r="C110" s="1760" t="s">
        <v>715</v>
      </c>
      <c r="D110" s="1762"/>
      <c r="E110" s="670" t="str">
        <f>FHD_NUM_P_43</f>
        <v>6</v>
      </c>
      <c r="F110" s="2001" t="str">
        <f>FHD_P_43</f>
        <v>Годовая бухгалтерская (финансовая) отчетность, включая бухгалтерский баланс и приложения к нему</v>
      </c>
      <c r="G110" s="2195" t="s">
        <v>418</v>
      </c>
      <c r="H110" s="8004"/>
      <c r="I110" s="8005" t="s">
        <v>716</v>
      </c>
      <c r="J110" s="8004" t="s">
        <v>716</v>
      </c>
      <c r="K110" s="8004" t="s">
        <v>716</v>
      </c>
      <c r="L110" s="8004" t="s">
        <v>716</v>
      </c>
      <c r="M110" s="8004" t="s">
        <v>716</v>
      </c>
      <c r="N110" s="8004" t="s">
        <v>716</v>
      </c>
      <c r="O110" s="8004" t="s">
        <v>716</v>
      </c>
      <c r="P110" s="8004" t="s">
        <v>716</v>
      </c>
      <c r="Q110" s="8004" t="s">
        <v>716</v>
      </c>
      <c r="R110" s="8004" t="s">
        <v>716</v>
      </c>
      <c r="S110" s="8004" t="s">
        <v>716</v>
      </c>
      <c r="T110" s="8004" t="s">
        <v>716</v>
      </c>
      <c r="U110" s="8004" t="s">
        <v>716</v>
      </c>
      <c r="V110" s="8004" t="s">
        <v>716</v>
      </c>
      <c r="W110" s="8004" t="s">
        <v>716</v>
      </c>
      <c r="X110" s="8004" t="s">
        <v>716</v>
      </c>
      <c r="Y110" s="8004" t="s">
        <v>716</v>
      </c>
      <c r="Z110" s="8004" t="s">
        <v>716</v>
      </c>
      <c r="AA110" s="8004" t="s">
        <v>716</v>
      </c>
      <c r="AB110" s="8004" t="s">
        <v>716</v>
      </c>
      <c r="AC110" s="8004" t="s">
        <v>716</v>
      </c>
      <c r="AD110" s="8004" t="s">
        <v>716</v>
      </c>
      <c r="AE110" s="41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F110" s="667"/>
      <c r="AG110" s="1760"/>
      <c r="AH110" s="1760"/>
      <c r="AM110" s="1760"/>
      <c r="AP110" s="668"/>
      <c r="AV110" s="1756"/>
      <c r="AW110" s="1756"/>
      <c r="AX110" s="1756"/>
      <c r="AY110" s="1756"/>
      <c r="AZ110" s="1756"/>
      <c r="BA110" s="1284">
        <v>19</v>
      </c>
    </row>
    <row s="7158" customFormat="1" customHeight="1" ht="18.75" hidden="1">
      <c r="A111" s="2508" t="s">
        <v>717</v>
      </c>
      <c r="C111" s="859"/>
      <c r="D111" s="857"/>
      <c r="E111" s="670" t="str">
        <f>FHD_NUM_P_44</f>
        <v/>
      </c>
      <c r="F111" s="2001" t="str">
        <f>FHD_P_44</f>
        <v/>
      </c>
      <c r="G111" s="2002" t="s">
        <v>718</v>
      </c>
      <c r="H111" s="1101"/>
      <c r="I111" s="701"/>
      <c r="J111" s="6638"/>
      <c r="K111" s="6638"/>
      <c r="L111" s="6638"/>
      <c r="M111" s="6638"/>
      <c r="N111" s="6638"/>
      <c r="O111" s="6638"/>
      <c r="P111" s="6638"/>
      <c r="Q111" s="6638"/>
      <c r="R111" s="6638"/>
      <c r="S111" s="6638"/>
      <c r="T111" s="6638"/>
      <c r="U111" s="6638"/>
      <c r="V111" s="6638"/>
      <c r="W111" s="6638"/>
      <c r="X111" s="6638"/>
      <c r="Y111" s="6638"/>
      <c r="Z111" s="6638"/>
      <c r="AA111" s="6638"/>
      <c r="AB111" s="6638"/>
      <c r="AC111" s="6638"/>
      <c r="AD111" s="6638"/>
      <c r="AE111" s="413" t="str">
        <f>FHD_NOTE_P_44</f>
        <v/>
      </c>
      <c r="AF111" s="858"/>
      <c r="AG111" s="859"/>
      <c r="AH111" s="859"/>
      <c r="AM111" s="859"/>
      <c r="AP111" s="860"/>
      <c r="AV111" s="861"/>
      <c r="AW111" s="861"/>
      <c r="AX111" s="861"/>
      <c r="AY111" s="861"/>
      <c r="AZ111" s="861"/>
      <c r="BA111" s="1034">
        <v>0</v>
      </c>
    </row>
    <row s="7158" customFormat="1" customHeight="1" ht="18.75" hidden="1">
      <c r="A112" s="2508"/>
      <c r="C112" s="859"/>
      <c r="D112" s="857"/>
      <c r="E112" s="670" t="str">
        <f>FHD_NUM_P_45</f>
        <v/>
      </c>
      <c r="F112" s="2001" t="str">
        <f>FHD_P_45</f>
        <v/>
      </c>
      <c r="G112" s="2002" t="s">
        <v>718</v>
      </c>
      <c r="H112" s="1101"/>
      <c r="I112" s="701"/>
      <c r="J112" s="6638"/>
      <c r="K112" s="6638"/>
      <c r="L112" s="6638"/>
      <c r="M112" s="6638"/>
      <c r="N112" s="6638"/>
      <c r="O112" s="6638"/>
      <c r="P112" s="6638"/>
      <c r="Q112" s="6638"/>
      <c r="R112" s="6638"/>
      <c r="S112" s="6638"/>
      <c r="T112" s="6638"/>
      <c r="U112" s="6638"/>
      <c r="V112" s="6638"/>
      <c r="W112" s="6638"/>
      <c r="X112" s="6638"/>
      <c r="Y112" s="6638"/>
      <c r="Z112" s="6638"/>
      <c r="AA112" s="6638"/>
      <c r="AB112" s="6638"/>
      <c r="AC112" s="6638"/>
      <c r="AD112" s="6638"/>
      <c r="AE112" s="413" t="str">
        <f>FHD_NOTE_P_45</f>
        <v/>
      </c>
      <c r="AF112" s="858"/>
      <c r="AG112" s="859"/>
      <c r="AH112" s="859"/>
      <c r="AM112" s="859"/>
      <c r="AP112" s="860"/>
      <c r="AV112" s="861"/>
      <c r="AW112" s="861"/>
      <c r="AX112" s="861"/>
      <c r="AY112" s="861"/>
      <c r="AZ112" s="861"/>
      <c r="BA112" s="1034">
        <v>0</v>
      </c>
    </row>
    <row s="7158" customFormat="1" customHeight="1" ht="18.75" hidden="1">
      <c r="A113" s="2508"/>
      <c r="C113" s="859"/>
      <c r="D113" s="862"/>
      <c r="E113" s="670" t="str">
        <f>FHD_NUM_P_46</f>
        <v/>
      </c>
      <c r="F113" s="2001" t="str">
        <f>FHD_P_46</f>
        <v/>
      </c>
      <c r="G113" s="2002" t="s">
        <v>718</v>
      </c>
      <c r="H113" s="1101"/>
      <c r="I113" s="701"/>
      <c r="J113" s="6638"/>
      <c r="K113" s="6638"/>
      <c r="L113" s="6638"/>
      <c r="M113" s="6638"/>
      <c r="N113" s="6638"/>
      <c r="O113" s="6638"/>
      <c r="P113" s="6638"/>
      <c r="Q113" s="6638"/>
      <c r="R113" s="6638"/>
      <c r="S113" s="6638"/>
      <c r="T113" s="6638"/>
      <c r="U113" s="6638"/>
      <c r="V113" s="6638"/>
      <c r="W113" s="6638"/>
      <c r="X113" s="6638"/>
      <c r="Y113" s="6638"/>
      <c r="Z113" s="6638"/>
      <c r="AA113" s="6638"/>
      <c r="AB113" s="6638"/>
      <c r="AC113" s="6638"/>
      <c r="AD113" s="6638"/>
      <c r="AE113" s="413" t="str">
        <f>FHD_NOTE_P_46</f>
        <v/>
      </c>
      <c r="AF113" s="858"/>
      <c r="AG113" s="859"/>
      <c r="AH113" s="859"/>
      <c r="AM113" s="859"/>
      <c r="AP113" s="860"/>
      <c r="AV113" s="861"/>
      <c r="AW113" s="861"/>
      <c r="AX113" s="861"/>
      <c r="AY113" s="861"/>
      <c r="AZ113" s="861"/>
      <c r="BA113" s="1034">
        <v>0</v>
      </c>
    </row>
    <row s="7158" customFormat="1" customHeight="1" ht="18.75" hidden="1">
      <c r="A114" s="2508"/>
      <c r="C114" s="859"/>
      <c r="D114" s="857"/>
      <c r="E114" s="670" t="str">
        <f>FHD_NUM_P_47</f>
        <v/>
      </c>
      <c r="F114" s="2001" t="str">
        <f>FHD_P_47</f>
        <v/>
      </c>
      <c r="G114" s="2002" t="s">
        <v>718</v>
      </c>
      <c r="H114" s="1101"/>
      <c r="I114" s="701"/>
      <c r="J114" s="6638"/>
      <c r="K114" s="6638"/>
      <c r="L114" s="6638"/>
      <c r="M114" s="6638"/>
      <c r="N114" s="6638"/>
      <c r="O114" s="6638"/>
      <c r="P114" s="6638"/>
      <c r="Q114" s="6638"/>
      <c r="R114" s="6638"/>
      <c r="S114" s="6638"/>
      <c r="T114" s="6638"/>
      <c r="U114" s="6638"/>
      <c r="V114" s="6638"/>
      <c r="W114" s="6638"/>
      <c r="X114" s="6638"/>
      <c r="Y114" s="6638"/>
      <c r="Z114" s="6638"/>
      <c r="AA114" s="6638"/>
      <c r="AB114" s="6638"/>
      <c r="AC114" s="6638"/>
      <c r="AD114" s="6638"/>
      <c r="AE114" s="413" t="str">
        <f>FHD_NOTE_P_47</f>
        <v/>
      </c>
      <c r="AF114" s="858"/>
      <c r="AG114" s="859"/>
      <c r="AH114" s="859"/>
      <c r="AM114" s="859"/>
      <c r="AP114" s="860"/>
      <c r="AV114" s="861"/>
      <c r="AW114" s="861"/>
      <c r="AX114" s="861"/>
      <c r="AY114" s="861"/>
      <c r="AZ114" s="861"/>
      <c r="BA114" s="1034">
        <v>0</v>
      </c>
    </row>
    <row s="7213" customFormat="1" customHeight="1" ht="18.75" hidden="1">
      <c r="A115" s="2508"/>
      <c r="B115" s="1034"/>
      <c r="C115" s="859"/>
      <c r="D115" s="857"/>
      <c r="E115" s="670" t="str">
        <f>FHD_NUM_P_48</f>
        <v/>
      </c>
      <c r="F115" s="2001" t="str">
        <f>FHD_P_48</f>
        <v/>
      </c>
      <c r="G115" s="2002" t="s">
        <v>718</v>
      </c>
      <c r="H115" s="1101"/>
      <c r="I115" s="701"/>
      <c r="J115" s="6638"/>
      <c r="K115" s="6638"/>
      <c r="L115" s="6638"/>
      <c r="M115" s="6638"/>
      <c r="N115" s="6638"/>
      <c r="O115" s="6638"/>
      <c r="P115" s="6638"/>
      <c r="Q115" s="6638"/>
      <c r="R115" s="6638"/>
      <c r="S115" s="6638"/>
      <c r="T115" s="6638"/>
      <c r="U115" s="6638"/>
      <c r="V115" s="6638"/>
      <c r="W115" s="6638"/>
      <c r="X115" s="6638"/>
      <c r="Y115" s="6638"/>
      <c r="Z115" s="6638"/>
      <c r="AA115" s="6638"/>
      <c r="AB115" s="6638"/>
      <c r="AC115" s="6638"/>
      <c r="AD115" s="6638"/>
      <c r="AE115" s="413" t="str">
        <f>FHD_NOTE_P_48</f>
        <v/>
      </c>
      <c r="AF115" s="858"/>
      <c r="AG115" s="859"/>
      <c r="AH115" s="859"/>
      <c r="AI115" s="1034"/>
      <c r="AJ115" s="1034"/>
      <c r="AK115" s="1034"/>
      <c r="AL115" s="1034"/>
      <c r="AM115" s="859"/>
      <c r="AN115" s="1034"/>
      <c r="AO115" s="1034"/>
      <c r="AP115" s="860"/>
      <c r="AQ115" s="1034"/>
      <c r="AR115" s="1034"/>
      <c r="AS115" s="1034"/>
      <c r="AT115" s="1034"/>
      <c r="AU115" s="1034"/>
      <c r="AV115" s="861"/>
      <c r="AW115" s="861"/>
      <c r="AX115" s="861"/>
      <c r="AY115" s="861"/>
      <c r="AZ115" s="861"/>
      <c r="BA115" s="863">
        <v>0</v>
      </c>
    </row>
    <row s="7213" customFormat="1" customHeight="1" ht="18.75" hidden="1">
      <c r="A116" s="2508"/>
      <c r="B116" s="1034"/>
      <c r="C116" s="859"/>
      <c r="D116" s="857"/>
      <c r="E116" s="670" t="str">
        <f>FHD_NUM_P_49</f>
        <v/>
      </c>
      <c r="F116" s="2001" t="str">
        <f>FHD_P_49</f>
        <v/>
      </c>
      <c r="G116" s="2002" t="s">
        <v>718</v>
      </c>
      <c r="H116" s="1102">
        <f>SUM(H117:H118)</f>
        <v>0</v>
      </c>
      <c r="I116" s="873">
        <f>SUM(I117:I118)</f>
        <v>0</v>
      </c>
      <c r="J116" s="6645">
        <f>SUM(J117:J118)</f>
        <v>0</v>
      </c>
      <c r="K116" s="6645">
        <f>SUM(K117:K118)</f>
        <v>0</v>
      </c>
      <c r="L116" s="6645">
        <f>SUM(L117:L118)</f>
        <v>0</v>
      </c>
      <c r="M116" s="6645">
        <f>SUM(M117:M118)</f>
        <v>0</v>
      </c>
      <c r="N116" s="6645">
        <f>SUM(N117:N118)</f>
        <v>0</v>
      </c>
      <c r="O116" s="6645">
        <f>SUM(O117:O118)</f>
        <v>0</v>
      </c>
      <c r="P116" s="6645">
        <f>SUM(P117:P118)</f>
        <v>0</v>
      </c>
      <c r="Q116" s="6645">
        <f>SUM(Q117:Q118)</f>
        <v>0</v>
      </c>
      <c r="R116" s="6645">
        <f>SUM(R117:R118)</f>
        <v>0</v>
      </c>
      <c r="S116" s="6645">
        <f>SUM(S117:S118)</f>
        <v>0</v>
      </c>
      <c r="T116" s="6645">
        <f>SUM(T117:T118)</f>
        <v>0</v>
      </c>
      <c r="U116" s="6645">
        <f>SUM(U117:U118)</f>
        <v>0</v>
      </c>
      <c r="V116" s="6645">
        <f>SUM(V117:V118)</f>
        <v>0</v>
      </c>
      <c r="W116" s="6645">
        <f>SUM(W117:W118)</f>
        <v>0</v>
      </c>
      <c r="X116" s="6645">
        <f>SUM(X117:X118)</f>
        <v>0</v>
      </c>
      <c r="Y116" s="6645">
        <f>SUM(Y117:Y118)</f>
        <v>0</v>
      </c>
      <c r="Z116" s="6645">
        <f>SUM(Z117:Z118)</f>
        <v>0</v>
      </c>
      <c r="AA116" s="6645">
        <f>SUM(AA117:AA118)</f>
        <v>0</v>
      </c>
      <c r="AB116" s="6645">
        <f>SUM(AB117:AB118)</f>
        <v>0</v>
      </c>
      <c r="AC116" s="6645">
        <f>SUM(AC117:AC118)</f>
        <v>0</v>
      </c>
      <c r="AD116" s="6645">
        <f>SUM(AD117:AD118)</f>
        <v>0</v>
      </c>
      <c r="AE116" s="413" t="str">
        <f>FHD_NOTE_P_49</f>
        <v/>
      </c>
      <c r="AF116" s="858"/>
      <c r="AG116" s="859"/>
      <c r="AH116" s="859"/>
      <c r="AI116" s="1034"/>
      <c r="AJ116" s="1034"/>
      <c r="AK116" s="1034"/>
      <c r="AL116" s="1034"/>
      <c r="AM116" s="859"/>
      <c r="AN116" s="1034"/>
      <c r="AO116" s="1034"/>
      <c r="AP116" s="860"/>
      <c r="AQ116" s="1034"/>
      <c r="AR116" s="1034"/>
      <c r="AS116" s="1034"/>
      <c r="AT116" s="1034"/>
      <c r="AU116" s="1034"/>
      <c r="AV116" s="861"/>
      <c r="AW116" s="861"/>
      <c r="AX116" s="861"/>
      <c r="AY116" s="861"/>
      <c r="AZ116" s="861"/>
      <c r="BA116" s="863">
        <v>0</v>
      </c>
    </row>
    <row s="7213" customFormat="1" customHeight="1" ht="18.75" hidden="1">
      <c r="A117" s="2508"/>
      <c r="B117" s="1034"/>
      <c r="C117" s="859"/>
      <c r="D117" s="857"/>
      <c r="E117" s="670" t="str">
        <f>FHD_NUM_P_50</f>
        <v/>
      </c>
      <c r="F117" s="2001" t="str">
        <f>FHD_P_50</f>
        <v/>
      </c>
      <c r="G117" s="2002" t="s">
        <v>718</v>
      </c>
      <c r="H117" s="1101"/>
      <c r="I117" s="701"/>
      <c r="J117" s="6638"/>
      <c r="K117" s="6638"/>
      <c r="L117" s="6638"/>
      <c r="M117" s="6638"/>
      <c r="N117" s="6638"/>
      <c r="O117" s="6638"/>
      <c r="P117" s="6638"/>
      <c r="Q117" s="6638"/>
      <c r="R117" s="6638"/>
      <c r="S117" s="6638"/>
      <c r="T117" s="6638"/>
      <c r="U117" s="6638"/>
      <c r="V117" s="6638"/>
      <c r="W117" s="6638"/>
      <c r="X117" s="6638"/>
      <c r="Y117" s="6638"/>
      <c r="Z117" s="6638"/>
      <c r="AA117" s="6638"/>
      <c r="AB117" s="6638"/>
      <c r="AC117" s="6638"/>
      <c r="AD117" s="6638"/>
      <c r="AE117" s="413" t="str">
        <f>FHD_NOTE_P_50</f>
        <v/>
      </c>
      <c r="AF117" s="858"/>
      <c r="AG117" s="859"/>
      <c r="AH117" s="859"/>
      <c r="AI117" s="1034"/>
      <c r="AJ117" s="1034"/>
      <c r="AK117" s="1034"/>
      <c r="AL117" s="1034"/>
      <c r="AM117" s="859"/>
      <c r="AN117" s="1034"/>
      <c r="AO117" s="1034"/>
      <c r="AP117" s="860"/>
      <c r="AQ117" s="1034"/>
      <c r="AR117" s="1034"/>
      <c r="AS117" s="1034"/>
      <c r="AT117" s="1034"/>
      <c r="AU117" s="1034"/>
      <c r="AV117" s="861"/>
      <c r="AW117" s="861"/>
      <c r="AX117" s="861"/>
      <c r="AY117" s="861"/>
      <c r="AZ117" s="861"/>
      <c r="BA117" s="863">
        <v>0</v>
      </c>
    </row>
    <row s="7213" customFormat="1" customHeight="1" ht="18.75" hidden="1">
      <c r="A118" s="2508"/>
      <c r="B118" s="1034"/>
      <c r="C118" s="859"/>
      <c r="D118" s="857"/>
      <c r="E118" s="670" t="str">
        <f>FHD_NUM_P_51</f>
        <v/>
      </c>
      <c r="F118" s="2001" t="str">
        <f>FHD_P_51</f>
        <v/>
      </c>
      <c r="G118" s="2002" t="s">
        <v>718</v>
      </c>
      <c r="H118" s="1101"/>
      <c r="I118" s="701"/>
      <c r="J118" s="6638"/>
      <c r="K118" s="6638"/>
      <c r="L118" s="6638"/>
      <c r="M118" s="6638"/>
      <c r="N118" s="6638"/>
      <c r="O118" s="6638"/>
      <c r="P118" s="6638"/>
      <c r="Q118" s="6638"/>
      <c r="R118" s="6638"/>
      <c r="S118" s="6638"/>
      <c r="T118" s="6638"/>
      <c r="U118" s="6638"/>
      <c r="V118" s="6638"/>
      <c r="W118" s="6638"/>
      <c r="X118" s="6638"/>
      <c r="Y118" s="6638"/>
      <c r="Z118" s="6638"/>
      <c r="AA118" s="6638"/>
      <c r="AB118" s="6638"/>
      <c r="AC118" s="6638"/>
      <c r="AD118" s="6638"/>
      <c r="AE118" s="413" t="str">
        <f>FHD_NOTE_P_51</f>
        <v/>
      </c>
      <c r="AF118" s="858"/>
      <c r="AG118" s="859"/>
      <c r="AH118" s="859"/>
      <c r="AI118" s="1034"/>
      <c r="AJ118" s="1034"/>
      <c r="AK118" s="1034"/>
      <c r="AL118" s="1034"/>
      <c r="AM118" s="859"/>
      <c r="AN118" s="1034"/>
      <c r="AO118" s="1034"/>
      <c r="AP118" s="860"/>
      <c r="AQ118" s="1034"/>
      <c r="AR118" s="1034"/>
      <c r="AS118" s="1034"/>
      <c r="AT118" s="1034"/>
      <c r="AU118" s="1034"/>
      <c r="AV118" s="861"/>
      <c r="AW118" s="861"/>
      <c r="AX118" s="861"/>
      <c r="AY118" s="861"/>
      <c r="AZ118" s="861"/>
      <c r="BA118" s="863">
        <v>0</v>
      </c>
    </row>
    <row s="7213" customFormat="1" customHeight="1" ht="18.75" hidden="1">
      <c r="A119" s="2508"/>
      <c r="B119" s="1034"/>
      <c r="C119" s="859"/>
      <c r="D119" s="857"/>
      <c r="E119" s="670" t="str">
        <f>FHD_NUM_P_52</f>
        <v/>
      </c>
      <c r="F119" s="2001" t="str">
        <f>FHD_P_52</f>
        <v/>
      </c>
      <c r="G119" s="2002" t="s">
        <v>670</v>
      </c>
      <c r="H119" s="1100"/>
      <c r="I119" s="681"/>
      <c r="J119" s="6629"/>
      <c r="K119" s="6629"/>
      <c r="L119" s="6629"/>
      <c r="M119" s="6629"/>
      <c r="N119" s="6629"/>
      <c r="O119" s="6629"/>
      <c r="P119" s="6629"/>
      <c r="Q119" s="6629"/>
      <c r="R119" s="6629"/>
      <c r="S119" s="6629"/>
      <c r="T119" s="6629"/>
      <c r="U119" s="6629"/>
      <c r="V119" s="6629"/>
      <c r="W119" s="6629"/>
      <c r="X119" s="6629"/>
      <c r="Y119" s="6629"/>
      <c r="Z119" s="6629"/>
      <c r="AA119" s="6629"/>
      <c r="AB119" s="6629"/>
      <c r="AC119" s="6629"/>
      <c r="AD119" s="6629"/>
      <c r="AE119" s="413" t="str">
        <f>FHD_NOTE_P_52</f>
        <v/>
      </c>
      <c r="AF119" s="858"/>
      <c r="AG119" s="859"/>
      <c r="AH119" s="859"/>
      <c r="AI119" s="1034"/>
      <c r="AJ119" s="1034"/>
      <c r="AK119" s="1034"/>
      <c r="AL119" s="1034"/>
      <c r="AM119" s="859"/>
      <c r="AN119" s="1034"/>
      <c r="AO119" s="1034"/>
      <c r="AP119" s="860"/>
      <c r="AQ119" s="1034"/>
      <c r="AR119" s="1034"/>
      <c r="AS119" s="1034"/>
      <c r="AT119" s="1034"/>
      <c r="AU119" s="1034"/>
      <c r="AV119" s="861"/>
      <c r="AW119" s="861"/>
      <c r="AX119" s="861"/>
      <c r="AY119" s="861"/>
      <c r="AZ119" s="861"/>
      <c r="BA119" s="863">
        <v>0</v>
      </c>
    </row>
    <row s="7158" customFormat="1" customHeight="1" ht="18.75" hidden="1">
      <c r="A120" s="2510" t="s">
        <v>719</v>
      </c>
      <c r="C120" s="859"/>
      <c r="D120" s="857"/>
      <c r="E120" s="670" t="str">
        <f>FHD_NUM_P_53</f>
        <v/>
      </c>
      <c r="F120" s="2001" t="str">
        <f>FHD_P_53</f>
        <v/>
      </c>
      <c r="G120" s="2002" t="s">
        <v>718</v>
      </c>
      <c r="H120" s="1101"/>
      <c r="I120" s="701"/>
      <c r="J120" s="6638"/>
      <c r="K120" s="6638"/>
      <c r="L120" s="6638"/>
      <c r="M120" s="6638"/>
      <c r="N120" s="6638"/>
      <c r="O120" s="6638"/>
      <c r="P120" s="6638"/>
      <c r="Q120" s="6638"/>
      <c r="R120" s="6638"/>
      <c r="S120" s="6638"/>
      <c r="T120" s="6638"/>
      <c r="U120" s="6638"/>
      <c r="V120" s="6638"/>
      <c r="W120" s="6638"/>
      <c r="X120" s="6638"/>
      <c r="Y120" s="6638"/>
      <c r="Z120" s="6638"/>
      <c r="AA120" s="6638"/>
      <c r="AB120" s="6638"/>
      <c r="AC120" s="6638"/>
      <c r="AD120" s="6638"/>
      <c r="AE120" s="413" t="str">
        <f>FHD_NOTE_P_53</f>
        <v/>
      </c>
      <c r="AF120" s="858"/>
      <c r="AG120" s="859"/>
      <c r="AH120" s="859"/>
      <c r="AM120" s="859"/>
      <c r="AP120" s="860"/>
      <c r="AV120" s="861"/>
      <c r="AW120" s="861"/>
      <c r="AX120" s="861"/>
      <c r="AY120" s="861"/>
      <c r="AZ120" s="861"/>
      <c r="BA120" s="1034">
        <v>0</v>
      </c>
    </row>
    <row s="7158" customFormat="1" customHeight="1" ht="18.75" hidden="1">
      <c r="A121" s="2510"/>
      <c r="C121" s="859"/>
      <c r="D121" s="857"/>
      <c r="E121" s="670" t="str">
        <f>FHD_NUM_P_54</f>
        <v/>
      </c>
      <c r="F121" s="2001" t="str">
        <f>FHD_P_54</f>
        <v/>
      </c>
      <c r="G121" s="2002" t="s">
        <v>718</v>
      </c>
      <c r="H121" s="1101"/>
      <c r="I121" s="701"/>
      <c r="J121" s="6638"/>
      <c r="K121" s="6638"/>
      <c r="L121" s="6638"/>
      <c r="M121" s="6638"/>
      <c r="N121" s="6638"/>
      <c r="O121" s="6638"/>
      <c r="P121" s="6638"/>
      <c r="Q121" s="6638"/>
      <c r="R121" s="6638"/>
      <c r="S121" s="6638"/>
      <c r="T121" s="6638"/>
      <c r="U121" s="6638"/>
      <c r="V121" s="6638"/>
      <c r="W121" s="6638"/>
      <c r="X121" s="6638"/>
      <c r="Y121" s="6638"/>
      <c r="Z121" s="6638"/>
      <c r="AA121" s="6638"/>
      <c r="AB121" s="6638"/>
      <c r="AC121" s="6638"/>
      <c r="AD121" s="6638"/>
      <c r="AE121" s="413" t="str">
        <f>FHD_NOTE_P_54</f>
        <v/>
      </c>
      <c r="AF121" s="858"/>
      <c r="AG121" s="859"/>
      <c r="AH121" s="859"/>
      <c r="AM121" s="859"/>
      <c r="AP121" s="860"/>
      <c r="AV121" s="861"/>
      <c r="AW121" s="861"/>
      <c r="AX121" s="861"/>
      <c r="AY121" s="861"/>
      <c r="AZ121" s="861"/>
      <c r="BA121" s="1034">
        <v>0</v>
      </c>
    </row>
    <row s="7158" customFormat="1" customHeight="1" ht="18.75" hidden="1">
      <c r="A122" s="2510"/>
      <c r="C122" s="859"/>
      <c r="D122" s="862"/>
      <c r="E122" s="670" t="str">
        <f>FHD_NUM_P_55</f>
        <v/>
      </c>
      <c r="F122" s="2001" t="str">
        <f>FHD_P_55</f>
        <v/>
      </c>
      <c r="G122" s="2005"/>
      <c r="H122" s="1101"/>
      <c r="I122" s="701"/>
      <c r="J122" s="6638"/>
      <c r="K122" s="6638"/>
      <c r="L122" s="6638"/>
      <c r="M122" s="6638"/>
      <c r="N122" s="6638"/>
      <c r="O122" s="6638"/>
      <c r="P122" s="6638"/>
      <c r="Q122" s="6638"/>
      <c r="R122" s="6638"/>
      <c r="S122" s="6638"/>
      <c r="T122" s="6638"/>
      <c r="U122" s="6638"/>
      <c r="V122" s="6638"/>
      <c r="W122" s="6638"/>
      <c r="X122" s="6638"/>
      <c r="Y122" s="6638"/>
      <c r="Z122" s="6638"/>
      <c r="AA122" s="6638"/>
      <c r="AB122" s="6638"/>
      <c r="AC122" s="6638"/>
      <c r="AD122" s="6638"/>
      <c r="AE122" s="413" t="str">
        <f>FHD_NOTE_P_55</f>
        <v/>
      </c>
      <c r="AF122" s="858"/>
      <c r="AG122" s="859"/>
      <c r="AH122" s="859"/>
      <c r="AM122" s="859"/>
      <c r="AP122" s="860"/>
      <c r="AV122" s="861"/>
      <c r="AW122" s="861"/>
      <c r="AX122" s="861"/>
      <c r="AY122" s="861"/>
      <c r="AZ122" s="861"/>
      <c r="BA122" s="1034">
        <v>0</v>
      </c>
    </row>
    <row s="7158" customFormat="1" customHeight="1" ht="18.75" hidden="1">
      <c r="A123" s="2510"/>
      <c r="C123" s="859"/>
      <c r="D123" s="857"/>
      <c r="E123" s="670" t="str">
        <f>FHD_NUM_P_56</f>
        <v/>
      </c>
      <c r="F123" s="2001" t="str">
        <f>FHD_P_56</f>
        <v/>
      </c>
      <c r="G123" s="2002" t="s">
        <v>720</v>
      </c>
      <c r="H123" s="1101"/>
      <c r="I123" s="701"/>
      <c r="J123" s="6638"/>
      <c r="K123" s="6638"/>
      <c r="L123" s="6638"/>
      <c r="M123" s="6638"/>
      <c r="N123" s="6638"/>
      <c r="O123" s="6638"/>
      <c r="P123" s="6638"/>
      <c r="Q123" s="6638"/>
      <c r="R123" s="6638"/>
      <c r="S123" s="6638"/>
      <c r="T123" s="6638"/>
      <c r="U123" s="6638"/>
      <c r="V123" s="6638"/>
      <c r="W123" s="6638"/>
      <c r="X123" s="6638"/>
      <c r="Y123" s="6638"/>
      <c r="Z123" s="6638"/>
      <c r="AA123" s="6638"/>
      <c r="AB123" s="6638"/>
      <c r="AC123" s="6638"/>
      <c r="AD123" s="6638"/>
      <c r="AE123" s="413" t="str">
        <f>FHD_NOTE_P_56</f>
        <v/>
      </c>
      <c r="AF123" s="858"/>
      <c r="AG123" s="859"/>
      <c r="AH123" s="859"/>
      <c r="AM123" s="859"/>
      <c r="AP123" s="860"/>
      <c r="AV123" s="861"/>
      <c r="AW123" s="861"/>
      <c r="AX123" s="861"/>
      <c r="AY123" s="861"/>
      <c r="AZ123" s="861"/>
      <c r="BA123" s="1034">
        <v>0</v>
      </c>
    </row>
    <row s="7213" customFormat="1" customHeight="1" ht="18.75" hidden="1">
      <c r="A124" s="2510"/>
      <c r="B124" s="1034"/>
      <c r="C124" s="859"/>
      <c r="D124" s="857"/>
      <c r="E124" s="670" t="str">
        <f>FHD_NUM_P_57</f>
        <v/>
      </c>
      <c r="F124" s="2001" t="str">
        <f>FHD_P_57</f>
        <v/>
      </c>
      <c r="G124" s="2002" t="s">
        <v>670</v>
      </c>
      <c r="H124" s="1100"/>
      <c r="I124" s="681"/>
      <c r="J124" s="6629"/>
      <c r="K124" s="6629"/>
      <c r="L124" s="6629"/>
      <c r="M124" s="6629"/>
      <c r="N124" s="6629"/>
      <c r="O124" s="6629"/>
      <c r="P124" s="6629"/>
      <c r="Q124" s="6629"/>
      <c r="R124" s="6629"/>
      <c r="S124" s="6629"/>
      <c r="T124" s="6629"/>
      <c r="U124" s="6629"/>
      <c r="V124" s="6629"/>
      <c r="W124" s="6629"/>
      <c r="X124" s="6629"/>
      <c r="Y124" s="6629"/>
      <c r="Z124" s="6629"/>
      <c r="AA124" s="6629"/>
      <c r="AB124" s="6629"/>
      <c r="AC124" s="6629"/>
      <c r="AD124" s="6629"/>
      <c r="AE124" s="413" t="str">
        <f>FHD_NOTE_P_57</f>
        <v/>
      </c>
      <c r="AF124" s="858"/>
      <c r="AG124" s="859"/>
      <c r="AH124" s="859"/>
      <c r="AI124" s="1034"/>
      <c r="AJ124" s="1034"/>
      <c r="AK124" s="1034"/>
      <c r="AL124" s="1034"/>
      <c r="AM124" s="859"/>
      <c r="AN124" s="1034"/>
      <c r="AO124" s="1034"/>
      <c r="AP124" s="860"/>
      <c r="AQ124" s="1034"/>
      <c r="AR124" s="1034"/>
      <c r="AS124" s="1034"/>
      <c r="AT124" s="1034"/>
      <c r="AU124" s="1034"/>
      <c r="AV124" s="861"/>
      <c r="AW124" s="861"/>
      <c r="AX124" s="861"/>
      <c r="AY124" s="861"/>
      <c r="AZ124" s="861"/>
      <c r="BA124" s="863">
        <v>0</v>
      </c>
    </row>
    <row customHeight="1" ht="18.75" hidden="1">
      <c r="A125" s="2508" t="s">
        <v>721</v>
      </c>
      <c r="D125" s="1762"/>
      <c r="E125" s="670" t="str">
        <f>FHD_NUM_P_58</f>
        <v/>
      </c>
      <c r="F125" s="2001" t="str">
        <f>FHD_P_58</f>
        <v/>
      </c>
      <c r="G125" s="2002" t="s">
        <v>718</v>
      </c>
      <c r="H125" s="1101"/>
      <c r="I125" s="701"/>
      <c r="J125" s="6638"/>
      <c r="K125" s="6638"/>
      <c r="L125" s="6638"/>
      <c r="M125" s="6638"/>
      <c r="N125" s="6638"/>
      <c r="O125" s="6638"/>
      <c r="P125" s="6638"/>
      <c r="Q125" s="6638"/>
      <c r="R125" s="6638"/>
      <c r="S125" s="6638"/>
      <c r="T125" s="6638"/>
      <c r="U125" s="6638"/>
      <c r="V125" s="6638"/>
      <c r="W125" s="6638"/>
      <c r="X125" s="6638"/>
      <c r="Y125" s="6638"/>
      <c r="Z125" s="6638"/>
      <c r="AA125" s="6638"/>
      <c r="AB125" s="6638"/>
      <c r="AC125" s="6638"/>
      <c r="AD125" s="6638"/>
      <c r="AE125" s="413" t="str">
        <f>FHD_NOTE_P_58</f>
        <v/>
      </c>
      <c r="AF125" s="667"/>
      <c r="BA125" s="1755">
        <v>0</v>
      </c>
    </row>
    <row customHeight="1" ht="18.75" hidden="1">
      <c r="A126" s="2508"/>
      <c r="D126" s="1762"/>
      <c r="E126" s="670" t="str">
        <f>FHD_NUM_P_59</f>
        <v/>
      </c>
      <c r="F126" s="2001" t="str">
        <f>FHD_P_59</f>
        <v/>
      </c>
      <c r="G126" s="2002" t="s">
        <v>718</v>
      </c>
      <c r="H126" s="1101"/>
      <c r="I126" s="701"/>
      <c r="J126" s="6638"/>
      <c r="K126" s="6638"/>
      <c r="L126" s="6638"/>
      <c r="M126" s="6638"/>
      <c r="N126" s="6638"/>
      <c r="O126" s="6638"/>
      <c r="P126" s="6638"/>
      <c r="Q126" s="6638"/>
      <c r="R126" s="6638"/>
      <c r="S126" s="6638"/>
      <c r="T126" s="6638"/>
      <c r="U126" s="6638"/>
      <c r="V126" s="6638"/>
      <c r="W126" s="6638"/>
      <c r="X126" s="6638"/>
      <c r="Y126" s="6638"/>
      <c r="Z126" s="6638"/>
      <c r="AA126" s="6638"/>
      <c r="AB126" s="6638"/>
      <c r="AC126" s="6638"/>
      <c r="AD126" s="6638"/>
      <c r="AE126" s="413" t="str">
        <f>FHD_NOTE_P_59</f>
        <v/>
      </c>
      <c r="AF126" s="667"/>
      <c r="BA126" s="1755">
        <v>0</v>
      </c>
    </row>
    <row customHeight="1" ht="18.75" hidden="1">
      <c r="A127" s="2508"/>
      <c r="D127" s="1762"/>
      <c r="E127" s="670" t="str">
        <f>FHD_NUM_P_60</f>
        <v/>
      </c>
      <c r="F127" s="2001" t="str">
        <f>FHD_P_60</f>
        <v/>
      </c>
      <c r="G127" s="2002" t="s">
        <v>718</v>
      </c>
      <c r="H127" s="1101"/>
      <c r="I127" s="701"/>
      <c r="J127" s="6638"/>
      <c r="K127" s="6638"/>
      <c r="L127" s="6638"/>
      <c r="M127" s="6638"/>
      <c r="N127" s="6638"/>
      <c r="O127" s="6638"/>
      <c r="P127" s="6638"/>
      <c r="Q127" s="6638"/>
      <c r="R127" s="6638"/>
      <c r="S127" s="6638"/>
      <c r="T127" s="6638"/>
      <c r="U127" s="6638"/>
      <c r="V127" s="6638"/>
      <c r="W127" s="6638"/>
      <c r="X127" s="6638"/>
      <c r="Y127" s="6638"/>
      <c r="Z127" s="6638"/>
      <c r="AA127" s="6638"/>
      <c r="AB127" s="6638"/>
      <c r="AC127" s="6638"/>
      <c r="AD127" s="6638"/>
      <c r="AE127" s="413" t="str">
        <f>FHD_NOTE_P_60</f>
        <v/>
      </c>
      <c r="AF127" s="667"/>
      <c r="BA127" s="1755">
        <v>0</v>
      </c>
    </row>
    <row s="7158" customFormat="1" customHeight="1" ht="33">
      <c r="A128" s="2508" t="s">
        <v>722</v>
      </c>
      <c r="C128" s="1760"/>
      <c r="D128" s="1762"/>
      <c r="E128" s="670" t="str">
        <f>FHD_NUM_P_61</f>
        <v>7</v>
      </c>
      <c r="F128" s="200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8" s="1999" t="s">
        <v>668</v>
      </c>
      <c r="H128" s="1103"/>
      <c r="I128" s="866">
        <v>108.37</v>
      </c>
      <c r="J128" s="6649">
        <v>3.27</v>
      </c>
      <c r="K128" s="6649">
        <v>8.91</v>
      </c>
      <c r="L128" s="6649">
        <v>1.14</v>
      </c>
      <c r="M128" s="6649">
        <v>5.16</v>
      </c>
      <c r="N128" s="6649">
        <v>2.44</v>
      </c>
      <c r="O128" s="6649">
        <v>21.2</v>
      </c>
      <c r="P128" s="6649">
        <v>2.8</v>
      </c>
      <c r="Q128" s="6649">
        <v>0.79</v>
      </c>
      <c r="R128" s="6649">
        <v>2.06</v>
      </c>
      <c r="S128" s="6649">
        <v>2.57</v>
      </c>
      <c r="T128" s="6649">
        <v>44.96</v>
      </c>
      <c r="U128" s="6649">
        <v>1.46</v>
      </c>
      <c r="V128" s="6649">
        <v>1.2</v>
      </c>
      <c r="W128" s="6649">
        <v>2.16</v>
      </c>
      <c r="X128" s="6649">
        <v>3.97</v>
      </c>
      <c r="Y128" s="6649">
        <v>65.68</v>
      </c>
      <c r="Z128" s="6649">
        <v>0.04</v>
      </c>
      <c r="AA128" s="6649">
        <v>0.6</v>
      </c>
      <c r="AB128" s="6649">
        <v>51.59</v>
      </c>
      <c r="AC128" s="6649">
        <v>2.51</v>
      </c>
      <c r="AD128" s="6649">
        <v>0.72</v>
      </c>
      <c r="AE128" s="41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F128" s="667"/>
      <c r="AG128" s="1760"/>
      <c r="AH128" s="1760"/>
      <c r="AM128" s="1760"/>
      <c r="AP128" s="668"/>
      <c r="AV128" s="1756"/>
      <c r="AW128" s="1756"/>
      <c r="AX128" s="1756"/>
      <c r="AY128" s="1756"/>
      <c r="AZ128" s="1756"/>
      <c r="BA128" s="1284">
        <v>0</v>
      </c>
    </row>
    <row s="6698" customFormat="1" customHeight="1" ht="0.75">
      <c r="A129" s="2508"/>
      <c r="D129" s="672"/>
      <c r="E129" s="1137" t="str">
        <f>E128&amp;".0"</f>
        <v>7.0</v>
      </c>
      <c r="F129" s="1118"/>
      <c r="G129" s="1119"/>
      <c r="H129" s="1116"/>
      <c r="I129" s="1116"/>
      <c r="J129" s="6624"/>
      <c r="K129" s="6624"/>
      <c r="L129" s="6624"/>
      <c r="M129" s="6624"/>
      <c r="N129" s="6624"/>
      <c r="O129" s="6624"/>
      <c r="P129" s="6624"/>
      <c r="Q129" s="6624"/>
      <c r="R129" s="6624"/>
      <c r="S129" s="6624"/>
      <c r="T129" s="6624"/>
      <c r="U129" s="6624"/>
      <c r="V129" s="6624"/>
      <c r="W129" s="6624"/>
      <c r="X129" s="6624"/>
      <c r="Y129" s="6624"/>
      <c r="Z129" s="6624"/>
      <c r="AA129" s="6624"/>
      <c r="AB129" s="6624"/>
      <c r="AC129" s="6624"/>
      <c r="AD129" s="6624"/>
      <c r="AE129" s="1120"/>
      <c r="BA129" s="1760">
        <v>0</v>
      </c>
    </row>
    <row customHeight="1" ht="15">
      <c r="A130" s="2508"/>
      <c r="D130" s="1757"/>
      <c r="E130" s="1095"/>
      <c r="F130" s="1096" t="s">
        <v>723</v>
      </c>
      <c r="G130" s="696"/>
      <c r="H130" s="697"/>
      <c r="I130" s="697"/>
      <c r="J130" s="8006"/>
      <c r="K130" s="8007"/>
      <c r="L130" s="8008"/>
      <c r="M130" s="8009"/>
      <c r="N130" s="8010"/>
      <c r="O130" s="8011"/>
      <c r="P130" s="8012"/>
      <c r="Q130" s="8013"/>
      <c r="R130" s="8014"/>
      <c r="S130" s="8015"/>
      <c r="T130" s="8016"/>
      <c r="U130" s="8017"/>
      <c r="V130" s="8018"/>
      <c r="W130" s="8019"/>
      <c r="X130" s="8020"/>
      <c r="Y130" s="8021"/>
      <c r="Z130" s="8022"/>
      <c r="AA130" s="8023"/>
      <c r="AB130" s="8024"/>
      <c r="AC130" s="8025"/>
      <c r="AD130" s="8026"/>
      <c r="AE130" s="1128" t="s">
        <v>724</v>
      </c>
      <c r="AF130" s="667"/>
      <c r="BA130" s="1755">
        <v>0</v>
      </c>
    </row>
    <row s="7158" customFormat="1" customHeight="1" ht="33">
      <c r="A131" s="2508"/>
      <c r="C131" s="1760"/>
      <c r="D131" s="1762"/>
      <c r="E131" s="670" t="str">
        <f>FHD_NUM_P_62</f>
        <v>8</v>
      </c>
      <c r="F131" s="2001" t="str">
        <f>FHD_P_62</f>
        <v>Тепловая нагрузка по договорам, заключенным в рамках осуществления регулируемых видов деятельности</v>
      </c>
      <c r="G131" s="1998" t="s">
        <v>668</v>
      </c>
      <c r="H131" s="681"/>
      <c r="I131" s="681">
        <v>40.24</v>
      </c>
      <c r="J131" s="6590">
        <v>2.53</v>
      </c>
      <c r="K131" s="6590">
        <v>2.57</v>
      </c>
      <c r="L131" s="6590">
        <v>0.78</v>
      </c>
      <c r="M131" s="6590">
        <v>4.06</v>
      </c>
      <c r="N131" s="6590">
        <v>1.79</v>
      </c>
      <c r="O131" s="6590">
        <v>14.17</v>
      </c>
      <c r="P131" s="6590">
        <v>1.04</v>
      </c>
      <c r="Q131" s="6590">
        <v>0.32</v>
      </c>
      <c r="R131" s="6590">
        <v>1.78</v>
      </c>
      <c r="S131" s="6590">
        <v>1.52</v>
      </c>
      <c r="T131" s="6590">
        <v>27.16</v>
      </c>
      <c r="U131" s="6590">
        <v>0.51</v>
      </c>
      <c r="V131" s="6590">
        <v>0.24</v>
      </c>
      <c r="W131" s="6590">
        <v>1.62</v>
      </c>
      <c r="X131" s="6590">
        <v>3.98</v>
      </c>
      <c r="Y131" s="6590">
        <v>12.72</v>
      </c>
      <c r="Z131" s="6590">
        <v>0.02</v>
      </c>
      <c r="AA131" s="6590">
        <v>0.17</v>
      </c>
      <c r="AB131" s="6590">
        <v>23.34</v>
      </c>
      <c r="AC131" s="6590">
        <v>2.11</v>
      </c>
      <c r="AD131" s="6590">
        <v>0.2</v>
      </c>
      <c r="AE131" s="413" t="str">
        <f>FHD_NOTE_P_62</f>
        <v>Регулируемыми организациями указывается информация по договорам, заключенным в рамках осуществления регулируемых видов деятельности</v>
      </c>
      <c r="AF131" s="667"/>
      <c r="AG131" s="1760"/>
      <c r="AH131" s="1760"/>
      <c r="AM131" s="1760"/>
      <c r="AP131" s="668"/>
      <c r="AV131" s="1756"/>
      <c r="AW131" s="1756"/>
      <c r="AX131" s="1756"/>
      <c r="AY131" s="1756"/>
      <c r="AZ131" s="1756"/>
      <c r="BA131" s="1284">
        <v>0</v>
      </c>
    </row>
    <row s="7158" customFormat="1" customHeight="1" ht="37.5">
      <c r="A132" s="2508"/>
      <c r="C132" s="1760"/>
      <c r="D132" s="1762"/>
      <c r="E132" s="670" t="str">
        <f>FHD_NUM_P_63</f>
        <v>9</v>
      </c>
      <c r="F132" s="2001" t="str">
        <f>FHD_P_63</f>
        <v>Объем вырабатываемой регулируемой организацией тепловой энергии в рамках осуществления регулируемых видов деятельности</v>
      </c>
      <c r="G132" s="1998" t="s">
        <v>720</v>
      </c>
      <c r="H132" s="701"/>
      <c r="I132" s="701">
        <v>142.15</v>
      </c>
      <c r="J132" s="6613">
        <v>5.34</v>
      </c>
      <c r="K132" s="6613">
        <v>11.49</v>
      </c>
      <c r="L132" s="6613">
        <v>1.87</v>
      </c>
      <c r="M132" s="6613">
        <v>8.49</v>
      </c>
      <c r="N132" s="6613">
        <v>4.09</v>
      </c>
      <c r="O132" s="6613">
        <v>31.49</v>
      </c>
      <c r="P132" s="6613">
        <v>4.44</v>
      </c>
      <c r="Q132" s="6613">
        <v>1.41</v>
      </c>
      <c r="R132" s="6613">
        <v>4.21</v>
      </c>
      <c r="S132" s="6613">
        <v>3.8</v>
      </c>
      <c r="T132" s="6613">
        <v>52.49</v>
      </c>
      <c r="U132" s="6613">
        <v>2.59</v>
      </c>
      <c r="V132" s="6613">
        <v>1.15</v>
      </c>
      <c r="W132" s="6613">
        <v>3.76</v>
      </c>
      <c r="X132" s="6613">
        <v>6.56</v>
      </c>
      <c r="Y132" s="6613">
        <v>82.93</v>
      </c>
      <c r="Z132" s="6613">
        <v>0.11</v>
      </c>
      <c r="AA132" s="6613">
        <v>0.62</v>
      </c>
      <c r="AB132" s="6613">
        <v>24.12</v>
      </c>
      <c r="AC132" s="6613">
        <v>4.74</v>
      </c>
      <c r="AD132" s="6613">
        <v>1.08</v>
      </c>
      <c r="AE132" s="41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F132" s="667"/>
      <c r="AG132" s="1760"/>
      <c r="AH132" s="1760"/>
      <c r="AM132" s="1760"/>
      <c r="AP132" s="668"/>
      <c r="AV132" s="1756"/>
      <c r="AW132" s="1756"/>
      <c r="AX132" s="1756"/>
      <c r="AY132" s="1756"/>
      <c r="AZ132" s="1756"/>
      <c r="BA132" s="1284">
        <v>0</v>
      </c>
    </row>
    <row s="7158" customFormat="1" customHeight="1" ht="39">
      <c r="A133" s="2508"/>
      <c r="C133" s="1760"/>
      <c r="D133" s="1762"/>
      <c r="E133" s="670" t="str">
        <f>FHD_NUM_P_64</f>
        <v>9.1</v>
      </c>
      <c r="F133" s="2001" t="str">
        <f>FHD_P_64</f>
        <v>Объем приобретаемой регулируемой организацией тепловой энергии в рамках осуществления регулируемых видов деятельности</v>
      </c>
      <c r="G133" s="1998" t="s">
        <v>720</v>
      </c>
      <c r="H133" s="1531"/>
      <c r="I133" s="875">
        <v>2.58</v>
      </c>
      <c r="J133" s="6346">
        <v>0</v>
      </c>
      <c r="K133" s="6346">
        <v>0</v>
      </c>
      <c r="L133" s="6346">
        <v>0</v>
      </c>
      <c r="M133" s="6346">
        <v>0</v>
      </c>
      <c r="N133" s="6346">
        <v>0</v>
      </c>
      <c r="O133" s="6346">
        <v>0</v>
      </c>
      <c r="P133" s="6346">
        <v>0</v>
      </c>
      <c r="Q133" s="6346">
        <v>0</v>
      </c>
      <c r="R133" s="6346">
        <v>0</v>
      </c>
      <c r="S133" s="6346">
        <v>0</v>
      </c>
      <c r="T133" s="6346">
        <v>0</v>
      </c>
      <c r="U133" s="6346">
        <v>0</v>
      </c>
      <c r="V133" s="6346">
        <v>0</v>
      </c>
      <c r="W133" s="6346">
        <v>0</v>
      </c>
      <c r="X133" s="6346">
        <v>0</v>
      </c>
      <c r="Y133" s="6346">
        <v>0</v>
      </c>
      <c r="Z133" s="6346">
        <v>0</v>
      </c>
      <c r="AA133" s="6346">
        <v>0</v>
      </c>
      <c r="AB133" s="6346">
        <v>0</v>
      </c>
      <c r="AC133" s="6346">
        <v>0</v>
      </c>
      <c r="AD133" s="6346">
        <v>0</v>
      </c>
      <c r="AE133" s="413" t="str">
        <f>FHD_NOTE_P_64</f>
        <v>Информация указывается только едиными теплоснабжающими организациями.</v>
      </c>
      <c r="AF133" s="667"/>
      <c r="AG133" s="1760"/>
      <c r="AH133" s="1760"/>
      <c r="AM133" s="1760"/>
      <c r="AP133" s="668"/>
      <c r="AV133" s="1756"/>
      <c r="AW133" s="1756"/>
      <c r="AX133" s="1756"/>
      <c r="AY133" s="1756"/>
      <c r="AZ133" s="1756"/>
      <c r="BA133" s="1284">
        <v>0</v>
      </c>
    </row>
    <row s="7158" customFormat="1" customHeight="1" ht="31.5">
      <c r="A134" s="2508"/>
      <c r="C134" s="1760"/>
      <c r="D134" s="1762"/>
      <c r="E134" s="670" t="str">
        <f>FHD_NUM_P_65</f>
        <v>10</v>
      </c>
      <c r="F134" s="200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4" s="1998" t="s">
        <v>720</v>
      </c>
      <c r="H134" s="701"/>
      <c r="I134" s="701">
        <v>118.44</v>
      </c>
      <c r="J134" s="6613">
        <v>4.73</v>
      </c>
      <c r="K134" s="6613">
        <v>10.03</v>
      </c>
      <c r="L134" s="6613">
        <v>1.71</v>
      </c>
      <c r="M134" s="6613">
        <v>7.58</v>
      </c>
      <c r="N134" s="6613">
        <v>3.9</v>
      </c>
      <c r="O134" s="6613">
        <v>25.62</v>
      </c>
      <c r="P134" s="6613">
        <v>3.9</v>
      </c>
      <c r="Q134" s="6613">
        <v>1.27</v>
      </c>
      <c r="R134" s="6613">
        <v>3.54</v>
      </c>
      <c r="S134" s="6613">
        <v>3.37</v>
      </c>
      <c r="T134" s="6613">
        <v>40.59</v>
      </c>
      <c r="U134" s="6613">
        <v>2.25</v>
      </c>
      <c r="V134" s="6613">
        <v>1.13</v>
      </c>
      <c r="W134" s="6613">
        <v>3.62</v>
      </c>
      <c r="X134" s="6613">
        <v>5.99</v>
      </c>
      <c r="Y134" s="6613">
        <v>69.27</v>
      </c>
      <c r="Z134" s="6613">
        <v>0.04</v>
      </c>
      <c r="AA134" s="6613">
        <v>0</v>
      </c>
      <c r="AB134" s="6613">
        <v>20.27</v>
      </c>
      <c r="AC134" s="6613">
        <v>4.72</v>
      </c>
      <c r="AD134" s="6613">
        <v>1.01</v>
      </c>
      <c r="AE134" s="41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F134" s="667"/>
      <c r="AG134" s="1760"/>
      <c r="AH134" s="1760"/>
      <c r="AM134" s="1760"/>
      <c r="AP134" s="668"/>
      <c r="AV134" s="1756"/>
      <c r="AW134" s="1756"/>
      <c r="AX134" s="1756"/>
      <c r="AY134" s="1756"/>
      <c r="AZ134" s="1756"/>
      <c r="BA134" s="1284">
        <v>0</v>
      </c>
    </row>
    <row s="7158" customFormat="1" customHeight="1" ht="18.75">
      <c r="A135" s="2508"/>
      <c r="C135" s="1760"/>
      <c r="D135" s="1762"/>
      <c r="E135" s="670" t="str">
        <f>FHD_NUM_P_66</f>
        <v>10.1</v>
      </c>
      <c r="F135" s="1648" t="str">
        <f>FHD_P_66</f>
        <v>По приборам учёта </v>
      </c>
      <c r="G135" s="1998" t="s">
        <v>720</v>
      </c>
      <c r="H135" s="701"/>
      <c r="I135" s="701">
        <v>19.79</v>
      </c>
      <c r="J135" s="6613">
        <v>0.42</v>
      </c>
      <c r="K135" s="6613">
        <v>0.23</v>
      </c>
      <c r="L135" s="6613">
        <v>0.73</v>
      </c>
      <c r="M135" s="6613">
        <v>3.08</v>
      </c>
      <c r="N135" s="6613">
        <v>0</v>
      </c>
      <c r="O135" s="6613">
        <v>4.4</v>
      </c>
      <c r="P135" s="6613">
        <v>0.41</v>
      </c>
      <c r="Q135" s="6613">
        <v>0.36</v>
      </c>
      <c r="R135" s="6613">
        <v>0.06</v>
      </c>
      <c r="S135" s="6613">
        <v>0</v>
      </c>
      <c r="T135" s="6613">
        <v>4.81</v>
      </c>
      <c r="U135" s="6613">
        <v>0</v>
      </c>
      <c r="V135" s="6613">
        <v>0.19</v>
      </c>
      <c r="W135" s="6613">
        <v>0.12</v>
      </c>
      <c r="X135" s="6613">
        <v>1.19</v>
      </c>
      <c r="Y135" s="6613">
        <v>29.25</v>
      </c>
      <c r="Z135" s="6613">
        <v>0.01</v>
      </c>
      <c r="AA135" s="6613">
        <v>0</v>
      </c>
      <c r="AB135" s="6613">
        <v>16.95</v>
      </c>
      <c r="AC135" s="6613">
        <v>4.72</v>
      </c>
      <c r="AD135" s="6613">
        <v>0</v>
      </c>
      <c r="AE135" s="413" t="str">
        <f>FHD_NOTE_P_66</f>
        <v/>
      </c>
      <c r="AF135" s="667"/>
      <c r="AG135" s="1760"/>
      <c r="AH135" s="1760"/>
      <c r="AM135" s="1760"/>
      <c r="AP135" s="668"/>
      <c r="AV135" s="1756"/>
      <c r="AW135" s="1756"/>
      <c r="AX135" s="1756"/>
      <c r="AY135" s="1756"/>
      <c r="AZ135" s="1756"/>
      <c r="BA135" s="1284">
        <v>0</v>
      </c>
    </row>
    <row s="7158" customFormat="1" customHeight="1" ht="52.5">
      <c r="A136" s="2508"/>
      <c r="C136" s="1760"/>
      <c r="D136" s="1762"/>
      <c r="E136" s="670" t="str">
        <f>FHD_NUM_P_67</f>
        <v>10.1.1</v>
      </c>
      <c r="F136" s="17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6" s="1998" t="s">
        <v>720</v>
      </c>
      <c r="H136" s="701"/>
      <c r="I136" s="701">
        <v>0</v>
      </c>
      <c r="J136" s="6613">
        <v>0</v>
      </c>
      <c r="K136" s="6613">
        <v>0</v>
      </c>
      <c r="L136" s="6613">
        <v>0</v>
      </c>
      <c r="M136" s="6613">
        <v>0</v>
      </c>
      <c r="N136" s="6613">
        <v>0</v>
      </c>
      <c r="O136" s="6613">
        <v>0</v>
      </c>
      <c r="P136" s="6613">
        <v>0</v>
      </c>
      <c r="Q136" s="6613">
        <v>0</v>
      </c>
      <c r="R136" s="6613">
        <v>0</v>
      </c>
      <c r="S136" s="6613">
        <v>0</v>
      </c>
      <c r="T136" s="6613">
        <v>0</v>
      </c>
      <c r="U136" s="6613">
        <v>0</v>
      </c>
      <c r="V136" s="6613">
        <v>0</v>
      </c>
      <c r="W136" s="6613">
        <v>0</v>
      </c>
      <c r="X136" s="6613">
        <v>0</v>
      </c>
      <c r="Y136" s="6613">
        <v>0</v>
      </c>
      <c r="Z136" s="6613">
        <v>0</v>
      </c>
      <c r="AA136" s="6613">
        <v>0</v>
      </c>
      <c r="AB136" s="6613">
        <v>0</v>
      </c>
      <c r="AC136" s="6613">
        <v>0</v>
      </c>
      <c r="AD136" s="6613">
        <v>0</v>
      </c>
      <c r="AE136" s="413" t="str">
        <f>FHD_NOTE_P_67</f>
        <v/>
      </c>
      <c r="AF136" s="667"/>
      <c r="AG136" s="1760"/>
      <c r="AH136" s="1760"/>
      <c r="AM136" s="1760"/>
      <c r="AP136" s="668"/>
      <c r="AV136" s="1756"/>
      <c r="AW136" s="1756"/>
      <c r="AX136" s="1756"/>
      <c r="AY136" s="1756"/>
      <c r="AZ136" s="1756"/>
      <c r="BA136" s="1284">
        <v>0</v>
      </c>
    </row>
    <row s="7158" customFormat="1" customHeight="1" ht="18.75">
      <c r="A137" s="2508"/>
      <c r="C137" s="1760"/>
      <c r="D137" s="1762"/>
      <c r="E137" s="670" t="str">
        <f>FHD_NUM_P_68</f>
        <v>10.2</v>
      </c>
      <c r="F137" s="1648" t="str">
        <f>FHD_P_68</f>
        <v>Расчётным путём</v>
      </c>
      <c r="G137" s="1998" t="s">
        <v>720</v>
      </c>
      <c r="H137" s="701"/>
      <c r="I137" s="701">
        <v>0</v>
      </c>
      <c r="J137" s="6613">
        <v>0</v>
      </c>
      <c r="K137" s="6613">
        <v>0</v>
      </c>
      <c r="L137" s="6613">
        <v>0</v>
      </c>
      <c r="M137" s="6613">
        <v>0</v>
      </c>
      <c r="N137" s="6613">
        <v>0</v>
      </c>
      <c r="O137" s="6613">
        <v>0</v>
      </c>
      <c r="P137" s="6613">
        <v>0</v>
      </c>
      <c r="Q137" s="6613">
        <v>0</v>
      </c>
      <c r="R137" s="6613">
        <v>0</v>
      </c>
      <c r="S137" s="6613">
        <v>0</v>
      </c>
      <c r="T137" s="6613">
        <v>0</v>
      </c>
      <c r="U137" s="6613">
        <v>0</v>
      </c>
      <c r="V137" s="6613">
        <v>0</v>
      </c>
      <c r="W137" s="6613">
        <v>0</v>
      </c>
      <c r="X137" s="6613">
        <v>0</v>
      </c>
      <c r="Y137" s="6613">
        <v>0</v>
      </c>
      <c r="Z137" s="6613">
        <v>0</v>
      </c>
      <c r="AA137" s="6613">
        <v>0</v>
      </c>
      <c r="AB137" s="6613">
        <v>0</v>
      </c>
      <c r="AC137" s="6613">
        <v>0</v>
      </c>
      <c r="AD137" s="6613">
        <v>0</v>
      </c>
      <c r="AE137" s="413" t="str">
        <f>FHD_NOTE_P_68</f>
        <v/>
      </c>
      <c r="AF137" s="667"/>
      <c r="AG137" s="1760"/>
      <c r="AH137" s="1760"/>
      <c r="AM137" s="1760"/>
      <c r="AP137" s="668"/>
      <c r="AV137" s="1756"/>
      <c r="AW137" s="1756"/>
      <c r="AX137" s="1756"/>
      <c r="AY137" s="1756"/>
      <c r="AZ137" s="1756"/>
      <c r="BA137" s="1284">
        <v>0</v>
      </c>
    </row>
    <row s="7158" customFormat="1" customHeight="1" ht="29.25">
      <c r="A138" s="2508"/>
      <c r="C138" s="1760"/>
      <c r="D138" s="1762"/>
      <c r="E138" s="670" t="str">
        <f>FHD_NUM_P_69</f>
        <v>10.3</v>
      </c>
      <c r="F138" s="1648" t="str">
        <f>FHD_P_69</f>
        <v>По нормативам потребления коммунальных услуг и нормативам потребления коммунальных ресурсов</v>
      </c>
      <c r="G138" s="1998" t="s">
        <v>720</v>
      </c>
      <c r="H138" s="701"/>
      <c r="I138" s="701">
        <v>98.64</v>
      </c>
      <c r="J138" s="6613">
        <v>4.32</v>
      </c>
      <c r="K138" s="6613">
        <v>9.8</v>
      </c>
      <c r="L138" s="6613">
        <v>0.98</v>
      </c>
      <c r="M138" s="6613">
        <v>4.51</v>
      </c>
      <c r="N138" s="6613">
        <v>3.9</v>
      </c>
      <c r="O138" s="6613">
        <v>21.22</v>
      </c>
      <c r="P138" s="6613">
        <v>3.5</v>
      </c>
      <c r="Q138" s="6613">
        <v>0.91</v>
      </c>
      <c r="R138" s="6613">
        <v>3.47</v>
      </c>
      <c r="S138" s="6613">
        <v>3.37</v>
      </c>
      <c r="T138" s="6613">
        <v>35.78</v>
      </c>
      <c r="U138" s="6613">
        <v>2.25</v>
      </c>
      <c r="V138" s="6613">
        <v>0.94</v>
      </c>
      <c r="W138" s="6613">
        <v>3.5</v>
      </c>
      <c r="X138" s="6613">
        <v>4.8</v>
      </c>
      <c r="Y138" s="6613">
        <v>40.02</v>
      </c>
      <c r="Z138" s="6613">
        <v>0.03</v>
      </c>
      <c r="AA138" s="6613">
        <v>0</v>
      </c>
      <c r="AB138" s="6613">
        <v>3.32</v>
      </c>
      <c r="AC138" s="6613">
        <v>0</v>
      </c>
      <c r="AD138" s="6613">
        <v>1.01</v>
      </c>
      <c r="AE138" s="413" t="str">
        <f>FHD_NOTE_P_69</f>
        <v/>
      </c>
      <c r="AF138" s="667"/>
      <c r="AG138" s="1760"/>
      <c r="AH138" s="1760"/>
      <c r="AM138" s="1760"/>
      <c r="AP138" s="668"/>
      <c r="AV138" s="1756"/>
      <c r="AW138" s="1756"/>
      <c r="AX138" s="1756"/>
      <c r="AY138" s="1756"/>
      <c r="AZ138" s="1756"/>
      <c r="BA138" s="1284">
        <v>0</v>
      </c>
    </row>
    <row s="7158" customFormat="1" customHeight="1" ht="36">
      <c r="A139" s="2508"/>
      <c r="C139" s="1760"/>
      <c r="D139" s="1762"/>
      <c r="E139" s="670" t="str">
        <f>FHD_NUM_P_70</f>
        <v>11</v>
      </c>
      <c r="F139" s="2001" t="str">
        <f>FHD_P_70</f>
        <v>Нормативы технологических потерь при передаче тепловой энергии, теплоносителя по тепловым сетям, утвержденные уполномоченным органом</v>
      </c>
      <c r="G139" s="1998" t="s">
        <v>725</v>
      </c>
      <c r="H139" s="681"/>
      <c r="I139" s="681">
        <f>I140</f>
        <v>21.84</v>
      </c>
      <c r="J139" s="6590">
        <f>J140</f>
        <v>0.58</v>
      </c>
      <c r="K139" s="6590">
        <f>K140</f>
        <v>1.4</v>
      </c>
      <c r="L139" s="6590">
        <f>L140</f>
        <v>0.15</v>
      </c>
      <c r="M139" s="6590">
        <f>M140</f>
        <v>0.86</v>
      </c>
      <c r="N139" s="6590">
        <f>N140</f>
        <v>0.15</v>
      </c>
      <c r="O139" s="6590">
        <f>O140</f>
        <v>5.56</v>
      </c>
      <c r="P139" s="6590">
        <f>P140</f>
        <v>0.51</v>
      </c>
      <c r="Q139" s="6590">
        <f>Q140</f>
        <v>0.13</v>
      </c>
      <c r="R139" s="6590">
        <f>R140</f>
        <v>0.65</v>
      </c>
      <c r="S139" s="6590">
        <f>S140</f>
        <v>0.4</v>
      </c>
      <c r="T139" s="6590">
        <f>T140</f>
        <v>11.7</v>
      </c>
      <c r="U139" s="6590">
        <f>U140</f>
        <v>0.34</v>
      </c>
      <c r="V139" s="6590">
        <f>V140</f>
        <v>0.01</v>
      </c>
      <c r="W139" s="6590">
        <f>W140</f>
        <v>0.13</v>
      </c>
      <c r="X139" s="6590">
        <f>X140</f>
        <v>0.5</v>
      </c>
      <c r="Y139" s="6590">
        <f>Y140</f>
        <v>12.31</v>
      </c>
      <c r="Z139" s="6590">
        <f>Z140</f>
        <v>0</v>
      </c>
      <c r="AA139" s="6590">
        <f>AA140</f>
        <v>0</v>
      </c>
      <c r="AB139" s="6590">
        <f>AB140</f>
        <v>3.48</v>
      </c>
      <c r="AC139" s="6590">
        <f>AC140</f>
        <v>0.01</v>
      </c>
      <c r="AD139" s="6590">
        <f>AD140</f>
        <v>0.07</v>
      </c>
      <c r="AE139" s="413" t="str">
        <f>FHD_NOTE_P_70</f>
        <v/>
      </c>
      <c r="AF139" s="667"/>
      <c r="AG139" s="1760"/>
      <c r="AH139" s="1760"/>
      <c r="AM139" s="1760"/>
      <c r="AP139" s="668"/>
      <c r="AV139" s="1756"/>
      <c r="AW139" s="1756"/>
      <c r="AX139" s="1756"/>
      <c r="AY139" s="1756"/>
      <c r="AZ139" s="1756"/>
      <c r="BA139" s="1284">
        <v>0</v>
      </c>
    </row>
    <row s="7158" customFormat="1" customHeight="1" ht="22.5">
      <c r="A140" s="2508"/>
      <c r="C140" s="1760"/>
      <c r="D140" s="1762"/>
      <c r="E140" s="670" t="str">
        <f>FHD_NUM_P_71</f>
        <v>12</v>
      </c>
      <c r="F140" s="2001" t="str">
        <f>FHD_P_71</f>
        <v>Фактический объем потерь при передаче тепловой энергии</v>
      </c>
      <c r="G140" s="1998" t="s">
        <v>725</v>
      </c>
      <c r="H140" s="681"/>
      <c r="I140" s="681">
        <v>21.84</v>
      </c>
      <c r="J140" s="6590">
        <v>0.58</v>
      </c>
      <c r="K140" s="6590">
        <v>1.4</v>
      </c>
      <c r="L140" s="6590">
        <v>0.15</v>
      </c>
      <c r="M140" s="6590">
        <v>0.86</v>
      </c>
      <c r="N140" s="6590">
        <v>0.15</v>
      </c>
      <c r="O140" s="6590">
        <v>5.56</v>
      </c>
      <c r="P140" s="6590">
        <v>0.51</v>
      </c>
      <c r="Q140" s="6590">
        <v>0.13</v>
      </c>
      <c r="R140" s="6590">
        <v>0.65</v>
      </c>
      <c r="S140" s="6590">
        <v>0.4</v>
      </c>
      <c r="T140" s="6590">
        <v>11.7</v>
      </c>
      <c r="U140" s="6590">
        <v>0.34</v>
      </c>
      <c r="V140" s="6590">
        <v>0.01</v>
      </c>
      <c r="W140" s="6590">
        <v>0.13</v>
      </c>
      <c r="X140" s="6590">
        <v>0.5</v>
      </c>
      <c r="Y140" s="6590">
        <v>12.31</v>
      </c>
      <c r="Z140" s="6590">
        <v>0</v>
      </c>
      <c r="AA140" s="6590">
        <v>0</v>
      </c>
      <c r="AB140" s="6590">
        <v>3.48</v>
      </c>
      <c r="AC140" s="6590">
        <v>0.01</v>
      </c>
      <c r="AD140" s="6590">
        <v>0.07</v>
      </c>
      <c r="AE140" s="413" t="str">
        <f>FHD_NOTE_P_71</f>
        <v/>
      </c>
      <c r="AF140" s="667"/>
      <c r="AG140" s="1760"/>
      <c r="AH140" s="1760"/>
      <c r="AM140" s="1760"/>
      <c r="AP140" s="668"/>
      <c r="AV140" s="1756"/>
      <c r="AW140" s="1756"/>
      <c r="AX140" s="1756"/>
      <c r="AY140" s="1756"/>
      <c r="AZ140" s="1756"/>
      <c r="BA140" s="1284">
        <v>0</v>
      </c>
    </row>
    <row customHeight="1" ht="23.25">
      <c r="D141" s="1762"/>
      <c r="E141" s="670" t="str">
        <f>FHD_NUM_P_72</f>
        <v>13</v>
      </c>
      <c r="F141" s="2001" t="str">
        <f>FHD_P_72</f>
        <v>Среднесписочная численность основного производственного персонала</v>
      </c>
      <c r="G141" s="1997" t="s">
        <v>726</v>
      </c>
      <c r="H141" s="701"/>
      <c r="I141" s="701">
        <v>57.54</v>
      </c>
      <c r="J141" s="6613">
        <v>7.94</v>
      </c>
      <c r="K141" s="6613">
        <v>13.76</v>
      </c>
      <c r="L141" s="6613">
        <v>9.67</v>
      </c>
      <c r="M141" s="6613">
        <v>5.75</v>
      </c>
      <c r="N141" s="6613">
        <v>11.29</v>
      </c>
      <c r="O141" s="6613">
        <v>45.99</v>
      </c>
      <c r="P141" s="6613">
        <v>6.34</v>
      </c>
      <c r="Q141" s="6613">
        <v>2.55</v>
      </c>
      <c r="R141" s="6613">
        <v>3.36</v>
      </c>
      <c r="S141" s="6613">
        <v>6.4</v>
      </c>
      <c r="T141" s="6613">
        <v>30.18</v>
      </c>
      <c r="U141" s="6613">
        <v>3.25</v>
      </c>
      <c r="V141" s="6613">
        <v>3.35</v>
      </c>
      <c r="W141" s="6613">
        <v>5.7</v>
      </c>
      <c r="X141" s="6613">
        <v>7.16</v>
      </c>
      <c r="Y141" s="6613">
        <v>38.6</v>
      </c>
      <c r="Z141" s="6613">
        <v>0.62</v>
      </c>
      <c r="AA141" s="6613">
        <v>1.27</v>
      </c>
      <c r="AB141" s="6613">
        <v>16.23</v>
      </c>
      <c r="AC141" s="6613">
        <v>4.92</v>
      </c>
      <c r="AD141" s="6613">
        <v>2.45</v>
      </c>
      <c r="AE141" s="413" t="str">
        <f>FHD_NOTE_P_72</f>
        <v/>
      </c>
      <c r="AF141" s="667"/>
      <c r="BA141" s="1755">
        <v>19</v>
      </c>
    </row>
    <row customHeight="1" ht="30.75">
      <c r="A142" s="1113" t="s">
        <v>727</v>
      </c>
      <c r="D142" s="1762"/>
      <c r="E142" s="670" t="str">
        <f>FHD_NUM_P_73</f>
        <v>14</v>
      </c>
      <c r="F142" s="2001" t="str">
        <f>FHD_P_73</f>
        <v>Среднесписочная численность административно-управленческого персонала</v>
      </c>
      <c r="G142" s="1094" t="s">
        <v>726</v>
      </c>
      <c r="H142" s="1092"/>
      <c r="I142" s="1092">
        <v>40.43</v>
      </c>
      <c r="J142" s="6660">
        <v>1.25</v>
      </c>
      <c r="K142" s="6660">
        <v>3.14</v>
      </c>
      <c r="L142" s="6660">
        <v>2.56</v>
      </c>
      <c r="M142" s="6660">
        <v>1.63</v>
      </c>
      <c r="N142" s="6660">
        <v>0.9</v>
      </c>
      <c r="O142" s="6660">
        <v>7.87</v>
      </c>
      <c r="P142" s="6660">
        <v>1.44</v>
      </c>
      <c r="Q142" s="6660">
        <v>0.32</v>
      </c>
      <c r="R142" s="6660">
        <v>0.92</v>
      </c>
      <c r="S142" s="6660">
        <v>1.22</v>
      </c>
      <c r="T142" s="6660">
        <v>11.12</v>
      </c>
      <c r="U142" s="6660">
        <v>0.8</v>
      </c>
      <c r="V142" s="6660">
        <v>0.41</v>
      </c>
      <c r="W142" s="6660">
        <v>0.98</v>
      </c>
      <c r="X142" s="6660">
        <v>2.08</v>
      </c>
      <c r="Y142" s="6660">
        <v>20.36</v>
      </c>
      <c r="Z142" s="6660">
        <v>0.02</v>
      </c>
      <c r="AA142" s="6660">
        <v>0.23</v>
      </c>
      <c r="AB142" s="6660">
        <v>4.44</v>
      </c>
      <c r="AC142" s="6660">
        <v>1.07</v>
      </c>
      <c r="AD142" s="6660">
        <v>0.27</v>
      </c>
      <c r="AE142" s="413" t="str">
        <f>FHD_NOTE_P_73</f>
        <v/>
      </c>
      <c r="AF142" s="667"/>
      <c r="BA142" s="1755">
        <v>0</v>
      </c>
    </row>
    <row customHeight="1" ht="33.75" hidden="1">
      <c r="A143" s="1113" t="s">
        <v>728</v>
      </c>
      <c r="D143" s="1762"/>
      <c r="E143" s="670" t="str">
        <f>FHD_NUM_P_74</f>
        <v/>
      </c>
      <c r="F143" s="2001" t="str">
        <f>FHD_P_74</f>
        <v/>
      </c>
      <c r="G143" s="1997" t="s">
        <v>729</v>
      </c>
      <c r="H143" s="701"/>
      <c r="I143" s="701"/>
      <c r="J143" s="6613"/>
      <c r="K143" s="6613"/>
      <c r="L143" s="6613"/>
      <c r="M143" s="6613"/>
      <c r="N143" s="6613"/>
      <c r="O143" s="6613"/>
      <c r="P143" s="6613"/>
      <c r="Q143" s="6613"/>
      <c r="R143" s="6613"/>
      <c r="S143" s="6613"/>
      <c r="T143" s="6613"/>
      <c r="U143" s="6613"/>
      <c r="V143" s="6613"/>
      <c r="W143" s="6613"/>
      <c r="X143" s="6613"/>
      <c r="Y143" s="6613"/>
      <c r="Z143" s="6613"/>
      <c r="AA143" s="6613"/>
      <c r="AB143" s="6613"/>
      <c r="AC143" s="6613"/>
      <c r="AD143" s="6613"/>
      <c r="AE143" s="413" t="str">
        <f>FHD_NOTE_P_74</f>
        <v/>
      </c>
      <c r="AF143" s="667"/>
      <c r="BA143" s="1755">
        <v>0</v>
      </c>
    </row>
    <row s="7213" customFormat="1" customHeight="1" ht="18.75" hidden="1">
      <c r="A144" s="2510" t="s">
        <v>730</v>
      </c>
      <c r="B144" s="1034"/>
      <c r="C144" s="859"/>
      <c r="D144" s="857"/>
      <c r="E144" s="670" t="str">
        <f>FHD_NUM_P_75</f>
        <v/>
      </c>
      <c r="F144" s="2001" t="str">
        <f>FHD_P_75</f>
        <v/>
      </c>
      <c r="G144" s="1997" t="s">
        <v>670</v>
      </c>
      <c r="H144" s="681"/>
      <c r="I144" s="681"/>
      <c r="J144" s="6590"/>
      <c r="K144" s="6590"/>
      <c r="L144" s="6590"/>
      <c r="M144" s="6590"/>
      <c r="N144" s="6590"/>
      <c r="O144" s="6590"/>
      <c r="P144" s="6590"/>
      <c r="Q144" s="6590"/>
      <c r="R144" s="6590"/>
      <c r="S144" s="6590"/>
      <c r="T144" s="6590"/>
      <c r="U144" s="6590"/>
      <c r="V144" s="6590"/>
      <c r="W144" s="6590"/>
      <c r="X144" s="6590"/>
      <c r="Y144" s="6590"/>
      <c r="Z144" s="6590"/>
      <c r="AA144" s="6590"/>
      <c r="AB144" s="6590"/>
      <c r="AC144" s="6590"/>
      <c r="AD144" s="6590"/>
      <c r="AE144" s="413" t="str">
        <f>FHD_NOTE_P_75</f>
        <v/>
      </c>
      <c r="AF144" s="858"/>
      <c r="AG144" s="859"/>
      <c r="AH144" s="859"/>
      <c r="AI144" s="1034"/>
      <c r="AJ144" s="1034"/>
      <c r="AK144" s="1034"/>
      <c r="AL144" s="1034"/>
      <c r="AM144" s="859"/>
      <c r="AN144" s="1034"/>
      <c r="AO144" s="1034"/>
      <c r="AP144" s="860"/>
      <c r="AQ144" s="1034"/>
      <c r="AR144" s="1034"/>
      <c r="AS144" s="1034"/>
      <c r="AT144" s="1034"/>
      <c r="AU144" s="1034"/>
      <c r="AV144" s="861"/>
      <c r="AW144" s="861"/>
      <c r="AX144" s="861"/>
      <c r="AY144" s="861"/>
      <c r="AZ144" s="861"/>
      <c r="BA144" s="863">
        <v>0</v>
      </c>
    </row>
    <row s="7213" customFormat="1" customHeight="1" ht="18.75" hidden="1">
      <c r="A145" s="2510"/>
      <c r="B145" s="1034"/>
      <c r="C145" s="859"/>
      <c r="D145" s="857"/>
      <c r="E145" s="670" t="str">
        <f>FHD_NUM_P_76</f>
        <v/>
      </c>
      <c r="F145" s="2001" t="str">
        <f>FHD_P_76</f>
        <v/>
      </c>
      <c r="G145" s="1997" t="s">
        <v>670</v>
      </c>
      <c r="H145" s="681"/>
      <c r="I145" s="681"/>
      <c r="J145" s="6590"/>
      <c r="K145" s="6590"/>
      <c r="L145" s="6590"/>
      <c r="M145" s="6590"/>
      <c r="N145" s="6590"/>
      <c r="O145" s="6590"/>
      <c r="P145" s="6590"/>
      <c r="Q145" s="6590"/>
      <c r="R145" s="6590"/>
      <c r="S145" s="6590"/>
      <c r="T145" s="6590"/>
      <c r="U145" s="6590"/>
      <c r="V145" s="6590"/>
      <c r="W145" s="6590"/>
      <c r="X145" s="6590"/>
      <c r="Y145" s="6590"/>
      <c r="Z145" s="6590"/>
      <c r="AA145" s="6590"/>
      <c r="AB145" s="6590"/>
      <c r="AC145" s="6590"/>
      <c r="AD145" s="6590"/>
      <c r="AE145" s="413" t="str">
        <f>FHD_NOTE_P_76</f>
        <v/>
      </c>
      <c r="AF145" s="858"/>
      <c r="AG145" s="859"/>
      <c r="AH145" s="859"/>
      <c r="AI145" s="1034"/>
      <c r="AJ145" s="1034"/>
      <c r="AK145" s="1034"/>
      <c r="AL145" s="1034"/>
      <c r="AM145" s="859"/>
      <c r="AN145" s="1034"/>
      <c r="AO145" s="1034"/>
      <c r="AP145" s="860"/>
      <c r="AQ145" s="1034"/>
      <c r="AR145" s="1034"/>
      <c r="AS145" s="1034"/>
      <c r="AT145" s="1034"/>
      <c r="AU145" s="1034"/>
      <c r="AV145" s="861"/>
      <c r="AW145" s="861"/>
      <c r="AX145" s="861"/>
      <c r="AY145" s="861"/>
      <c r="AZ145" s="861"/>
      <c r="BA145" s="863">
        <v>0</v>
      </c>
    </row>
    <row s="7213" customFormat="1" customHeight="1" ht="18.75" hidden="1">
      <c r="A146" s="2510"/>
      <c r="B146" s="1034"/>
      <c r="C146" s="859"/>
      <c r="D146" s="857"/>
      <c r="E146" s="670" t="str">
        <f>FHD_NUM_P_77</f>
        <v/>
      </c>
      <c r="F146" s="2001" t="str">
        <f>FHD_P_77</f>
        <v/>
      </c>
      <c r="G146" s="1997" t="s">
        <v>670</v>
      </c>
      <c r="H146" s="681"/>
      <c r="I146" s="681"/>
      <c r="J146" s="6590"/>
      <c r="K146" s="6590"/>
      <c r="L146" s="6590"/>
      <c r="M146" s="6590"/>
      <c r="N146" s="6590"/>
      <c r="O146" s="6590"/>
      <c r="P146" s="6590"/>
      <c r="Q146" s="6590"/>
      <c r="R146" s="6590"/>
      <c r="S146" s="6590"/>
      <c r="T146" s="6590"/>
      <c r="U146" s="6590"/>
      <c r="V146" s="6590"/>
      <c r="W146" s="6590"/>
      <c r="X146" s="6590"/>
      <c r="Y146" s="6590"/>
      <c r="Z146" s="6590"/>
      <c r="AA146" s="6590"/>
      <c r="AB146" s="6590"/>
      <c r="AC146" s="6590"/>
      <c r="AD146" s="6590"/>
      <c r="AE146" s="413" t="str">
        <f>FHD_NOTE_P_77</f>
        <v/>
      </c>
      <c r="AF146" s="858"/>
      <c r="AG146" s="859"/>
      <c r="AH146" s="859"/>
      <c r="AI146" s="1034"/>
      <c r="AJ146" s="1034"/>
      <c r="AK146" s="1034"/>
      <c r="AL146" s="1034"/>
      <c r="AM146" s="859"/>
      <c r="AN146" s="1034"/>
      <c r="AO146" s="1034"/>
      <c r="AP146" s="860"/>
      <c r="AQ146" s="1034"/>
      <c r="AR146" s="1034"/>
      <c r="AS146" s="1034"/>
      <c r="AT146" s="1034"/>
      <c r="AU146" s="1034"/>
      <c r="AV146" s="861"/>
      <c r="AW146" s="861"/>
      <c r="AX146" s="861"/>
      <c r="AY146" s="861"/>
      <c r="AZ146" s="861"/>
      <c r="BA146" s="863">
        <v>0</v>
      </c>
    </row>
    <row s="6698" customFormat="1" customHeight="1" ht="0.75" hidden="1">
      <c r="A147" s="2510"/>
      <c r="D147" s="672"/>
      <c r="E147" s="1137" t="str">
        <f>E146&amp;".0"</f>
        <v>.0</v>
      </c>
      <c r="F147" s="1121"/>
      <c r="G147" s="1775"/>
      <c r="H147" s="1116"/>
      <c r="I147" s="1116"/>
      <c r="J147" s="6624"/>
      <c r="K147" s="6624"/>
      <c r="L147" s="6624"/>
      <c r="M147" s="6624"/>
      <c r="N147" s="6624"/>
      <c r="O147" s="6624"/>
      <c r="P147" s="6624"/>
      <c r="Q147" s="6624"/>
      <c r="R147" s="6624"/>
      <c r="S147" s="6624"/>
      <c r="T147" s="6624"/>
      <c r="U147" s="6624"/>
      <c r="V147" s="6624"/>
      <c r="W147" s="6624"/>
      <c r="X147" s="6624"/>
      <c r="Y147" s="6624"/>
      <c r="Z147" s="6624"/>
      <c r="AA147" s="6624"/>
      <c r="AB147" s="6624"/>
      <c r="AC147" s="6624"/>
      <c r="AD147" s="6624"/>
      <c r="AE147" s="1120"/>
      <c r="BA147" s="1760">
        <v>0</v>
      </c>
    </row>
    <row s="7213" customFormat="1" customHeight="1" ht="15" hidden="1">
      <c r="A148" s="2510"/>
      <c r="B148" s="1034"/>
      <c r="C148" s="859"/>
      <c r="D148" s="870"/>
      <c r="E148" s="1097"/>
      <c r="F148" s="1098" t="s">
        <v>731</v>
      </c>
      <c r="G148" s="871"/>
      <c r="H148" s="872"/>
      <c r="I148" s="872"/>
      <c r="J148" s="8027"/>
      <c r="K148" s="8028"/>
      <c r="L148" s="8029"/>
      <c r="M148" s="8030"/>
      <c r="N148" s="8031"/>
      <c r="O148" s="8032"/>
      <c r="P148" s="8033"/>
      <c r="Q148" s="8034"/>
      <c r="R148" s="8035"/>
      <c r="S148" s="8036"/>
      <c r="T148" s="8037"/>
      <c r="U148" s="8038"/>
      <c r="V148" s="8039"/>
      <c r="W148" s="8040"/>
      <c r="X148" s="8041"/>
      <c r="Y148" s="8042"/>
      <c r="Z148" s="8043"/>
      <c r="AA148" s="8044"/>
      <c r="AB148" s="8045"/>
      <c r="AC148" s="8046"/>
      <c r="AD148" s="8047"/>
      <c r="AE148" s="1127" t="s">
        <v>732</v>
      </c>
      <c r="AF148" s="858"/>
      <c r="AG148" s="859"/>
      <c r="AH148" s="859"/>
      <c r="AI148" s="1034"/>
      <c r="AJ148" s="1034"/>
      <c r="AK148" s="1034"/>
      <c r="AL148" s="1034"/>
      <c r="AM148" s="859"/>
      <c r="AN148" s="1034"/>
      <c r="AO148" s="1034"/>
      <c r="AP148" s="860"/>
      <c r="AQ148" s="1034"/>
      <c r="AR148" s="1034"/>
      <c r="AS148" s="1034"/>
      <c r="AT148" s="1034"/>
      <c r="AU148" s="1034"/>
      <c r="AV148" s="861"/>
      <c r="AW148" s="861"/>
      <c r="AX148" s="861"/>
      <c r="AY148" s="861"/>
      <c r="AZ148" s="861"/>
      <c r="BA148" s="863">
        <v>0</v>
      </c>
    </row>
    <row customHeight="1" ht="72.75">
      <c r="A149" s="2508" t="s">
        <v>733</v>
      </c>
      <c r="D149" s="1762"/>
      <c r="E149" s="670" t="str">
        <f>FHD_NUM_P_78</f>
        <v>15</v>
      </c>
      <c r="F149" s="200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9" s="1998" t="s">
        <v>672</v>
      </c>
      <c r="H149" s="701"/>
      <c r="I149" s="701">
        <v>155.75</v>
      </c>
      <c r="J149" s="6613">
        <v>151.31</v>
      </c>
      <c r="K149" s="6613">
        <v>152.61</v>
      </c>
      <c r="L149" s="6613">
        <v>160.81</v>
      </c>
      <c r="M149" s="6613">
        <v>154.65</v>
      </c>
      <c r="N149" s="6613">
        <v>155.52</v>
      </c>
      <c r="O149" s="6613">
        <v>158.1</v>
      </c>
      <c r="P149" s="6613">
        <v>152.28</v>
      </c>
      <c r="Q149" s="6613">
        <v>152.69</v>
      </c>
      <c r="R149" s="6613">
        <v>152.62</v>
      </c>
      <c r="S149" s="6613">
        <v>156.85</v>
      </c>
      <c r="T149" s="6613">
        <v>157.12</v>
      </c>
      <c r="U149" s="6613">
        <v>154.33</v>
      </c>
      <c r="V149" s="6613">
        <v>158.34</v>
      </c>
      <c r="W149" s="6613">
        <v>156.27</v>
      </c>
      <c r="X149" s="6613">
        <f>X152</f>
        <v>166.05</v>
      </c>
      <c r="Y149" s="6613">
        <v>164.48</v>
      </c>
      <c r="Z149" s="6613">
        <v>156.35</v>
      </c>
      <c r="AA149" s="6613">
        <v>155.01</v>
      </c>
      <c r="AB149" s="6613">
        <f>AB152</f>
        <v>185.62</v>
      </c>
      <c r="AC149" s="6613">
        <f>AC152</f>
        <v>154.44</v>
      </c>
      <c r="AD149" s="6613">
        <v>151.93</v>
      </c>
      <c r="AE149" s="413" t="str">
        <f>FHD_NOTE_P_78</f>
        <v/>
      </c>
      <c r="AF149" s="667"/>
      <c r="BA149" s="1755">
        <v>0</v>
      </c>
    </row>
    <row s="6698" customFormat="1" customHeight="1" ht="0.75">
      <c r="A150" s="2508"/>
      <c r="D150" s="672"/>
      <c r="E150" s="1137" t="str">
        <f>E149&amp;".0"</f>
        <v>15.0</v>
      </c>
      <c r="F150" s="1121"/>
      <c r="G150" s="1775"/>
      <c r="H150" s="1116"/>
      <c r="I150" s="1116"/>
      <c r="J150" s="6624"/>
      <c r="K150" s="6624"/>
      <c r="L150" s="6624"/>
      <c r="M150" s="6624"/>
      <c r="N150" s="6624"/>
      <c r="O150" s="6624"/>
      <c r="P150" s="6624"/>
      <c r="Q150" s="6624"/>
      <c r="R150" s="6624"/>
      <c r="S150" s="6624"/>
      <c r="T150" s="6624"/>
      <c r="U150" s="6624"/>
      <c r="V150" s="6624"/>
      <c r="W150" s="6624"/>
      <c r="X150" s="6624"/>
      <c r="Y150" s="6624"/>
      <c r="Z150" s="6624"/>
      <c r="AA150" s="6624"/>
      <c r="AB150" s="6624"/>
      <c r="AC150" s="6624"/>
      <c r="AD150" s="6624"/>
      <c r="AE150" s="1120"/>
      <c r="BA150" s="1760">
        <v>0</v>
      </c>
    </row>
    <row customHeight="1" ht="15">
      <c r="A151" s="2508"/>
      <c r="D151" s="1757"/>
      <c r="E151" s="694"/>
      <c r="F151" s="1292" t="s">
        <v>723</v>
      </c>
      <c r="G151" s="696"/>
      <c r="H151" s="697"/>
      <c r="I151" s="697"/>
      <c r="J151" s="8048"/>
      <c r="K151" s="8049"/>
      <c r="L151" s="8050"/>
      <c r="M151" s="8051"/>
      <c r="N151" s="8052"/>
      <c r="O151" s="8053"/>
      <c r="P151" s="8054"/>
      <c r="Q151" s="8055"/>
      <c r="R151" s="8056"/>
      <c r="S151" s="8057"/>
      <c r="T151" s="8058"/>
      <c r="U151" s="8059"/>
      <c r="V151" s="8060"/>
      <c r="W151" s="8061"/>
      <c r="X151" s="8062"/>
      <c r="Y151" s="8063"/>
      <c r="Z151" s="8064"/>
      <c r="AA151" s="8065"/>
      <c r="AB151" s="8066"/>
      <c r="AC151" s="8067"/>
      <c r="AD151" s="8068"/>
      <c r="AE151" s="1128" t="s">
        <v>734</v>
      </c>
      <c r="AF151" s="667"/>
      <c r="BA151" s="1755">
        <v>0</v>
      </c>
    </row>
    <row customHeight="1" ht="72.75">
      <c r="A152" s="2508"/>
      <c r="D152" s="1762"/>
      <c r="E152" s="670" t="str">
        <f>FHD_NUM_P_79</f>
        <v>16</v>
      </c>
      <c r="F152" s="200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2" s="1999" t="s">
        <v>674</v>
      </c>
      <c r="H152" s="701"/>
      <c r="I152" s="701">
        <v>144.23</v>
      </c>
      <c r="J152" s="6613">
        <v>146.26</v>
      </c>
      <c r="K152" s="6613">
        <v>154.09</v>
      </c>
      <c r="L152" s="6613">
        <v>139.3</v>
      </c>
      <c r="M152" s="6613">
        <v>137.44</v>
      </c>
      <c r="N152" s="6613">
        <v>134.84</v>
      </c>
      <c r="O152" s="6613">
        <v>172.48</v>
      </c>
      <c r="P152" s="6613">
        <v>128.05</v>
      </c>
      <c r="Q152" s="6613">
        <v>147.19</v>
      </c>
      <c r="R152" s="6613">
        <v>150.3</v>
      </c>
      <c r="S152" s="6613">
        <v>162.34</v>
      </c>
      <c r="T152" s="6613">
        <v>130.53</v>
      </c>
      <c r="U152" s="6613">
        <v>124.48</v>
      </c>
      <c r="V152" s="6613">
        <v>215.98</v>
      </c>
      <c r="W152" s="6613">
        <v>157.36</v>
      </c>
      <c r="X152" s="6613">
        <v>166.05</v>
      </c>
      <c r="Y152" s="6613">
        <v>165.24</v>
      </c>
      <c r="Z152" s="6613">
        <v>198.64</v>
      </c>
      <c r="AA152" s="6613">
        <v>0</v>
      </c>
      <c r="AB152" s="6613">
        <v>185.62</v>
      </c>
      <c r="AC152" s="6613">
        <v>154.44</v>
      </c>
      <c r="AD152" s="6613">
        <v>150.57</v>
      </c>
      <c r="AE152" s="41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F152" s="667"/>
      <c r="BA152" s="1755">
        <v>0</v>
      </c>
    </row>
    <row s="6698" customFormat="1" customHeight="1" ht="0.75">
      <c r="A153" s="2508"/>
      <c r="D153" s="672"/>
      <c r="E153" s="1137" t="str">
        <f>E152&amp;".0"</f>
        <v>16.0</v>
      </c>
      <c r="F153" s="1122"/>
      <c r="G153" s="1775"/>
      <c r="H153" s="1116"/>
      <c r="I153" s="1116"/>
      <c r="J153" s="6624"/>
      <c r="K153" s="6624"/>
      <c r="L153" s="6624"/>
      <c r="M153" s="6624"/>
      <c r="N153" s="6624"/>
      <c r="O153" s="6624"/>
      <c r="P153" s="6624"/>
      <c r="Q153" s="6624"/>
      <c r="R153" s="6624"/>
      <c r="S153" s="6624"/>
      <c r="T153" s="6624"/>
      <c r="U153" s="6624"/>
      <c r="V153" s="6624"/>
      <c r="W153" s="6624"/>
      <c r="X153" s="6624"/>
      <c r="Y153" s="6624"/>
      <c r="Z153" s="6624"/>
      <c r="AA153" s="6624"/>
      <c r="AB153" s="6624"/>
      <c r="AC153" s="6624"/>
      <c r="AD153" s="6624"/>
      <c r="AE153" s="1120"/>
      <c r="BA153" s="1760">
        <v>0</v>
      </c>
    </row>
    <row customHeight="1" ht="15">
      <c r="A154" s="2508"/>
      <c r="D154" s="1757"/>
      <c r="E154" s="694"/>
      <c r="F154" s="1292" t="s">
        <v>723</v>
      </c>
      <c r="G154" s="696"/>
      <c r="H154" s="697"/>
      <c r="I154" s="697"/>
      <c r="J154" s="8069"/>
      <c r="K154" s="8070"/>
      <c r="L154" s="8071"/>
      <c r="M154" s="8072"/>
      <c r="N154" s="8073"/>
      <c r="O154" s="8074"/>
      <c r="P154" s="8075"/>
      <c r="Q154" s="8076"/>
      <c r="R154" s="8077"/>
      <c r="S154" s="8078"/>
      <c r="T154" s="8079"/>
      <c r="U154" s="8080"/>
      <c r="V154" s="8081"/>
      <c r="W154" s="8082"/>
      <c r="X154" s="8083"/>
      <c r="Y154" s="8084"/>
      <c r="Z154" s="8085"/>
      <c r="AA154" s="8086"/>
      <c r="AB154" s="8087"/>
      <c r="AC154" s="8088"/>
      <c r="AD154" s="8089"/>
      <c r="AE154" s="1128" t="s">
        <v>735</v>
      </c>
      <c r="AF154" s="667"/>
      <c r="BA154" s="1755">
        <v>0</v>
      </c>
    </row>
    <row customHeight="1" ht="48">
      <c r="A155" s="2508"/>
      <c r="D155" s="1762"/>
      <c r="E155" s="670" t="str">
        <f>FHD_NUM_P_80</f>
        <v>17</v>
      </c>
      <c r="F155" s="200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5" s="1999" t="s">
        <v>736</v>
      </c>
      <c r="H155" s="681"/>
      <c r="I155" s="681">
        <v>0.03</v>
      </c>
      <c r="J155" s="6590">
        <v>0.03</v>
      </c>
      <c r="K155" s="6590">
        <v>0.04</v>
      </c>
      <c r="L155" s="6590">
        <v>0.02</v>
      </c>
      <c r="M155" s="6590">
        <v>0.03</v>
      </c>
      <c r="N155" s="6590">
        <v>0.01</v>
      </c>
      <c r="O155" s="6590">
        <v>0.03</v>
      </c>
      <c r="P155" s="6590">
        <v>0.03</v>
      </c>
      <c r="Q155" s="6590">
        <v>0.03</v>
      </c>
      <c r="R155" s="6590">
        <v>0.03</v>
      </c>
      <c r="S155" s="6590">
        <v>0.04</v>
      </c>
      <c r="T155" s="6590">
        <v>0.02</v>
      </c>
      <c r="U155" s="6590">
        <v>0.01</v>
      </c>
      <c r="V155" s="6590">
        <v>0.05</v>
      </c>
      <c r="W155" s="6590">
        <v>0.01</v>
      </c>
      <c r="X155" s="6590">
        <v>0.04</v>
      </c>
      <c r="Y155" s="6590">
        <v>0.04</v>
      </c>
      <c r="Z155" s="6590">
        <v>0.04</v>
      </c>
      <c r="AA155" s="6590">
        <v>0</v>
      </c>
      <c r="AB155" s="6590">
        <v>0.02</v>
      </c>
      <c r="AC155" s="6590">
        <v>0.02</v>
      </c>
      <c r="AD155" s="6590">
        <v>0.04</v>
      </c>
      <c r="AE155" s="413" t="str">
        <f>FHD_NOTE_P_80</f>
        <v>Регулируемыми организациями указывается информация с по договорам, заключенным в рамках осуществления регулируемой деятельности.</v>
      </c>
      <c r="AF155" s="667"/>
      <c r="BA155" s="1755">
        <v>0</v>
      </c>
    </row>
    <row customHeight="1" ht="45">
      <c r="A156" s="2508"/>
      <c r="D156" s="1762"/>
      <c r="E156" s="670" t="str">
        <f>FHD_NUM_P_81</f>
        <v>18</v>
      </c>
      <c r="F156" s="200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999" t="s">
        <v>737</v>
      </c>
      <c r="H156" s="681"/>
      <c r="I156" s="681">
        <v>1.32</v>
      </c>
      <c r="J156" s="6590">
        <v>0.09</v>
      </c>
      <c r="K156" s="6590">
        <v>0.05</v>
      </c>
      <c r="L156" s="6590">
        <v>0.02</v>
      </c>
      <c r="M156" s="6590">
        <v>0.01</v>
      </c>
      <c r="N156" s="6590">
        <v>0</v>
      </c>
      <c r="O156" s="6590">
        <v>0.15</v>
      </c>
      <c r="P156" s="6590">
        <v>0.08</v>
      </c>
      <c r="Q156" s="6590">
        <v>0.01</v>
      </c>
      <c r="R156" s="6590">
        <v>0.1</v>
      </c>
      <c r="S156" s="6590">
        <v>0.09</v>
      </c>
      <c r="T156" s="6590">
        <v>0</v>
      </c>
      <c r="U156" s="6590">
        <v>0</v>
      </c>
      <c r="V156" s="6590">
        <v>0</v>
      </c>
      <c r="W156" s="6590">
        <v>0</v>
      </c>
      <c r="X156" s="6590">
        <v>2.08</v>
      </c>
      <c r="Y156" s="6590">
        <v>0.37</v>
      </c>
      <c r="Z156" s="6590">
        <v>0</v>
      </c>
      <c r="AA156" s="6590">
        <v>0</v>
      </c>
      <c r="AB156" s="6590">
        <v>0.19</v>
      </c>
      <c r="AC156" s="6590">
        <v>0</v>
      </c>
      <c r="AD156" s="6590">
        <v>0.02</v>
      </c>
      <c r="AE156" s="413" t="str">
        <f>FHD_NOTE_P_81</f>
        <v>Регулируемыми организациями указывается информация с по договорам, заключенным в рамках осуществления регулируемой деятельности.</v>
      </c>
      <c r="AF156" s="667"/>
      <c r="BA156" s="1755">
        <v>0</v>
      </c>
    </row>
    <row customHeight="1" ht="18.75">
      <c r="A157" s="2508"/>
      <c r="C157" s="1760" t="s">
        <v>715</v>
      </c>
      <c r="D157" s="1762"/>
      <c r="E157" s="670" t="str">
        <f>FHD_NUM_P_82</f>
        <v>19</v>
      </c>
      <c r="F157" s="200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7" s="1999" t="s">
        <v>418</v>
      </c>
      <c r="H157" s="525"/>
      <c r="I157" s="525"/>
      <c r="J157" s="6670"/>
      <c r="K157" s="6670"/>
      <c r="L157" s="6670"/>
      <c r="M157" s="6670"/>
      <c r="N157" s="6670"/>
      <c r="O157" s="6670"/>
      <c r="P157" s="6670"/>
      <c r="Q157" s="6670"/>
      <c r="R157" s="6670"/>
      <c r="S157" s="6670"/>
      <c r="T157" s="6670"/>
      <c r="U157" s="6670"/>
      <c r="V157" s="6670"/>
      <c r="W157" s="6670"/>
      <c r="X157" s="6670"/>
      <c r="Y157" s="6670"/>
      <c r="Z157" s="6670"/>
      <c r="AA157" s="6670"/>
      <c r="AB157" s="6670"/>
      <c r="AC157" s="6670"/>
      <c r="AD157" s="6670"/>
      <c r="AE157" s="413" t="str">
        <f>FHD_NOTE_P_82</f>
        <v>Указывается ссылка на документ, предварительно загруженный в хранилище файлов ФГИС ЕИАС.</v>
      </c>
      <c r="AF157" s="667"/>
      <c r="BA157" s="1755">
        <v>0</v>
      </c>
    </row>
    <row customHeight="1" ht="18.75">
      <c r="A158" s="2508"/>
      <c r="C158" s="1760" t="s">
        <v>715</v>
      </c>
      <c r="D158" s="1762"/>
      <c r="E158" s="670" t="str">
        <f>FHD_NUM_P_83</f>
        <v>19.1</v>
      </c>
      <c r="F158" s="1648" t="str">
        <f>FHD_P_83</f>
        <v>Информация о показателях физического износа объектов теплоснабжения</v>
      </c>
      <c r="G158" s="1999" t="s">
        <v>418</v>
      </c>
      <c r="H158" s="525"/>
      <c r="I158" s="525"/>
      <c r="J158" s="6670"/>
      <c r="K158" s="6670"/>
      <c r="L158" s="6670"/>
      <c r="M158" s="6670"/>
      <c r="N158" s="6670"/>
      <c r="O158" s="6670"/>
      <c r="P158" s="6670"/>
      <c r="Q158" s="6670"/>
      <c r="R158" s="6670"/>
      <c r="S158" s="6670"/>
      <c r="T158" s="6670"/>
      <c r="U158" s="6670"/>
      <c r="V158" s="6670"/>
      <c r="W158" s="6670"/>
      <c r="X158" s="6670"/>
      <c r="Y158" s="6670"/>
      <c r="Z158" s="6670"/>
      <c r="AA158" s="6670"/>
      <c r="AB158" s="6670"/>
      <c r="AC158" s="6670"/>
      <c r="AD158" s="6670"/>
      <c r="AE158" s="413" t="str">
        <f>FHD_NOTE_P_83</f>
        <v>Указывается ссылка на документ, предварительно загруженный в хранилище файлов ФГИС ЕИАС.</v>
      </c>
      <c r="AF158" s="667"/>
      <c r="BA158" s="1755">
        <v>0</v>
      </c>
    </row>
    <row customHeight="1" ht="18.75">
      <c r="A159" s="2508"/>
      <c r="C159" s="1760" t="s">
        <v>715</v>
      </c>
      <c r="D159" s="1762"/>
      <c r="E159" s="670" t="str">
        <f>FHD_NUM_P_84</f>
        <v>19.2</v>
      </c>
      <c r="F159" s="1648" t="str">
        <f>FHD_P_84</f>
        <v>Информация о показателях энергетической эффективности объектов теплоснабжения</v>
      </c>
      <c r="G159" s="1999" t="s">
        <v>418</v>
      </c>
      <c r="H159" s="525"/>
      <c r="I159" s="525"/>
      <c r="J159" s="6670"/>
      <c r="K159" s="6670"/>
      <c r="L159" s="6670"/>
      <c r="M159" s="6670"/>
      <c r="N159" s="6670"/>
      <c r="O159" s="6670"/>
      <c r="P159" s="6670"/>
      <c r="Q159" s="6670"/>
      <c r="R159" s="6670"/>
      <c r="S159" s="6670"/>
      <c r="T159" s="6670"/>
      <c r="U159" s="6670"/>
      <c r="V159" s="6670"/>
      <c r="W159" s="6670"/>
      <c r="X159" s="6670"/>
      <c r="Y159" s="6670"/>
      <c r="Z159" s="6670"/>
      <c r="AA159" s="6670"/>
      <c r="AB159" s="6670"/>
      <c r="AC159" s="6670"/>
      <c r="AD159" s="6670"/>
      <c r="AE159" s="413" t="str">
        <f>FHD_NOTE_P_84</f>
        <v>Указывается ссылка на документ, предварительно загруженный в хранилище файлов ФГИС ЕИАС.</v>
      </c>
      <c r="AF159" s="667"/>
      <c r="BA159" s="1755">
        <v>0</v>
      </c>
    </row>
    <row customHeight="1" ht="11.549999999999999">
      <c r="D160" s="1762"/>
      <c r="J160" s="7213"/>
      <c r="K160" s="7213"/>
      <c r="L160" s="7213"/>
      <c r="M160" s="7213"/>
      <c r="N160" s="7213"/>
      <c r="O160" s="7213"/>
      <c r="P160" s="7213"/>
      <c r="Q160" s="7213"/>
      <c r="R160" s="7213"/>
      <c r="S160" s="7213"/>
      <c r="T160" s="7213"/>
      <c r="U160" s="7213"/>
      <c r="V160" s="7213"/>
      <c r="W160" s="7213"/>
      <c r="X160" s="7213"/>
      <c r="Y160" s="7213"/>
      <c r="Z160" s="7213"/>
      <c r="AA160" s="7213"/>
      <c r="AB160" s="7213"/>
      <c r="AC160" s="7213"/>
      <c r="AD160" s="7213"/>
      <c r="BA160" s="1755">
        <v>11</v>
      </c>
    </row>
    <row customHeight="1" ht="13.5">
      <c r="D161" s="1762"/>
      <c r="E161" s="460"/>
      <c r="F161" s="493"/>
      <c r="G161" s="493"/>
      <c r="H161" s="493"/>
      <c r="I161" s="1771"/>
      <c r="J161" s="7241"/>
      <c r="K161" s="7241"/>
      <c r="L161" s="7241"/>
      <c r="M161" s="7241"/>
      <c r="N161" s="7241"/>
      <c r="O161" s="7241"/>
      <c r="P161" s="7241"/>
      <c r="Q161" s="7241"/>
      <c r="R161" s="7241"/>
      <c r="S161" s="7241"/>
      <c r="T161" s="7241"/>
      <c r="U161" s="7241"/>
      <c r="V161" s="7241"/>
      <c r="W161" s="7241"/>
      <c r="X161" s="7241"/>
      <c r="Y161" s="7241"/>
      <c r="Z161" s="7241"/>
      <c r="AA161" s="7241"/>
      <c r="AB161" s="7241"/>
      <c r="AC161" s="7241"/>
      <c r="AD161" s="7241"/>
      <c r="AE161" s="705"/>
      <c r="BA161" s="1755">
        <v>13</v>
      </c>
    </row>
    <row s="6292" customFormat="1" customHeight="1" ht="11.549999999999999">
      <c r="A162" s="1111"/>
      <c r="B162" s="1760"/>
      <c r="C162" s="1760"/>
      <c r="D162" s="475"/>
      <c r="F162" s="1764"/>
      <c r="G162" s="1755"/>
      <c r="H162" s="1755"/>
      <c r="I162" s="1755"/>
      <c r="J162" s="7213"/>
      <c r="K162" s="7213"/>
      <c r="L162" s="7213"/>
      <c r="M162" s="7213"/>
      <c r="N162" s="7213"/>
      <c r="O162" s="7213"/>
      <c r="P162" s="7213"/>
      <c r="Q162" s="7213"/>
      <c r="R162" s="7213"/>
      <c r="S162" s="7213"/>
      <c r="T162" s="7213"/>
      <c r="U162" s="7213"/>
      <c r="V162" s="7213"/>
      <c r="W162" s="7213"/>
      <c r="X162" s="7213"/>
      <c r="Y162" s="7213"/>
      <c r="Z162" s="7213"/>
      <c r="AA162" s="7213"/>
      <c r="AB162" s="7213"/>
      <c r="AC162" s="7213"/>
      <c r="AD162" s="7213"/>
      <c r="AF162" s="1284"/>
      <c r="AG162" s="1760"/>
      <c r="AH162" s="1760"/>
      <c r="AI162" s="1284"/>
      <c r="AJ162" s="1284"/>
      <c r="AK162" s="1284"/>
      <c r="AL162" s="1284"/>
      <c r="AM162" s="1760"/>
      <c r="AN162" s="1284"/>
      <c r="AO162" s="1284"/>
      <c r="AP162" s="668"/>
      <c r="AQ162" s="1284"/>
      <c r="AR162" s="1284"/>
      <c r="AS162" s="1284"/>
      <c r="AT162" s="1284"/>
      <c r="AU162" s="1284"/>
      <c r="AV162" s="1756"/>
      <c r="AW162" s="690"/>
      <c r="AX162" s="690"/>
      <c r="AY162" s="690"/>
      <c r="AZ162" s="690"/>
      <c r="BA162" s="1765">
        <v>11</v>
      </c>
    </row>
    <row s="6292" customFormat="1" customHeight="1" ht="11.549999999999999">
      <c r="A163" s="1111"/>
      <c r="B163" s="1760"/>
      <c r="C163" s="1760"/>
      <c r="D163" s="475"/>
      <c r="J163" s="6292"/>
      <c r="K163" s="6292"/>
      <c r="L163" s="6292"/>
      <c r="M163" s="6292"/>
      <c r="N163" s="6292"/>
      <c r="O163" s="6292"/>
      <c r="P163" s="6292"/>
      <c r="Q163" s="6292"/>
      <c r="R163" s="6292"/>
      <c r="S163" s="6292"/>
      <c r="T163" s="6292"/>
      <c r="U163" s="6292"/>
      <c r="V163" s="6292"/>
      <c r="W163" s="6292"/>
      <c r="X163" s="6292"/>
      <c r="Y163" s="6292"/>
      <c r="Z163" s="6292"/>
      <c r="AA163" s="6292"/>
      <c r="AB163" s="6292"/>
      <c r="AC163" s="6292"/>
      <c r="AD163" s="6292"/>
      <c r="AF163" s="1284"/>
      <c r="AG163" s="1760"/>
      <c r="AH163" s="1760"/>
      <c r="AI163" s="1284"/>
      <c r="AJ163" s="1284"/>
      <c r="AK163" s="1284"/>
      <c r="AL163" s="1284"/>
      <c r="AM163" s="1760"/>
      <c r="AN163" s="1284"/>
      <c r="AO163" s="1284"/>
      <c r="AP163" s="668"/>
      <c r="AQ163" s="1284"/>
      <c r="AR163" s="1284"/>
      <c r="AS163" s="1284"/>
      <c r="AT163" s="1284"/>
      <c r="AU163" s="1284"/>
      <c r="AV163" s="1756"/>
      <c r="AW163" s="690"/>
      <c r="AX163" s="690"/>
      <c r="AY163" s="690"/>
      <c r="AZ163" s="690"/>
      <c r="BA163" s="1765">
        <v>11</v>
      </c>
    </row>
    <row s="6292" customFormat="1" customHeight="1" ht="11.549999999999999">
      <c r="A164" s="1111"/>
      <c r="B164" s="1760"/>
      <c r="C164" s="1760"/>
      <c r="D164" s="475"/>
      <c r="J164" s="6292"/>
      <c r="K164" s="6292"/>
      <c r="L164" s="6292"/>
      <c r="M164" s="6292"/>
      <c r="N164" s="6292"/>
      <c r="O164" s="6292"/>
      <c r="P164" s="6292"/>
      <c r="Q164" s="6292"/>
      <c r="R164" s="6292"/>
      <c r="S164" s="6292"/>
      <c r="T164" s="6292"/>
      <c r="U164" s="6292"/>
      <c r="V164" s="6292"/>
      <c r="W164" s="6292"/>
      <c r="X164" s="6292"/>
      <c r="Y164" s="6292"/>
      <c r="Z164" s="6292"/>
      <c r="AA164" s="6292"/>
      <c r="AB164" s="6292"/>
      <c r="AC164" s="6292"/>
      <c r="AD164" s="6292"/>
      <c r="AF164" s="1284"/>
      <c r="AG164" s="1760"/>
      <c r="AH164" s="1760"/>
      <c r="AI164" s="1284"/>
      <c r="AJ164" s="1284"/>
      <c r="AK164" s="1284"/>
      <c r="AL164" s="1284"/>
      <c r="AM164" s="1760"/>
      <c r="AN164" s="1284"/>
      <c r="AO164" s="1284"/>
      <c r="AP164" s="668"/>
      <c r="AQ164" s="1284"/>
      <c r="AR164" s="1284"/>
      <c r="AS164" s="1284"/>
      <c r="AT164" s="1284"/>
      <c r="AU164" s="1284"/>
      <c r="AV164" s="1756"/>
      <c r="AW164" s="690"/>
      <c r="AX164" s="690"/>
      <c r="AY164" s="690"/>
      <c r="AZ164" s="690"/>
      <c r="BA164" s="1765">
        <v>11</v>
      </c>
    </row>
    <row s="6292" customFormat="1" customHeight="1" ht="11.549999999999999">
      <c r="A165" s="1111"/>
      <c r="B165" s="1760"/>
      <c r="C165" s="1760"/>
      <c r="D165" s="475"/>
      <c r="H165" s="690" t="str">
        <f>IF(H30-H31&lt;&gt;H101,"WARNING","")</f>
        <v/>
      </c>
      <c r="I165" s="690" t="str">
        <f>IF(I30-I31&lt;&gt;I101,"WARNING","")</f>
        <v/>
      </c>
      <c r="J165" s="6688" t="str">
        <f>IF(J30-J31&lt;&gt;J101,"WARNING","")</f>
        <v/>
      </c>
      <c r="K165" s="6688" t="str">
        <f>IF(K30-K31&lt;&gt;K101,"WARNING","")</f>
        <v/>
      </c>
      <c r="L165" s="6688" t="str">
        <f>IF(L30-L31&lt;&gt;L101,"WARNING","")</f>
        <v/>
      </c>
      <c r="M165" s="6688" t="str">
        <f>IF(M30-M31&lt;&gt;M101,"WARNING","")</f>
        <v/>
      </c>
      <c r="N165" s="6688" t="str">
        <f>IF(N30-N31&lt;&gt;N101,"WARNING","")</f>
        <v/>
      </c>
      <c r="O165" s="6688" t="str">
        <f>IF(O30-O31&lt;&gt;O101,"WARNING","")</f>
        <v/>
      </c>
      <c r="P165" s="6688" t="str">
        <f>IF(P30-P31&lt;&gt;P101,"WARNING","")</f>
        <v/>
      </c>
      <c r="Q165" s="6688" t="str">
        <f>IF(Q30-Q31&lt;&gt;Q101,"WARNING","")</f>
        <v/>
      </c>
      <c r="R165" s="6688" t="str">
        <f>IF(R30-R31&lt;&gt;R101,"WARNING","")</f>
        <v/>
      </c>
      <c r="S165" s="6688" t="str">
        <f>IF(S30-S31&lt;&gt;S101,"WARNING","")</f>
        <v/>
      </c>
      <c r="T165" s="6688" t="str">
        <f>IF(T30-T31&lt;&gt;T101,"WARNING","")</f>
        <v/>
      </c>
      <c r="U165" s="6688" t="str">
        <f>IF(U30-U31&lt;&gt;U101,"WARNING","")</f>
        <v/>
      </c>
      <c r="V165" s="6688" t="str">
        <f>IF(V30-V31&lt;&gt;V101,"WARNING","")</f>
        <v/>
      </c>
      <c r="W165" s="6688" t="str">
        <f>IF(W30-W31&lt;&gt;W101,"WARNING","")</f>
        <v/>
      </c>
      <c r="X165" s="6688" t="str">
        <f>IF(X30-X31&lt;&gt;X101,"WARNING","")</f>
        <v/>
      </c>
      <c r="Y165" s="6688" t="str">
        <f>IF(Y30-Y31&lt;&gt;Y101,"WARNING","")</f>
        <v/>
      </c>
      <c r="Z165" s="6688" t="str">
        <f>IF(Z30-Z31&lt;&gt;Z101,"WARNING","")</f>
        <v/>
      </c>
      <c r="AA165" s="6688" t="str">
        <f>IF(AA30-AA31&lt;&gt;AA101,"WARNING","")</f>
        <v/>
      </c>
      <c r="AB165" s="6688" t="str">
        <f>IF(AB30-AB31&lt;&gt;AB101,"WARNING","")</f>
        <v/>
      </c>
      <c r="AC165" s="6688" t="str">
        <f>IF(AC30-AC31&lt;&gt;AC101,"WARNING","")</f>
        <v/>
      </c>
      <c r="AD165" s="6688" t="str">
        <f>IF(AD30-AD31&lt;&gt;AD101,"WARNING","")</f>
        <v/>
      </c>
      <c r="AF165" s="1284"/>
      <c r="AG165" s="1760"/>
      <c r="AH165" s="1760"/>
      <c r="AI165" s="1284"/>
      <c r="AJ165" s="1284"/>
      <c r="AK165" s="1284"/>
      <c r="AL165" s="1284"/>
      <c r="AM165" s="1760"/>
      <c r="AN165" s="1284"/>
      <c r="AO165" s="1284"/>
      <c r="AP165" s="668"/>
      <c r="AQ165" s="1284"/>
      <c r="AR165" s="1284"/>
      <c r="AS165" s="1284"/>
      <c r="AT165" s="1284"/>
      <c r="AU165" s="1284"/>
      <c r="AV165" s="1756"/>
      <c r="AW165" s="690"/>
      <c r="AX165" s="690"/>
      <c r="AY165" s="690"/>
      <c r="AZ165" s="690"/>
      <c r="BA165" s="1765">
        <v>11</v>
      </c>
    </row>
    <row s="6292" customFormat="1" customHeight="1" ht="11.549999999999999">
      <c r="A166" s="1111"/>
      <c r="B166" s="1760"/>
      <c r="C166" s="1760"/>
      <c r="D166" s="475"/>
      <c r="J166" s="6292"/>
      <c r="K166" s="6292"/>
      <c r="L166" s="6292"/>
      <c r="M166" s="6292"/>
      <c r="N166" s="6292"/>
      <c r="O166" s="6292"/>
      <c r="P166" s="6292"/>
      <c r="Q166" s="6292"/>
      <c r="R166" s="6292"/>
      <c r="S166" s="6292"/>
      <c r="T166" s="6292"/>
      <c r="U166" s="6292"/>
      <c r="V166" s="6292"/>
      <c r="W166" s="6292"/>
      <c r="X166" s="6292"/>
      <c r="Y166" s="6292"/>
      <c r="Z166" s="6292"/>
      <c r="AA166" s="6292"/>
      <c r="AB166" s="6292"/>
      <c r="AC166" s="6292"/>
      <c r="AD166" s="6292"/>
      <c r="AF166" s="1284"/>
      <c r="AG166" s="1760"/>
      <c r="AH166" s="1760"/>
      <c r="AI166" s="1284"/>
      <c r="AJ166" s="1284"/>
      <c r="AK166" s="1284"/>
      <c r="AL166" s="1284"/>
      <c r="AM166" s="1760"/>
      <c r="AN166" s="1284"/>
      <c r="AO166" s="1284"/>
      <c r="AP166" s="668"/>
      <c r="AQ166" s="1284"/>
      <c r="AR166" s="1284"/>
      <c r="AS166" s="1284"/>
      <c r="AT166" s="1284"/>
      <c r="AU166" s="1284"/>
      <c r="AV166" s="1756"/>
      <c r="AW166" s="690"/>
      <c r="AX166" s="690"/>
      <c r="AY166" s="690"/>
      <c r="AZ166" s="690"/>
      <c r="BA166" s="1765">
        <v>11</v>
      </c>
    </row>
    <row s="6292" customFormat="1" customHeight="1" ht="11.549999999999999">
      <c r="A167" s="1111"/>
      <c r="B167" s="1760"/>
      <c r="C167" s="1760"/>
      <c r="D167" s="475"/>
      <c r="J167" s="6292"/>
      <c r="K167" s="6292"/>
      <c r="L167" s="6292"/>
      <c r="M167" s="6292"/>
      <c r="N167" s="6292"/>
      <c r="O167" s="6292"/>
      <c r="P167" s="6292"/>
      <c r="Q167" s="6292"/>
      <c r="R167" s="6292"/>
      <c r="S167" s="6292"/>
      <c r="T167" s="6292"/>
      <c r="U167" s="6292"/>
      <c r="V167" s="6292"/>
      <c r="W167" s="6292"/>
      <c r="X167" s="6292"/>
      <c r="Y167" s="6292"/>
      <c r="Z167" s="6292"/>
      <c r="AA167" s="6292"/>
      <c r="AB167" s="6292"/>
      <c r="AC167" s="6292"/>
      <c r="AD167" s="6292"/>
      <c r="AF167" s="1284"/>
      <c r="AG167" s="1760"/>
      <c r="AH167" s="1760"/>
      <c r="AI167" s="1284"/>
      <c r="AJ167" s="1284"/>
      <c r="AK167" s="1284"/>
      <c r="AL167" s="1284"/>
      <c r="AM167" s="1760"/>
      <c r="AN167" s="1284"/>
      <c r="AO167" s="1284"/>
      <c r="AP167" s="668"/>
      <c r="AQ167" s="1284"/>
      <c r="AR167" s="1284"/>
      <c r="AS167" s="1284"/>
      <c r="AT167" s="1284"/>
      <c r="AU167" s="1284"/>
      <c r="AV167" s="1756"/>
      <c r="AW167" s="690"/>
      <c r="AX167" s="690"/>
      <c r="AY167" s="690"/>
      <c r="AZ167" s="690"/>
      <c r="BA167" s="1765">
        <v>11</v>
      </c>
    </row>
    <row s="6292" customFormat="1" customHeight="1" ht="11.549999999999999">
      <c r="A168" s="1111"/>
      <c r="B168" s="1760"/>
      <c r="C168" s="1760"/>
      <c r="D168" s="475"/>
      <c r="J168" s="6292"/>
      <c r="K168" s="6292"/>
      <c r="L168" s="6292"/>
      <c r="M168" s="6292"/>
      <c r="N168" s="6292"/>
      <c r="O168" s="6292"/>
      <c r="P168" s="6292"/>
      <c r="Q168" s="6292"/>
      <c r="R168" s="6292"/>
      <c r="S168" s="6292"/>
      <c r="T168" s="6292"/>
      <c r="U168" s="6292"/>
      <c r="V168" s="6292"/>
      <c r="W168" s="6292"/>
      <c r="X168" s="6292"/>
      <c r="Y168" s="6292"/>
      <c r="Z168" s="6292"/>
      <c r="AA168" s="6292"/>
      <c r="AB168" s="6292"/>
      <c r="AC168" s="6292"/>
      <c r="AD168" s="6292"/>
      <c r="AF168" s="1284"/>
      <c r="AG168" s="1760"/>
      <c r="AH168" s="1760"/>
      <c r="AI168" s="1284"/>
      <c r="AJ168" s="1284"/>
      <c r="AK168" s="1284"/>
      <c r="AL168" s="1284"/>
      <c r="AM168" s="1760"/>
      <c r="AN168" s="1284"/>
      <c r="AO168" s="1284"/>
      <c r="AP168" s="668"/>
      <c r="AQ168" s="1284"/>
      <c r="AR168" s="1284"/>
      <c r="AS168" s="1284"/>
      <c r="AT168" s="1284"/>
      <c r="AU168" s="1284"/>
      <c r="AV168" s="1756"/>
      <c r="AW168" s="690"/>
      <c r="AX168" s="690"/>
      <c r="AY168" s="690"/>
      <c r="AZ168" s="690"/>
      <c r="BA168" s="1765">
        <v>11</v>
      </c>
    </row>
    <row s="6292" customFormat="1" customHeight="1" ht="11.549999999999999">
      <c r="A169" s="1111"/>
      <c r="B169" s="1760"/>
      <c r="C169" s="1760"/>
      <c r="D169" s="475"/>
      <c r="J169" s="6292"/>
      <c r="K169" s="6292"/>
      <c r="L169" s="6292"/>
      <c r="M169" s="6292"/>
      <c r="N169" s="6292"/>
      <c r="O169" s="6292"/>
      <c r="P169" s="6292"/>
      <c r="Q169" s="6292"/>
      <c r="R169" s="6292"/>
      <c r="S169" s="6292"/>
      <c r="T169" s="6292"/>
      <c r="U169" s="6292"/>
      <c r="V169" s="6292"/>
      <c r="W169" s="6292"/>
      <c r="X169" s="6292"/>
      <c r="Y169" s="6292"/>
      <c r="Z169" s="6292"/>
      <c r="AA169" s="6292"/>
      <c r="AB169" s="6292"/>
      <c r="AC169" s="6292"/>
      <c r="AD169" s="6292"/>
      <c r="AF169" s="1284"/>
      <c r="AG169" s="1760"/>
      <c r="AH169" s="1760"/>
      <c r="AI169" s="1284"/>
      <c r="AJ169" s="1284"/>
      <c r="AK169" s="1284"/>
      <c r="AL169" s="1284"/>
      <c r="AM169" s="1760"/>
      <c r="AN169" s="1284"/>
      <c r="AO169" s="1284"/>
      <c r="AP169" s="668"/>
      <c r="AQ169" s="1284"/>
      <c r="AR169" s="1284"/>
      <c r="AS169" s="1284"/>
      <c r="AT169" s="1284"/>
      <c r="AU169" s="1284"/>
      <c r="AV169" s="1756"/>
      <c r="AW169" s="690"/>
      <c r="AX169" s="690"/>
      <c r="AY169" s="690"/>
      <c r="AZ169" s="690"/>
      <c r="BA169" s="1765">
        <v>11</v>
      </c>
    </row>
    <row s="6292" customFormat="1" customHeight="1" ht="11.549999999999999">
      <c r="A170" s="1111"/>
      <c r="B170" s="1760"/>
      <c r="C170" s="1760"/>
      <c r="D170" s="475"/>
      <c r="J170" s="6292"/>
      <c r="K170" s="6292"/>
      <c r="L170" s="6292"/>
      <c r="M170" s="6292"/>
      <c r="N170" s="6292"/>
      <c r="O170" s="6292"/>
      <c r="P170" s="6292"/>
      <c r="Q170" s="6292"/>
      <c r="R170" s="6292"/>
      <c r="S170" s="6292"/>
      <c r="T170" s="6292"/>
      <c r="U170" s="6292"/>
      <c r="V170" s="6292"/>
      <c r="W170" s="6292"/>
      <c r="X170" s="6292"/>
      <c r="Y170" s="6292"/>
      <c r="Z170" s="6292"/>
      <c r="AA170" s="6292"/>
      <c r="AB170" s="6292"/>
      <c r="AC170" s="6292"/>
      <c r="AD170" s="6292"/>
      <c r="AF170" s="1284"/>
      <c r="AG170" s="1760"/>
      <c r="AH170" s="1760"/>
      <c r="AI170" s="1284"/>
      <c r="AJ170" s="1284"/>
      <c r="AK170" s="1284"/>
      <c r="AL170" s="1284"/>
      <c r="AM170" s="1760"/>
      <c r="AN170" s="1284"/>
      <c r="AO170" s="1284"/>
      <c r="AP170" s="668"/>
      <c r="AQ170" s="1284"/>
      <c r="AR170" s="1284"/>
      <c r="AS170" s="1284"/>
      <c r="AT170" s="1284"/>
      <c r="AU170" s="1284"/>
      <c r="AV170" s="1756"/>
      <c r="AW170" s="690"/>
      <c r="AX170" s="690"/>
      <c r="AY170" s="690"/>
      <c r="AZ170" s="690"/>
      <c r="BA170" s="1765">
        <v>11</v>
      </c>
    </row>
    <row s="6292" customFormat="1" customHeight="1" ht="11.549999999999999">
      <c r="A171" s="1111"/>
      <c r="B171" s="1760"/>
      <c r="C171" s="1760"/>
      <c r="D171" s="475"/>
      <c r="J171" s="6292"/>
      <c r="K171" s="6292"/>
      <c r="L171" s="6292"/>
      <c r="M171" s="6292"/>
      <c r="N171" s="6292"/>
      <c r="O171" s="6292"/>
      <c r="P171" s="6292"/>
      <c r="Q171" s="6292"/>
      <c r="R171" s="6292"/>
      <c r="S171" s="6292"/>
      <c r="T171" s="6292"/>
      <c r="U171" s="6292"/>
      <c r="V171" s="6292"/>
      <c r="W171" s="6292"/>
      <c r="X171" s="6292"/>
      <c r="Y171" s="6292"/>
      <c r="Z171" s="6292"/>
      <c r="AA171" s="6292"/>
      <c r="AB171" s="6292"/>
      <c r="AC171" s="6292"/>
      <c r="AD171" s="6292"/>
      <c r="AF171" s="1284"/>
      <c r="AG171" s="1760"/>
      <c r="AH171" s="1760"/>
      <c r="AI171" s="1284"/>
      <c r="AJ171" s="1284"/>
      <c r="AK171" s="1284"/>
      <c r="AL171" s="1284"/>
      <c r="AM171" s="1760"/>
      <c r="AN171" s="1284"/>
      <c r="AO171" s="1284"/>
      <c r="AP171" s="668"/>
      <c r="AQ171" s="1284"/>
      <c r="AR171" s="1284"/>
      <c r="AS171" s="1284"/>
      <c r="AT171" s="1284"/>
      <c r="AU171" s="1284"/>
      <c r="AV171" s="1756"/>
      <c r="AW171" s="690"/>
      <c r="AX171" s="690"/>
      <c r="AY171" s="690"/>
      <c r="AZ171" s="690"/>
      <c r="BA171" s="1765">
        <v>11</v>
      </c>
    </row>
    <row s="6292" customFormat="1" customHeight="1" ht="11.549999999999999">
      <c r="A172" s="1111"/>
      <c r="B172" s="1760"/>
      <c r="C172" s="1760"/>
      <c r="D172" s="475"/>
      <c r="J172" s="6292"/>
      <c r="K172" s="6292"/>
      <c r="L172" s="6292"/>
      <c r="M172" s="6292"/>
      <c r="N172" s="6292"/>
      <c r="O172" s="6292"/>
      <c r="P172" s="6292"/>
      <c r="Q172" s="6292"/>
      <c r="R172" s="6292"/>
      <c r="S172" s="6292"/>
      <c r="T172" s="6292"/>
      <c r="U172" s="6292"/>
      <c r="V172" s="6292"/>
      <c r="W172" s="6292"/>
      <c r="X172" s="6292"/>
      <c r="Y172" s="6292"/>
      <c r="Z172" s="6292"/>
      <c r="AA172" s="6292"/>
      <c r="AB172" s="6292"/>
      <c r="AC172" s="6292"/>
      <c r="AD172" s="6292"/>
      <c r="AF172" s="1284"/>
      <c r="AG172" s="1760"/>
      <c r="AH172" s="1760"/>
      <c r="AI172" s="1284"/>
      <c r="AJ172" s="1284"/>
      <c r="AK172" s="1284"/>
      <c r="AL172" s="1284"/>
      <c r="AM172" s="1760"/>
      <c r="AN172" s="1284"/>
      <c r="AO172" s="1284"/>
      <c r="AP172" s="668"/>
      <c r="AQ172" s="1284"/>
      <c r="AR172" s="1284"/>
      <c r="AS172" s="1284"/>
      <c r="AT172" s="1284"/>
      <c r="AU172" s="1284"/>
      <c r="AV172" s="1756"/>
      <c r="AW172" s="690"/>
      <c r="AX172" s="690"/>
      <c r="AY172" s="690"/>
      <c r="AZ172" s="690"/>
      <c r="BA172" s="1765">
        <v>11</v>
      </c>
    </row>
    <row s="6292" customFormat="1" customHeight="1" ht="11.549999999999999">
      <c r="A173" s="1111"/>
      <c r="B173" s="1760"/>
      <c r="C173" s="1760"/>
      <c r="D173" s="475"/>
      <c r="J173" s="6292"/>
      <c r="K173" s="6292"/>
      <c r="L173" s="6292"/>
      <c r="M173" s="6292"/>
      <c r="N173" s="6292"/>
      <c r="O173" s="6292"/>
      <c r="P173" s="6292"/>
      <c r="Q173" s="6292"/>
      <c r="R173" s="6292"/>
      <c r="S173" s="6292"/>
      <c r="T173" s="6292"/>
      <c r="U173" s="6292"/>
      <c r="V173" s="6292"/>
      <c r="W173" s="6292"/>
      <c r="X173" s="6292"/>
      <c r="Y173" s="6292"/>
      <c r="Z173" s="6292"/>
      <c r="AA173" s="6292"/>
      <c r="AB173" s="6292"/>
      <c r="AC173" s="6292"/>
      <c r="AD173" s="6292"/>
      <c r="AF173" s="1284"/>
      <c r="AG173" s="1760"/>
      <c r="AH173" s="1760"/>
      <c r="AI173" s="1284"/>
      <c r="AJ173" s="1284"/>
      <c r="AK173" s="1284"/>
      <c r="AL173" s="1284"/>
      <c r="AM173" s="1760"/>
      <c r="AN173" s="1284"/>
      <c r="AO173" s="1284"/>
      <c r="AP173" s="668"/>
      <c r="AQ173" s="1284"/>
      <c r="AR173" s="1284"/>
      <c r="AS173" s="1284"/>
      <c r="AT173" s="1284"/>
      <c r="AU173" s="1284"/>
      <c r="AV173" s="1756"/>
      <c r="AW173" s="690"/>
      <c r="AX173" s="690"/>
      <c r="AY173" s="690"/>
      <c r="AZ173" s="690"/>
      <c r="BA173" s="1765">
        <v>11</v>
      </c>
    </row>
    <row s="6292" customFormat="1" customHeight="1" ht="11.549999999999999">
      <c r="A174" s="1111"/>
      <c r="B174" s="1760"/>
      <c r="C174" s="1760"/>
      <c r="D174" s="475"/>
      <c r="J174" s="6292"/>
      <c r="K174" s="6292"/>
      <c r="L174" s="6292"/>
      <c r="M174" s="6292"/>
      <c r="N174" s="6292"/>
      <c r="O174" s="6292"/>
      <c r="P174" s="6292"/>
      <c r="Q174" s="6292"/>
      <c r="R174" s="6292"/>
      <c r="S174" s="6292"/>
      <c r="T174" s="6292"/>
      <c r="U174" s="6292"/>
      <c r="V174" s="6292"/>
      <c r="W174" s="6292"/>
      <c r="X174" s="6292"/>
      <c r="Y174" s="6292"/>
      <c r="Z174" s="6292"/>
      <c r="AA174" s="6292"/>
      <c r="AB174" s="6292"/>
      <c r="AC174" s="6292"/>
      <c r="AD174" s="6292"/>
      <c r="AF174" s="1284"/>
      <c r="AG174" s="1760"/>
      <c r="AH174" s="1760"/>
      <c r="AI174" s="1284"/>
      <c r="AJ174" s="1284"/>
      <c r="AK174" s="1284"/>
      <c r="AL174" s="1284"/>
      <c r="AM174" s="1760"/>
      <c r="AN174" s="1284"/>
      <c r="AO174" s="1284"/>
      <c r="AP174" s="668"/>
      <c r="AQ174" s="1284"/>
      <c r="AR174" s="1284"/>
      <c r="AS174" s="1284"/>
      <c r="AT174" s="1284"/>
      <c r="AU174" s="1284"/>
      <c r="AV174" s="1756"/>
      <c r="AW174" s="690"/>
      <c r="AX174" s="690"/>
      <c r="AY174" s="690"/>
      <c r="AZ174" s="690"/>
      <c r="BA174" s="1765">
        <v>11</v>
      </c>
    </row>
    <row s="6292" customFormat="1" customHeight="1" ht="11.549999999999999">
      <c r="A175" s="1111"/>
      <c r="B175" s="1760"/>
      <c r="C175" s="1760"/>
      <c r="D175" s="475"/>
      <c r="J175" s="6292"/>
      <c r="K175" s="6292"/>
      <c r="L175" s="6292"/>
      <c r="M175" s="6292"/>
      <c r="N175" s="6292"/>
      <c r="O175" s="6292"/>
      <c r="P175" s="6292"/>
      <c r="Q175" s="6292"/>
      <c r="R175" s="6292"/>
      <c r="S175" s="6292"/>
      <c r="T175" s="6292"/>
      <c r="U175" s="6292"/>
      <c r="V175" s="6292"/>
      <c r="W175" s="6292"/>
      <c r="X175" s="6292"/>
      <c r="Y175" s="6292"/>
      <c r="Z175" s="6292"/>
      <c r="AA175" s="6292"/>
      <c r="AB175" s="6292"/>
      <c r="AC175" s="6292"/>
      <c r="AD175" s="6292"/>
      <c r="AF175" s="1284"/>
      <c r="AG175" s="1760"/>
      <c r="AH175" s="1760"/>
      <c r="AI175" s="1284"/>
      <c r="AJ175" s="1284"/>
      <c r="AK175" s="1284"/>
      <c r="AL175" s="1284"/>
      <c r="AM175" s="1760"/>
      <c r="AN175" s="1284"/>
      <c r="AO175" s="1284"/>
      <c r="AP175" s="668"/>
      <c r="AQ175" s="1284"/>
      <c r="AR175" s="1284"/>
      <c r="AS175" s="1284"/>
      <c r="AT175" s="1284"/>
      <c r="AU175" s="1284"/>
      <c r="AV175" s="1756"/>
      <c r="AW175" s="690"/>
      <c r="AX175" s="690"/>
      <c r="AY175" s="690"/>
      <c r="AZ175" s="690"/>
      <c r="BA175" s="1765">
        <v>11</v>
      </c>
    </row>
    <row s="6292" customFormat="1" customHeight="1" ht="11.549999999999999">
      <c r="A176" s="1111"/>
      <c r="B176" s="1760"/>
      <c r="C176" s="1760"/>
      <c r="D176" s="475"/>
      <c r="J176" s="6292"/>
      <c r="K176" s="6292"/>
      <c r="L176" s="6292"/>
      <c r="M176" s="6292"/>
      <c r="N176" s="6292"/>
      <c r="O176" s="6292"/>
      <c r="P176" s="6292"/>
      <c r="Q176" s="6292"/>
      <c r="R176" s="6292"/>
      <c r="S176" s="6292"/>
      <c r="T176" s="6292"/>
      <c r="U176" s="6292"/>
      <c r="V176" s="6292"/>
      <c r="W176" s="6292"/>
      <c r="X176" s="6292"/>
      <c r="Y176" s="6292"/>
      <c r="Z176" s="6292"/>
      <c r="AA176" s="6292"/>
      <c r="AB176" s="6292"/>
      <c r="AC176" s="6292"/>
      <c r="AD176" s="6292"/>
      <c r="AF176" s="1284"/>
      <c r="AG176" s="1760"/>
      <c r="AH176" s="1760"/>
      <c r="AI176" s="1284"/>
      <c r="AJ176" s="1284"/>
      <c r="AK176" s="1284"/>
      <c r="AL176" s="1284"/>
      <c r="AM176" s="1760"/>
      <c r="AN176" s="1284"/>
      <c r="AO176" s="1284"/>
      <c r="AP176" s="668"/>
      <c r="AQ176" s="1284"/>
      <c r="AR176" s="1284"/>
      <c r="AS176" s="1284"/>
      <c r="AT176" s="1284"/>
      <c r="AU176" s="1284"/>
      <c r="AV176" s="1756"/>
      <c r="AW176" s="690"/>
      <c r="AX176" s="690"/>
      <c r="AY176" s="690"/>
      <c r="AZ176" s="690"/>
      <c r="BA176" s="1765">
        <v>11</v>
      </c>
    </row>
    <row s="6292" customFormat="1" customHeight="1" ht="11.549999999999999">
      <c r="A177" s="1111"/>
      <c r="B177" s="1760"/>
      <c r="C177" s="1760"/>
      <c r="D177" s="475"/>
      <c r="J177" s="6292"/>
      <c r="K177" s="6292"/>
      <c r="L177" s="6292"/>
      <c r="M177" s="6292"/>
      <c r="N177" s="6292"/>
      <c r="O177" s="6292"/>
      <c r="P177" s="6292"/>
      <c r="Q177" s="6292"/>
      <c r="R177" s="6292"/>
      <c r="S177" s="6292"/>
      <c r="T177" s="6292"/>
      <c r="U177" s="6292"/>
      <c r="V177" s="6292"/>
      <c r="W177" s="6292"/>
      <c r="X177" s="6292"/>
      <c r="Y177" s="6292"/>
      <c r="Z177" s="6292"/>
      <c r="AA177" s="6292"/>
      <c r="AB177" s="6292"/>
      <c r="AC177" s="6292"/>
      <c r="AD177" s="6292"/>
      <c r="AF177" s="1284"/>
      <c r="AG177" s="1760"/>
      <c r="AH177" s="1760"/>
      <c r="AI177" s="1284"/>
      <c r="AJ177" s="1284"/>
      <c r="AK177" s="1284"/>
      <c r="AL177" s="1284"/>
      <c r="AM177" s="1760"/>
      <c r="AN177" s="1284"/>
      <c r="AO177" s="1284"/>
      <c r="AP177" s="668"/>
      <c r="AQ177" s="1284"/>
      <c r="AR177" s="1284"/>
      <c r="AS177" s="1284"/>
      <c r="AT177" s="1284"/>
      <c r="AU177" s="1284"/>
      <c r="AV177" s="1756"/>
      <c r="AW177" s="690"/>
      <c r="AX177" s="690"/>
      <c r="AY177" s="690"/>
      <c r="AZ177" s="690"/>
      <c r="BA177" s="1765">
        <v>11</v>
      </c>
    </row>
    <row s="6292" customFormat="1" customHeight="1" ht="11.549999999999999">
      <c r="A178" s="1111"/>
      <c r="B178" s="1760"/>
      <c r="C178" s="1760"/>
      <c r="D178" s="475"/>
      <c r="J178" s="6292"/>
      <c r="K178" s="6292"/>
      <c r="L178" s="6292"/>
      <c r="M178" s="6292"/>
      <c r="N178" s="6292"/>
      <c r="O178" s="6292"/>
      <c r="P178" s="6292"/>
      <c r="Q178" s="6292"/>
      <c r="R178" s="6292"/>
      <c r="S178" s="6292"/>
      <c r="T178" s="6292"/>
      <c r="U178" s="6292"/>
      <c r="V178" s="6292"/>
      <c r="W178" s="6292"/>
      <c r="X178" s="6292"/>
      <c r="Y178" s="6292"/>
      <c r="Z178" s="6292"/>
      <c r="AA178" s="6292"/>
      <c r="AB178" s="6292"/>
      <c r="AC178" s="6292"/>
      <c r="AD178" s="6292"/>
      <c r="AF178" s="1284"/>
      <c r="AG178" s="1760"/>
      <c r="AH178" s="1760"/>
      <c r="AI178" s="1284"/>
      <c r="AJ178" s="1284"/>
      <c r="AK178" s="1284"/>
      <c r="AL178" s="1284"/>
      <c r="AM178" s="1760"/>
      <c r="AN178" s="1284"/>
      <c r="AO178" s="1284"/>
      <c r="AP178" s="668"/>
      <c r="AQ178" s="1284"/>
      <c r="AR178" s="1284"/>
      <c r="AS178" s="1284"/>
      <c r="AT178" s="1284"/>
      <c r="AU178" s="1284"/>
      <c r="AV178" s="1756"/>
      <c r="AW178" s="690"/>
      <c r="AX178" s="690"/>
      <c r="AY178" s="690"/>
      <c r="AZ178" s="690"/>
      <c r="BA178" s="1765">
        <v>11</v>
      </c>
    </row>
    <row s="6292" customFormat="1" customHeight="1" ht="11.549999999999999">
      <c r="A179" s="1111"/>
      <c r="B179" s="1760"/>
      <c r="C179" s="1760"/>
      <c r="D179" s="475"/>
      <c r="J179" s="6292"/>
      <c r="K179" s="6292"/>
      <c r="L179" s="6292"/>
      <c r="M179" s="6292"/>
      <c r="N179" s="6292"/>
      <c r="O179" s="6292"/>
      <c r="P179" s="6292"/>
      <c r="Q179" s="6292"/>
      <c r="R179" s="6292"/>
      <c r="S179" s="6292"/>
      <c r="T179" s="6292"/>
      <c r="U179" s="6292"/>
      <c r="V179" s="6292"/>
      <c r="W179" s="6292"/>
      <c r="X179" s="6292"/>
      <c r="Y179" s="6292"/>
      <c r="Z179" s="6292"/>
      <c r="AA179" s="6292"/>
      <c r="AB179" s="6292"/>
      <c r="AC179" s="6292"/>
      <c r="AD179" s="6292"/>
      <c r="AF179" s="1284"/>
      <c r="AG179" s="1760"/>
      <c r="AH179" s="1760"/>
      <c r="AI179" s="1284"/>
      <c r="AJ179" s="1284"/>
      <c r="AK179" s="1284"/>
      <c r="AL179" s="1284"/>
      <c r="AM179" s="1760"/>
      <c r="AN179" s="1284"/>
      <c r="AO179" s="1284"/>
      <c r="AP179" s="668"/>
      <c r="AQ179" s="1284"/>
      <c r="AR179" s="1284"/>
      <c r="AS179" s="1284"/>
      <c r="AT179" s="1284"/>
      <c r="AU179" s="1284"/>
      <c r="AV179" s="1756"/>
      <c r="AW179" s="690"/>
      <c r="AX179" s="690"/>
      <c r="AY179" s="690"/>
      <c r="AZ179" s="690"/>
      <c r="BA179" s="1765">
        <v>11</v>
      </c>
    </row>
    <row s="6292" customFormat="1" customHeight="1" ht="11.549999999999999">
      <c r="A180" s="1111"/>
      <c r="B180" s="1760"/>
      <c r="C180" s="1760"/>
      <c r="D180" s="475"/>
      <c r="J180" s="6292"/>
      <c r="K180" s="6292"/>
      <c r="L180" s="6292"/>
      <c r="M180" s="6292"/>
      <c r="N180" s="6292"/>
      <c r="O180" s="6292"/>
      <c r="P180" s="6292"/>
      <c r="Q180" s="6292"/>
      <c r="R180" s="6292"/>
      <c r="S180" s="6292"/>
      <c r="T180" s="6292"/>
      <c r="U180" s="6292"/>
      <c r="V180" s="6292"/>
      <c r="W180" s="6292"/>
      <c r="X180" s="6292"/>
      <c r="Y180" s="6292"/>
      <c r="Z180" s="6292"/>
      <c r="AA180" s="6292"/>
      <c r="AB180" s="6292"/>
      <c r="AC180" s="6292"/>
      <c r="AD180" s="6292"/>
      <c r="AF180" s="1284"/>
      <c r="AG180" s="1760"/>
      <c r="AH180" s="1760"/>
      <c r="AI180" s="1284"/>
      <c r="AJ180" s="1284"/>
      <c r="AK180" s="1284"/>
      <c r="AL180" s="1284"/>
      <c r="AM180" s="1760"/>
      <c r="AN180" s="1284"/>
      <c r="AO180" s="1284"/>
      <c r="AP180" s="668"/>
      <c r="AQ180" s="1284"/>
      <c r="AR180" s="1284"/>
      <c r="AS180" s="1284"/>
      <c r="AT180" s="1284"/>
      <c r="AU180" s="1284"/>
      <c r="AV180" s="1756"/>
      <c r="AW180" s="690"/>
      <c r="AX180" s="690"/>
      <c r="AY180" s="690"/>
      <c r="AZ180" s="690"/>
      <c r="BA180" s="1765">
        <v>11</v>
      </c>
    </row>
    <row s="6292" customFormat="1" customHeight="1" ht="11.549999999999999">
      <c r="A181" s="1111"/>
      <c r="B181" s="1760"/>
      <c r="C181" s="1760"/>
      <c r="D181" s="475"/>
      <c r="J181" s="6292"/>
      <c r="K181" s="6292"/>
      <c r="L181" s="6292"/>
      <c r="M181" s="6292"/>
      <c r="N181" s="6292"/>
      <c r="O181" s="6292"/>
      <c r="P181" s="6292"/>
      <c r="Q181" s="6292"/>
      <c r="R181" s="6292"/>
      <c r="S181" s="6292"/>
      <c r="T181" s="6292"/>
      <c r="U181" s="6292"/>
      <c r="V181" s="6292"/>
      <c r="W181" s="6292"/>
      <c r="X181" s="6292"/>
      <c r="Y181" s="6292"/>
      <c r="Z181" s="6292"/>
      <c r="AA181" s="6292"/>
      <c r="AB181" s="6292"/>
      <c r="AC181" s="6292"/>
      <c r="AD181" s="6292"/>
      <c r="AF181" s="1284"/>
      <c r="AG181" s="1760"/>
      <c r="AH181" s="1760"/>
      <c r="AI181" s="1284"/>
      <c r="AJ181" s="1284"/>
      <c r="AK181" s="1284"/>
      <c r="AL181" s="1284"/>
      <c r="AM181" s="1760"/>
      <c r="AN181" s="1284"/>
      <c r="AO181" s="1284"/>
      <c r="AP181" s="668"/>
      <c r="AQ181" s="1284"/>
      <c r="AR181" s="1284"/>
      <c r="AS181" s="1284"/>
      <c r="AT181" s="1284"/>
      <c r="AU181" s="1284"/>
      <c r="AV181" s="1756"/>
      <c r="AW181" s="690"/>
      <c r="AX181" s="690"/>
      <c r="AY181" s="690"/>
      <c r="AZ181" s="690"/>
      <c r="BA181" s="1765">
        <v>11</v>
      </c>
    </row>
    <row s="6292" customFormat="1" customHeight="1" ht="11.549999999999999">
      <c r="A182" s="1111"/>
      <c r="B182" s="1760"/>
      <c r="C182" s="1760"/>
      <c r="D182" s="475"/>
      <c r="J182" s="6292"/>
      <c r="K182" s="6292"/>
      <c r="L182" s="6292"/>
      <c r="M182" s="6292"/>
      <c r="N182" s="6292"/>
      <c r="O182" s="6292"/>
      <c r="P182" s="6292"/>
      <c r="Q182" s="6292"/>
      <c r="R182" s="6292"/>
      <c r="S182" s="6292"/>
      <c r="T182" s="6292"/>
      <c r="U182" s="6292"/>
      <c r="V182" s="6292"/>
      <c r="W182" s="6292"/>
      <c r="X182" s="6292"/>
      <c r="Y182" s="6292"/>
      <c r="Z182" s="6292"/>
      <c r="AA182" s="6292"/>
      <c r="AB182" s="6292"/>
      <c r="AC182" s="6292"/>
      <c r="AD182" s="6292"/>
      <c r="AF182" s="1284"/>
      <c r="AG182" s="1760"/>
      <c r="AH182" s="1760"/>
      <c r="AI182" s="1284"/>
      <c r="AJ182" s="1284"/>
      <c r="AK182" s="1284"/>
      <c r="AL182" s="1284"/>
      <c r="AM182" s="1760"/>
      <c r="AN182" s="1284"/>
      <c r="AO182" s="1284"/>
      <c r="AP182" s="668"/>
      <c r="AQ182" s="1284"/>
      <c r="AR182" s="1284"/>
      <c r="AS182" s="1284"/>
      <c r="AT182" s="1284"/>
      <c r="AU182" s="1284"/>
      <c r="AV182" s="1756"/>
      <c r="AW182" s="690"/>
      <c r="AX182" s="690"/>
      <c r="AY182" s="690"/>
      <c r="AZ182" s="690"/>
      <c r="BA182" s="1765">
        <v>11</v>
      </c>
    </row>
    <row s="6292" customFormat="1" customHeight="1" ht="11.549999999999999">
      <c r="A183" s="1111"/>
      <c r="B183" s="1760"/>
      <c r="C183" s="1760"/>
      <c r="D183" s="475"/>
      <c r="J183" s="6292"/>
      <c r="K183" s="6292"/>
      <c r="L183" s="6292"/>
      <c r="M183" s="6292"/>
      <c r="N183" s="6292"/>
      <c r="O183" s="6292"/>
      <c r="P183" s="6292"/>
      <c r="Q183" s="6292"/>
      <c r="R183" s="6292"/>
      <c r="S183" s="6292"/>
      <c r="T183" s="6292"/>
      <c r="U183" s="6292"/>
      <c r="V183" s="6292"/>
      <c r="W183" s="6292"/>
      <c r="X183" s="6292"/>
      <c r="Y183" s="6292"/>
      <c r="Z183" s="6292"/>
      <c r="AA183" s="6292"/>
      <c r="AB183" s="6292"/>
      <c r="AC183" s="6292"/>
      <c r="AD183" s="6292"/>
      <c r="AF183" s="1284"/>
      <c r="AG183" s="1760"/>
      <c r="AH183" s="1760"/>
      <c r="AI183" s="1284"/>
      <c r="AJ183" s="1284"/>
      <c r="AK183" s="1284"/>
      <c r="AL183" s="1284"/>
      <c r="AM183" s="1760"/>
      <c r="AN183" s="1284"/>
      <c r="AO183" s="1284"/>
      <c r="AP183" s="668"/>
      <c r="AQ183" s="1284"/>
      <c r="AR183" s="1284"/>
      <c r="AS183" s="1284"/>
      <c r="AT183" s="1284"/>
      <c r="AU183" s="1284"/>
      <c r="AV183" s="1756"/>
      <c r="AW183" s="690"/>
      <c r="AX183" s="690"/>
      <c r="AY183" s="690"/>
      <c r="AZ183" s="690"/>
      <c r="BA183" s="1765">
        <v>11</v>
      </c>
    </row>
    <row s="6292" customFormat="1" customHeight="1" ht="11.549999999999999">
      <c r="A184" s="1111"/>
      <c r="B184" s="1760"/>
      <c r="C184" s="1760"/>
      <c r="D184" s="475"/>
      <c r="J184" s="6292"/>
      <c r="K184" s="6292"/>
      <c r="L184" s="6292"/>
      <c r="M184" s="6292"/>
      <c r="N184" s="6292"/>
      <c r="O184" s="6292"/>
      <c r="P184" s="6292"/>
      <c r="Q184" s="6292"/>
      <c r="R184" s="6292"/>
      <c r="S184" s="6292"/>
      <c r="T184" s="6292"/>
      <c r="U184" s="6292"/>
      <c r="V184" s="6292"/>
      <c r="W184" s="6292"/>
      <c r="X184" s="6292"/>
      <c r="Y184" s="6292"/>
      <c r="Z184" s="6292"/>
      <c r="AA184" s="6292"/>
      <c r="AB184" s="6292"/>
      <c r="AC184" s="6292"/>
      <c r="AD184" s="6292"/>
      <c r="AF184" s="1284"/>
      <c r="AG184" s="1760"/>
      <c r="AH184" s="1760"/>
      <c r="AI184" s="1284"/>
      <c r="AJ184" s="1284"/>
      <c r="AK184" s="1284"/>
      <c r="AL184" s="1284"/>
      <c r="AM184" s="1760"/>
      <c r="AN184" s="1284"/>
      <c r="AO184" s="1284"/>
      <c r="AP184" s="668"/>
      <c r="AQ184" s="1284"/>
      <c r="AR184" s="1284"/>
      <c r="AS184" s="1284"/>
      <c r="AT184" s="1284"/>
      <c r="AU184" s="1284"/>
      <c r="AV184" s="1756"/>
      <c r="AW184" s="690"/>
      <c r="AX184" s="690"/>
      <c r="AY184" s="690"/>
      <c r="AZ184" s="690"/>
      <c r="BA184" s="1765">
        <v>11</v>
      </c>
    </row>
    <row s="6292" customFormat="1" customHeight="1" ht="11.549999999999999">
      <c r="A185" s="1111"/>
      <c r="B185" s="1760"/>
      <c r="C185" s="1760"/>
      <c r="D185" s="475"/>
      <c r="J185" s="6292"/>
      <c r="K185" s="6292"/>
      <c r="L185" s="6292"/>
      <c r="M185" s="6292"/>
      <c r="N185" s="6292"/>
      <c r="O185" s="6292"/>
      <c r="P185" s="6292"/>
      <c r="Q185" s="6292"/>
      <c r="R185" s="6292"/>
      <c r="S185" s="6292"/>
      <c r="T185" s="6292"/>
      <c r="U185" s="6292"/>
      <c r="V185" s="6292"/>
      <c r="W185" s="6292"/>
      <c r="X185" s="6292"/>
      <c r="Y185" s="6292"/>
      <c r="Z185" s="6292"/>
      <c r="AA185" s="6292"/>
      <c r="AB185" s="6292"/>
      <c r="AC185" s="6292"/>
      <c r="AD185" s="6292"/>
      <c r="AF185" s="1284"/>
      <c r="AG185" s="1760"/>
      <c r="AH185" s="1760"/>
      <c r="AI185" s="1284"/>
      <c r="AJ185" s="1284"/>
      <c r="AK185" s="1284"/>
      <c r="AL185" s="1284"/>
      <c r="AM185" s="1760"/>
      <c r="AN185" s="1284"/>
      <c r="AO185" s="1284"/>
      <c r="AP185" s="668"/>
      <c r="AQ185" s="1284"/>
      <c r="AR185" s="1284"/>
      <c r="AS185" s="1284"/>
      <c r="AT185" s="1284"/>
      <c r="AU185" s="1284"/>
      <c r="AV185" s="1756"/>
      <c r="AW185" s="690"/>
      <c r="AX185" s="690"/>
      <c r="AY185" s="690"/>
      <c r="AZ185" s="690"/>
      <c r="BA185" s="1765">
        <v>11</v>
      </c>
    </row>
    <row s="6292" customFormat="1" customHeight="1" ht="11.549999999999999">
      <c r="A186" s="1111"/>
      <c r="B186" s="1760"/>
      <c r="C186" s="1760"/>
      <c r="D186" s="475"/>
      <c r="J186" s="6292"/>
      <c r="K186" s="6292"/>
      <c r="L186" s="6292"/>
      <c r="M186" s="6292"/>
      <c r="N186" s="6292"/>
      <c r="O186" s="6292"/>
      <c r="P186" s="6292"/>
      <c r="Q186" s="6292"/>
      <c r="R186" s="6292"/>
      <c r="S186" s="6292"/>
      <c r="T186" s="6292"/>
      <c r="U186" s="6292"/>
      <c r="V186" s="6292"/>
      <c r="W186" s="6292"/>
      <c r="X186" s="6292"/>
      <c r="Y186" s="6292"/>
      <c r="Z186" s="6292"/>
      <c r="AA186" s="6292"/>
      <c r="AB186" s="6292"/>
      <c r="AC186" s="6292"/>
      <c r="AD186" s="6292"/>
      <c r="AF186" s="1284"/>
      <c r="AG186" s="1760"/>
      <c r="AH186" s="1760"/>
      <c r="AI186" s="1284"/>
      <c r="AJ186" s="1284"/>
      <c r="AK186" s="1284"/>
      <c r="AL186" s="1284"/>
      <c r="AM186" s="1760"/>
      <c r="AN186" s="1284"/>
      <c r="AO186" s="1284"/>
      <c r="AP186" s="668"/>
      <c r="AQ186" s="1284"/>
      <c r="AR186" s="1284"/>
      <c r="AS186" s="1284"/>
      <c r="AT186" s="1284"/>
      <c r="AU186" s="1284"/>
      <c r="AV186" s="1756"/>
      <c r="AW186" s="690"/>
      <c r="AX186" s="690"/>
      <c r="AY186" s="690"/>
      <c r="AZ186" s="690"/>
      <c r="BA186" s="1765">
        <v>11</v>
      </c>
    </row>
    <row s="6292" customFormat="1" customHeight="1" ht="11.549999999999999">
      <c r="A187" s="1111"/>
      <c r="B187" s="1760"/>
      <c r="C187" s="1760"/>
      <c r="D187" s="475"/>
      <c r="J187" s="6292"/>
      <c r="K187" s="6292"/>
      <c r="L187" s="6292"/>
      <c r="M187" s="6292"/>
      <c r="N187" s="6292"/>
      <c r="O187" s="6292"/>
      <c r="P187" s="6292"/>
      <c r="Q187" s="6292"/>
      <c r="R187" s="6292"/>
      <c r="S187" s="6292"/>
      <c r="T187" s="6292"/>
      <c r="U187" s="6292"/>
      <c r="V187" s="6292"/>
      <c r="W187" s="6292"/>
      <c r="X187" s="6292"/>
      <c r="Y187" s="6292"/>
      <c r="Z187" s="6292"/>
      <c r="AA187" s="6292"/>
      <c r="AB187" s="6292"/>
      <c r="AC187" s="6292"/>
      <c r="AD187" s="6292"/>
      <c r="AF187" s="1284"/>
      <c r="AG187" s="1760"/>
      <c r="AH187" s="1760"/>
      <c r="AI187" s="1284"/>
      <c r="AJ187" s="1284"/>
      <c r="AK187" s="1284"/>
      <c r="AL187" s="1284"/>
      <c r="AM187" s="1760"/>
      <c r="AN187" s="1284"/>
      <c r="AO187" s="1284"/>
      <c r="AP187" s="668"/>
      <c r="AQ187" s="1284"/>
      <c r="AR187" s="1284"/>
      <c r="AS187" s="1284"/>
      <c r="AT187" s="1284"/>
      <c r="AU187" s="1284"/>
      <c r="AV187" s="1756"/>
      <c r="AW187" s="690"/>
      <c r="AX187" s="690"/>
      <c r="AY187" s="690"/>
      <c r="AZ187" s="690"/>
      <c r="BA187" s="1765">
        <v>11</v>
      </c>
    </row>
    <row s="6292" customFormat="1" customHeight="1" ht="11.549999999999999">
      <c r="A188" s="1111"/>
      <c r="B188" s="1760"/>
      <c r="C188" s="1760"/>
      <c r="D188" s="475"/>
      <c r="J188" s="6292"/>
      <c r="K188" s="6292"/>
      <c r="L188" s="6292"/>
      <c r="M188" s="6292"/>
      <c r="N188" s="6292"/>
      <c r="O188" s="6292"/>
      <c r="P188" s="6292"/>
      <c r="Q188" s="6292"/>
      <c r="R188" s="6292"/>
      <c r="S188" s="6292"/>
      <c r="T188" s="6292"/>
      <c r="U188" s="6292"/>
      <c r="V188" s="6292"/>
      <c r="W188" s="6292"/>
      <c r="X188" s="6292"/>
      <c r="Y188" s="6292"/>
      <c r="Z188" s="6292"/>
      <c r="AA188" s="6292"/>
      <c r="AB188" s="6292"/>
      <c r="AC188" s="6292"/>
      <c r="AD188" s="6292"/>
      <c r="AF188" s="1284"/>
      <c r="AG188" s="1760"/>
      <c r="AH188" s="1760"/>
      <c r="AI188" s="1284"/>
      <c r="AJ188" s="1284"/>
      <c r="AK188" s="1284"/>
      <c r="AL188" s="1284"/>
      <c r="AM188" s="1760"/>
      <c r="AN188" s="1284"/>
      <c r="AO188" s="1284"/>
      <c r="AP188" s="668"/>
      <c r="AQ188" s="1284"/>
      <c r="AR188" s="1284"/>
      <c r="AS188" s="1284"/>
      <c r="AT188" s="1284"/>
      <c r="AU188" s="1284"/>
      <c r="AV188" s="1756"/>
      <c r="AW188" s="690"/>
      <c r="AX188" s="690"/>
      <c r="AY188" s="690"/>
      <c r="AZ188" s="690"/>
      <c r="BA188" s="1765">
        <v>11</v>
      </c>
    </row>
    <row s="6292" customFormat="1" customHeight="1" ht="11.549999999999999">
      <c r="A189" s="1111"/>
      <c r="B189" s="1760"/>
      <c r="C189" s="1760"/>
      <c r="D189" s="475"/>
      <c r="J189" s="6292"/>
      <c r="K189" s="6292"/>
      <c r="L189" s="6292"/>
      <c r="M189" s="6292"/>
      <c r="N189" s="6292"/>
      <c r="O189" s="6292"/>
      <c r="P189" s="6292"/>
      <c r="Q189" s="6292"/>
      <c r="R189" s="6292"/>
      <c r="S189" s="6292"/>
      <c r="T189" s="6292"/>
      <c r="U189" s="6292"/>
      <c r="V189" s="6292"/>
      <c r="W189" s="6292"/>
      <c r="X189" s="6292"/>
      <c r="Y189" s="6292"/>
      <c r="Z189" s="6292"/>
      <c r="AA189" s="6292"/>
      <c r="AB189" s="6292"/>
      <c r="AC189" s="6292"/>
      <c r="AD189" s="6292"/>
      <c r="AF189" s="1284"/>
      <c r="AG189" s="1760"/>
      <c r="AH189" s="1760"/>
      <c r="AI189" s="1284"/>
      <c r="AJ189" s="1284"/>
      <c r="AK189" s="1284"/>
      <c r="AL189" s="1284"/>
      <c r="AM189" s="1760"/>
      <c r="AN189" s="1284"/>
      <c r="AO189" s="1284"/>
      <c r="AP189" s="668"/>
      <c r="AQ189" s="1284"/>
      <c r="AR189" s="1284"/>
      <c r="AS189" s="1284"/>
      <c r="AT189" s="1284"/>
      <c r="AU189" s="1284"/>
      <c r="AV189" s="1756"/>
      <c r="AW189" s="690"/>
      <c r="AX189" s="690"/>
      <c r="AY189" s="690"/>
      <c r="AZ189" s="690"/>
      <c r="BA189" s="1765">
        <v>11</v>
      </c>
    </row>
    <row s="6292" customFormat="1" customHeight="1" ht="11.549999999999999">
      <c r="A190" s="1111"/>
      <c r="B190" s="1760"/>
      <c r="C190" s="1760"/>
      <c r="D190" s="475"/>
      <c r="J190" s="6292"/>
      <c r="K190" s="6292"/>
      <c r="L190" s="6292"/>
      <c r="M190" s="6292"/>
      <c r="N190" s="6292"/>
      <c r="O190" s="6292"/>
      <c r="P190" s="6292"/>
      <c r="Q190" s="6292"/>
      <c r="R190" s="6292"/>
      <c r="S190" s="6292"/>
      <c r="T190" s="6292"/>
      <c r="U190" s="6292"/>
      <c r="V190" s="6292"/>
      <c r="W190" s="6292"/>
      <c r="X190" s="6292"/>
      <c r="Y190" s="6292"/>
      <c r="Z190" s="6292"/>
      <c r="AA190" s="6292"/>
      <c r="AB190" s="6292"/>
      <c r="AC190" s="6292"/>
      <c r="AD190" s="6292"/>
      <c r="AF190" s="1284"/>
      <c r="AG190" s="1760"/>
      <c r="AH190" s="1760"/>
      <c r="AI190" s="1284"/>
      <c r="AJ190" s="1284"/>
      <c r="AK190" s="1284"/>
      <c r="AL190" s="1284"/>
      <c r="AM190" s="1760"/>
      <c r="AN190" s="1284"/>
      <c r="AO190" s="1284"/>
      <c r="AP190" s="668"/>
      <c r="AQ190" s="1284"/>
      <c r="AR190" s="1284"/>
      <c r="AS190" s="1284"/>
      <c r="AT190" s="1284"/>
      <c r="AU190" s="1284"/>
      <c r="AV190" s="1756"/>
      <c r="AW190" s="690"/>
      <c r="AX190" s="690"/>
      <c r="AY190" s="690"/>
      <c r="AZ190" s="690"/>
      <c r="BA190" s="1765">
        <v>11</v>
      </c>
    </row>
    <row s="6292" customFormat="1" customHeight="1" ht="11.549999999999999">
      <c r="A191" s="1111"/>
      <c r="B191" s="1760"/>
      <c r="C191" s="1760"/>
      <c r="D191" s="475"/>
      <c r="J191" s="6292"/>
      <c r="K191" s="6292"/>
      <c r="L191" s="6292"/>
      <c r="M191" s="6292"/>
      <c r="N191" s="6292"/>
      <c r="O191" s="6292"/>
      <c r="P191" s="6292"/>
      <c r="Q191" s="6292"/>
      <c r="R191" s="6292"/>
      <c r="S191" s="6292"/>
      <c r="T191" s="6292"/>
      <c r="U191" s="6292"/>
      <c r="V191" s="6292"/>
      <c r="W191" s="6292"/>
      <c r="X191" s="6292"/>
      <c r="Y191" s="6292"/>
      <c r="Z191" s="6292"/>
      <c r="AA191" s="6292"/>
      <c r="AB191" s="6292"/>
      <c r="AC191" s="6292"/>
      <c r="AD191" s="6292"/>
      <c r="AF191" s="1284"/>
      <c r="AG191" s="1760"/>
      <c r="AH191" s="1760"/>
      <c r="AI191" s="1284"/>
      <c r="AJ191" s="1284"/>
      <c r="AK191" s="1284"/>
      <c r="AL191" s="1284"/>
      <c r="AM191" s="1760"/>
      <c r="AN191" s="1284"/>
      <c r="AO191" s="1284"/>
      <c r="AP191" s="668"/>
      <c r="AQ191" s="1284"/>
      <c r="AR191" s="1284"/>
      <c r="AS191" s="1284"/>
      <c r="AT191" s="1284"/>
      <c r="AU191" s="1284"/>
      <c r="AV191" s="1756"/>
      <c r="AW191" s="690"/>
      <c r="AX191" s="690"/>
      <c r="AY191" s="690"/>
      <c r="AZ191" s="690"/>
      <c r="BA191" s="1765">
        <v>11</v>
      </c>
    </row>
    <row s="6292" customFormat="1" customHeight="1" ht="11.549999999999999">
      <c r="A192" s="1111"/>
      <c r="B192" s="1760"/>
      <c r="C192" s="1760"/>
      <c r="D192" s="475"/>
      <c r="J192" s="6292"/>
      <c r="K192" s="6292"/>
      <c r="L192" s="6292"/>
      <c r="M192" s="6292"/>
      <c r="N192" s="6292"/>
      <c r="O192" s="6292"/>
      <c r="P192" s="6292"/>
      <c r="Q192" s="6292"/>
      <c r="R192" s="6292"/>
      <c r="S192" s="6292"/>
      <c r="T192" s="6292"/>
      <c r="U192" s="6292"/>
      <c r="V192" s="6292"/>
      <c r="W192" s="6292"/>
      <c r="X192" s="6292"/>
      <c r="Y192" s="6292"/>
      <c r="Z192" s="6292"/>
      <c r="AA192" s="6292"/>
      <c r="AB192" s="6292"/>
      <c r="AC192" s="6292"/>
      <c r="AD192" s="6292"/>
      <c r="AF192" s="1284"/>
      <c r="AG192" s="1760"/>
      <c r="AH192" s="1760"/>
      <c r="AI192" s="1284"/>
      <c r="AJ192" s="1284"/>
      <c r="AK192" s="1284"/>
      <c r="AL192" s="1284"/>
      <c r="AM192" s="1760"/>
      <c r="AN192" s="1284"/>
      <c r="AO192" s="1284"/>
      <c r="AP192" s="668"/>
      <c r="AQ192" s="1284"/>
      <c r="AR192" s="1284"/>
      <c r="AS192" s="1284"/>
      <c r="AT192" s="1284"/>
      <c r="AU192" s="1284"/>
      <c r="AV192" s="1756"/>
      <c r="AW192" s="690"/>
      <c r="AX192" s="690"/>
      <c r="AY192" s="690"/>
      <c r="AZ192" s="690"/>
      <c r="BA192" s="1765">
        <v>11</v>
      </c>
    </row>
    <row s="6292" customFormat="1" customHeight="1" ht="11.549999999999999">
      <c r="A193" s="1111"/>
      <c r="B193" s="1760"/>
      <c r="C193" s="1760"/>
      <c r="D193" s="475"/>
      <c r="J193" s="6292"/>
      <c r="K193" s="6292"/>
      <c r="L193" s="6292"/>
      <c r="M193" s="6292"/>
      <c r="N193" s="6292"/>
      <c r="O193" s="6292"/>
      <c r="P193" s="6292"/>
      <c r="Q193" s="6292"/>
      <c r="R193" s="6292"/>
      <c r="S193" s="6292"/>
      <c r="T193" s="6292"/>
      <c r="U193" s="6292"/>
      <c r="V193" s="6292"/>
      <c r="W193" s="6292"/>
      <c r="X193" s="6292"/>
      <c r="Y193" s="6292"/>
      <c r="Z193" s="6292"/>
      <c r="AA193" s="6292"/>
      <c r="AB193" s="6292"/>
      <c r="AC193" s="6292"/>
      <c r="AD193" s="6292"/>
      <c r="AF193" s="1284"/>
      <c r="AG193" s="1760"/>
      <c r="AH193" s="1760"/>
      <c r="AI193" s="1284"/>
      <c r="AJ193" s="1284"/>
      <c r="AK193" s="1284"/>
      <c r="AL193" s="1284"/>
      <c r="AM193" s="1760"/>
      <c r="AN193" s="1284"/>
      <c r="AO193" s="1284"/>
      <c r="AP193" s="668"/>
      <c r="AQ193" s="1284"/>
      <c r="AR193" s="1284"/>
      <c r="AS193" s="1284"/>
      <c r="AT193" s="1284"/>
      <c r="AU193" s="1284"/>
      <c r="AV193" s="1756"/>
      <c r="AW193" s="690"/>
      <c r="AX193" s="690"/>
      <c r="AY193" s="690"/>
      <c r="AZ193" s="690"/>
      <c r="BA193" s="1765">
        <v>11</v>
      </c>
    </row>
    <row s="6292" customFormat="1" customHeight="1" ht="11.549999999999999">
      <c r="A194" s="1111"/>
      <c r="B194" s="1760"/>
      <c r="C194" s="1760"/>
      <c r="D194" s="475"/>
      <c r="J194" s="6292"/>
      <c r="K194" s="6292"/>
      <c r="L194" s="6292"/>
      <c r="M194" s="6292"/>
      <c r="N194" s="6292"/>
      <c r="O194" s="6292"/>
      <c r="P194" s="6292"/>
      <c r="Q194" s="6292"/>
      <c r="R194" s="6292"/>
      <c r="S194" s="6292"/>
      <c r="T194" s="6292"/>
      <c r="U194" s="6292"/>
      <c r="V194" s="6292"/>
      <c r="W194" s="6292"/>
      <c r="X194" s="6292"/>
      <c r="Y194" s="6292"/>
      <c r="Z194" s="6292"/>
      <c r="AA194" s="6292"/>
      <c r="AB194" s="6292"/>
      <c r="AC194" s="6292"/>
      <c r="AD194" s="6292"/>
      <c r="AF194" s="1284"/>
      <c r="AG194" s="1760"/>
      <c r="AH194" s="1760"/>
      <c r="AI194" s="1284"/>
      <c r="AJ194" s="1284"/>
      <c r="AK194" s="1284"/>
      <c r="AL194" s="1284"/>
      <c r="AM194" s="1760"/>
      <c r="AN194" s="1284"/>
      <c r="AO194" s="1284"/>
      <c r="AP194" s="668"/>
      <c r="AQ194" s="1284"/>
      <c r="AR194" s="1284"/>
      <c r="AS194" s="1284"/>
      <c r="AT194" s="1284"/>
      <c r="AU194" s="1284"/>
      <c r="AV194" s="1756"/>
      <c r="AW194" s="690"/>
      <c r="AX194" s="690"/>
      <c r="AY194" s="690"/>
      <c r="AZ194" s="690"/>
      <c r="BA194" s="1765">
        <v>11</v>
      </c>
    </row>
    <row s="6292" customFormat="1" customHeight="1" ht="11.549999999999999">
      <c r="A195" s="1111"/>
      <c r="B195" s="1760"/>
      <c r="C195" s="1760"/>
      <c r="D195" s="475"/>
      <c r="J195" s="6292"/>
      <c r="K195" s="6292"/>
      <c r="L195" s="6292"/>
      <c r="M195" s="6292"/>
      <c r="N195" s="6292"/>
      <c r="O195" s="6292"/>
      <c r="P195" s="6292"/>
      <c r="Q195" s="6292"/>
      <c r="R195" s="6292"/>
      <c r="S195" s="6292"/>
      <c r="T195" s="6292"/>
      <c r="U195" s="6292"/>
      <c r="V195" s="6292"/>
      <c r="W195" s="6292"/>
      <c r="X195" s="6292"/>
      <c r="Y195" s="6292"/>
      <c r="Z195" s="6292"/>
      <c r="AA195" s="6292"/>
      <c r="AB195" s="6292"/>
      <c r="AC195" s="6292"/>
      <c r="AD195" s="6292"/>
      <c r="AF195" s="1284"/>
      <c r="AG195" s="1760"/>
      <c r="AH195" s="1760"/>
      <c r="AI195" s="1284"/>
      <c r="AJ195" s="1284"/>
      <c r="AK195" s="1284"/>
      <c r="AL195" s="1284"/>
      <c r="AM195" s="1760"/>
      <c r="AN195" s="1284"/>
      <c r="AO195" s="1284"/>
      <c r="AP195" s="668"/>
      <c r="AQ195" s="1284"/>
      <c r="AR195" s="1284"/>
      <c r="AS195" s="1284"/>
      <c r="AT195" s="1284"/>
      <c r="AU195" s="1284"/>
      <c r="AV195" s="1756"/>
      <c r="AW195" s="690"/>
      <c r="AX195" s="690"/>
      <c r="AY195" s="690"/>
      <c r="AZ195" s="690"/>
      <c r="BA195" s="1765">
        <v>11</v>
      </c>
    </row>
    <row s="6292" customFormat="1" customHeight="1" ht="11.549999999999999">
      <c r="A196" s="1111"/>
      <c r="B196" s="1760"/>
      <c r="C196" s="1760"/>
      <c r="D196" s="475"/>
      <c r="J196" s="6292"/>
      <c r="K196" s="6292"/>
      <c r="L196" s="6292"/>
      <c r="M196" s="6292"/>
      <c r="N196" s="6292"/>
      <c r="O196" s="6292"/>
      <c r="P196" s="6292"/>
      <c r="Q196" s="6292"/>
      <c r="R196" s="6292"/>
      <c r="S196" s="6292"/>
      <c r="T196" s="6292"/>
      <c r="U196" s="6292"/>
      <c r="V196" s="6292"/>
      <c r="W196" s="6292"/>
      <c r="X196" s="6292"/>
      <c r="Y196" s="6292"/>
      <c r="Z196" s="6292"/>
      <c r="AA196" s="6292"/>
      <c r="AB196" s="6292"/>
      <c r="AC196" s="6292"/>
      <c r="AD196" s="6292"/>
      <c r="AF196" s="1284"/>
      <c r="AG196" s="1760"/>
      <c r="AH196" s="1760"/>
      <c r="AI196" s="1284"/>
      <c r="AJ196" s="1284"/>
      <c r="AK196" s="1284"/>
      <c r="AL196" s="1284"/>
      <c r="AM196" s="1760"/>
      <c r="AN196" s="1284"/>
      <c r="AO196" s="1284"/>
      <c r="AP196" s="668"/>
      <c r="AQ196" s="1284"/>
      <c r="AR196" s="1284"/>
      <c r="AS196" s="1284"/>
      <c r="AT196" s="1284"/>
      <c r="AU196" s="1284"/>
      <c r="AV196" s="1756"/>
      <c r="AW196" s="690"/>
      <c r="AX196" s="690"/>
      <c r="AY196" s="690"/>
      <c r="AZ196" s="690"/>
      <c r="BA196" s="1765">
        <v>11</v>
      </c>
    </row>
    <row s="6292" customFormat="1" customHeight="1" ht="11.549999999999999">
      <c r="A197" s="1111"/>
      <c r="B197" s="1760"/>
      <c r="C197" s="1760"/>
      <c r="D197" s="475"/>
      <c r="J197" s="6292"/>
      <c r="K197" s="6292"/>
      <c r="L197" s="6292"/>
      <c r="M197" s="6292"/>
      <c r="N197" s="6292"/>
      <c r="O197" s="6292"/>
      <c r="P197" s="6292"/>
      <c r="Q197" s="6292"/>
      <c r="R197" s="6292"/>
      <c r="S197" s="6292"/>
      <c r="T197" s="6292"/>
      <c r="U197" s="6292"/>
      <c r="V197" s="6292"/>
      <c r="W197" s="6292"/>
      <c r="X197" s="6292"/>
      <c r="Y197" s="6292"/>
      <c r="Z197" s="6292"/>
      <c r="AA197" s="6292"/>
      <c r="AB197" s="6292"/>
      <c r="AC197" s="6292"/>
      <c r="AD197" s="6292"/>
      <c r="AF197" s="1284"/>
      <c r="AG197" s="1760"/>
      <c r="AH197" s="1760"/>
      <c r="AI197" s="1284"/>
      <c r="AJ197" s="1284"/>
      <c r="AK197" s="1284"/>
      <c r="AL197" s="1284"/>
      <c r="AM197" s="1760"/>
      <c r="AN197" s="1284"/>
      <c r="AO197" s="1284"/>
      <c r="AP197" s="668"/>
      <c r="AQ197" s="1284"/>
      <c r="AR197" s="1284"/>
      <c r="AS197" s="1284"/>
      <c r="AT197" s="1284"/>
      <c r="AU197" s="1284"/>
      <c r="AV197" s="1756"/>
      <c r="AW197" s="690"/>
      <c r="AX197" s="690"/>
      <c r="AY197" s="690"/>
      <c r="AZ197" s="690"/>
      <c r="BA197" s="1765">
        <v>11</v>
      </c>
    </row>
    <row s="6292" customFormat="1" customHeight="1" ht="11.549999999999999">
      <c r="A198" s="1111"/>
      <c r="B198" s="1760"/>
      <c r="C198" s="1760"/>
      <c r="D198" s="475"/>
      <c r="J198" s="6292"/>
      <c r="K198" s="6292"/>
      <c r="L198" s="6292"/>
      <c r="M198" s="6292"/>
      <c r="N198" s="6292"/>
      <c r="O198" s="6292"/>
      <c r="P198" s="6292"/>
      <c r="Q198" s="6292"/>
      <c r="R198" s="6292"/>
      <c r="S198" s="6292"/>
      <c r="T198" s="6292"/>
      <c r="U198" s="6292"/>
      <c r="V198" s="6292"/>
      <c r="W198" s="6292"/>
      <c r="X198" s="6292"/>
      <c r="Y198" s="6292"/>
      <c r="Z198" s="6292"/>
      <c r="AA198" s="6292"/>
      <c r="AB198" s="6292"/>
      <c r="AC198" s="6292"/>
      <c r="AD198" s="6292"/>
      <c r="AF198" s="1284"/>
      <c r="AG198" s="1760"/>
      <c r="AH198" s="1760"/>
      <c r="AI198" s="1284"/>
      <c r="AJ198" s="1284"/>
      <c r="AK198" s="1284"/>
      <c r="AL198" s="1284"/>
      <c r="AM198" s="1760"/>
      <c r="AN198" s="1284"/>
      <c r="AO198" s="1284"/>
      <c r="AP198" s="668"/>
      <c r="AQ198" s="1284"/>
      <c r="AR198" s="1284"/>
      <c r="AS198" s="1284"/>
      <c r="AT198" s="1284"/>
      <c r="AU198" s="1284"/>
      <c r="AV198" s="1756"/>
      <c r="AW198" s="690"/>
      <c r="AX198" s="690"/>
      <c r="AY198" s="690"/>
      <c r="AZ198" s="690"/>
      <c r="BA198" s="1765">
        <v>11</v>
      </c>
    </row>
    <row s="6292" customFormat="1" customHeight="1" ht="11.549999999999999">
      <c r="A199" s="1111"/>
      <c r="B199" s="1760"/>
      <c r="C199" s="1760"/>
      <c r="D199" s="475"/>
      <c r="J199" s="6292"/>
      <c r="K199" s="6292"/>
      <c r="L199" s="6292"/>
      <c r="M199" s="6292"/>
      <c r="N199" s="6292"/>
      <c r="O199" s="6292"/>
      <c r="P199" s="6292"/>
      <c r="Q199" s="6292"/>
      <c r="R199" s="6292"/>
      <c r="S199" s="6292"/>
      <c r="T199" s="6292"/>
      <c r="U199" s="6292"/>
      <c r="V199" s="6292"/>
      <c r="W199" s="6292"/>
      <c r="X199" s="6292"/>
      <c r="Y199" s="6292"/>
      <c r="Z199" s="6292"/>
      <c r="AA199" s="6292"/>
      <c r="AB199" s="6292"/>
      <c r="AC199" s="6292"/>
      <c r="AD199" s="6292"/>
      <c r="AF199" s="1284"/>
      <c r="AG199" s="1760"/>
      <c r="AH199" s="1760"/>
      <c r="AI199" s="1284"/>
      <c r="AJ199" s="1284"/>
      <c r="AK199" s="1284"/>
      <c r="AL199" s="1284"/>
      <c r="AM199" s="1760"/>
      <c r="AN199" s="1284"/>
      <c r="AO199" s="1284"/>
      <c r="AP199" s="668"/>
      <c r="AQ199" s="1284"/>
      <c r="AR199" s="1284"/>
      <c r="AS199" s="1284"/>
      <c r="AT199" s="1284"/>
      <c r="AU199" s="1284"/>
      <c r="AV199" s="1756"/>
      <c r="AW199" s="690"/>
      <c r="AX199" s="690"/>
      <c r="AY199" s="690"/>
      <c r="AZ199" s="690"/>
      <c r="BA199" s="1765">
        <v>11</v>
      </c>
    </row>
    <row s="6292" customFormat="1" customHeight="1" ht="11.549999999999999">
      <c r="A200" s="1111"/>
      <c r="B200" s="1760"/>
      <c r="C200" s="1760"/>
      <c r="D200" s="475"/>
      <c r="J200" s="6292"/>
      <c r="K200" s="6292"/>
      <c r="L200" s="6292"/>
      <c r="M200" s="6292"/>
      <c r="N200" s="6292"/>
      <c r="O200" s="6292"/>
      <c r="P200" s="6292"/>
      <c r="Q200" s="6292"/>
      <c r="R200" s="6292"/>
      <c r="S200" s="6292"/>
      <c r="T200" s="6292"/>
      <c r="U200" s="6292"/>
      <c r="V200" s="6292"/>
      <c r="W200" s="6292"/>
      <c r="X200" s="6292"/>
      <c r="Y200" s="6292"/>
      <c r="Z200" s="6292"/>
      <c r="AA200" s="6292"/>
      <c r="AB200" s="6292"/>
      <c r="AC200" s="6292"/>
      <c r="AD200" s="6292"/>
      <c r="AF200" s="1284"/>
      <c r="AG200" s="1760"/>
      <c r="AH200" s="1760"/>
      <c r="AI200" s="1284"/>
      <c r="AJ200" s="1284"/>
      <c r="AK200" s="1284"/>
      <c r="AL200" s="1284"/>
      <c r="AM200" s="1760"/>
      <c r="AN200" s="1284"/>
      <c r="AO200" s="1284"/>
      <c r="AP200" s="668"/>
      <c r="AQ200" s="1284"/>
      <c r="AR200" s="1284"/>
      <c r="AS200" s="1284"/>
      <c r="AT200" s="1284"/>
      <c r="AU200" s="1284"/>
      <c r="AV200" s="1756"/>
      <c r="AW200" s="690"/>
      <c r="AX200" s="690"/>
      <c r="AY200" s="690"/>
      <c r="AZ200" s="690"/>
      <c r="BA200" s="1765">
        <v>11</v>
      </c>
    </row>
    <row s="6292" customFormat="1" customHeight="1" ht="11.549999999999999">
      <c r="A201" s="1111"/>
      <c r="B201" s="1760"/>
      <c r="C201" s="1760"/>
      <c r="D201" s="475"/>
      <c r="J201" s="6292"/>
      <c r="K201" s="6292"/>
      <c r="L201" s="6292"/>
      <c r="M201" s="6292"/>
      <c r="N201" s="6292"/>
      <c r="O201" s="6292"/>
      <c r="P201" s="6292"/>
      <c r="Q201" s="6292"/>
      <c r="R201" s="6292"/>
      <c r="S201" s="6292"/>
      <c r="T201" s="6292"/>
      <c r="U201" s="6292"/>
      <c r="V201" s="6292"/>
      <c r="W201" s="6292"/>
      <c r="X201" s="6292"/>
      <c r="Y201" s="6292"/>
      <c r="Z201" s="6292"/>
      <c r="AA201" s="6292"/>
      <c r="AB201" s="6292"/>
      <c r="AC201" s="6292"/>
      <c r="AD201" s="6292"/>
      <c r="AF201" s="1284"/>
      <c r="AG201" s="1760"/>
      <c r="AH201" s="1760"/>
      <c r="AI201" s="1284"/>
      <c r="AJ201" s="1284"/>
      <c r="AK201" s="1284"/>
      <c r="AL201" s="1284"/>
      <c r="AM201" s="1760"/>
      <c r="AN201" s="1284"/>
      <c r="AO201" s="1284"/>
      <c r="AP201" s="668"/>
      <c r="AQ201" s="1284"/>
      <c r="AR201" s="1284"/>
      <c r="AS201" s="1284"/>
      <c r="AT201" s="1284"/>
      <c r="AU201" s="1284"/>
      <c r="AV201" s="1756"/>
      <c r="AW201" s="690"/>
      <c r="AX201" s="690"/>
      <c r="AY201" s="690"/>
      <c r="AZ201" s="690"/>
      <c r="BA201" s="1765">
        <v>11</v>
      </c>
    </row>
    <row s="6292" customFormat="1" customHeight="1" ht="11.549999999999999">
      <c r="A202" s="1111"/>
      <c r="B202" s="1760"/>
      <c r="C202" s="1760"/>
      <c r="D202" s="475"/>
      <c r="J202" s="6292"/>
      <c r="K202" s="6292"/>
      <c r="L202" s="6292"/>
      <c r="M202" s="6292"/>
      <c r="N202" s="6292"/>
      <c r="O202" s="6292"/>
      <c r="P202" s="6292"/>
      <c r="Q202" s="6292"/>
      <c r="R202" s="6292"/>
      <c r="S202" s="6292"/>
      <c r="T202" s="6292"/>
      <c r="U202" s="6292"/>
      <c r="V202" s="6292"/>
      <c r="W202" s="6292"/>
      <c r="X202" s="6292"/>
      <c r="Y202" s="6292"/>
      <c r="Z202" s="6292"/>
      <c r="AA202" s="6292"/>
      <c r="AB202" s="6292"/>
      <c r="AC202" s="6292"/>
      <c r="AD202" s="6292"/>
      <c r="AF202" s="1284"/>
      <c r="AG202" s="1760"/>
      <c r="AH202" s="1760"/>
      <c r="AI202" s="1284"/>
      <c r="AJ202" s="1284"/>
      <c r="AK202" s="1284"/>
      <c r="AL202" s="1284"/>
      <c r="AM202" s="1760"/>
      <c r="AN202" s="1284"/>
      <c r="AO202" s="1284"/>
      <c r="AP202" s="668"/>
      <c r="AQ202" s="1284"/>
      <c r="AR202" s="1284"/>
      <c r="AS202" s="1284"/>
      <c r="AT202" s="1284"/>
      <c r="AU202" s="1284"/>
      <c r="AV202" s="1756"/>
      <c r="AW202" s="690"/>
      <c r="AX202" s="690"/>
      <c r="AY202" s="690"/>
      <c r="AZ202" s="690"/>
      <c r="BA202" s="1765">
        <v>11</v>
      </c>
    </row>
    <row s="6292" customFormat="1" customHeight="1" ht="11.549999999999999">
      <c r="A203" s="1111"/>
      <c r="B203" s="1760"/>
      <c r="C203" s="1760"/>
      <c r="D203" s="475"/>
      <c r="J203" s="6292"/>
      <c r="K203" s="6292"/>
      <c r="L203" s="6292"/>
      <c r="M203" s="6292"/>
      <c r="N203" s="6292"/>
      <c r="O203" s="6292"/>
      <c r="P203" s="6292"/>
      <c r="Q203" s="6292"/>
      <c r="R203" s="6292"/>
      <c r="S203" s="6292"/>
      <c r="T203" s="6292"/>
      <c r="U203" s="6292"/>
      <c r="V203" s="6292"/>
      <c r="W203" s="6292"/>
      <c r="X203" s="6292"/>
      <c r="Y203" s="6292"/>
      <c r="Z203" s="6292"/>
      <c r="AA203" s="6292"/>
      <c r="AB203" s="6292"/>
      <c r="AC203" s="6292"/>
      <c r="AD203" s="6292"/>
      <c r="AF203" s="1284"/>
      <c r="AG203" s="1760"/>
      <c r="AH203" s="1760"/>
      <c r="AI203" s="1284"/>
      <c r="AJ203" s="1284"/>
      <c r="AK203" s="1284"/>
      <c r="AL203" s="1284"/>
      <c r="AM203" s="1760"/>
      <c r="AN203" s="1284"/>
      <c r="AO203" s="1284"/>
      <c r="AP203" s="668"/>
      <c r="AQ203" s="1284"/>
      <c r="AR203" s="1284"/>
      <c r="AS203" s="1284"/>
      <c r="AT203" s="1284"/>
      <c r="AU203" s="1284"/>
      <c r="AV203" s="1756"/>
      <c r="AW203" s="690"/>
      <c r="AX203" s="690"/>
      <c r="AY203" s="690"/>
      <c r="AZ203" s="690"/>
      <c r="BA203" s="1765">
        <v>11</v>
      </c>
    </row>
    <row s="6292" customFormat="1" customHeight="1" ht="11.549999999999999">
      <c r="A204" s="1111"/>
      <c r="B204" s="1760"/>
      <c r="C204" s="1760"/>
      <c r="D204" s="475"/>
      <c r="J204" s="6292"/>
      <c r="K204" s="6292"/>
      <c r="L204" s="6292"/>
      <c r="M204" s="6292"/>
      <c r="N204" s="6292"/>
      <c r="O204" s="6292"/>
      <c r="P204" s="6292"/>
      <c r="Q204" s="6292"/>
      <c r="R204" s="6292"/>
      <c r="S204" s="6292"/>
      <c r="T204" s="6292"/>
      <c r="U204" s="6292"/>
      <c r="V204" s="6292"/>
      <c r="W204" s="6292"/>
      <c r="X204" s="6292"/>
      <c r="Y204" s="6292"/>
      <c r="Z204" s="6292"/>
      <c r="AA204" s="6292"/>
      <c r="AB204" s="6292"/>
      <c r="AC204" s="6292"/>
      <c r="AD204" s="6292"/>
      <c r="AF204" s="1284"/>
      <c r="AG204" s="1760"/>
      <c r="AH204" s="1760"/>
      <c r="AI204" s="1284"/>
      <c r="AJ204" s="1284"/>
      <c r="AK204" s="1284"/>
      <c r="AL204" s="1284"/>
      <c r="AM204" s="1760"/>
      <c r="AN204" s="1284"/>
      <c r="AO204" s="1284"/>
      <c r="AP204" s="668"/>
      <c r="AQ204" s="1284"/>
      <c r="AR204" s="1284"/>
      <c r="AS204" s="1284"/>
      <c r="AT204" s="1284"/>
      <c r="AU204" s="1284"/>
      <c r="AV204" s="1756"/>
      <c r="AW204" s="690"/>
      <c r="AX204" s="690"/>
      <c r="AY204" s="690"/>
      <c r="AZ204" s="690"/>
      <c r="BA204" s="1765">
        <v>11</v>
      </c>
    </row>
    <row s="6292" customFormat="1" customHeight="1" ht="11.549999999999999">
      <c r="A205" s="1111"/>
      <c r="B205" s="1760"/>
      <c r="C205" s="1760"/>
      <c r="D205" s="475"/>
      <c r="J205" s="6292"/>
      <c r="K205" s="6292"/>
      <c r="L205" s="6292"/>
      <c r="M205" s="6292"/>
      <c r="N205" s="6292"/>
      <c r="O205" s="6292"/>
      <c r="P205" s="6292"/>
      <c r="Q205" s="6292"/>
      <c r="R205" s="6292"/>
      <c r="S205" s="6292"/>
      <c r="T205" s="6292"/>
      <c r="U205" s="6292"/>
      <c r="V205" s="6292"/>
      <c r="W205" s="6292"/>
      <c r="X205" s="6292"/>
      <c r="Y205" s="6292"/>
      <c r="Z205" s="6292"/>
      <c r="AA205" s="6292"/>
      <c r="AB205" s="6292"/>
      <c r="AC205" s="6292"/>
      <c r="AD205" s="6292"/>
      <c r="AF205" s="1284"/>
      <c r="AG205" s="1760"/>
      <c r="AH205" s="1760"/>
      <c r="AI205" s="1284"/>
      <c r="AJ205" s="1284"/>
      <c r="AK205" s="1284"/>
      <c r="AL205" s="1284"/>
      <c r="AM205" s="1760"/>
      <c r="AN205" s="1284"/>
      <c r="AO205" s="1284"/>
      <c r="AP205" s="668"/>
      <c r="AQ205" s="1284"/>
      <c r="AR205" s="1284"/>
      <c r="AS205" s="1284"/>
      <c r="AT205" s="1284"/>
      <c r="AU205" s="1284"/>
      <c r="AV205" s="1756"/>
      <c r="AW205" s="690"/>
      <c r="AX205" s="690"/>
      <c r="AY205" s="690"/>
      <c r="AZ205" s="690"/>
      <c r="BA205" s="1765">
        <v>11</v>
      </c>
    </row>
    <row s="6292" customFormat="1" customHeight="1" ht="11.549999999999999">
      <c r="A206" s="1111"/>
      <c r="B206" s="1760"/>
      <c r="C206" s="1760"/>
      <c r="D206" s="475"/>
      <c r="J206" s="6292"/>
      <c r="K206" s="6292"/>
      <c r="L206" s="6292"/>
      <c r="M206" s="6292"/>
      <c r="N206" s="6292"/>
      <c r="O206" s="6292"/>
      <c r="P206" s="6292"/>
      <c r="Q206" s="6292"/>
      <c r="R206" s="6292"/>
      <c r="S206" s="6292"/>
      <c r="T206" s="6292"/>
      <c r="U206" s="6292"/>
      <c r="V206" s="6292"/>
      <c r="W206" s="6292"/>
      <c r="X206" s="6292"/>
      <c r="Y206" s="6292"/>
      <c r="Z206" s="6292"/>
      <c r="AA206" s="6292"/>
      <c r="AB206" s="6292"/>
      <c r="AC206" s="6292"/>
      <c r="AD206" s="6292"/>
      <c r="AF206" s="1284"/>
      <c r="AG206" s="1760"/>
      <c r="AH206" s="1760"/>
      <c r="AI206" s="1284"/>
      <c r="AJ206" s="1284"/>
      <c r="AK206" s="1284"/>
      <c r="AL206" s="1284"/>
      <c r="AM206" s="1760"/>
      <c r="AN206" s="1284"/>
      <c r="AO206" s="1284"/>
      <c r="AP206" s="668"/>
      <c r="AQ206" s="1284"/>
      <c r="AR206" s="1284"/>
      <c r="AS206" s="1284"/>
      <c r="AT206" s="1284"/>
      <c r="AU206" s="1284"/>
      <c r="AV206" s="1756"/>
      <c r="AW206" s="690"/>
      <c r="AX206" s="690"/>
      <c r="AY206" s="690"/>
      <c r="AZ206" s="690"/>
      <c r="BA206" s="1765">
        <v>11</v>
      </c>
    </row>
    <row s="6292" customFormat="1" customHeight="1" ht="11.549999999999999">
      <c r="A207" s="1111"/>
      <c r="B207" s="1760"/>
      <c r="C207" s="1760"/>
      <c r="D207" s="475"/>
      <c r="J207" s="6292"/>
      <c r="K207" s="6292"/>
      <c r="L207" s="6292"/>
      <c r="M207" s="6292"/>
      <c r="N207" s="6292"/>
      <c r="O207" s="6292"/>
      <c r="P207" s="6292"/>
      <c r="Q207" s="6292"/>
      <c r="R207" s="6292"/>
      <c r="S207" s="6292"/>
      <c r="T207" s="6292"/>
      <c r="U207" s="6292"/>
      <c r="V207" s="6292"/>
      <c r="W207" s="6292"/>
      <c r="X207" s="6292"/>
      <c r="Y207" s="6292"/>
      <c r="Z207" s="6292"/>
      <c r="AA207" s="6292"/>
      <c r="AB207" s="6292"/>
      <c r="AC207" s="6292"/>
      <c r="AD207" s="6292"/>
      <c r="AF207" s="1284"/>
      <c r="AG207" s="1760"/>
      <c r="AH207" s="1760"/>
      <c r="AI207" s="1284"/>
      <c r="AJ207" s="1284"/>
      <c r="AK207" s="1284"/>
      <c r="AL207" s="1284"/>
      <c r="AM207" s="1760"/>
      <c r="AN207" s="1284"/>
      <c r="AO207" s="1284"/>
      <c r="AP207" s="668"/>
      <c r="AQ207" s="1284"/>
      <c r="AR207" s="1284"/>
      <c r="AS207" s="1284"/>
      <c r="AT207" s="1284"/>
      <c r="AU207" s="1284"/>
      <c r="AV207" s="1756"/>
      <c r="AW207" s="690"/>
      <c r="AX207" s="690"/>
      <c r="AY207" s="690"/>
      <c r="AZ207" s="690"/>
      <c r="BA207" s="1765">
        <v>11</v>
      </c>
    </row>
    <row s="6292" customFormat="1" customHeight="1" ht="11.549999999999999">
      <c r="A208" s="1111"/>
      <c r="B208" s="1760"/>
      <c r="C208" s="1760"/>
      <c r="D208" s="475"/>
      <c r="J208" s="6292"/>
      <c r="K208" s="6292"/>
      <c r="L208" s="6292"/>
      <c r="M208" s="6292"/>
      <c r="N208" s="6292"/>
      <c r="O208" s="6292"/>
      <c r="P208" s="6292"/>
      <c r="Q208" s="6292"/>
      <c r="R208" s="6292"/>
      <c r="S208" s="6292"/>
      <c r="T208" s="6292"/>
      <c r="U208" s="6292"/>
      <c r="V208" s="6292"/>
      <c r="W208" s="6292"/>
      <c r="X208" s="6292"/>
      <c r="Y208" s="6292"/>
      <c r="Z208" s="6292"/>
      <c r="AA208" s="6292"/>
      <c r="AB208" s="6292"/>
      <c r="AC208" s="6292"/>
      <c r="AD208" s="6292"/>
      <c r="AF208" s="1284"/>
      <c r="AG208" s="1760"/>
      <c r="AH208" s="1760"/>
      <c r="AI208" s="1284"/>
      <c r="AJ208" s="1284"/>
      <c r="AK208" s="1284"/>
      <c r="AL208" s="1284"/>
      <c r="AM208" s="1760"/>
      <c r="AN208" s="1284"/>
      <c r="AO208" s="1284"/>
      <c r="AP208" s="668"/>
      <c r="AQ208" s="1284"/>
      <c r="AR208" s="1284"/>
      <c r="AS208" s="1284"/>
      <c r="AT208" s="1284"/>
      <c r="AU208" s="1284"/>
      <c r="AV208" s="1756"/>
      <c r="AW208" s="690"/>
      <c r="AX208" s="690"/>
      <c r="AY208" s="690"/>
      <c r="AZ208" s="690"/>
      <c r="BA208" s="1765">
        <v>11</v>
      </c>
    </row>
    <row s="6292" customFormat="1" customHeight="1" ht="11.549999999999999">
      <c r="A209" s="1111"/>
      <c r="B209" s="1760"/>
      <c r="C209" s="1760"/>
      <c r="D209" s="475"/>
      <c r="J209" s="6292"/>
      <c r="K209" s="6292"/>
      <c r="L209" s="6292"/>
      <c r="M209" s="6292"/>
      <c r="N209" s="6292"/>
      <c r="O209" s="6292"/>
      <c r="P209" s="6292"/>
      <c r="Q209" s="6292"/>
      <c r="R209" s="6292"/>
      <c r="S209" s="6292"/>
      <c r="T209" s="6292"/>
      <c r="U209" s="6292"/>
      <c r="V209" s="6292"/>
      <c r="W209" s="6292"/>
      <c r="X209" s="6292"/>
      <c r="Y209" s="6292"/>
      <c r="Z209" s="6292"/>
      <c r="AA209" s="6292"/>
      <c r="AB209" s="6292"/>
      <c r="AC209" s="6292"/>
      <c r="AD209" s="6292"/>
      <c r="AF209" s="1284"/>
      <c r="AG209" s="1760"/>
      <c r="AH209" s="1760"/>
      <c r="AI209" s="1284"/>
      <c r="AJ209" s="1284"/>
      <c r="AK209" s="1284"/>
      <c r="AL209" s="1284"/>
      <c r="AM209" s="1760"/>
      <c r="AN209" s="1284"/>
      <c r="AO209" s="1284"/>
      <c r="AP209" s="668"/>
      <c r="AQ209" s="1284"/>
      <c r="AR209" s="1284"/>
      <c r="AS209" s="1284"/>
      <c r="AT209" s="1284"/>
      <c r="AU209" s="1284"/>
      <c r="AV209" s="1756"/>
      <c r="AW209" s="690"/>
      <c r="AX209" s="690"/>
      <c r="AY209" s="690"/>
      <c r="AZ209" s="690"/>
      <c r="BA209" s="1765">
        <v>11</v>
      </c>
    </row>
    <row s="6292" customFormat="1" customHeight="1" ht="11.549999999999999">
      <c r="A210" s="1111"/>
      <c r="B210" s="1760"/>
      <c r="C210" s="1760"/>
      <c r="D210" s="475"/>
      <c r="J210" s="6292"/>
      <c r="K210" s="6292"/>
      <c r="L210" s="6292"/>
      <c r="M210" s="6292"/>
      <c r="N210" s="6292"/>
      <c r="O210" s="6292"/>
      <c r="P210" s="6292"/>
      <c r="Q210" s="6292"/>
      <c r="R210" s="6292"/>
      <c r="S210" s="6292"/>
      <c r="T210" s="6292"/>
      <c r="U210" s="6292"/>
      <c r="V210" s="6292"/>
      <c r="W210" s="6292"/>
      <c r="X210" s="6292"/>
      <c r="Y210" s="6292"/>
      <c r="Z210" s="6292"/>
      <c r="AA210" s="6292"/>
      <c r="AB210" s="6292"/>
      <c r="AC210" s="6292"/>
      <c r="AD210" s="6292"/>
      <c r="AF210" s="1284"/>
      <c r="AG210" s="1760"/>
      <c r="AH210" s="1760"/>
      <c r="AI210" s="1284"/>
      <c r="AJ210" s="1284"/>
      <c r="AK210" s="1284"/>
      <c r="AL210" s="1284"/>
      <c r="AM210" s="1760"/>
      <c r="AN210" s="1284"/>
      <c r="AO210" s="1284"/>
      <c r="AP210" s="668"/>
      <c r="AQ210" s="1284"/>
      <c r="AR210" s="1284"/>
      <c r="AS210" s="1284"/>
      <c r="AT210" s="1284"/>
      <c r="AU210" s="1284"/>
      <c r="AV210" s="1756"/>
      <c r="AW210" s="690"/>
      <c r="AX210" s="690"/>
      <c r="AY210" s="690"/>
      <c r="AZ210" s="690"/>
      <c r="BA210" s="1765">
        <v>11</v>
      </c>
    </row>
    <row s="6292" customFormat="1" customHeight="1" ht="11.549999999999999">
      <c r="A211" s="1111"/>
      <c r="B211" s="1760"/>
      <c r="C211" s="1760"/>
      <c r="D211" s="475"/>
      <c r="J211" s="6292"/>
      <c r="K211" s="6292"/>
      <c r="L211" s="6292"/>
      <c r="M211" s="6292"/>
      <c r="N211" s="6292"/>
      <c r="O211" s="6292"/>
      <c r="P211" s="6292"/>
      <c r="Q211" s="6292"/>
      <c r="R211" s="6292"/>
      <c r="S211" s="6292"/>
      <c r="T211" s="6292"/>
      <c r="U211" s="6292"/>
      <c r="V211" s="6292"/>
      <c r="W211" s="6292"/>
      <c r="X211" s="6292"/>
      <c r="Y211" s="6292"/>
      <c r="Z211" s="6292"/>
      <c r="AA211" s="6292"/>
      <c r="AB211" s="6292"/>
      <c r="AC211" s="6292"/>
      <c r="AD211" s="6292"/>
      <c r="AF211" s="1284"/>
      <c r="AG211" s="1760"/>
      <c r="AH211" s="1760"/>
      <c r="AI211" s="1284"/>
      <c r="AJ211" s="1284"/>
      <c r="AK211" s="1284"/>
      <c r="AL211" s="1284"/>
      <c r="AM211" s="1760"/>
      <c r="AN211" s="1284"/>
      <c r="AO211" s="1284"/>
      <c r="AP211" s="668"/>
      <c r="AQ211" s="1284"/>
      <c r="AR211" s="1284"/>
      <c r="AS211" s="1284"/>
      <c r="AT211" s="1284"/>
      <c r="AU211" s="1284"/>
      <c r="AV211" s="1756"/>
      <c r="AW211" s="690"/>
      <c r="AX211" s="690"/>
      <c r="AY211" s="690"/>
      <c r="AZ211" s="690"/>
      <c r="BA211" s="1765">
        <v>11</v>
      </c>
    </row>
    <row s="6292" customFormat="1" customHeight="1" ht="11.549999999999999">
      <c r="A212" s="1111"/>
      <c r="B212" s="1760"/>
      <c r="C212" s="1760"/>
      <c r="D212" s="475"/>
      <c r="J212" s="6292"/>
      <c r="K212" s="6292"/>
      <c r="L212" s="6292"/>
      <c r="M212" s="6292"/>
      <c r="N212" s="6292"/>
      <c r="O212" s="6292"/>
      <c r="P212" s="6292"/>
      <c r="Q212" s="6292"/>
      <c r="R212" s="6292"/>
      <c r="S212" s="6292"/>
      <c r="T212" s="6292"/>
      <c r="U212" s="6292"/>
      <c r="V212" s="6292"/>
      <c r="W212" s="6292"/>
      <c r="X212" s="6292"/>
      <c r="Y212" s="6292"/>
      <c r="Z212" s="6292"/>
      <c r="AA212" s="6292"/>
      <c r="AB212" s="6292"/>
      <c r="AC212" s="6292"/>
      <c r="AD212" s="6292"/>
      <c r="AF212" s="1284"/>
      <c r="AG212" s="1760"/>
      <c r="AH212" s="1760"/>
      <c r="AI212" s="1284"/>
      <c r="AJ212" s="1284"/>
      <c r="AK212" s="1284"/>
      <c r="AL212" s="1284"/>
      <c r="AM212" s="1760"/>
      <c r="AN212" s="1284"/>
      <c r="AO212" s="1284"/>
      <c r="AP212" s="668"/>
      <c r="AQ212" s="1284"/>
      <c r="AR212" s="1284"/>
      <c r="AS212" s="1284"/>
      <c r="AT212" s="1284"/>
      <c r="AU212" s="1284"/>
      <c r="AV212" s="1756"/>
      <c r="AW212" s="690"/>
      <c r="AX212" s="690"/>
      <c r="AY212" s="690"/>
      <c r="AZ212" s="690"/>
      <c r="BA212" s="1765">
        <v>11</v>
      </c>
    </row>
    <row s="6292" customFormat="1" customHeight="1" ht="11.549999999999999">
      <c r="A213" s="1111"/>
      <c r="B213" s="1760"/>
      <c r="C213" s="1760"/>
      <c r="D213" s="475"/>
      <c r="J213" s="6292"/>
      <c r="K213" s="6292"/>
      <c r="L213" s="6292"/>
      <c r="M213" s="6292"/>
      <c r="N213" s="6292"/>
      <c r="O213" s="6292"/>
      <c r="P213" s="6292"/>
      <c r="Q213" s="6292"/>
      <c r="R213" s="6292"/>
      <c r="S213" s="6292"/>
      <c r="T213" s="6292"/>
      <c r="U213" s="6292"/>
      <c r="V213" s="6292"/>
      <c r="W213" s="6292"/>
      <c r="X213" s="6292"/>
      <c r="Y213" s="6292"/>
      <c r="Z213" s="6292"/>
      <c r="AA213" s="6292"/>
      <c r="AB213" s="6292"/>
      <c r="AC213" s="6292"/>
      <c r="AD213" s="6292"/>
      <c r="AF213" s="1284"/>
      <c r="AG213" s="1760"/>
      <c r="AH213" s="1760"/>
      <c r="AI213" s="1284"/>
      <c r="AJ213" s="1284"/>
      <c r="AK213" s="1284"/>
      <c r="AL213" s="1284"/>
      <c r="AM213" s="1760"/>
      <c r="AN213" s="1284"/>
      <c r="AO213" s="1284"/>
      <c r="AP213" s="668"/>
      <c r="AQ213" s="1284"/>
      <c r="AR213" s="1284"/>
      <c r="AS213" s="1284"/>
      <c r="AT213" s="1284"/>
      <c r="AU213" s="1284"/>
      <c r="AV213" s="1756"/>
      <c r="AW213" s="690"/>
      <c r="AX213" s="690"/>
      <c r="AY213" s="690"/>
      <c r="AZ213" s="690"/>
      <c r="BA213" s="1765">
        <v>11</v>
      </c>
    </row>
    <row s="6292" customFormat="1" customHeight="1" ht="11.549999999999999">
      <c r="A214" s="1111"/>
      <c r="B214" s="1760"/>
      <c r="C214" s="1760"/>
      <c r="D214" s="475"/>
      <c r="J214" s="6292"/>
      <c r="K214" s="6292"/>
      <c r="L214" s="6292"/>
      <c r="M214" s="6292"/>
      <c r="N214" s="6292"/>
      <c r="O214" s="6292"/>
      <c r="P214" s="6292"/>
      <c r="Q214" s="6292"/>
      <c r="R214" s="6292"/>
      <c r="S214" s="6292"/>
      <c r="T214" s="6292"/>
      <c r="U214" s="6292"/>
      <c r="V214" s="6292"/>
      <c r="W214" s="6292"/>
      <c r="X214" s="6292"/>
      <c r="Y214" s="6292"/>
      <c r="Z214" s="6292"/>
      <c r="AA214" s="6292"/>
      <c r="AB214" s="6292"/>
      <c r="AC214" s="6292"/>
      <c r="AD214" s="6292"/>
      <c r="AF214" s="1284"/>
      <c r="AG214" s="1760"/>
      <c r="AH214" s="1760"/>
      <c r="AI214" s="1284"/>
      <c r="AJ214" s="1284"/>
      <c r="AK214" s="1284"/>
      <c r="AL214" s="1284"/>
      <c r="AM214" s="1760"/>
      <c r="AN214" s="1284"/>
      <c r="AO214" s="1284"/>
      <c r="AP214" s="668"/>
      <c r="AQ214" s="1284"/>
      <c r="AR214" s="1284"/>
      <c r="AS214" s="1284"/>
      <c r="AT214" s="1284"/>
      <c r="AU214" s="1284"/>
      <c r="AV214" s="1756"/>
      <c r="AW214" s="690"/>
      <c r="AX214" s="690"/>
      <c r="AY214" s="690"/>
      <c r="AZ214" s="690"/>
      <c r="BA214" s="1765">
        <v>11</v>
      </c>
    </row>
    <row s="6292" customFormat="1" customHeight="1" ht="11.549999999999999">
      <c r="A215" s="1111"/>
      <c r="B215" s="1760"/>
      <c r="C215" s="1760"/>
      <c r="D215" s="475"/>
      <c r="J215" s="6292"/>
      <c r="K215" s="6292"/>
      <c r="L215" s="6292"/>
      <c r="M215" s="6292"/>
      <c r="N215" s="6292"/>
      <c r="O215" s="6292"/>
      <c r="P215" s="6292"/>
      <c r="Q215" s="6292"/>
      <c r="R215" s="6292"/>
      <c r="S215" s="6292"/>
      <c r="T215" s="6292"/>
      <c r="U215" s="6292"/>
      <c r="V215" s="6292"/>
      <c r="W215" s="6292"/>
      <c r="X215" s="6292"/>
      <c r="Y215" s="6292"/>
      <c r="Z215" s="6292"/>
      <c r="AA215" s="6292"/>
      <c r="AB215" s="6292"/>
      <c r="AC215" s="6292"/>
      <c r="AD215" s="6292"/>
      <c r="AF215" s="1284"/>
      <c r="AG215" s="1760"/>
      <c r="AH215" s="1760"/>
      <c r="AI215" s="1284"/>
      <c r="AJ215" s="1284"/>
      <c r="AK215" s="1284"/>
      <c r="AL215" s="1284"/>
      <c r="AM215" s="1760"/>
      <c r="AN215" s="1284"/>
      <c r="AO215" s="1284"/>
      <c r="AP215" s="668"/>
      <c r="AQ215" s="1284"/>
      <c r="AR215" s="1284"/>
      <c r="AS215" s="1284"/>
      <c r="AT215" s="1284"/>
      <c r="AU215" s="1284"/>
      <c r="AV215" s="1756"/>
      <c r="AW215" s="690"/>
      <c r="AX215" s="690"/>
      <c r="AY215" s="690"/>
      <c r="AZ215" s="690"/>
      <c r="BA215" s="1765">
        <v>11</v>
      </c>
    </row>
    <row s="6292" customFormat="1" customHeight="1" ht="11.549999999999999">
      <c r="A216" s="1111"/>
      <c r="B216" s="1760"/>
      <c r="C216" s="1760"/>
      <c r="D216" s="475"/>
      <c r="J216" s="6292"/>
      <c r="K216" s="6292"/>
      <c r="L216" s="6292"/>
      <c r="M216" s="6292"/>
      <c r="N216" s="6292"/>
      <c r="O216" s="6292"/>
      <c r="P216" s="6292"/>
      <c r="Q216" s="6292"/>
      <c r="R216" s="6292"/>
      <c r="S216" s="6292"/>
      <c r="T216" s="6292"/>
      <c r="U216" s="6292"/>
      <c r="V216" s="6292"/>
      <c r="W216" s="6292"/>
      <c r="X216" s="6292"/>
      <c r="Y216" s="6292"/>
      <c r="Z216" s="6292"/>
      <c r="AA216" s="6292"/>
      <c r="AB216" s="6292"/>
      <c r="AC216" s="6292"/>
      <c r="AD216" s="6292"/>
      <c r="AF216" s="1284"/>
      <c r="AG216" s="1760"/>
      <c r="AH216" s="1760"/>
      <c r="AI216" s="1284"/>
      <c r="AJ216" s="1284"/>
      <c r="AK216" s="1284"/>
      <c r="AL216" s="1284"/>
      <c r="AM216" s="1760"/>
      <c r="AN216" s="1284"/>
      <c r="AO216" s="1284"/>
      <c r="AP216" s="668"/>
      <c r="AQ216" s="1284"/>
      <c r="AR216" s="1284"/>
      <c r="AS216" s="1284"/>
      <c r="AT216" s="1284"/>
      <c r="AU216" s="1284"/>
      <c r="AV216" s="1756"/>
      <c r="AW216" s="690"/>
      <c r="AX216" s="690"/>
      <c r="AY216" s="690"/>
      <c r="AZ216" s="690"/>
      <c r="BA216" s="1765">
        <v>11</v>
      </c>
    </row>
    <row s="6292" customFormat="1" customHeight="1" ht="11.549999999999999">
      <c r="A217" s="1111"/>
      <c r="B217" s="1760"/>
      <c r="C217" s="1760"/>
      <c r="D217" s="475"/>
      <c r="J217" s="6292"/>
      <c r="K217" s="6292"/>
      <c r="L217" s="6292"/>
      <c r="M217" s="6292"/>
      <c r="N217" s="6292"/>
      <c r="O217" s="6292"/>
      <c r="P217" s="6292"/>
      <c r="Q217" s="6292"/>
      <c r="R217" s="6292"/>
      <c r="S217" s="6292"/>
      <c r="T217" s="6292"/>
      <c r="U217" s="6292"/>
      <c r="V217" s="6292"/>
      <c r="W217" s="6292"/>
      <c r="X217" s="6292"/>
      <c r="Y217" s="6292"/>
      <c r="Z217" s="6292"/>
      <c r="AA217" s="6292"/>
      <c r="AB217" s="6292"/>
      <c r="AC217" s="6292"/>
      <c r="AD217" s="6292"/>
      <c r="AF217" s="1284"/>
      <c r="AG217" s="1760"/>
      <c r="AH217" s="1760"/>
      <c r="AI217" s="1284"/>
      <c r="AJ217" s="1284"/>
      <c r="AK217" s="1284"/>
      <c r="AL217" s="1284"/>
      <c r="AM217" s="1760"/>
      <c r="AN217" s="1284"/>
      <c r="AO217" s="1284"/>
      <c r="AP217" s="668"/>
      <c r="AQ217" s="1284"/>
      <c r="AR217" s="1284"/>
      <c r="AS217" s="1284"/>
      <c r="AT217" s="1284"/>
      <c r="AU217" s="1284"/>
      <c r="AV217" s="1756"/>
      <c r="AW217" s="690"/>
      <c r="AX217" s="690"/>
      <c r="AY217" s="690"/>
      <c r="AZ217" s="690"/>
      <c r="BA217" s="1765">
        <v>11</v>
      </c>
    </row>
    <row s="6292" customFormat="1" customHeight="1" ht="11.549999999999999">
      <c r="A218" s="1111"/>
      <c r="B218" s="1760"/>
      <c r="C218" s="1760"/>
      <c r="D218" s="475"/>
      <c r="J218" s="6292"/>
      <c r="K218" s="6292"/>
      <c r="L218" s="6292"/>
      <c r="M218" s="6292"/>
      <c r="N218" s="6292"/>
      <c r="O218" s="6292"/>
      <c r="P218" s="6292"/>
      <c r="Q218" s="6292"/>
      <c r="R218" s="6292"/>
      <c r="S218" s="6292"/>
      <c r="T218" s="6292"/>
      <c r="U218" s="6292"/>
      <c r="V218" s="6292"/>
      <c r="W218" s="6292"/>
      <c r="X218" s="6292"/>
      <c r="Y218" s="6292"/>
      <c r="Z218" s="6292"/>
      <c r="AA218" s="6292"/>
      <c r="AB218" s="6292"/>
      <c r="AC218" s="6292"/>
      <c r="AD218" s="6292"/>
      <c r="AF218" s="1284"/>
      <c r="AG218" s="1760"/>
      <c r="AH218" s="1760"/>
      <c r="AI218" s="1284"/>
      <c r="AJ218" s="1284"/>
      <c r="AK218" s="1284"/>
      <c r="AL218" s="1284"/>
      <c r="AM218" s="1760"/>
      <c r="AN218" s="1284"/>
      <c r="AO218" s="1284"/>
      <c r="AP218" s="668"/>
      <c r="AQ218" s="1284"/>
      <c r="AR218" s="1284"/>
      <c r="AS218" s="1284"/>
      <c r="AT218" s="1284"/>
      <c r="AU218" s="1284"/>
      <c r="AV218" s="1756"/>
      <c r="AW218" s="690"/>
      <c r="AX218" s="690"/>
      <c r="AY218" s="690"/>
      <c r="AZ218" s="690"/>
      <c r="BA218" s="1765">
        <v>11</v>
      </c>
    </row>
    <row s="6292" customFormat="1" customHeight="1" ht="11.549999999999999">
      <c r="A219" s="1111"/>
      <c r="B219" s="1760"/>
      <c r="C219" s="1760"/>
      <c r="D219" s="475"/>
      <c r="J219" s="6292"/>
      <c r="K219" s="6292"/>
      <c r="L219" s="6292"/>
      <c r="M219" s="6292"/>
      <c r="N219" s="6292"/>
      <c r="O219" s="6292"/>
      <c r="P219" s="6292"/>
      <c r="Q219" s="6292"/>
      <c r="R219" s="6292"/>
      <c r="S219" s="6292"/>
      <c r="T219" s="6292"/>
      <c r="U219" s="6292"/>
      <c r="V219" s="6292"/>
      <c r="W219" s="6292"/>
      <c r="X219" s="6292"/>
      <c r="Y219" s="6292"/>
      <c r="Z219" s="6292"/>
      <c r="AA219" s="6292"/>
      <c r="AB219" s="6292"/>
      <c r="AC219" s="6292"/>
      <c r="AD219" s="6292"/>
      <c r="AF219" s="1284"/>
      <c r="AG219" s="1760"/>
      <c r="AH219" s="1760"/>
      <c r="AI219" s="1284"/>
      <c r="AJ219" s="1284"/>
      <c r="AK219" s="1284"/>
      <c r="AL219" s="1284"/>
      <c r="AM219" s="1760"/>
      <c r="AN219" s="1284"/>
      <c r="AO219" s="1284"/>
      <c r="AP219" s="668"/>
      <c r="AQ219" s="1284"/>
      <c r="AR219" s="1284"/>
      <c r="AS219" s="1284"/>
      <c r="AT219" s="1284"/>
      <c r="AU219" s="1284"/>
      <c r="AV219" s="1756"/>
      <c r="AW219" s="690"/>
      <c r="AX219" s="690"/>
      <c r="AY219" s="690"/>
      <c r="AZ219" s="690"/>
      <c r="BA219" s="1765">
        <v>11</v>
      </c>
    </row>
    <row s="6292" customFormat="1" customHeight="1" ht="11.549999999999999">
      <c r="A220" s="1111"/>
      <c r="B220" s="1760"/>
      <c r="C220" s="1760"/>
      <c r="D220" s="475"/>
      <c r="J220" s="6292"/>
      <c r="K220" s="6292"/>
      <c r="L220" s="6292"/>
      <c r="M220" s="6292"/>
      <c r="N220" s="6292"/>
      <c r="O220" s="6292"/>
      <c r="P220" s="6292"/>
      <c r="Q220" s="6292"/>
      <c r="R220" s="6292"/>
      <c r="S220" s="6292"/>
      <c r="T220" s="6292"/>
      <c r="U220" s="6292"/>
      <c r="V220" s="6292"/>
      <c r="W220" s="6292"/>
      <c r="X220" s="6292"/>
      <c r="Y220" s="6292"/>
      <c r="Z220" s="6292"/>
      <c r="AA220" s="6292"/>
      <c r="AB220" s="6292"/>
      <c r="AC220" s="6292"/>
      <c r="AD220" s="6292"/>
      <c r="AF220" s="1284"/>
      <c r="AG220" s="1760"/>
      <c r="AH220" s="1760"/>
      <c r="AI220" s="1284"/>
      <c r="AJ220" s="1284"/>
      <c r="AK220" s="1284"/>
      <c r="AL220" s="1284"/>
      <c r="AM220" s="1760"/>
      <c r="AN220" s="1284"/>
      <c r="AO220" s="1284"/>
      <c r="AP220" s="668"/>
      <c r="AQ220" s="1284"/>
      <c r="AR220" s="1284"/>
      <c r="AS220" s="1284"/>
      <c r="AT220" s="1284"/>
      <c r="AU220" s="1284"/>
      <c r="AV220" s="1756"/>
      <c r="AW220" s="690"/>
      <c r="AX220" s="690"/>
      <c r="AY220" s="690"/>
      <c r="AZ220" s="690"/>
      <c r="BA220" s="1765">
        <v>11</v>
      </c>
    </row>
    <row s="6292" customFormat="1" customHeight="1" ht="11.549999999999999">
      <c r="A221" s="1111"/>
      <c r="B221" s="1760"/>
      <c r="C221" s="1760"/>
      <c r="D221" s="475"/>
      <c r="J221" s="6292"/>
      <c r="K221" s="6292"/>
      <c r="L221" s="6292"/>
      <c r="M221" s="6292"/>
      <c r="N221" s="6292"/>
      <c r="O221" s="6292"/>
      <c r="P221" s="6292"/>
      <c r="Q221" s="6292"/>
      <c r="R221" s="6292"/>
      <c r="S221" s="6292"/>
      <c r="T221" s="6292"/>
      <c r="U221" s="6292"/>
      <c r="V221" s="6292"/>
      <c r="W221" s="6292"/>
      <c r="X221" s="6292"/>
      <c r="Y221" s="6292"/>
      <c r="Z221" s="6292"/>
      <c r="AA221" s="6292"/>
      <c r="AB221" s="6292"/>
      <c r="AC221" s="6292"/>
      <c r="AD221" s="6292"/>
      <c r="AF221" s="1284"/>
      <c r="AG221" s="1760"/>
      <c r="AH221" s="1760"/>
      <c r="AI221" s="1284"/>
      <c r="AJ221" s="1284"/>
      <c r="AK221" s="1284"/>
      <c r="AL221" s="1284"/>
      <c r="AM221" s="1760"/>
      <c r="AN221" s="1284"/>
      <c r="AO221" s="1284"/>
      <c r="AP221" s="668"/>
      <c r="AQ221" s="1284"/>
      <c r="AR221" s="1284"/>
      <c r="AS221" s="1284"/>
      <c r="AT221" s="1284"/>
      <c r="AU221" s="1284"/>
      <c r="AV221" s="1756"/>
      <c r="AW221" s="690"/>
      <c r="AX221" s="690"/>
      <c r="AY221" s="690"/>
      <c r="AZ221" s="690"/>
      <c r="BA221" s="1765">
        <v>11</v>
      </c>
    </row>
    <row s="6292" customFormat="1" customHeight="1" ht="11.549999999999999">
      <c r="A222" s="1111"/>
      <c r="B222" s="1760"/>
      <c r="C222" s="1760"/>
      <c r="D222" s="475"/>
      <c r="J222" s="6292"/>
      <c r="K222" s="6292"/>
      <c r="L222" s="6292"/>
      <c r="M222" s="6292"/>
      <c r="N222" s="6292"/>
      <c r="O222" s="6292"/>
      <c r="P222" s="6292"/>
      <c r="Q222" s="6292"/>
      <c r="R222" s="6292"/>
      <c r="S222" s="6292"/>
      <c r="T222" s="6292"/>
      <c r="U222" s="6292"/>
      <c r="V222" s="6292"/>
      <c r="W222" s="6292"/>
      <c r="X222" s="6292"/>
      <c r="Y222" s="6292"/>
      <c r="Z222" s="6292"/>
      <c r="AA222" s="6292"/>
      <c r="AB222" s="6292"/>
      <c r="AC222" s="6292"/>
      <c r="AD222" s="6292"/>
      <c r="AF222" s="1284"/>
      <c r="AG222" s="1760"/>
      <c r="AH222" s="1760"/>
      <c r="AI222" s="1284"/>
      <c r="AJ222" s="1284"/>
      <c r="AK222" s="1284"/>
      <c r="AL222" s="1284"/>
      <c r="AM222" s="1760"/>
      <c r="AN222" s="1284"/>
      <c r="AO222" s="1284"/>
      <c r="AP222" s="668"/>
      <c r="AQ222" s="1284"/>
      <c r="AR222" s="1284"/>
      <c r="AS222" s="1284"/>
      <c r="AT222" s="1284"/>
      <c r="AU222" s="1284"/>
      <c r="AV222" s="1756"/>
      <c r="AW222" s="690"/>
      <c r="AX222" s="690"/>
      <c r="AY222" s="690"/>
      <c r="AZ222" s="690"/>
      <c r="BA222" s="1765">
        <v>11</v>
      </c>
    </row>
    <row s="6292" customFormat="1" customHeight="1" ht="11.549999999999999">
      <c r="A223" s="1111"/>
      <c r="B223" s="1760"/>
      <c r="C223" s="1760"/>
      <c r="D223" s="475"/>
      <c r="J223" s="6292"/>
      <c r="K223" s="6292"/>
      <c r="L223" s="6292"/>
      <c r="M223" s="6292"/>
      <c r="N223" s="6292"/>
      <c r="O223" s="6292"/>
      <c r="P223" s="6292"/>
      <c r="Q223" s="6292"/>
      <c r="R223" s="6292"/>
      <c r="S223" s="6292"/>
      <c r="T223" s="6292"/>
      <c r="U223" s="6292"/>
      <c r="V223" s="6292"/>
      <c r="W223" s="6292"/>
      <c r="X223" s="6292"/>
      <c r="Y223" s="6292"/>
      <c r="Z223" s="6292"/>
      <c r="AA223" s="6292"/>
      <c r="AB223" s="6292"/>
      <c r="AC223" s="6292"/>
      <c r="AD223" s="6292"/>
      <c r="AF223" s="1284"/>
      <c r="AG223" s="1760"/>
      <c r="AH223" s="1760"/>
      <c r="AI223" s="1284"/>
      <c r="AJ223" s="1284"/>
      <c r="AK223" s="1284"/>
      <c r="AL223" s="1284"/>
      <c r="AM223" s="1760"/>
      <c r="AN223" s="1284"/>
      <c r="AO223" s="1284"/>
      <c r="AP223" s="668"/>
      <c r="AQ223" s="1284"/>
      <c r="AR223" s="1284"/>
      <c r="AS223" s="1284"/>
      <c r="AT223" s="1284"/>
      <c r="AU223" s="1284"/>
      <c r="AV223" s="1756"/>
      <c r="AW223" s="690"/>
      <c r="AX223" s="690"/>
      <c r="AY223" s="690"/>
      <c r="AZ223" s="690"/>
      <c r="BA223" s="1765">
        <v>11</v>
      </c>
    </row>
    <row s="6292" customFormat="1" customHeight="1" ht="11.549999999999999">
      <c r="A224" s="1111"/>
      <c r="B224" s="1760"/>
      <c r="C224" s="1760"/>
      <c r="D224" s="475"/>
      <c r="J224" s="6292"/>
      <c r="K224" s="6292"/>
      <c r="L224" s="6292"/>
      <c r="M224" s="6292"/>
      <c r="N224" s="6292"/>
      <c r="O224" s="6292"/>
      <c r="P224" s="6292"/>
      <c r="Q224" s="6292"/>
      <c r="R224" s="6292"/>
      <c r="S224" s="6292"/>
      <c r="T224" s="6292"/>
      <c r="U224" s="6292"/>
      <c r="V224" s="6292"/>
      <c r="W224" s="6292"/>
      <c r="X224" s="6292"/>
      <c r="Y224" s="6292"/>
      <c r="Z224" s="6292"/>
      <c r="AA224" s="6292"/>
      <c r="AB224" s="6292"/>
      <c r="AC224" s="6292"/>
      <c r="AD224" s="6292"/>
      <c r="AF224" s="1284"/>
      <c r="AG224" s="1760"/>
      <c r="AH224" s="1760"/>
      <c r="AI224" s="1284"/>
      <c r="AJ224" s="1284"/>
      <c r="AK224" s="1284"/>
      <c r="AL224" s="1284"/>
      <c r="AM224" s="1760"/>
      <c r="AN224" s="1284"/>
      <c r="AO224" s="1284"/>
      <c r="AP224" s="668"/>
      <c r="AQ224" s="1284"/>
      <c r="AR224" s="1284"/>
      <c r="AS224" s="1284"/>
      <c r="AT224" s="1284"/>
      <c r="AU224" s="1284"/>
      <c r="AV224" s="1756"/>
      <c r="AW224" s="690"/>
      <c r="AX224" s="690"/>
      <c r="AY224" s="690"/>
      <c r="AZ224" s="690"/>
      <c r="BA224" s="1765">
        <v>11</v>
      </c>
    </row>
    <row s="6292" customFormat="1" customHeight="1" ht="11.549999999999999">
      <c r="A225" s="1111"/>
      <c r="B225" s="1760"/>
      <c r="C225" s="1760"/>
      <c r="D225" s="475"/>
      <c r="J225" s="6292"/>
      <c r="K225" s="6292"/>
      <c r="L225" s="6292"/>
      <c r="M225" s="6292"/>
      <c r="N225" s="6292"/>
      <c r="O225" s="6292"/>
      <c r="P225" s="6292"/>
      <c r="Q225" s="6292"/>
      <c r="R225" s="6292"/>
      <c r="S225" s="6292"/>
      <c r="T225" s="6292"/>
      <c r="U225" s="6292"/>
      <c r="V225" s="6292"/>
      <c r="W225" s="6292"/>
      <c r="X225" s="6292"/>
      <c r="Y225" s="6292"/>
      <c r="Z225" s="6292"/>
      <c r="AA225" s="6292"/>
      <c r="AB225" s="6292"/>
      <c r="AC225" s="6292"/>
      <c r="AD225" s="6292"/>
      <c r="AF225" s="1284"/>
      <c r="AG225" s="1760"/>
      <c r="AH225" s="1760"/>
      <c r="AI225" s="1284"/>
      <c r="AJ225" s="1284"/>
      <c r="AK225" s="1284"/>
      <c r="AL225" s="1284"/>
      <c r="AM225" s="1760"/>
      <c r="AN225" s="1284"/>
      <c r="AO225" s="1284"/>
      <c r="AP225" s="668"/>
      <c r="AQ225" s="1284"/>
      <c r="AR225" s="1284"/>
      <c r="AS225" s="1284"/>
      <c r="AT225" s="1284"/>
      <c r="AU225" s="1284"/>
      <c r="AV225" s="1756"/>
      <c r="AW225" s="690"/>
      <c r="AX225" s="690"/>
      <c r="AY225" s="690"/>
      <c r="AZ225" s="690"/>
      <c r="BA225" s="1765">
        <v>11</v>
      </c>
    </row>
    <row s="6292" customFormat="1" customHeight="1" ht="11.549999999999999">
      <c r="A226" s="1111"/>
      <c r="B226" s="1760"/>
      <c r="C226" s="1760"/>
      <c r="D226" s="475"/>
      <c r="J226" s="6292"/>
      <c r="K226" s="6292"/>
      <c r="L226" s="6292"/>
      <c r="M226" s="6292"/>
      <c r="N226" s="6292"/>
      <c r="O226" s="6292"/>
      <c r="P226" s="6292"/>
      <c r="Q226" s="6292"/>
      <c r="R226" s="6292"/>
      <c r="S226" s="6292"/>
      <c r="T226" s="6292"/>
      <c r="U226" s="6292"/>
      <c r="V226" s="6292"/>
      <c r="W226" s="6292"/>
      <c r="X226" s="6292"/>
      <c r="Y226" s="6292"/>
      <c r="Z226" s="6292"/>
      <c r="AA226" s="6292"/>
      <c r="AB226" s="6292"/>
      <c r="AC226" s="6292"/>
      <c r="AD226" s="6292"/>
      <c r="AF226" s="1284"/>
      <c r="AG226" s="1760"/>
      <c r="AH226" s="1760"/>
      <c r="AI226" s="1284"/>
      <c r="AJ226" s="1284"/>
      <c r="AK226" s="1284"/>
      <c r="AL226" s="1284"/>
      <c r="AM226" s="1760"/>
      <c r="AN226" s="1284"/>
      <c r="AO226" s="1284"/>
      <c r="AP226" s="668"/>
      <c r="AQ226" s="1284"/>
      <c r="AR226" s="1284"/>
      <c r="AS226" s="1284"/>
      <c r="AT226" s="1284"/>
      <c r="AU226" s="1284"/>
      <c r="AV226" s="1756"/>
      <c r="AW226" s="690"/>
      <c r="AX226" s="690"/>
      <c r="AY226" s="690"/>
      <c r="AZ226" s="690"/>
      <c r="BA226" s="1765">
        <v>11</v>
      </c>
    </row>
    <row s="6292" customFormat="1" customHeight="1" ht="11.549999999999999">
      <c r="A227" s="1111"/>
      <c r="B227" s="1760"/>
      <c r="C227" s="1760"/>
      <c r="D227" s="475"/>
      <c r="J227" s="6292"/>
      <c r="K227" s="6292"/>
      <c r="L227" s="6292"/>
      <c r="M227" s="6292"/>
      <c r="N227" s="6292"/>
      <c r="O227" s="6292"/>
      <c r="P227" s="6292"/>
      <c r="Q227" s="6292"/>
      <c r="R227" s="6292"/>
      <c r="S227" s="6292"/>
      <c r="T227" s="6292"/>
      <c r="U227" s="6292"/>
      <c r="V227" s="6292"/>
      <c r="W227" s="6292"/>
      <c r="X227" s="6292"/>
      <c r="Y227" s="6292"/>
      <c r="Z227" s="6292"/>
      <c r="AA227" s="6292"/>
      <c r="AB227" s="6292"/>
      <c r="AC227" s="6292"/>
      <c r="AD227" s="6292"/>
      <c r="AF227" s="1284"/>
      <c r="AG227" s="1760"/>
      <c r="AH227" s="1760"/>
      <c r="AI227" s="1284"/>
      <c r="AJ227" s="1284"/>
      <c r="AK227" s="1284"/>
      <c r="AL227" s="1284"/>
      <c r="AM227" s="1760"/>
      <c r="AN227" s="1284"/>
      <c r="AO227" s="1284"/>
      <c r="AP227" s="668"/>
      <c r="AQ227" s="1284"/>
      <c r="AR227" s="1284"/>
      <c r="AS227" s="1284"/>
      <c r="AT227" s="1284"/>
      <c r="AU227" s="1284"/>
      <c r="AV227" s="1756"/>
      <c r="AW227" s="690"/>
      <c r="AX227" s="690"/>
      <c r="AY227" s="690"/>
      <c r="AZ227" s="690"/>
      <c r="BA227" s="1765">
        <v>11</v>
      </c>
    </row>
    <row s="6292" customFormat="1" customHeight="1" ht="11.549999999999999">
      <c r="A228" s="1111"/>
      <c r="B228" s="1760"/>
      <c r="C228" s="1760"/>
      <c r="D228" s="475"/>
      <c r="J228" s="6292"/>
      <c r="K228" s="6292"/>
      <c r="L228" s="6292"/>
      <c r="M228" s="6292"/>
      <c r="N228" s="6292"/>
      <c r="O228" s="6292"/>
      <c r="P228" s="6292"/>
      <c r="Q228" s="6292"/>
      <c r="R228" s="6292"/>
      <c r="S228" s="6292"/>
      <c r="T228" s="6292"/>
      <c r="U228" s="6292"/>
      <c r="V228" s="6292"/>
      <c r="W228" s="6292"/>
      <c r="X228" s="6292"/>
      <c r="Y228" s="6292"/>
      <c r="Z228" s="6292"/>
      <c r="AA228" s="6292"/>
      <c r="AB228" s="6292"/>
      <c r="AC228" s="6292"/>
      <c r="AD228" s="6292"/>
      <c r="AF228" s="1284"/>
      <c r="AG228" s="1760"/>
      <c r="AH228" s="1760"/>
      <c r="AI228" s="1284"/>
      <c r="AJ228" s="1284"/>
      <c r="AK228" s="1284"/>
      <c r="AL228" s="1284"/>
      <c r="AM228" s="1760"/>
      <c r="AN228" s="1284"/>
      <c r="AO228" s="1284"/>
      <c r="AP228" s="668"/>
      <c r="AQ228" s="1284"/>
      <c r="AR228" s="1284"/>
      <c r="AS228" s="1284"/>
      <c r="AT228" s="1284"/>
      <c r="AU228" s="1284"/>
      <c r="AV228" s="1756"/>
      <c r="AW228" s="690"/>
      <c r="AX228" s="690"/>
      <c r="AY228" s="690"/>
      <c r="AZ228" s="690"/>
      <c r="BA228" s="1765">
        <v>11</v>
      </c>
    </row>
    <row s="6292" customFormat="1" customHeight="1" ht="11.549999999999999">
      <c r="A229" s="1111"/>
      <c r="B229" s="1760"/>
      <c r="C229" s="1760"/>
      <c r="D229" s="475"/>
      <c r="J229" s="6292"/>
      <c r="K229" s="6292"/>
      <c r="L229" s="6292"/>
      <c r="M229" s="6292"/>
      <c r="N229" s="6292"/>
      <c r="O229" s="6292"/>
      <c r="P229" s="6292"/>
      <c r="Q229" s="6292"/>
      <c r="R229" s="6292"/>
      <c r="S229" s="6292"/>
      <c r="T229" s="6292"/>
      <c r="U229" s="6292"/>
      <c r="V229" s="6292"/>
      <c r="W229" s="6292"/>
      <c r="X229" s="6292"/>
      <c r="Y229" s="6292"/>
      <c r="Z229" s="6292"/>
      <c r="AA229" s="6292"/>
      <c r="AB229" s="6292"/>
      <c r="AC229" s="6292"/>
      <c r="AD229" s="6292"/>
      <c r="AF229" s="1284"/>
      <c r="AG229" s="1760"/>
      <c r="AH229" s="1760"/>
      <c r="AI229" s="1284"/>
      <c r="AJ229" s="1284"/>
      <c r="AK229" s="1284"/>
      <c r="AL229" s="1284"/>
      <c r="AM229" s="1760"/>
      <c r="AN229" s="1284"/>
      <c r="AO229" s="1284"/>
      <c r="AP229" s="668"/>
      <c r="AQ229" s="1284"/>
      <c r="AR229" s="1284"/>
      <c r="AS229" s="1284"/>
      <c r="AT229" s="1284"/>
      <c r="AU229" s="1284"/>
      <c r="AV229" s="1756"/>
      <c r="AW229" s="690"/>
      <c r="AX229" s="690"/>
      <c r="AY229" s="690"/>
      <c r="AZ229" s="690"/>
      <c r="BA229" s="1765">
        <v>11</v>
      </c>
    </row>
    <row s="6292" customFormat="1" customHeight="1" ht="11.549999999999999">
      <c r="A230" s="1111"/>
      <c r="B230" s="1760"/>
      <c r="C230" s="1760"/>
      <c r="D230" s="475"/>
      <c r="J230" s="6292"/>
      <c r="K230" s="6292"/>
      <c r="L230" s="6292"/>
      <c r="M230" s="6292"/>
      <c r="N230" s="6292"/>
      <c r="O230" s="6292"/>
      <c r="P230" s="6292"/>
      <c r="Q230" s="6292"/>
      <c r="R230" s="6292"/>
      <c r="S230" s="6292"/>
      <c r="T230" s="6292"/>
      <c r="U230" s="6292"/>
      <c r="V230" s="6292"/>
      <c r="W230" s="6292"/>
      <c r="X230" s="6292"/>
      <c r="Y230" s="6292"/>
      <c r="Z230" s="6292"/>
      <c r="AA230" s="6292"/>
      <c r="AB230" s="6292"/>
      <c r="AC230" s="6292"/>
      <c r="AD230" s="6292"/>
      <c r="AF230" s="1284"/>
      <c r="AG230" s="1760"/>
      <c r="AH230" s="1760"/>
      <c r="AI230" s="1284"/>
      <c r="AJ230" s="1284"/>
      <c r="AK230" s="1284"/>
      <c r="AL230" s="1284"/>
      <c r="AM230" s="1760"/>
      <c r="AN230" s="1284"/>
      <c r="AO230" s="1284"/>
      <c r="AP230" s="668"/>
      <c r="AQ230" s="1284"/>
      <c r="AR230" s="1284"/>
      <c r="AS230" s="1284"/>
      <c r="AT230" s="1284"/>
      <c r="AU230" s="1284"/>
      <c r="AV230" s="1756"/>
      <c r="AW230" s="690"/>
      <c r="AX230" s="690"/>
      <c r="AY230" s="690"/>
      <c r="AZ230" s="690"/>
      <c r="BA230" s="1765">
        <v>11</v>
      </c>
    </row>
    <row s="6292" customFormat="1" customHeight="1" ht="11.549999999999999">
      <c r="A231" s="1111"/>
      <c r="B231" s="1760"/>
      <c r="C231" s="1760"/>
      <c r="D231" s="475"/>
      <c r="J231" s="6292"/>
      <c r="K231" s="6292"/>
      <c r="L231" s="6292"/>
      <c r="M231" s="6292"/>
      <c r="N231" s="6292"/>
      <c r="O231" s="6292"/>
      <c r="P231" s="6292"/>
      <c r="Q231" s="6292"/>
      <c r="R231" s="6292"/>
      <c r="S231" s="6292"/>
      <c r="T231" s="6292"/>
      <c r="U231" s="6292"/>
      <c r="V231" s="6292"/>
      <c r="W231" s="6292"/>
      <c r="X231" s="6292"/>
      <c r="Y231" s="6292"/>
      <c r="Z231" s="6292"/>
      <c r="AA231" s="6292"/>
      <c r="AB231" s="6292"/>
      <c r="AC231" s="6292"/>
      <c r="AD231" s="6292"/>
      <c r="AF231" s="1284"/>
      <c r="AG231" s="1760"/>
      <c r="AH231" s="1760"/>
      <c r="AI231" s="1284"/>
      <c r="AJ231" s="1284"/>
      <c r="AK231" s="1284"/>
      <c r="AL231" s="1284"/>
      <c r="AM231" s="1760"/>
      <c r="AN231" s="1284"/>
      <c r="AO231" s="1284"/>
      <c r="AP231" s="668"/>
      <c r="AQ231" s="1284"/>
      <c r="AR231" s="1284"/>
      <c r="AS231" s="1284"/>
      <c r="AT231" s="1284"/>
      <c r="AU231" s="1284"/>
      <c r="AV231" s="1756"/>
      <c r="AW231" s="690"/>
      <c r="AX231" s="690"/>
      <c r="AY231" s="690"/>
      <c r="AZ231" s="690"/>
      <c r="BA231" s="1765">
        <v>11</v>
      </c>
    </row>
    <row s="6292" customFormat="1" customHeight="1" ht="11.549999999999999">
      <c r="A232" s="1111"/>
      <c r="B232" s="1760"/>
      <c r="C232" s="1760"/>
      <c r="D232" s="475"/>
      <c r="J232" s="6292"/>
      <c r="K232" s="6292"/>
      <c r="L232" s="6292"/>
      <c r="M232" s="6292"/>
      <c r="N232" s="6292"/>
      <c r="O232" s="6292"/>
      <c r="P232" s="6292"/>
      <c r="Q232" s="6292"/>
      <c r="R232" s="6292"/>
      <c r="S232" s="6292"/>
      <c r="T232" s="6292"/>
      <c r="U232" s="6292"/>
      <c r="V232" s="6292"/>
      <c r="W232" s="6292"/>
      <c r="X232" s="6292"/>
      <c r="Y232" s="6292"/>
      <c r="Z232" s="6292"/>
      <c r="AA232" s="6292"/>
      <c r="AB232" s="6292"/>
      <c r="AC232" s="6292"/>
      <c r="AD232" s="6292"/>
      <c r="AF232" s="1284"/>
      <c r="AG232" s="1760"/>
      <c r="AH232" s="1760"/>
      <c r="AI232" s="1284"/>
      <c r="AJ232" s="1284"/>
      <c r="AK232" s="1284"/>
      <c r="AL232" s="1284"/>
      <c r="AM232" s="1760"/>
      <c r="AN232" s="1284"/>
      <c r="AO232" s="1284"/>
      <c r="AP232" s="668"/>
      <c r="AQ232" s="1284"/>
      <c r="AR232" s="1284"/>
      <c r="AS232" s="1284"/>
      <c r="AT232" s="1284"/>
      <c r="AU232" s="1284"/>
      <c r="AV232" s="1756"/>
      <c r="AW232" s="690"/>
      <c r="AX232" s="690"/>
      <c r="AY232" s="690"/>
      <c r="AZ232" s="690"/>
      <c r="BA232" s="1765">
        <v>11</v>
      </c>
    </row>
    <row s="6292" customFormat="1" customHeight="1" ht="11.549999999999999">
      <c r="A233" s="1111"/>
      <c r="B233" s="1760"/>
      <c r="C233" s="1760"/>
      <c r="D233" s="475"/>
      <c r="J233" s="6292"/>
      <c r="K233" s="6292"/>
      <c r="L233" s="6292"/>
      <c r="M233" s="6292"/>
      <c r="N233" s="6292"/>
      <c r="O233" s="6292"/>
      <c r="P233" s="6292"/>
      <c r="Q233" s="6292"/>
      <c r="R233" s="6292"/>
      <c r="S233" s="6292"/>
      <c r="T233" s="6292"/>
      <c r="U233" s="6292"/>
      <c r="V233" s="6292"/>
      <c r="W233" s="6292"/>
      <c r="X233" s="6292"/>
      <c r="Y233" s="6292"/>
      <c r="Z233" s="6292"/>
      <c r="AA233" s="6292"/>
      <c r="AB233" s="6292"/>
      <c r="AC233" s="6292"/>
      <c r="AD233" s="6292"/>
      <c r="AF233" s="1284"/>
      <c r="AG233" s="1760"/>
      <c r="AH233" s="1760"/>
      <c r="AI233" s="1284"/>
      <c r="AJ233" s="1284"/>
      <c r="AK233" s="1284"/>
      <c r="AL233" s="1284"/>
      <c r="AM233" s="1760"/>
      <c r="AN233" s="1284"/>
      <c r="AO233" s="1284"/>
      <c r="AP233" s="668"/>
      <c r="AQ233" s="1284"/>
      <c r="AR233" s="1284"/>
      <c r="AS233" s="1284"/>
      <c r="AT233" s="1284"/>
      <c r="AU233" s="1284"/>
      <c r="AV233" s="1756"/>
      <c r="AW233" s="690"/>
      <c r="AX233" s="690"/>
      <c r="AY233" s="690"/>
      <c r="AZ233" s="690"/>
      <c r="BA233" s="1765">
        <v>11</v>
      </c>
    </row>
    <row s="6292" customFormat="1" customHeight="1" ht="11.549999999999999">
      <c r="A234" s="1111"/>
      <c r="B234" s="1760"/>
      <c r="C234" s="1760"/>
      <c r="D234" s="475"/>
      <c r="J234" s="6292"/>
      <c r="K234" s="6292"/>
      <c r="L234" s="6292"/>
      <c r="M234" s="6292"/>
      <c r="N234" s="6292"/>
      <c r="O234" s="6292"/>
      <c r="P234" s="6292"/>
      <c r="Q234" s="6292"/>
      <c r="R234" s="6292"/>
      <c r="S234" s="6292"/>
      <c r="T234" s="6292"/>
      <c r="U234" s="6292"/>
      <c r="V234" s="6292"/>
      <c r="W234" s="6292"/>
      <c r="X234" s="6292"/>
      <c r="Y234" s="6292"/>
      <c r="Z234" s="6292"/>
      <c r="AA234" s="6292"/>
      <c r="AB234" s="6292"/>
      <c r="AC234" s="6292"/>
      <c r="AD234" s="6292"/>
      <c r="AF234" s="1284"/>
      <c r="AG234" s="1760"/>
      <c r="AH234" s="1760"/>
      <c r="AI234" s="1284"/>
      <c r="AJ234" s="1284"/>
      <c r="AK234" s="1284"/>
      <c r="AL234" s="1284"/>
      <c r="AM234" s="1760"/>
      <c r="AN234" s="1284"/>
      <c r="AO234" s="1284"/>
      <c r="AP234" s="668"/>
      <c r="AQ234" s="1284"/>
      <c r="AR234" s="1284"/>
      <c r="AS234" s="1284"/>
      <c r="AT234" s="1284"/>
      <c r="AU234" s="1284"/>
      <c r="AV234" s="1756"/>
      <c r="AW234" s="690"/>
      <c r="AX234" s="690"/>
      <c r="AY234" s="690"/>
      <c r="AZ234" s="690"/>
      <c r="BA234" s="1765">
        <v>11</v>
      </c>
    </row>
    <row s="6292" customFormat="1" customHeight="1" ht="11.549999999999999">
      <c r="A235" s="1111"/>
      <c r="B235" s="1760"/>
      <c r="C235" s="1760"/>
      <c r="D235" s="475"/>
      <c r="J235" s="6292"/>
      <c r="K235" s="6292"/>
      <c r="L235" s="6292"/>
      <c r="M235" s="6292"/>
      <c r="N235" s="6292"/>
      <c r="O235" s="6292"/>
      <c r="P235" s="6292"/>
      <c r="Q235" s="6292"/>
      <c r="R235" s="6292"/>
      <c r="S235" s="6292"/>
      <c r="T235" s="6292"/>
      <c r="U235" s="6292"/>
      <c r="V235" s="6292"/>
      <c r="W235" s="6292"/>
      <c r="X235" s="6292"/>
      <c r="Y235" s="6292"/>
      <c r="Z235" s="6292"/>
      <c r="AA235" s="6292"/>
      <c r="AB235" s="6292"/>
      <c r="AC235" s="6292"/>
      <c r="AD235" s="6292"/>
      <c r="AF235" s="1284"/>
      <c r="AG235" s="1760"/>
      <c r="AH235" s="1760"/>
      <c r="AI235" s="1284"/>
      <c r="AJ235" s="1284"/>
      <c r="AK235" s="1284"/>
      <c r="AL235" s="1284"/>
      <c r="AM235" s="1760"/>
      <c r="AN235" s="1284"/>
      <c r="AO235" s="1284"/>
      <c r="AP235" s="668"/>
      <c r="AQ235" s="1284"/>
      <c r="AR235" s="1284"/>
      <c r="AS235" s="1284"/>
      <c r="AT235" s="1284"/>
      <c r="AU235" s="1284"/>
      <c r="AV235" s="1756"/>
      <c r="AW235" s="690"/>
      <c r="AX235" s="690"/>
      <c r="AY235" s="690"/>
      <c r="AZ235" s="690"/>
      <c r="BA235" s="1765">
        <v>11</v>
      </c>
    </row>
    <row s="6292" customFormat="1" customHeight="1" ht="11.549999999999999">
      <c r="A236" s="1111"/>
      <c r="B236" s="1760"/>
      <c r="C236" s="1760"/>
      <c r="D236" s="475"/>
      <c r="J236" s="6292"/>
      <c r="K236" s="6292"/>
      <c r="L236" s="6292"/>
      <c r="M236" s="6292"/>
      <c r="N236" s="6292"/>
      <c r="O236" s="6292"/>
      <c r="P236" s="6292"/>
      <c r="Q236" s="6292"/>
      <c r="R236" s="6292"/>
      <c r="S236" s="6292"/>
      <c r="T236" s="6292"/>
      <c r="U236" s="6292"/>
      <c r="V236" s="6292"/>
      <c r="W236" s="6292"/>
      <c r="X236" s="6292"/>
      <c r="Y236" s="6292"/>
      <c r="Z236" s="6292"/>
      <c r="AA236" s="6292"/>
      <c r="AB236" s="6292"/>
      <c r="AC236" s="6292"/>
      <c r="AD236" s="6292"/>
      <c r="AF236" s="1284"/>
      <c r="AG236" s="1760"/>
      <c r="AH236" s="1760"/>
      <c r="AI236" s="1284"/>
      <c r="AJ236" s="1284"/>
      <c r="AK236" s="1284"/>
      <c r="AL236" s="1284"/>
      <c r="AM236" s="1760"/>
      <c r="AN236" s="1284"/>
      <c r="AO236" s="1284"/>
      <c r="AP236" s="668"/>
      <c r="AQ236" s="1284"/>
      <c r="AR236" s="1284"/>
      <c r="AS236" s="1284"/>
      <c r="AT236" s="1284"/>
      <c r="AU236" s="1284"/>
      <c r="AV236" s="1756"/>
      <c r="AW236" s="690"/>
      <c r="AX236" s="690"/>
      <c r="AY236" s="690"/>
      <c r="AZ236" s="690"/>
      <c r="BA236" s="1765">
        <v>11</v>
      </c>
    </row>
    <row s="6292" customFormat="1" customHeight="1" ht="11.549999999999999">
      <c r="A237" s="1111"/>
      <c r="B237" s="1760"/>
      <c r="C237" s="1760"/>
      <c r="D237" s="475"/>
      <c r="J237" s="6292"/>
      <c r="K237" s="6292"/>
      <c r="L237" s="6292"/>
      <c r="M237" s="6292"/>
      <c r="N237" s="6292"/>
      <c r="O237" s="6292"/>
      <c r="P237" s="6292"/>
      <c r="Q237" s="6292"/>
      <c r="R237" s="6292"/>
      <c r="S237" s="6292"/>
      <c r="T237" s="6292"/>
      <c r="U237" s="6292"/>
      <c r="V237" s="6292"/>
      <c r="W237" s="6292"/>
      <c r="X237" s="6292"/>
      <c r="Y237" s="6292"/>
      <c r="Z237" s="6292"/>
      <c r="AA237" s="6292"/>
      <c r="AB237" s="6292"/>
      <c r="AC237" s="6292"/>
      <c r="AD237" s="6292"/>
      <c r="AF237" s="1284"/>
      <c r="AG237" s="1760"/>
      <c r="AH237" s="1760"/>
      <c r="AI237" s="1284"/>
      <c r="AJ237" s="1284"/>
      <c r="AK237" s="1284"/>
      <c r="AL237" s="1284"/>
      <c r="AM237" s="1760"/>
      <c r="AN237" s="1284"/>
      <c r="AO237" s="1284"/>
      <c r="AP237" s="668"/>
      <c r="AQ237" s="1284"/>
      <c r="AR237" s="1284"/>
      <c r="AS237" s="1284"/>
      <c r="AT237" s="1284"/>
      <c r="AU237" s="1284"/>
      <c r="AV237" s="1756"/>
      <c r="AW237" s="690"/>
      <c r="AX237" s="690"/>
      <c r="AY237" s="690"/>
      <c r="AZ237" s="690"/>
      <c r="BA237" s="1765">
        <v>11</v>
      </c>
    </row>
    <row s="6292" customFormat="1" customHeight="1" ht="11.549999999999999">
      <c r="A238" s="1111"/>
      <c r="B238" s="1760"/>
      <c r="C238" s="1760"/>
      <c r="D238" s="475"/>
      <c r="J238" s="6292"/>
      <c r="K238" s="6292"/>
      <c r="L238" s="6292"/>
      <c r="M238" s="6292"/>
      <c r="N238" s="6292"/>
      <c r="O238" s="6292"/>
      <c r="P238" s="6292"/>
      <c r="Q238" s="6292"/>
      <c r="R238" s="6292"/>
      <c r="S238" s="6292"/>
      <c r="T238" s="6292"/>
      <c r="U238" s="6292"/>
      <c r="V238" s="6292"/>
      <c r="W238" s="6292"/>
      <c r="X238" s="6292"/>
      <c r="Y238" s="6292"/>
      <c r="Z238" s="6292"/>
      <c r="AA238" s="6292"/>
      <c r="AB238" s="6292"/>
      <c r="AC238" s="6292"/>
      <c r="AD238" s="6292"/>
      <c r="AF238" s="1284"/>
      <c r="AG238" s="1760"/>
      <c r="AH238" s="1760"/>
      <c r="AI238" s="1284"/>
      <c r="AJ238" s="1284"/>
      <c r="AK238" s="1284"/>
      <c r="AL238" s="1284"/>
      <c r="AM238" s="1760"/>
      <c r="AN238" s="1284"/>
      <c r="AO238" s="1284"/>
      <c r="AP238" s="668"/>
      <c r="AQ238" s="1284"/>
      <c r="AR238" s="1284"/>
      <c r="AS238" s="1284"/>
      <c r="AT238" s="1284"/>
      <c r="AU238" s="1284"/>
      <c r="AV238" s="1756"/>
      <c r="AW238" s="690"/>
      <c r="AX238" s="690"/>
      <c r="AY238" s="690"/>
      <c r="AZ238" s="690"/>
      <c r="BA238" s="1765">
        <v>11</v>
      </c>
    </row>
    <row s="6292" customFormat="1" customHeight="1" ht="11.549999999999999">
      <c r="A239" s="1111"/>
      <c r="B239" s="1760"/>
      <c r="C239" s="1760"/>
      <c r="D239" s="475"/>
      <c r="J239" s="6292"/>
      <c r="K239" s="6292"/>
      <c r="L239" s="6292"/>
      <c r="M239" s="6292"/>
      <c r="N239" s="6292"/>
      <c r="O239" s="6292"/>
      <c r="P239" s="6292"/>
      <c r="Q239" s="6292"/>
      <c r="R239" s="6292"/>
      <c r="S239" s="6292"/>
      <c r="T239" s="6292"/>
      <c r="U239" s="6292"/>
      <c r="V239" s="6292"/>
      <c r="W239" s="6292"/>
      <c r="X239" s="6292"/>
      <c r="Y239" s="6292"/>
      <c r="Z239" s="6292"/>
      <c r="AA239" s="6292"/>
      <c r="AB239" s="6292"/>
      <c r="AC239" s="6292"/>
      <c r="AD239" s="6292"/>
      <c r="AF239" s="1284"/>
      <c r="AG239" s="1760"/>
      <c r="AH239" s="1760"/>
      <c r="AI239" s="1284"/>
      <c r="AJ239" s="1284"/>
      <c r="AK239" s="1284"/>
      <c r="AL239" s="1284"/>
      <c r="AM239" s="1760"/>
      <c r="AN239" s="1284"/>
      <c r="AO239" s="1284"/>
      <c r="AP239" s="668"/>
      <c r="AQ239" s="1284"/>
      <c r="AR239" s="1284"/>
      <c r="AS239" s="1284"/>
      <c r="AT239" s="1284"/>
      <c r="AU239" s="1284"/>
      <c r="AV239" s="1756"/>
      <c r="AW239" s="690"/>
      <c r="AX239" s="690"/>
      <c r="AY239" s="690"/>
      <c r="AZ239" s="690"/>
      <c r="BA239" s="1765">
        <v>11</v>
      </c>
    </row>
    <row s="6292" customFormat="1" customHeight="1" ht="11.549999999999999">
      <c r="A240" s="1111"/>
      <c r="B240" s="1760"/>
      <c r="C240" s="1760"/>
      <c r="D240" s="475"/>
      <c r="J240" s="6292"/>
      <c r="K240" s="6292"/>
      <c r="L240" s="6292"/>
      <c r="M240" s="6292"/>
      <c r="N240" s="6292"/>
      <c r="O240" s="6292"/>
      <c r="P240" s="6292"/>
      <c r="Q240" s="6292"/>
      <c r="R240" s="6292"/>
      <c r="S240" s="6292"/>
      <c r="T240" s="6292"/>
      <c r="U240" s="6292"/>
      <c r="V240" s="6292"/>
      <c r="W240" s="6292"/>
      <c r="X240" s="6292"/>
      <c r="Y240" s="6292"/>
      <c r="Z240" s="6292"/>
      <c r="AA240" s="6292"/>
      <c r="AB240" s="6292"/>
      <c r="AC240" s="6292"/>
      <c r="AD240" s="6292"/>
      <c r="AF240" s="1284"/>
      <c r="AG240" s="1760"/>
      <c r="AH240" s="1760"/>
      <c r="AI240" s="1284"/>
      <c r="AJ240" s="1284"/>
      <c r="AK240" s="1284"/>
      <c r="AL240" s="1284"/>
      <c r="AM240" s="1760"/>
      <c r="AN240" s="1284"/>
      <c r="AO240" s="1284"/>
      <c r="AP240" s="668"/>
      <c r="AQ240" s="1284"/>
      <c r="AR240" s="1284"/>
      <c r="AS240" s="1284"/>
      <c r="AT240" s="1284"/>
      <c r="AU240" s="1284"/>
      <c r="AV240" s="1756"/>
      <c r="AW240" s="690"/>
      <c r="AX240" s="690"/>
      <c r="AY240" s="690"/>
      <c r="AZ240" s="690"/>
      <c r="BA240" s="1765">
        <v>11</v>
      </c>
    </row>
    <row s="6292" customFormat="1" customHeight="1" ht="11.549999999999999">
      <c r="A241" s="1111"/>
      <c r="B241" s="1760"/>
      <c r="C241" s="1760"/>
      <c r="D241" s="475"/>
      <c r="J241" s="6292"/>
      <c r="K241" s="6292"/>
      <c r="L241" s="6292"/>
      <c r="M241" s="6292"/>
      <c r="N241" s="6292"/>
      <c r="O241" s="6292"/>
      <c r="P241" s="6292"/>
      <c r="Q241" s="6292"/>
      <c r="R241" s="6292"/>
      <c r="S241" s="6292"/>
      <c r="T241" s="6292"/>
      <c r="U241" s="6292"/>
      <c r="V241" s="6292"/>
      <c r="W241" s="6292"/>
      <c r="X241" s="6292"/>
      <c r="Y241" s="6292"/>
      <c r="Z241" s="6292"/>
      <c r="AA241" s="6292"/>
      <c r="AB241" s="6292"/>
      <c r="AC241" s="6292"/>
      <c r="AD241" s="6292"/>
      <c r="AF241" s="1284"/>
      <c r="AG241" s="1760"/>
      <c r="AH241" s="1760"/>
      <c r="AI241" s="1284"/>
      <c r="AJ241" s="1284"/>
      <c r="AK241" s="1284"/>
      <c r="AL241" s="1284"/>
      <c r="AM241" s="1760"/>
      <c r="AN241" s="1284"/>
      <c r="AO241" s="1284"/>
      <c r="AP241" s="668"/>
      <c r="AQ241" s="1284"/>
      <c r="AR241" s="1284"/>
      <c r="AS241" s="1284"/>
      <c r="AT241" s="1284"/>
      <c r="AU241" s="1284"/>
      <c r="AV241" s="1756"/>
      <c r="AW241" s="690"/>
      <c r="AX241" s="690"/>
      <c r="AY241" s="690"/>
      <c r="AZ241" s="690"/>
      <c r="BA241" s="1765">
        <v>11</v>
      </c>
    </row>
    <row s="6292" customFormat="1" customHeight="1" ht="11.549999999999999">
      <c r="A242" s="1111"/>
      <c r="B242" s="1760"/>
      <c r="C242" s="1760"/>
      <c r="D242" s="475"/>
      <c r="J242" s="6292"/>
      <c r="K242" s="6292"/>
      <c r="L242" s="6292"/>
      <c r="M242" s="6292"/>
      <c r="N242" s="6292"/>
      <c r="O242" s="6292"/>
      <c r="P242" s="6292"/>
      <c r="Q242" s="6292"/>
      <c r="R242" s="6292"/>
      <c r="S242" s="6292"/>
      <c r="T242" s="6292"/>
      <c r="U242" s="6292"/>
      <c r="V242" s="6292"/>
      <c r="W242" s="6292"/>
      <c r="X242" s="6292"/>
      <c r="Y242" s="6292"/>
      <c r="Z242" s="6292"/>
      <c r="AA242" s="6292"/>
      <c r="AB242" s="6292"/>
      <c r="AC242" s="6292"/>
      <c r="AD242" s="6292"/>
      <c r="AF242" s="1284"/>
      <c r="AG242" s="1760"/>
      <c r="AH242" s="1760"/>
      <c r="AI242" s="1284"/>
      <c r="AJ242" s="1284"/>
      <c r="AK242" s="1284"/>
      <c r="AL242" s="1284"/>
      <c r="AM242" s="1760"/>
      <c r="AN242" s="1284"/>
      <c r="AO242" s="1284"/>
      <c r="AP242" s="668"/>
      <c r="AQ242" s="1284"/>
      <c r="AR242" s="1284"/>
      <c r="AS242" s="1284"/>
      <c r="AT242" s="1284"/>
      <c r="AU242" s="1284"/>
      <c r="AV242" s="1756"/>
      <c r="AW242" s="690"/>
      <c r="AX242" s="690"/>
      <c r="AY242" s="690"/>
      <c r="AZ242" s="690"/>
      <c r="BA242" s="1765">
        <v>11</v>
      </c>
    </row>
    <row s="6292" customFormat="1" customHeight="1" ht="11.549999999999999">
      <c r="A243" s="1111"/>
      <c r="B243" s="1760"/>
      <c r="C243" s="1760"/>
      <c r="D243" s="475"/>
      <c r="J243" s="6292"/>
      <c r="K243" s="6292"/>
      <c r="L243" s="6292"/>
      <c r="M243" s="6292"/>
      <c r="N243" s="6292"/>
      <c r="O243" s="6292"/>
      <c r="P243" s="6292"/>
      <c r="Q243" s="6292"/>
      <c r="R243" s="6292"/>
      <c r="S243" s="6292"/>
      <c r="T243" s="6292"/>
      <c r="U243" s="6292"/>
      <c r="V243" s="6292"/>
      <c r="W243" s="6292"/>
      <c r="X243" s="6292"/>
      <c r="Y243" s="6292"/>
      <c r="Z243" s="6292"/>
      <c r="AA243" s="6292"/>
      <c r="AB243" s="6292"/>
      <c r="AC243" s="6292"/>
      <c r="AD243" s="6292"/>
      <c r="AF243" s="1284"/>
      <c r="AG243" s="1760"/>
      <c r="AH243" s="1760"/>
      <c r="AI243" s="1284"/>
      <c r="AJ243" s="1284"/>
      <c r="AK243" s="1284"/>
      <c r="AL243" s="1284"/>
      <c r="AM243" s="1760"/>
      <c r="AN243" s="1284"/>
      <c r="AO243" s="1284"/>
      <c r="AP243" s="668"/>
      <c r="AQ243" s="1284"/>
      <c r="AR243" s="1284"/>
      <c r="AS243" s="1284"/>
      <c r="AT243" s="1284"/>
      <c r="AU243" s="1284"/>
      <c r="AV243" s="1756"/>
      <c r="AW243" s="690"/>
      <c r="AX243" s="690"/>
      <c r="AY243" s="690"/>
      <c r="AZ243" s="690"/>
      <c r="BA243" s="1765">
        <v>11</v>
      </c>
    </row>
    <row s="6292" customFormat="1" customHeight="1" ht="11.549999999999999">
      <c r="A244" s="1111"/>
      <c r="B244" s="1760"/>
      <c r="C244" s="1760"/>
      <c r="D244" s="475"/>
      <c r="J244" s="6292"/>
      <c r="K244" s="6292"/>
      <c r="L244" s="6292"/>
      <c r="M244" s="6292"/>
      <c r="N244" s="6292"/>
      <c r="O244" s="6292"/>
      <c r="P244" s="6292"/>
      <c r="Q244" s="6292"/>
      <c r="R244" s="6292"/>
      <c r="S244" s="6292"/>
      <c r="T244" s="6292"/>
      <c r="U244" s="6292"/>
      <c r="V244" s="6292"/>
      <c r="W244" s="6292"/>
      <c r="X244" s="6292"/>
      <c r="Y244" s="6292"/>
      <c r="Z244" s="6292"/>
      <c r="AA244" s="6292"/>
      <c r="AB244" s="6292"/>
      <c r="AC244" s="6292"/>
      <c r="AD244" s="6292"/>
      <c r="AF244" s="1284"/>
      <c r="AG244" s="1760"/>
      <c r="AH244" s="1760"/>
      <c r="AI244" s="1284"/>
      <c r="AJ244" s="1284"/>
      <c r="AK244" s="1284"/>
      <c r="AL244" s="1284"/>
      <c r="AM244" s="1760"/>
      <c r="AN244" s="1284"/>
      <c r="AO244" s="1284"/>
      <c r="AP244" s="668"/>
      <c r="AQ244" s="1284"/>
      <c r="AR244" s="1284"/>
      <c r="AS244" s="1284"/>
      <c r="AT244" s="1284"/>
      <c r="AU244" s="1284"/>
      <c r="AV244" s="1756"/>
      <c r="AW244" s="690"/>
      <c r="AX244" s="690"/>
      <c r="AY244" s="690"/>
      <c r="AZ244" s="690"/>
      <c r="BA244" s="1765">
        <v>11</v>
      </c>
    </row>
    <row s="6292" customFormat="1" customHeight="1" ht="11.549999999999999">
      <c r="A245" s="1111"/>
      <c r="B245" s="1760"/>
      <c r="C245" s="1760"/>
      <c r="D245" s="475"/>
      <c r="J245" s="6292"/>
      <c r="K245" s="6292"/>
      <c r="L245" s="6292"/>
      <c r="M245" s="6292"/>
      <c r="N245" s="6292"/>
      <c r="O245" s="6292"/>
      <c r="P245" s="6292"/>
      <c r="Q245" s="6292"/>
      <c r="R245" s="6292"/>
      <c r="S245" s="6292"/>
      <c r="T245" s="6292"/>
      <c r="U245" s="6292"/>
      <c r="V245" s="6292"/>
      <c r="W245" s="6292"/>
      <c r="X245" s="6292"/>
      <c r="Y245" s="6292"/>
      <c r="Z245" s="6292"/>
      <c r="AA245" s="6292"/>
      <c r="AB245" s="6292"/>
      <c r="AC245" s="6292"/>
      <c r="AD245" s="6292"/>
      <c r="AF245" s="1284"/>
      <c r="AG245" s="1760"/>
      <c r="AH245" s="1760"/>
      <c r="AI245" s="1284"/>
      <c r="AJ245" s="1284"/>
      <c r="AK245" s="1284"/>
      <c r="AL245" s="1284"/>
      <c r="AM245" s="1760"/>
      <c r="AN245" s="1284"/>
      <c r="AO245" s="1284"/>
      <c r="AP245" s="668"/>
      <c r="AQ245" s="1284"/>
      <c r="AR245" s="1284"/>
      <c r="AS245" s="1284"/>
      <c r="AT245" s="1284"/>
      <c r="AU245" s="1284"/>
      <c r="AV245" s="1756"/>
      <c r="AW245" s="690"/>
      <c r="AX245" s="690"/>
      <c r="AY245" s="690"/>
      <c r="AZ245" s="690"/>
      <c r="BA245" s="1765">
        <v>11</v>
      </c>
    </row>
    <row s="6292" customFormat="1" customHeight="1" ht="11.549999999999999">
      <c r="A246" s="1111"/>
      <c r="B246" s="1760"/>
      <c r="C246" s="1760"/>
      <c r="D246" s="475"/>
      <c r="J246" s="6292"/>
      <c r="K246" s="6292"/>
      <c r="L246" s="6292"/>
      <c r="M246" s="6292"/>
      <c r="N246" s="6292"/>
      <c r="O246" s="6292"/>
      <c r="P246" s="6292"/>
      <c r="Q246" s="6292"/>
      <c r="R246" s="6292"/>
      <c r="S246" s="6292"/>
      <c r="T246" s="6292"/>
      <c r="U246" s="6292"/>
      <c r="V246" s="6292"/>
      <c r="W246" s="6292"/>
      <c r="X246" s="6292"/>
      <c r="Y246" s="6292"/>
      <c r="Z246" s="6292"/>
      <c r="AA246" s="6292"/>
      <c r="AB246" s="6292"/>
      <c r="AC246" s="6292"/>
      <c r="AD246" s="6292"/>
      <c r="AF246" s="1284"/>
      <c r="AG246" s="1760"/>
      <c r="AH246" s="1760"/>
      <c r="AI246" s="1284"/>
      <c r="AJ246" s="1284"/>
      <c r="AK246" s="1284"/>
      <c r="AL246" s="1284"/>
      <c r="AM246" s="1760"/>
      <c r="AN246" s="1284"/>
      <c r="AO246" s="1284"/>
      <c r="AP246" s="668"/>
      <c r="AQ246" s="1284"/>
      <c r="AR246" s="1284"/>
      <c r="AS246" s="1284"/>
      <c r="AT246" s="1284"/>
      <c r="AU246" s="1284"/>
      <c r="AV246" s="1756"/>
      <c r="AW246" s="690"/>
      <c r="AX246" s="690"/>
      <c r="AY246" s="690"/>
      <c r="AZ246" s="690"/>
      <c r="BA246" s="1765">
        <v>11</v>
      </c>
    </row>
    <row s="6292" customFormat="1" customHeight="1" ht="11.549999999999999">
      <c r="A247" s="1111"/>
      <c r="B247" s="1760"/>
      <c r="C247" s="1760"/>
      <c r="D247" s="475"/>
      <c r="J247" s="6292"/>
      <c r="K247" s="6292"/>
      <c r="L247" s="6292"/>
      <c r="M247" s="6292"/>
      <c r="N247" s="6292"/>
      <c r="O247" s="6292"/>
      <c r="P247" s="6292"/>
      <c r="Q247" s="6292"/>
      <c r="R247" s="6292"/>
      <c r="S247" s="6292"/>
      <c r="T247" s="6292"/>
      <c r="U247" s="6292"/>
      <c r="V247" s="6292"/>
      <c r="W247" s="6292"/>
      <c r="X247" s="6292"/>
      <c r="Y247" s="6292"/>
      <c r="Z247" s="6292"/>
      <c r="AA247" s="6292"/>
      <c r="AB247" s="6292"/>
      <c r="AC247" s="6292"/>
      <c r="AD247" s="6292"/>
      <c r="AF247" s="1284"/>
      <c r="AG247" s="1760"/>
      <c r="AH247" s="1760"/>
      <c r="AI247" s="1284"/>
      <c r="AJ247" s="1284"/>
      <c r="AK247" s="1284"/>
      <c r="AL247" s="1284"/>
      <c r="AM247" s="1760"/>
      <c r="AN247" s="1284"/>
      <c r="AO247" s="1284"/>
      <c r="AP247" s="668"/>
      <c r="AQ247" s="1284"/>
      <c r="AR247" s="1284"/>
      <c r="AS247" s="1284"/>
      <c r="AT247" s="1284"/>
      <c r="AU247" s="1284"/>
      <c r="AV247" s="1756"/>
      <c r="AW247" s="690"/>
      <c r="AX247" s="690"/>
      <c r="AY247" s="690"/>
      <c r="AZ247" s="690"/>
      <c r="BA247" s="1765">
        <v>11</v>
      </c>
    </row>
    <row s="6292" customFormat="1" customHeight="1" ht="11.549999999999999">
      <c r="A248" s="1111"/>
      <c r="B248" s="1760"/>
      <c r="C248" s="1760"/>
      <c r="D248" s="475"/>
      <c r="J248" s="6292"/>
      <c r="K248" s="6292"/>
      <c r="L248" s="6292"/>
      <c r="M248" s="6292"/>
      <c r="N248" s="6292"/>
      <c r="O248" s="6292"/>
      <c r="P248" s="6292"/>
      <c r="Q248" s="6292"/>
      <c r="R248" s="6292"/>
      <c r="S248" s="6292"/>
      <c r="T248" s="6292"/>
      <c r="U248" s="6292"/>
      <c r="V248" s="6292"/>
      <c r="W248" s="6292"/>
      <c r="X248" s="6292"/>
      <c r="Y248" s="6292"/>
      <c r="Z248" s="6292"/>
      <c r="AA248" s="6292"/>
      <c r="AB248" s="6292"/>
      <c r="AC248" s="6292"/>
      <c r="AD248" s="6292"/>
      <c r="AF248" s="1284"/>
      <c r="AG248" s="1760"/>
      <c r="AH248" s="1760"/>
      <c r="AI248" s="1284"/>
      <c r="AJ248" s="1284"/>
      <c r="AK248" s="1284"/>
      <c r="AL248" s="1284"/>
      <c r="AM248" s="1760"/>
      <c r="AN248" s="1284"/>
      <c r="AO248" s="1284"/>
      <c r="AP248" s="668"/>
      <c r="AQ248" s="1284"/>
      <c r="AR248" s="1284"/>
      <c r="AS248" s="1284"/>
      <c r="AT248" s="1284"/>
      <c r="AU248" s="1284"/>
      <c r="AV248" s="1756"/>
      <c r="AW248" s="690"/>
      <c r="AX248" s="690"/>
      <c r="AY248" s="690"/>
      <c r="AZ248" s="690"/>
      <c r="BA248" s="1765">
        <v>11</v>
      </c>
    </row>
    <row s="6292" customFormat="1" customHeight="1" ht="11.549999999999999">
      <c r="A249" s="1111"/>
      <c r="B249" s="1760"/>
      <c r="C249" s="1760"/>
      <c r="D249" s="475"/>
      <c r="J249" s="6292"/>
      <c r="K249" s="6292"/>
      <c r="L249" s="6292"/>
      <c r="M249" s="6292"/>
      <c r="N249" s="6292"/>
      <c r="O249" s="6292"/>
      <c r="P249" s="6292"/>
      <c r="Q249" s="6292"/>
      <c r="R249" s="6292"/>
      <c r="S249" s="6292"/>
      <c r="T249" s="6292"/>
      <c r="U249" s="6292"/>
      <c r="V249" s="6292"/>
      <c r="W249" s="6292"/>
      <c r="X249" s="6292"/>
      <c r="Y249" s="6292"/>
      <c r="Z249" s="6292"/>
      <c r="AA249" s="6292"/>
      <c r="AB249" s="6292"/>
      <c r="AC249" s="6292"/>
      <c r="AD249" s="6292"/>
      <c r="AF249" s="1284"/>
      <c r="AG249" s="1760"/>
      <c r="AH249" s="1760"/>
      <c r="AI249" s="1284"/>
      <c r="AJ249" s="1284"/>
      <c r="AK249" s="1284"/>
      <c r="AL249" s="1284"/>
      <c r="AM249" s="1760"/>
      <c r="AN249" s="1284"/>
      <c r="AO249" s="1284"/>
      <c r="AP249" s="668"/>
      <c r="AQ249" s="1284"/>
      <c r="AR249" s="1284"/>
      <c r="AS249" s="1284"/>
      <c r="AT249" s="1284"/>
      <c r="AU249" s="1284"/>
      <c r="AV249" s="1756"/>
      <c r="AW249" s="690"/>
      <c r="AX249" s="690"/>
      <c r="AY249" s="690"/>
      <c r="AZ249" s="690"/>
      <c r="BA249" s="1765">
        <v>11</v>
      </c>
    </row>
    <row s="6292" customFormat="1" customHeight="1" ht="11.549999999999999">
      <c r="A250" s="1111"/>
      <c r="B250" s="1760"/>
      <c r="C250" s="1760"/>
      <c r="D250" s="475"/>
      <c r="J250" s="6292"/>
      <c r="K250" s="6292"/>
      <c r="L250" s="6292"/>
      <c r="M250" s="6292"/>
      <c r="N250" s="6292"/>
      <c r="O250" s="6292"/>
      <c r="P250" s="6292"/>
      <c r="Q250" s="6292"/>
      <c r="R250" s="6292"/>
      <c r="S250" s="6292"/>
      <c r="T250" s="6292"/>
      <c r="U250" s="6292"/>
      <c r="V250" s="6292"/>
      <c r="W250" s="6292"/>
      <c r="X250" s="6292"/>
      <c r="Y250" s="6292"/>
      <c r="Z250" s="6292"/>
      <c r="AA250" s="6292"/>
      <c r="AB250" s="6292"/>
      <c r="AC250" s="6292"/>
      <c r="AD250" s="6292"/>
      <c r="AF250" s="1284"/>
      <c r="AG250" s="1760"/>
      <c r="AH250" s="1760"/>
      <c r="AI250" s="1284"/>
      <c r="AJ250" s="1284"/>
      <c r="AK250" s="1284"/>
      <c r="AL250" s="1284"/>
      <c r="AM250" s="1760"/>
      <c r="AN250" s="1284"/>
      <c r="AO250" s="1284"/>
      <c r="AP250" s="668"/>
      <c r="AQ250" s="1284"/>
      <c r="AR250" s="1284"/>
      <c r="AS250" s="1284"/>
      <c r="AT250" s="1284"/>
      <c r="AU250" s="1284"/>
      <c r="AV250" s="1756"/>
      <c r="AW250" s="690"/>
      <c r="AX250" s="690"/>
      <c r="AY250" s="690"/>
      <c r="AZ250" s="690"/>
      <c r="BA250" s="1765">
        <v>11</v>
      </c>
    </row>
    <row s="6292" customFormat="1" customHeight="1" ht="11.549999999999999">
      <c r="A251" s="1111"/>
      <c r="B251" s="1760"/>
      <c r="C251" s="1760"/>
      <c r="D251" s="475"/>
      <c r="J251" s="6292"/>
      <c r="K251" s="6292"/>
      <c r="L251" s="6292"/>
      <c r="M251" s="6292"/>
      <c r="N251" s="6292"/>
      <c r="O251" s="6292"/>
      <c r="P251" s="6292"/>
      <c r="Q251" s="6292"/>
      <c r="R251" s="6292"/>
      <c r="S251" s="6292"/>
      <c r="T251" s="6292"/>
      <c r="U251" s="6292"/>
      <c r="V251" s="6292"/>
      <c r="W251" s="6292"/>
      <c r="X251" s="6292"/>
      <c r="Y251" s="6292"/>
      <c r="Z251" s="6292"/>
      <c r="AA251" s="6292"/>
      <c r="AB251" s="6292"/>
      <c r="AC251" s="6292"/>
      <c r="AD251" s="6292"/>
      <c r="AF251" s="1284"/>
      <c r="AG251" s="1760"/>
      <c r="AH251" s="1760"/>
      <c r="AI251" s="1284"/>
      <c r="AJ251" s="1284"/>
      <c r="AK251" s="1284"/>
      <c r="AL251" s="1284"/>
      <c r="AM251" s="1760"/>
      <c r="AN251" s="1284"/>
      <c r="AO251" s="1284"/>
      <c r="AP251" s="668"/>
      <c r="AQ251" s="1284"/>
      <c r="AR251" s="1284"/>
      <c r="AS251" s="1284"/>
      <c r="AT251" s="1284"/>
      <c r="AU251" s="1284"/>
      <c r="AV251" s="1756"/>
      <c r="AW251" s="690"/>
      <c r="AX251" s="690"/>
      <c r="AY251" s="690"/>
      <c r="AZ251" s="690"/>
      <c r="BA251" s="1765">
        <v>11</v>
      </c>
    </row>
    <row s="6292" customFormat="1" customHeight="1" ht="11.549999999999999">
      <c r="A252" s="1111"/>
      <c r="B252" s="1760"/>
      <c r="C252" s="1760"/>
      <c r="D252" s="475"/>
      <c r="J252" s="6292"/>
      <c r="K252" s="6292"/>
      <c r="L252" s="6292"/>
      <c r="M252" s="6292"/>
      <c r="N252" s="6292"/>
      <c r="O252" s="6292"/>
      <c r="P252" s="6292"/>
      <c r="Q252" s="6292"/>
      <c r="R252" s="6292"/>
      <c r="S252" s="6292"/>
      <c r="T252" s="6292"/>
      <c r="U252" s="6292"/>
      <c r="V252" s="6292"/>
      <c r="W252" s="6292"/>
      <c r="X252" s="6292"/>
      <c r="Y252" s="6292"/>
      <c r="Z252" s="6292"/>
      <c r="AA252" s="6292"/>
      <c r="AB252" s="6292"/>
      <c r="AC252" s="6292"/>
      <c r="AD252" s="6292"/>
      <c r="AF252" s="1284"/>
      <c r="AG252" s="1760"/>
      <c r="AH252" s="1760"/>
      <c r="AI252" s="1284"/>
      <c r="AJ252" s="1284"/>
      <c r="AK252" s="1284"/>
      <c r="AL252" s="1284"/>
      <c r="AM252" s="1760"/>
      <c r="AN252" s="1284"/>
      <c r="AO252" s="1284"/>
      <c r="AP252" s="668"/>
      <c r="AQ252" s="1284"/>
      <c r="AR252" s="1284"/>
      <c r="AS252" s="1284"/>
      <c r="AT252" s="1284"/>
      <c r="AU252" s="1284"/>
      <c r="AV252" s="1756"/>
      <c r="AW252" s="690"/>
      <c r="AX252" s="690"/>
      <c r="AY252" s="690"/>
      <c r="AZ252" s="690"/>
      <c r="BA252" s="1765">
        <v>11</v>
      </c>
    </row>
    <row s="6292" customFormat="1" customHeight="1" ht="11.549999999999999">
      <c r="A253" s="1111"/>
      <c r="B253" s="1760"/>
      <c r="C253" s="1760"/>
      <c r="D253" s="475"/>
      <c r="J253" s="6292"/>
      <c r="K253" s="6292"/>
      <c r="L253" s="6292"/>
      <c r="M253" s="6292"/>
      <c r="N253" s="6292"/>
      <c r="O253" s="6292"/>
      <c r="P253" s="6292"/>
      <c r="Q253" s="6292"/>
      <c r="R253" s="6292"/>
      <c r="S253" s="6292"/>
      <c r="T253" s="6292"/>
      <c r="U253" s="6292"/>
      <c r="V253" s="6292"/>
      <c r="W253" s="6292"/>
      <c r="X253" s="6292"/>
      <c r="Y253" s="6292"/>
      <c r="Z253" s="6292"/>
      <c r="AA253" s="6292"/>
      <c r="AB253" s="6292"/>
      <c r="AC253" s="6292"/>
      <c r="AD253" s="6292"/>
      <c r="AF253" s="1284"/>
      <c r="AG253" s="1760"/>
      <c r="AH253" s="1760"/>
      <c r="AI253" s="1284"/>
      <c r="AJ253" s="1284"/>
      <c r="AK253" s="1284"/>
      <c r="AL253" s="1284"/>
      <c r="AM253" s="1760"/>
      <c r="AN253" s="1284"/>
      <c r="AO253" s="1284"/>
      <c r="AP253" s="668"/>
      <c r="AQ253" s="1284"/>
      <c r="AR253" s="1284"/>
      <c r="AS253" s="1284"/>
      <c r="AT253" s="1284"/>
      <c r="AU253" s="1284"/>
      <c r="AV253" s="1756"/>
      <c r="AW253" s="690"/>
      <c r="AX253" s="690"/>
      <c r="AY253" s="690"/>
      <c r="AZ253" s="690"/>
      <c r="BA253" s="1765">
        <v>11</v>
      </c>
    </row>
    <row s="6292" customFormat="1" customHeight="1" ht="11.549999999999999">
      <c r="A254" s="1111"/>
      <c r="B254" s="1760"/>
      <c r="C254" s="1760"/>
      <c r="D254" s="475"/>
      <c r="J254" s="6292"/>
      <c r="K254" s="6292"/>
      <c r="L254" s="6292"/>
      <c r="M254" s="6292"/>
      <c r="N254" s="6292"/>
      <c r="O254" s="6292"/>
      <c r="P254" s="6292"/>
      <c r="Q254" s="6292"/>
      <c r="R254" s="6292"/>
      <c r="S254" s="6292"/>
      <c r="T254" s="6292"/>
      <c r="U254" s="6292"/>
      <c r="V254" s="6292"/>
      <c r="W254" s="6292"/>
      <c r="X254" s="6292"/>
      <c r="Y254" s="6292"/>
      <c r="Z254" s="6292"/>
      <c r="AA254" s="6292"/>
      <c r="AB254" s="6292"/>
      <c r="AC254" s="6292"/>
      <c r="AD254" s="6292"/>
      <c r="AF254" s="1284"/>
      <c r="AG254" s="1760"/>
      <c r="AH254" s="1760"/>
      <c r="AI254" s="1284"/>
      <c r="AJ254" s="1284"/>
      <c r="AK254" s="1284"/>
      <c r="AL254" s="1284"/>
      <c r="AM254" s="1760"/>
      <c r="AN254" s="1284"/>
      <c r="AO254" s="1284"/>
      <c r="AP254" s="668"/>
      <c r="AQ254" s="1284"/>
      <c r="AR254" s="1284"/>
      <c r="AS254" s="1284"/>
      <c r="AT254" s="1284"/>
      <c r="AU254" s="1284"/>
      <c r="AV254" s="1756"/>
      <c r="AW254" s="690"/>
      <c r="AX254" s="690"/>
      <c r="AY254" s="690"/>
      <c r="AZ254" s="690"/>
      <c r="BA254" s="1765">
        <v>11</v>
      </c>
    </row>
    <row s="6292" customFormat="1" customHeight="1" ht="11.549999999999999">
      <c r="A255" s="1111"/>
      <c r="B255" s="1760"/>
      <c r="C255" s="1760"/>
      <c r="D255" s="475"/>
      <c r="J255" s="6292"/>
      <c r="K255" s="6292"/>
      <c r="L255" s="6292"/>
      <c r="M255" s="6292"/>
      <c r="N255" s="6292"/>
      <c r="O255" s="6292"/>
      <c r="P255" s="6292"/>
      <c r="Q255" s="6292"/>
      <c r="R255" s="6292"/>
      <c r="S255" s="6292"/>
      <c r="T255" s="6292"/>
      <c r="U255" s="6292"/>
      <c r="V255" s="6292"/>
      <c r="W255" s="6292"/>
      <c r="X255" s="6292"/>
      <c r="Y255" s="6292"/>
      <c r="Z255" s="6292"/>
      <c r="AA255" s="6292"/>
      <c r="AB255" s="6292"/>
      <c r="AC255" s="6292"/>
      <c r="AD255" s="6292"/>
      <c r="AF255" s="1284"/>
      <c r="AG255" s="1760"/>
      <c r="AH255" s="1760"/>
      <c r="AI255" s="1284"/>
      <c r="AJ255" s="1284"/>
      <c r="AK255" s="1284"/>
      <c r="AL255" s="1284"/>
      <c r="AM255" s="1760"/>
      <c r="AN255" s="1284"/>
      <c r="AO255" s="1284"/>
      <c r="AP255" s="668"/>
      <c r="AQ255" s="1284"/>
      <c r="AR255" s="1284"/>
      <c r="AS255" s="1284"/>
      <c r="AT255" s="1284"/>
      <c r="AU255" s="1284"/>
      <c r="AV255" s="1756"/>
      <c r="AW255" s="690"/>
      <c r="AX255" s="690"/>
      <c r="AY255" s="690"/>
      <c r="AZ255" s="690"/>
      <c r="BA255" s="1765">
        <v>11</v>
      </c>
    </row>
    <row s="6292" customFormat="1" customHeight="1" ht="11.549999999999999">
      <c r="A256" s="1111"/>
      <c r="B256" s="1760"/>
      <c r="C256" s="1760"/>
      <c r="D256" s="475"/>
      <c r="J256" s="6292"/>
      <c r="K256" s="6292"/>
      <c r="L256" s="6292"/>
      <c r="M256" s="6292"/>
      <c r="N256" s="6292"/>
      <c r="O256" s="6292"/>
      <c r="P256" s="6292"/>
      <c r="Q256" s="6292"/>
      <c r="R256" s="6292"/>
      <c r="S256" s="6292"/>
      <c r="T256" s="6292"/>
      <c r="U256" s="6292"/>
      <c r="V256" s="6292"/>
      <c r="W256" s="6292"/>
      <c r="X256" s="6292"/>
      <c r="Y256" s="6292"/>
      <c r="Z256" s="6292"/>
      <c r="AA256" s="6292"/>
      <c r="AB256" s="6292"/>
      <c r="AC256" s="6292"/>
      <c r="AD256" s="6292"/>
      <c r="AF256" s="1284"/>
      <c r="AG256" s="1760"/>
      <c r="AH256" s="1760"/>
      <c r="AI256" s="1284"/>
      <c r="AJ256" s="1284"/>
      <c r="AK256" s="1284"/>
      <c r="AL256" s="1284"/>
      <c r="AM256" s="1760"/>
      <c r="AN256" s="1284"/>
      <c r="AO256" s="1284"/>
      <c r="AP256" s="668"/>
      <c r="AQ256" s="1284"/>
      <c r="AR256" s="1284"/>
      <c r="AS256" s="1284"/>
      <c r="AT256" s="1284"/>
      <c r="AU256" s="1284"/>
      <c r="AV256" s="1756"/>
      <c r="AW256" s="690"/>
      <c r="AX256" s="690"/>
      <c r="AY256" s="690"/>
      <c r="AZ256" s="690"/>
      <c r="BA256" s="1765">
        <v>11</v>
      </c>
    </row>
    <row s="6292" customFormat="1" customHeight="1" ht="11.549999999999999">
      <c r="A257" s="1111"/>
      <c r="B257" s="1760"/>
      <c r="C257" s="1760"/>
      <c r="D257" s="475"/>
      <c r="J257" s="6292"/>
      <c r="K257" s="6292"/>
      <c r="L257" s="6292"/>
      <c r="M257" s="6292"/>
      <c r="N257" s="6292"/>
      <c r="O257" s="6292"/>
      <c r="P257" s="6292"/>
      <c r="Q257" s="6292"/>
      <c r="R257" s="6292"/>
      <c r="S257" s="6292"/>
      <c r="T257" s="6292"/>
      <c r="U257" s="6292"/>
      <c r="V257" s="6292"/>
      <c r="W257" s="6292"/>
      <c r="X257" s="6292"/>
      <c r="Y257" s="6292"/>
      <c r="Z257" s="6292"/>
      <c r="AA257" s="6292"/>
      <c r="AB257" s="6292"/>
      <c r="AC257" s="6292"/>
      <c r="AD257" s="6292"/>
      <c r="AF257" s="1284"/>
      <c r="AG257" s="1760"/>
      <c r="AH257" s="1760"/>
      <c r="AI257" s="1284"/>
      <c r="AJ257" s="1284"/>
      <c r="AK257" s="1284"/>
      <c r="AL257" s="1284"/>
      <c r="AM257" s="1760"/>
      <c r="AN257" s="1284"/>
      <c r="AO257" s="1284"/>
      <c r="AP257" s="668"/>
      <c r="AQ257" s="1284"/>
      <c r="AR257" s="1284"/>
      <c r="AS257" s="1284"/>
      <c r="AT257" s="1284"/>
      <c r="AU257" s="1284"/>
      <c r="AV257" s="1756"/>
      <c r="AW257" s="690"/>
      <c r="AX257" s="690"/>
      <c r="AY257" s="690"/>
      <c r="AZ257" s="690"/>
      <c r="BA257" s="1765">
        <v>11</v>
      </c>
    </row>
    <row s="6292" customFormat="1" customHeight="1" ht="11.549999999999999">
      <c r="A258" s="1111"/>
      <c r="B258" s="1760"/>
      <c r="C258" s="1760"/>
      <c r="D258" s="475"/>
      <c r="J258" s="6292"/>
      <c r="K258" s="6292"/>
      <c r="L258" s="6292"/>
      <c r="M258" s="6292"/>
      <c r="N258" s="6292"/>
      <c r="O258" s="6292"/>
      <c r="P258" s="6292"/>
      <c r="Q258" s="6292"/>
      <c r="R258" s="6292"/>
      <c r="S258" s="6292"/>
      <c r="T258" s="6292"/>
      <c r="U258" s="6292"/>
      <c r="V258" s="6292"/>
      <c r="W258" s="6292"/>
      <c r="X258" s="6292"/>
      <c r="Y258" s="6292"/>
      <c r="Z258" s="6292"/>
      <c r="AA258" s="6292"/>
      <c r="AB258" s="6292"/>
      <c r="AC258" s="6292"/>
      <c r="AD258" s="6292"/>
      <c r="AF258" s="1284"/>
      <c r="AG258" s="1760"/>
      <c r="AH258" s="1760"/>
      <c r="AI258" s="1284"/>
      <c r="AJ258" s="1284"/>
      <c r="AK258" s="1284"/>
      <c r="AL258" s="1284"/>
      <c r="AM258" s="1760"/>
      <c r="AN258" s="1284"/>
      <c r="AO258" s="1284"/>
      <c r="AP258" s="668"/>
      <c r="AQ258" s="1284"/>
      <c r="AR258" s="1284"/>
      <c r="AS258" s="1284"/>
      <c r="AT258" s="1284"/>
      <c r="AU258" s="1284"/>
      <c r="AV258" s="1756"/>
      <c r="AW258" s="690"/>
      <c r="AX258" s="690"/>
      <c r="AY258" s="690"/>
      <c r="AZ258" s="690"/>
      <c r="BA258" s="1765">
        <v>11</v>
      </c>
    </row>
    <row s="6292" customFormat="1" customHeight="1" ht="11.549999999999999">
      <c r="A259" s="1111"/>
      <c r="B259" s="1760"/>
      <c r="C259" s="1760"/>
      <c r="D259" s="475"/>
      <c r="J259" s="6292"/>
      <c r="K259" s="6292"/>
      <c r="L259" s="6292"/>
      <c r="M259" s="6292"/>
      <c r="N259" s="6292"/>
      <c r="O259" s="6292"/>
      <c r="P259" s="6292"/>
      <c r="Q259" s="6292"/>
      <c r="R259" s="6292"/>
      <c r="S259" s="6292"/>
      <c r="T259" s="6292"/>
      <c r="U259" s="6292"/>
      <c r="V259" s="6292"/>
      <c r="W259" s="6292"/>
      <c r="X259" s="6292"/>
      <c r="Y259" s="6292"/>
      <c r="Z259" s="6292"/>
      <c r="AA259" s="6292"/>
      <c r="AB259" s="6292"/>
      <c r="AC259" s="6292"/>
      <c r="AD259" s="6292"/>
      <c r="AF259" s="1284"/>
      <c r="AG259" s="1760"/>
      <c r="AH259" s="1760"/>
      <c r="AI259" s="1284"/>
      <c r="AJ259" s="1284"/>
      <c r="AK259" s="1284"/>
      <c r="AL259" s="1284"/>
      <c r="AM259" s="1760"/>
      <c r="AN259" s="1284"/>
      <c r="AO259" s="1284"/>
      <c r="AP259" s="668"/>
      <c r="AQ259" s="1284"/>
      <c r="AR259" s="1284"/>
      <c r="AS259" s="1284"/>
      <c r="AT259" s="1284"/>
      <c r="AU259" s="1284"/>
      <c r="AV259" s="1756"/>
      <c r="AW259" s="690"/>
      <c r="AX259" s="690"/>
      <c r="AY259" s="690"/>
      <c r="AZ259" s="690"/>
      <c r="BA259" s="1765">
        <v>11</v>
      </c>
    </row>
    <row s="6292" customFormat="1" customHeight="1" ht="11.549999999999999">
      <c r="A260" s="1111"/>
      <c r="B260" s="1760"/>
      <c r="C260" s="1760"/>
      <c r="D260" s="475"/>
      <c r="J260" s="6292"/>
      <c r="K260" s="6292"/>
      <c r="L260" s="6292"/>
      <c r="M260" s="6292"/>
      <c r="N260" s="6292"/>
      <c r="O260" s="6292"/>
      <c r="P260" s="6292"/>
      <c r="Q260" s="6292"/>
      <c r="R260" s="6292"/>
      <c r="S260" s="6292"/>
      <c r="T260" s="6292"/>
      <c r="U260" s="6292"/>
      <c r="V260" s="6292"/>
      <c r="W260" s="6292"/>
      <c r="X260" s="6292"/>
      <c r="Y260" s="6292"/>
      <c r="Z260" s="6292"/>
      <c r="AA260" s="6292"/>
      <c r="AB260" s="6292"/>
      <c r="AC260" s="6292"/>
      <c r="AD260" s="6292"/>
      <c r="AF260" s="1284"/>
      <c r="AG260" s="1760"/>
      <c r="AH260" s="1760"/>
      <c r="AI260" s="1284"/>
      <c r="AJ260" s="1284"/>
      <c r="AK260" s="1284"/>
      <c r="AL260" s="1284"/>
      <c r="AM260" s="1760"/>
      <c r="AN260" s="1284"/>
      <c r="AO260" s="1284"/>
      <c r="AP260" s="668"/>
      <c r="AQ260" s="1284"/>
      <c r="AR260" s="1284"/>
      <c r="AS260" s="1284"/>
      <c r="AT260" s="1284"/>
      <c r="AU260" s="1284"/>
      <c r="AV260" s="1756"/>
      <c r="AW260" s="690"/>
      <c r="AX260" s="690"/>
      <c r="AY260" s="690"/>
      <c r="AZ260" s="690"/>
      <c r="BA260" s="1765">
        <v>11</v>
      </c>
    </row>
    <row s="6292" customFormat="1" customHeight="1" ht="11.549999999999999">
      <c r="A261" s="1111"/>
      <c r="B261" s="1760"/>
      <c r="C261" s="1760"/>
      <c r="D261" s="475"/>
      <c r="J261" s="6292"/>
      <c r="K261" s="6292"/>
      <c r="L261" s="6292"/>
      <c r="M261" s="6292"/>
      <c r="N261" s="6292"/>
      <c r="O261" s="6292"/>
      <c r="P261" s="6292"/>
      <c r="Q261" s="6292"/>
      <c r="R261" s="6292"/>
      <c r="S261" s="6292"/>
      <c r="T261" s="6292"/>
      <c r="U261" s="6292"/>
      <c r="V261" s="6292"/>
      <c r="W261" s="6292"/>
      <c r="X261" s="6292"/>
      <c r="Y261" s="6292"/>
      <c r="Z261" s="6292"/>
      <c r="AA261" s="6292"/>
      <c r="AB261" s="6292"/>
      <c r="AC261" s="6292"/>
      <c r="AD261" s="6292"/>
      <c r="AF261" s="1284"/>
      <c r="AG261" s="1760"/>
      <c r="AH261" s="1760"/>
      <c r="AI261" s="1284"/>
      <c r="AJ261" s="1284"/>
      <c r="AK261" s="1284"/>
      <c r="AL261" s="1284"/>
      <c r="AM261" s="1760"/>
      <c r="AN261" s="1284"/>
      <c r="AO261" s="1284"/>
      <c r="AP261" s="668"/>
      <c r="AQ261" s="1284"/>
      <c r="AR261" s="1284"/>
      <c r="AS261" s="1284"/>
      <c r="AT261" s="1284"/>
      <c r="AU261" s="1284"/>
      <c r="AV261" s="1756"/>
      <c r="AW261" s="690"/>
      <c r="AX261" s="690"/>
      <c r="AY261" s="690"/>
      <c r="AZ261" s="690"/>
      <c r="BA261" s="1765">
        <v>11</v>
      </c>
    </row>
    <row s="6292" customFormat="1" customHeight="1" ht="11.549999999999999">
      <c r="A262" s="1111"/>
      <c r="B262" s="1760"/>
      <c r="C262" s="1760"/>
      <c r="D262" s="475"/>
      <c r="J262" s="6292"/>
      <c r="K262" s="6292"/>
      <c r="L262" s="6292"/>
      <c r="M262" s="6292"/>
      <c r="N262" s="6292"/>
      <c r="O262" s="6292"/>
      <c r="P262" s="6292"/>
      <c r="Q262" s="6292"/>
      <c r="R262" s="6292"/>
      <c r="S262" s="6292"/>
      <c r="T262" s="6292"/>
      <c r="U262" s="6292"/>
      <c r="V262" s="6292"/>
      <c r="W262" s="6292"/>
      <c r="X262" s="6292"/>
      <c r="Y262" s="6292"/>
      <c r="Z262" s="6292"/>
      <c r="AA262" s="6292"/>
      <c r="AB262" s="6292"/>
      <c r="AC262" s="6292"/>
      <c r="AD262" s="6292"/>
      <c r="AF262" s="1284"/>
      <c r="AG262" s="1760"/>
      <c r="AH262" s="1760"/>
      <c r="AI262" s="1284"/>
      <c r="AJ262" s="1284"/>
      <c r="AK262" s="1284"/>
      <c r="AL262" s="1284"/>
      <c r="AM262" s="1760"/>
      <c r="AN262" s="1284"/>
      <c r="AO262" s="1284"/>
      <c r="AP262" s="668"/>
      <c r="AQ262" s="1284"/>
      <c r="AR262" s="1284"/>
      <c r="AS262" s="1284"/>
      <c r="AT262" s="1284"/>
      <c r="AU262" s="1284"/>
      <c r="AV262" s="1756"/>
      <c r="AW262" s="690"/>
      <c r="AX262" s="690"/>
      <c r="AY262" s="690"/>
      <c r="AZ262" s="690"/>
      <c r="BA262" s="1765">
        <v>11</v>
      </c>
    </row>
    <row s="6292" customFormat="1" customHeight="1" ht="11.549999999999999">
      <c r="A263" s="1111"/>
      <c r="B263" s="1760"/>
      <c r="C263" s="1760"/>
      <c r="D263" s="475"/>
      <c r="J263" s="6292"/>
      <c r="K263" s="6292"/>
      <c r="L263" s="6292"/>
      <c r="M263" s="6292"/>
      <c r="N263" s="6292"/>
      <c r="O263" s="6292"/>
      <c r="P263" s="6292"/>
      <c r="Q263" s="6292"/>
      <c r="R263" s="6292"/>
      <c r="S263" s="6292"/>
      <c r="T263" s="6292"/>
      <c r="U263" s="6292"/>
      <c r="V263" s="6292"/>
      <c r="W263" s="6292"/>
      <c r="X263" s="6292"/>
      <c r="Y263" s="6292"/>
      <c r="Z263" s="6292"/>
      <c r="AA263" s="6292"/>
      <c r="AB263" s="6292"/>
      <c r="AC263" s="6292"/>
      <c r="AD263" s="6292"/>
      <c r="AF263" s="1284"/>
      <c r="AG263" s="1760"/>
      <c r="AH263" s="1760"/>
      <c r="AI263" s="1284"/>
      <c r="AJ263" s="1284"/>
      <c r="AK263" s="1284"/>
      <c r="AL263" s="1284"/>
      <c r="AM263" s="1760"/>
      <c r="AN263" s="1284"/>
      <c r="AO263" s="1284"/>
      <c r="AP263" s="668"/>
      <c r="AQ263" s="1284"/>
      <c r="AR263" s="1284"/>
      <c r="AS263" s="1284"/>
      <c r="AT263" s="1284"/>
      <c r="AU263" s="1284"/>
      <c r="AV263" s="1756"/>
      <c r="AW263" s="690"/>
      <c r="AX263" s="690"/>
      <c r="AY263" s="690"/>
      <c r="AZ263" s="690"/>
      <c r="BA263" s="1765">
        <v>11</v>
      </c>
    </row>
    <row s="6292" customFormat="1" customHeight="1" ht="11.549999999999999">
      <c r="A264" s="1111"/>
      <c r="B264" s="1760"/>
      <c r="C264" s="1760"/>
      <c r="D264" s="475"/>
      <c r="J264" s="6292"/>
      <c r="K264" s="6292"/>
      <c r="L264" s="6292"/>
      <c r="M264" s="6292"/>
      <c r="N264" s="6292"/>
      <c r="O264" s="6292"/>
      <c r="P264" s="6292"/>
      <c r="Q264" s="6292"/>
      <c r="R264" s="6292"/>
      <c r="S264" s="6292"/>
      <c r="T264" s="6292"/>
      <c r="U264" s="6292"/>
      <c r="V264" s="6292"/>
      <c r="W264" s="6292"/>
      <c r="X264" s="6292"/>
      <c r="Y264" s="6292"/>
      <c r="Z264" s="6292"/>
      <c r="AA264" s="6292"/>
      <c r="AB264" s="6292"/>
      <c r="AC264" s="6292"/>
      <c r="AD264" s="6292"/>
      <c r="AF264" s="1284"/>
      <c r="AG264" s="1760"/>
      <c r="AH264" s="1760"/>
      <c r="AI264" s="1284"/>
      <c r="AJ264" s="1284"/>
      <c r="AK264" s="1284"/>
      <c r="AL264" s="1284"/>
      <c r="AM264" s="1760"/>
      <c r="AN264" s="1284"/>
      <c r="AO264" s="1284"/>
      <c r="AP264" s="668"/>
      <c r="AQ264" s="1284"/>
      <c r="AR264" s="1284"/>
      <c r="AS264" s="1284"/>
      <c r="AT264" s="1284"/>
      <c r="AU264" s="1284"/>
      <c r="AV264" s="1756"/>
      <c r="AW264" s="690"/>
      <c r="AX264" s="690"/>
      <c r="AY264" s="690"/>
      <c r="AZ264" s="690"/>
      <c r="BA264" s="1765">
        <v>11</v>
      </c>
    </row>
    <row s="6292" customFormat="1" customHeight="1" ht="11.549999999999999">
      <c r="A265" s="1111"/>
      <c r="B265" s="1760"/>
      <c r="C265" s="1760"/>
      <c r="D265" s="475"/>
      <c r="J265" s="6292"/>
      <c r="K265" s="6292"/>
      <c r="L265" s="6292"/>
      <c r="M265" s="6292"/>
      <c r="N265" s="6292"/>
      <c r="O265" s="6292"/>
      <c r="P265" s="6292"/>
      <c r="Q265" s="6292"/>
      <c r="R265" s="6292"/>
      <c r="S265" s="6292"/>
      <c r="T265" s="6292"/>
      <c r="U265" s="6292"/>
      <c r="V265" s="6292"/>
      <c r="W265" s="6292"/>
      <c r="X265" s="6292"/>
      <c r="Y265" s="6292"/>
      <c r="Z265" s="6292"/>
      <c r="AA265" s="6292"/>
      <c r="AB265" s="6292"/>
      <c r="AC265" s="6292"/>
      <c r="AD265" s="6292"/>
      <c r="AF265" s="1284"/>
      <c r="AG265" s="1760"/>
      <c r="AH265" s="1760"/>
      <c r="AI265" s="1284"/>
      <c r="AJ265" s="1284"/>
      <c r="AK265" s="1284"/>
      <c r="AL265" s="1284"/>
      <c r="AM265" s="1760"/>
      <c r="AN265" s="1284"/>
      <c r="AO265" s="1284"/>
      <c r="AP265" s="668"/>
      <c r="AQ265" s="1284"/>
      <c r="AR265" s="1284"/>
      <c r="AS265" s="1284"/>
      <c r="AT265" s="1284"/>
      <c r="AU265" s="1284"/>
      <c r="AV265" s="1756"/>
      <c r="AW265" s="690"/>
      <c r="AX265" s="690"/>
      <c r="AY265" s="690"/>
      <c r="AZ265" s="690"/>
      <c r="BA265" s="1765">
        <v>11</v>
      </c>
    </row>
    <row s="6292" customFormat="1" customHeight="1" ht="11.549999999999999">
      <c r="A266" s="1111"/>
      <c r="B266" s="1760"/>
      <c r="C266" s="1760"/>
      <c r="D266" s="475"/>
      <c r="J266" s="6292"/>
      <c r="K266" s="6292"/>
      <c r="L266" s="6292"/>
      <c r="M266" s="6292"/>
      <c r="N266" s="6292"/>
      <c r="O266" s="6292"/>
      <c r="P266" s="6292"/>
      <c r="Q266" s="6292"/>
      <c r="R266" s="6292"/>
      <c r="S266" s="6292"/>
      <c r="T266" s="6292"/>
      <c r="U266" s="6292"/>
      <c r="V266" s="6292"/>
      <c r="W266" s="6292"/>
      <c r="X266" s="6292"/>
      <c r="Y266" s="6292"/>
      <c r="Z266" s="6292"/>
      <c r="AA266" s="6292"/>
      <c r="AB266" s="6292"/>
      <c r="AC266" s="6292"/>
      <c r="AD266" s="6292"/>
      <c r="AF266" s="1284"/>
      <c r="AG266" s="1760"/>
      <c r="AH266" s="1760"/>
      <c r="AI266" s="1284"/>
      <c r="AJ266" s="1284"/>
      <c r="AK266" s="1284"/>
      <c r="AL266" s="1284"/>
      <c r="AM266" s="1760"/>
      <c r="AN266" s="1284"/>
      <c r="AO266" s="1284"/>
      <c r="AP266" s="668"/>
      <c r="AQ266" s="1284"/>
      <c r="AR266" s="1284"/>
      <c r="AS266" s="1284"/>
      <c r="AT266" s="1284"/>
      <c r="AU266" s="1284"/>
      <c r="AV266" s="1756"/>
      <c r="AW266" s="690"/>
      <c r="AX266" s="690"/>
      <c r="AY266" s="690"/>
      <c r="AZ266" s="690"/>
      <c r="BA266" s="1765">
        <v>11</v>
      </c>
    </row>
    <row s="6292" customFormat="1" customHeight="1" ht="11.549999999999999">
      <c r="A267" s="1111"/>
      <c r="B267" s="1760"/>
      <c r="C267" s="1760"/>
      <c r="D267" s="475"/>
      <c r="J267" s="6292"/>
      <c r="K267" s="6292"/>
      <c r="L267" s="6292"/>
      <c r="M267" s="6292"/>
      <c r="N267" s="6292"/>
      <c r="O267" s="6292"/>
      <c r="P267" s="6292"/>
      <c r="Q267" s="6292"/>
      <c r="R267" s="6292"/>
      <c r="S267" s="6292"/>
      <c r="T267" s="6292"/>
      <c r="U267" s="6292"/>
      <c r="V267" s="6292"/>
      <c r="W267" s="6292"/>
      <c r="X267" s="6292"/>
      <c r="Y267" s="6292"/>
      <c r="Z267" s="6292"/>
      <c r="AA267" s="6292"/>
      <c r="AB267" s="6292"/>
      <c r="AC267" s="6292"/>
      <c r="AD267" s="6292"/>
      <c r="AF267" s="1284"/>
      <c r="AG267" s="1760"/>
      <c r="AH267" s="1760"/>
      <c r="AI267" s="1284"/>
      <c r="AJ267" s="1284"/>
      <c r="AK267" s="1284"/>
      <c r="AL267" s="1284"/>
      <c r="AM267" s="1760"/>
      <c r="AN267" s="1284"/>
      <c r="AO267" s="1284"/>
      <c r="AP267" s="668"/>
      <c r="AQ267" s="1284"/>
      <c r="AR267" s="1284"/>
      <c r="AS267" s="1284"/>
      <c r="AT267" s="1284"/>
      <c r="AU267" s="1284"/>
      <c r="AV267" s="1756"/>
      <c r="AW267" s="690"/>
      <c r="AX267" s="690"/>
      <c r="AY267" s="690"/>
      <c r="AZ267" s="690"/>
      <c r="BA267" s="1765">
        <v>11</v>
      </c>
    </row>
    <row s="6292" customFormat="1" customHeight="1" ht="11.549999999999999">
      <c r="A268" s="1111"/>
      <c r="B268" s="1760"/>
      <c r="C268" s="1760"/>
      <c r="D268" s="475"/>
      <c r="J268" s="6292"/>
      <c r="K268" s="6292"/>
      <c r="L268" s="6292"/>
      <c r="M268" s="6292"/>
      <c r="N268" s="6292"/>
      <c r="O268" s="6292"/>
      <c r="P268" s="6292"/>
      <c r="Q268" s="6292"/>
      <c r="R268" s="6292"/>
      <c r="S268" s="6292"/>
      <c r="T268" s="6292"/>
      <c r="U268" s="6292"/>
      <c r="V268" s="6292"/>
      <c r="W268" s="6292"/>
      <c r="X268" s="6292"/>
      <c r="Y268" s="6292"/>
      <c r="Z268" s="6292"/>
      <c r="AA268" s="6292"/>
      <c r="AB268" s="6292"/>
      <c r="AC268" s="6292"/>
      <c r="AD268" s="6292"/>
      <c r="AF268" s="1284"/>
      <c r="AG268" s="1760"/>
      <c r="AH268" s="1760"/>
      <c r="AI268" s="1284"/>
      <c r="AJ268" s="1284"/>
      <c r="AK268" s="1284"/>
      <c r="AL268" s="1284"/>
      <c r="AM268" s="1760"/>
      <c r="AN268" s="1284"/>
      <c r="AO268" s="1284"/>
      <c r="AP268" s="668"/>
      <c r="AQ268" s="1284"/>
      <c r="AR268" s="1284"/>
      <c r="AS268" s="1284"/>
      <c r="AT268" s="1284"/>
      <c r="AU268" s="1284"/>
      <c r="AV268" s="1756"/>
      <c r="AW268" s="690"/>
      <c r="AX268" s="690"/>
      <c r="AY268" s="690"/>
      <c r="AZ268" s="690"/>
      <c r="BA268" s="1765">
        <v>11</v>
      </c>
    </row>
    <row s="6292" customFormat="1" customHeight="1" ht="11.549999999999999">
      <c r="A269" s="1111"/>
      <c r="B269" s="1760"/>
      <c r="C269" s="1760"/>
      <c r="D269" s="475"/>
      <c r="J269" s="6292"/>
      <c r="K269" s="6292"/>
      <c r="L269" s="6292"/>
      <c r="M269" s="6292"/>
      <c r="N269" s="6292"/>
      <c r="O269" s="6292"/>
      <c r="P269" s="6292"/>
      <c r="Q269" s="6292"/>
      <c r="R269" s="6292"/>
      <c r="S269" s="6292"/>
      <c r="T269" s="6292"/>
      <c r="U269" s="6292"/>
      <c r="V269" s="6292"/>
      <c r="W269" s="6292"/>
      <c r="X269" s="6292"/>
      <c r="Y269" s="6292"/>
      <c r="Z269" s="6292"/>
      <c r="AA269" s="6292"/>
      <c r="AB269" s="6292"/>
      <c r="AC269" s="6292"/>
      <c r="AD269" s="6292"/>
      <c r="AF269" s="1284"/>
      <c r="AG269" s="1760"/>
      <c r="AH269" s="1760"/>
      <c r="AI269" s="1284"/>
      <c r="AJ269" s="1284"/>
      <c r="AK269" s="1284"/>
      <c r="AL269" s="1284"/>
      <c r="AM269" s="1760"/>
      <c r="AN269" s="1284"/>
      <c r="AO269" s="1284"/>
      <c r="AP269" s="668"/>
      <c r="AQ269" s="1284"/>
      <c r="AR269" s="1284"/>
      <c r="AS269" s="1284"/>
      <c r="AT269" s="1284"/>
      <c r="AU269" s="1284"/>
      <c r="AV269" s="1756"/>
      <c r="AW269" s="690"/>
      <c r="AX269" s="690"/>
      <c r="AY269" s="690"/>
      <c r="AZ269" s="690"/>
      <c r="BA269" s="1765">
        <v>11</v>
      </c>
    </row>
    <row s="6292" customFormat="1" customHeight="1" ht="11.549999999999999">
      <c r="A270" s="1111"/>
      <c r="B270" s="1760"/>
      <c r="C270" s="1760"/>
      <c r="D270" s="475"/>
      <c r="J270" s="6292"/>
      <c r="K270" s="6292"/>
      <c r="L270" s="6292"/>
      <c r="M270" s="6292"/>
      <c r="N270" s="6292"/>
      <c r="O270" s="6292"/>
      <c r="P270" s="6292"/>
      <c r="Q270" s="6292"/>
      <c r="R270" s="6292"/>
      <c r="S270" s="6292"/>
      <c r="T270" s="6292"/>
      <c r="U270" s="6292"/>
      <c r="V270" s="6292"/>
      <c r="W270" s="6292"/>
      <c r="X270" s="6292"/>
      <c r="Y270" s="6292"/>
      <c r="Z270" s="6292"/>
      <c r="AA270" s="6292"/>
      <c r="AB270" s="6292"/>
      <c r="AC270" s="6292"/>
      <c r="AD270" s="6292"/>
      <c r="AF270" s="1284"/>
      <c r="AG270" s="1760"/>
      <c r="AH270" s="1760"/>
      <c r="AI270" s="1284"/>
      <c r="AJ270" s="1284"/>
      <c r="AK270" s="1284"/>
      <c r="AL270" s="1284"/>
      <c r="AM270" s="1760"/>
      <c r="AN270" s="1284"/>
      <c r="AO270" s="1284"/>
      <c r="AP270" s="668"/>
      <c r="AQ270" s="1284"/>
      <c r="AR270" s="1284"/>
      <c r="AS270" s="1284"/>
      <c r="AT270" s="1284"/>
      <c r="AU270" s="1284"/>
      <c r="AV270" s="1756"/>
      <c r="AW270" s="690"/>
      <c r="AX270" s="690"/>
      <c r="AY270" s="690"/>
      <c r="AZ270" s="690"/>
      <c r="BA270" s="1765">
        <v>11</v>
      </c>
    </row>
    <row s="6292" customFormat="1" customHeight="1" ht="11.549999999999999">
      <c r="A271" s="1111"/>
      <c r="B271" s="1760"/>
      <c r="C271" s="1760"/>
      <c r="D271" s="475"/>
      <c r="J271" s="6292"/>
      <c r="K271" s="6292"/>
      <c r="L271" s="6292"/>
      <c r="M271" s="6292"/>
      <c r="N271" s="6292"/>
      <c r="O271" s="6292"/>
      <c r="P271" s="6292"/>
      <c r="Q271" s="6292"/>
      <c r="R271" s="6292"/>
      <c r="S271" s="6292"/>
      <c r="T271" s="6292"/>
      <c r="U271" s="6292"/>
      <c r="V271" s="6292"/>
      <c r="W271" s="6292"/>
      <c r="X271" s="6292"/>
      <c r="Y271" s="6292"/>
      <c r="Z271" s="6292"/>
      <c r="AA271" s="6292"/>
      <c r="AB271" s="6292"/>
      <c r="AC271" s="6292"/>
      <c r="AD271" s="6292"/>
      <c r="AF271" s="1284"/>
      <c r="AG271" s="1760"/>
      <c r="AH271" s="1760"/>
      <c r="AI271" s="1284"/>
      <c r="AJ271" s="1284"/>
      <c r="AK271" s="1284"/>
      <c r="AL271" s="1284"/>
      <c r="AM271" s="1760"/>
      <c r="AN271" s="1284"/>
      <c r="AO271" s="1284"/>
      <c r="AP271" s="668"/>
      <c r="AQ271" s="1284"/>
      <c r="AR271" s="1284"/>
      <c r="AS271" s="1284"/>
      <c r="AT271" s="1284"/>
      <c r="AU271" s="1284"/>
      <c r="AV271" s="1756"/>
      <c r="AW271" s="690"/>
      <c r="AX271" s="690"/>
      <c r="AY271" s="690"/>
      <c r="AZ271" s="690"/>
      <c r="BA271" s="1765">
        <v>11</v>
      </c>
    </row>
    <row s="6292" customFormat="1" customHeight="1" ht="11.549999999999999">
      <c r="A272" s="1111"/>
      <c r="B272" s="1760"/>
      <c r="C272" s="1760"/>
      <c r="D272" s="475"/>
      <c r="J272" s="6292"/>
      <c r="K272" s="6292"/>
      <c r="L272" s="6292"/>
      <c r="M272" s="6292"/>
      <c r="N272" s="6292"/>
      <c r="O272" s="6292"/>
      <c r="P272" s="6292"/>
      <c r="Q272" s="6292"/>
      <c r="R272" s="6292"/>
      <c r="S272" s="6292"/>
      <c r="T272" s="6292"/>
      <c r="U272" s="6292"/>
      <c r="V272" s="6292"/>
      <c r="W272" s="6292"/>
      <c r="X272" s="6292"/>
      <c r="Y272" s="6292"/>
      <c r="Z272" s="6292"/>
      <c r="AA272" s="6292"/>
      <c r="AB272" s="6292"/>
      <c r="AC272" s="6292"/>
      <c r="AD272" s="6292"/>
      <c r="AF272" s="1284"/>
      <c r="AG272" s="1760"/>
      <c r="AH272" s="1760"/>
      <c r="AI272" s="1284"/>
      <c r="AJ272" s="1284"/>
      <c r="AK272" s="1284"/>
      <c r="AL272" s="1284"/>
      <c r="AM272" s="1760"/>
      <c r="AN272" s="1284"/>
      <c r="AO272" s="1284"/>
      <c r="AP272" s="668"/>
      <c r="AQ272" s="1284"/>
      <c r="AR272" s="1284"/>
      <c r="AS272" s="1284"/>
      <c r="AT272" s="1284"/>
      <c r="AU272" s="1284"/>
      <c r="AV272" s="1756"/>
      <c r="AW272" s="690"/>
      <c r="AX272" s="690"/>
      <c r="AY272" s="690"/>
      <c r="AZ272" s="690"/>
      <c r="BA272" s="1765">
        <v>11</v>
      </c>
    </row>
    <row s="6292" customFormat="1" customHeight="1" ht="11.549999999999999">
      <c r="A273" s="1111"/>
      <c r="B273" s="1760"/>
      <c r="C273" s="1760"/>
      <c r="D273" s="475"/>
      <c r="J273" s="6292"/>
      <c r="K273" s="6292"/>
      <c r="L273" s="6292"/>
      <c r="M273" s="6292"/>
      <c r="N273" s="6292"/>
      <c r="O273" s="6292"/>
      <c r="P273" s="6292"/>
      <c r="Q273" s="6292"/>
      <c r="R273" s="6292"/>
      <c r="S273" s="6292"/>
      <c r="T273" s="6292"/>
      <c r="U273" s="6292"/>
      <c r="V273" s="6292"/>
      <c r="W273" s="6292"/>
      <c r="X273" s="6292"/>
      <c r="Y273" s="6292"/>
      <c r="Z273" s="6292"/>
      <c r="AA273" s="6292"/>
      <c r="AB273" s="6292"/>
      <c r="AC273" s="6292"/>
      <c r="AD273" s="6292"/>
      <c r="AF273" s="1284"/>
      <c r="AG273" s="1760"/>
      <c r="AH273" s="1760"/>
      <c r="AI273" s="1284"/>
      <c r="AJ273" s="1284"/>
      <c r="AK273" s="1284"/>
      <c r="AL273" s="1284"/>
      <c r="AM273" s="1760"/>
      <c r="AN273" s="1284"/>
      <c r="AO273" s="1284"/>
      <c r="AP273" s="668"/>
      <c r="AQ273" s="1284"/>
      <c r="AR273" s="1284"/>
      <c r="AS273" s="1284"/>
      <c r="AT273" s="1284"/>
      <c r="AU273" s="1284"/>
      <c r="AV273" s="1756"/>
      <c r="AW273" s="690"/>
      <c r="AX273" s="690"/>
      <c r="AY273" s="690"/>
      <c r="AZ273" s="690"/>
      <c r="BA273" s="1765">
        <v>11</v>
      </c>
    </row>
    <row s="6292" customFormat="1" customHeight="1" ht="11.549999999999999">
      <c r="A274" s="1111"/>
      <c r="B274" s="1760"/>
      <c r="C274" s="1760"/>
      <c r="D274" s="475"/>
      <c r="J274" s="6292"/>
      <c r="K274" s="6292"/>
      <c r="L274" s="6292"/>
      <c r="M274" s="6292"/>
      <c r="N274" s="6292"/>
      <c r="O274" s="6292"/>
      <c r="P274" s="6292"/>
      <c r="Q274" s="6292"/>
      <c r="R274" s="6292"/>
      <c r="S274" s="6292"/>
      <c r="T274" s="6292"/>
      <c r="U274" s="6292"/>
      <c r="V274" s="6292"/>
      <c r="W274" s="6292"/>
      <c r="X274" s="6292"/>
      <c r="Y274" s="6292"/>
      <c r="Z274" s="6292"/>
      <c r="AA274" s="6292"/>
      <c r="AB274" s="6292"/>
      <c r="AC274" s="6292"/>
      <c r="AD274" s="6292"/>
      <c r="AF274" s="1284"/>
      <c r="AG274" s="1760"/>
      <c r="AH274" s="1760"/>
      <c r="AI274" s="1284"/>
      <c r="AJ274" s="1284"/>
      <c r="AK274" s="1284"/>
      <c r="AL274" s="1284"/>
      <c r="AM274" s="1760"/>
      <c r="AN274" s="1284"/>
      <c r="AO274" s="1284"/>
      <c r="AP274" s="668"/>
      <c r="AQ274" s="1284"/>
      <c r="AR274" s="1284"/>
      <c r="AS274" s="1284"/>
      <c r="AT274" s="1284"/>
      <c r="AU274" s="1284"/>
      <c r="AV274" s="1756"/>
      <c r="AW274" s="690"/>
      <c r="AX274" s="690"/>
      <c r="AY274" s="690"/>
      <c r="AZ274" s="690"/>
      <c r="BA274" s="1765">
        <v>11</v>
      </c>
    </row>
    <row s="6292" customFormat="1" customHeight="1" ht="11.549999999999999">
      <c r="A275" s="1111"/>
      <c r="B275" s="1760"/>
      <c r="C275" s="1760"/>
      <c r="D275" s="475"/>
      <c r="J275" s="6292"/>
      <c r="K275" s="6292"/>
      <c r="L275" s="6292"/>
      <c r="M275" s="6292"/>
      <c r="N275" s="6292"/>
      <c r="O275" s="6292"/>
      <c r="P275" s="6292"/>
      <c r="Q275" s="6292"/>
      <c r="R275" s="6292"/>
      <c r="S275" s="6292"/>
      <c r="T275" s="6292"/>
      <c r="U275" s="6292"/>
      <c r="V275" s="6292"/>
      <c r="W275" s="6292"/>
      <c r="X275" s="6292"/>
      <c r="Y275" s="6292"/>
      <c r="Z275" s="6292"/>
      <c r="AA275" s="6292"/>
      <c r="AB275" s="6292"/>
      <c r="AC275" s="6292"/>
      <c r="AD275" s="6292"/>
      <c r="AF275" s="1284"/>
      <c r="AG275" s="1760"/>
      <c r="AH275" s="1760"/>
      <c r="AI275" s="1284"/>
      <c r="AJ275" s="1284"/>
      <c r="AK275" s="1284"/>
      <c r="AL275" s="1284"/>
      <c r="AM275" s="1760"/>
      <c r="AN275" s="1284"/>
      <c r="AO275" s="1284"/>
      <c r="AP275" s="668"/>
      <c r="AQ275" s="1284"/>
      <c r="AR275" s="1284"/>
      <c r="AS275" s="1284"/>
      <c r="AT275" s="1284"/>
      <c r="AU275" s="1284"/>
      <c r="AV275" s="1756"/>
      <c r="AW275" s="690"/>
      <c r="AX275" s="690"/>
      <c r="AY275" s="690"/>
      <c r="AZ275" s="690"/>
      <c r="BA275" s="1765">
        <v>11</v>
      </c>
    </row>
    <row s="6292" customFormat="1" customHeight="1" ht="11.549999999999999">
      <c r="A276" s="1111"/>
      <c r="B276" s="1760"/>
      <c r="C276" s="1760"/>
      <c r="D276" s="475"/>
      <c r="J276" s="6292"/>
      <c r="K276" s="6292"/>
      <c r="L276" s="6292"/>
      <c r="M276" s="6292"/>
      <c r="N276" s="6292"/>
      <c r="O276" s="6292"/>
      <c r="P276" s="6292"/>
      <c r="Q276" s="6292"/>
      <c r="R276" s="6292"/>
      <c r="S276" s="6292"/>
      <c r="T276" s="6292"/>
      <c r="U276" s="6292"/>
      <c r="V276" s="6292"/>
      <c r="W276" s="6292"/>
      <c r="X276" s="6292"/>
      <c r="Y276" s="6292"/>
      <c r="Z276" s="6292"/>
      <c r="AA276" s="6292"/>
      <c r="AB276" s="6292"/>
      <c r="AC276" s="6292"/>
      <c r="AD276" s="6292"/>
      <c r="AF276" s="1284"/>
      <c r="AG276" s="1760"/>
      <c r="AH276" s="1760"/>
      <c r="AI276" s="1284"/>
      <c r="AJ276" s="1284"/>
      <c r="AK276" s="1284"/>
      <c r="AL276" s="1284"/>
      <c r="AM276" s="1760"/>
      <c r="AN276" s="1284"/>
      <c r="AO276" s="1284"/>
      <c r="AP276" s="668"/>
      <c r="AQ276" s="1284"/>
      <c r="AR276" s="1284"/>
      <c r="AS276" s="1284"/>
      <c r="AT276" s="1284"/>
      <c r="AU276" s="1284"/>
      <c r="AV276" s="1756"/>
      <c r="AW276" s="690"/>
      <c r="AX276" s="690"/>
      <c r="AY276" s="690"/>
      <c r="AZ276" s="690"/>
      <c r="BA276" s="1765">
        <v>11</v>
      </c>
    </row>
    <row s="6292" customFormat="1" customHeight="1" ht="11.549999999999999">
      <c r="A277" s="1111"/>
      <c r="B277" s="1760"/>
      <c r="C277" s="1760"/>
      <c r="D277" s="475"/>
      <c r="J277" s="6292"/>
      <c r="K277" s="6292"/>
      <c r="L277" s="6292"/>
      <c r="M277" s="6292"/>
      <c r="N277" s="6292"/>
      <c r="O277" s="6292"/>
      <c r="P277" s="6292"/>
      <c r="Q277" s="6292"/>
      <c r="R277" s="6292"/>
      <c r="S277" s="6292"/>
      <c r="T277" s="6292"/>
      <c r="U277" s="6292"/>
      <c r="V277" s="6292"/>
      <c r="W277" s="6292"/>
      <c r="X277" s="6292"/>
      <c r="Y277" s="6292"/>
      <c r="Z277" s="6292"/>
      <c r="AA277" s="6292"/>
      <c r="AB277" s="6292"/>
      <c r="AC277" s="6292"/>
      <c r="AD277" s="6292"/>
      <c r="AF277" s="1284"/>
      <c r="AG277" s="1760"/>
      <c r="AH277" s="1760"/>
      <c r="AI277" s="1284"/>
      <c r="AJ277" s="1284"/>
      <c r="AK277" s="1284"/>
      <c r="AL277" s="1284"/>
      <c r="AM277" s="1760"/>
      <c r="AN277" s="1284"/>
      <c r="AO277" s="1284"/>
      <c r="AP277" s="668"/>
      <c r="AQ277" s="1284"/>
      <c r="AR277" s="1284"/>
      <c r="AS277" s="1284"/>
      <c r="AT277" s="1284"/>
      <c r="AU277" s="1284"/>
      <c r="AV277" s="1756"/>
      <c r="AW277" s="690"/>
      <c r="AX277" s="690"/>
      <c r="AY277" s="690"/>
      <c r="AZ277" s="690"/>
      <c r="BA277" s="1765">
        <v>11</v>
      </c>
    </row>
    <row s="6292" customFormat="1" customHeight="1" ht="11.549999999999999">
      <c r="A278" s="1111"/>
      <c r="B278" s="1760"/>
      <c r="C278" s="1760"/>
      <c r="D278" s="475"/>
      <c r="J278" s="6292"/>
      <c r="K278" s="6292"/>
      <c r="L278" s="6292"/>
      <c r="M278" s="6292"/>
      <c r="N278" s="6292"/>
      <c r="O278" s="6292"/>
      <c r="P278" s="6292"/>
      <c r="Q278" s="6292"/>
      <c r="R278" s="6292"/>
      <c r="S278" s="6292"/>
      <c r="T278" s="6292"/>
      <c r="U278" s="6292"/>
      <c r="V278" s="6292"/>
      <c r="W278" s="6292"/>
      <c r="X278" s="6292"/>
      <c r="Y278" s="6292"/>
      <c r="Z278" s="6292"/>
      <c r="AA278" s="6292"/>
      <c r="AB278" s="6292"/>
      <c r="AC278" s="6292"/>
      <c r="AD278" s="6292"/>
      <c r="AF278" s="1284"/>
      <c r="AG278" s="1760"/>
      <c r="AH278" s="1760"/>
      <c r="AI278" s="1284"/>
      <c r="AJ278" s="1284"/>
      <c r="AK278" s="1284"/>
      <c r="AL278" s="1284"/>
      <c r="AM278" s="1760"/>
      <c r="AN278" s="1284"/>
      <c r="AO278" s="1284"/>
      <c r="AP278" s="668"/>
      <c r="AQ278" s="1284"/>
      <c r="AR278" s="1284"/>
      <c r="AS278" s="1284"/>
      <c r="AT278" s="1284"/>
      <c r="AU278" s="1284"/>
      <c r="AV278" s="1756"/>
      <c r="AW278" s="690"/>
      <c r="AX278" s="690"/>
      <c r="AY278" s="690"/>
      <c r="AZ278" s="690"/>
      <c r="BA278" s="1765">
        <v>11</v>
      </c>
    </row>
    <row s="6292" customFormat="1" customHeight="1" ht="11.549999999999999">
      <c r="A279" s="1111"/>
      <c r="B279" s="1760"/>
      <c r="C279" s="1760"/>
      <c r="D279" s="475"/>
      <c r="J279" s="6292"/>
      <c r="K279" s="6292"/>
      <c r="L279" s="6292"/>
      <c r="M279" s="6292"/>
      <c r="N279" s="6292"/>
      <c r="O279" s="6292"/>
      <c r="P279" s="6292"/>
      <c r="Q279" s="6292"/>
      <c r="R279" s="6292"/>
      <c r="S279" s="6292"/>
      <c r="T279" s="6292"/>
      <c r="U279" s="6292"/>
      <c r="V279" s="6292"/>
      <c r="W279" s="6292"/>
      <c r="X279" s="6292"/>
      <c r="Y279" s="6292"/>
      <c r="Z279" s="6292"/>
      <c r="AA279" s="6292"/>
      <c r="AB279" s="6292"/>
      <c r="AC279" s="6292"/>
      <c r="AD279" s="6292"/>
      <c r="AF279" s="1284"/>
      <c r="AG279" s="1760"/>
      <c r="AH279" s="1760"/>
      <c r="AI279" s="1284"/>
      <c r="AJ279" s="1284"/>
      <c r="AK279" s="1284"/>
      <c r="AL279" s="1284"/>
      <c r="AM279" s="1760"/>
      <c r="AN279" s="1284"/>
      <c r="AO279" s="1284"/>
      <c r="AP279" s="668"/>
      <c r="AQ279" s="1284"/>
      <c r="AR279" s="1284"/>
      <c r="AS279" s="1284"/>
      <c r="AT279" s="1284"/>
      <c r="AU279" s="1284"/>
      <c r="AV279" s="1756"/>
      <c r="AW279" s="690"/>
      <c r="AX279" s="690"/>
      <c r="AY279" s="690"/>
      <c r="AZ279" s="690"/>
      <c r="BA279" s="1765">
        <v>11</v>
      </c>
    </row>
    <row s="6292" customFormat="1" customHeight="1" ht="11.549999999999999">
      <c r="A280" s="1111"/>
      <c r="B280" s="1760"/>
      <c r="C280" s="1760"/>
      <c r="D280" s="475"/>
      <c r="J280" s="6292"/>
      <c r="K280" s="6292"/>
      <c r="L280" s="6292"/>
      <c r="M280" s="6292"/>
      <c r="N280" s="6292"/>
      <c r="O280" s="6292"/>
      <c r="P280" s="6292"/>
      <c r="Q280" s="6292"/>
      <c r="R280" s="6292"/>
      <c r="S280" s="6292"/>
      <c r="T280" s="6292"/>
      <c r="U280" s="6292"/>
      <c r="V280" s="6292"/>
      <c r="W280" s="6292"/>
      <c r="X280" s="6292"/>
      <c r="Y280" s="6292"/>
      <c r="Z280" s="6292"/>
      <c r="AA280" s="6292"/>
      <c r="AB280" s="6292"/>
      <c r="AC280" s="6292"/>
      <c r="AD280" s="6292"/>
      <c r="AF280" s="1284"/>
      <c r="AG280" s="1760"/>
      <c r="AH280" s="1760"/>
      <c r="AI280" s="1284"/>
      <c r="AJ280" s="1284"/>
      <c r="AK280" s="1284"/>
      <c r="AL280" s="1284"/>
      <c r="AM280" s="1760"/>
      <c r="AN280" s="1284"/>
      <c r="AO280" s="1284"/>
      <c r="AP280" s="668"/>
      <c r="AQ280" s="1284"/>
      <c r="AR280" s="1284"/>
      <c r="AS280" s="1284"/>
      <c r="AT280" s="1284"/>
      <c r="AU280" s="1284"/>
      <c r="AV280" s="1756"/>
      <c r="AW280" s="690"/>
      <c r="AX280" s="690"/>
      <c r="AY280" s="690"/>
      <c r="AZ280" s="690"/>
      <c r="BA280" s="1765">
        <v>11</v>
      </c>
    </row>
    <row s="6292" customFormat="1" customHeight="1" ht="11.549999999999999">
      <c r="A281" s="1111"/>
      <c r="B281" s="1760"/>
      <c r="C281" s="1760"/>
      <c r="D281" s="475"/>
      <c r="J281" s="6292"/>
      <c r="K281" s="6292"/>
      <c r="L281" s="6292"/>
      <c r="M281" s="6292"/>
      <c r="N281" s="6292"/>
      <c r="O281" s="6292"/>
      <c r="P281" s="6292"/>
      <c r="Q281" s="6292"/>
      <c r="R281" s="6292"/>
      <c r="S281" s="6292"/>
      <c r="T281" s="6292"/>
      <c r="U281" s="6292"/>
      <c r="V281" s="6292"/>
      <c r="W281" s="6292"/>
      <c r="X281" s="6292"/>
      <c r="Y281" s="6292"/>
      <c r="Z281" s="6292"/>
      <c r="AA281" s="6292"/>
      <c r="AB281" s="6292"/>
      <c r="AC281" s="6292"/>
      <c r="AD281" s="6292"/>
      <c r="AF281" s="1284"/>
      <c r="AG281" s="1760"/>
      <c r="AH281" s="1760"/>
      <c r="AI281" s="1284"/>
      <c r="AJ281" s="1284"/>
      <c r="AK281" s="1284"/>
      <c r="AL281" s="1284"/>
      <c r="AM281" s="1760"/>
      <c r="AN281" s="1284"/>
      <c r="AO281" s="1284"/>
      <c r="AP281" s="668"/>
      <c r="AQ281" s="1284"/>
      <c r="AR281" s="1284"/>
      <c r="AS281" s="1284"/>
      <c r="AT281" s="1284"/>
      <c r="AU281" s="1284"/>
      <c r="AV281" s="1756"/>
      <c r="AW281" s="690"/>
      <c r="AX281" s="690"/>
      <c r="AY281" s="690"/>
      <c r="AZ281" s="690"/>
      <c r="BA281" s="1765">
        <v>11</v>
      </c>
    </row>
    <row s="6292" customFormat="1" customHeight="1" ht="11.549999999999999">
      <c r="A282" s="1111"/>
      <c r="B282" s="1760"/>
      <c r="C282" s="1760"/>
      <c r="D282" s="475"/>
      <c r="J282" s="6292"/>
      <c r="K282" s="6292"/>
      <c r="L282" s="6292"/>
      <c r="M282" s="6292"/>
      <c r="N282" s="6292"/>
      <c r="O282" s="6292"/>
      <c r="P282" s="6292"/>
      <c r="Q282" s="6292"/>
      <c r="R282" s="6292"/>
      <c r="S282" s="6292"/>
      <c r="T282" s="6292"/>
      <c r="U282" s="6292"/>
      <c r="V282" s="6292"/>
      <c r="W282" s="6292"/>
      <c r="X282" s="6292"/>
      <c r="Y282" s="6292"/>
      <c r="Z282" s="6292"/>
      <c r="AA282" s="6292"/>
      <c r="AB282" s="6292"/>
      <c r="AC282" s="6292"/>
      <c r="AD282" s="6292"/>
      <c r="AF282" s="1284"/>
      <c r="AG282" s="1760"/>
      <c r="AH282" s="1760"/>
      <c r="AI282" s="1284"/>
      <c r="AJ282" s="1284"/>
      <c r="AK282" s="1284"/>
      <c r="AL282" s="1284"/>
      <c r="AM282" s="1760"/>
      <c r="AN282" s="1284"/>
      <c r="AO282" s="1284"/>
      <c r="AP282" s="668"/>
      <c r="AQ282" s="1284"/>
      <c r="AR282" s="1284"/>
      <c r="AS282" s="1284"/>
      <c r="AT282" s="1284"/>
      <c r="AU282" s="1284"/>
      <c r="AV282" s="1756"/>
      <c r="AW282" s="690"/>
      <c r="AX282" s="690"/>
      <c r="AY282" s="690"/>
      <c r="AZ282" s="690"/>
      <c r="BA282" s="1765">
        <v>11</v>
      </c>
    </row>
    <row s="6292" customFormat="1" customHeight="1" ht="11.549999999999999">
      <c r="A283" s="1111"/>
      <c r="B283" s="1760"/>
      <c r="C283" s="1760"/>
      <c r="D283" s="475"/>
      <c r="J283" s="6292"/>
      <c r="K283" s="6292"/>
      <c r="L283" s="6292"/>
      <c r="M283" s="6292"/>
      <c r="N283" s="6292"/>
      <c r="O283" s="6292"/>
      <c r="P283" s="6292"/>
      <c r="Q283" s="6292"/>
      <c r="R283" s="6292"/>
      <c r="S283" s="6292"/>
      <c r="T283" s="6292"/>
      <c r="U283" s="6292"/>
      <c r="V283" s="6292"/>
      <c r="W283" s="6292"/>
      <c r="X283" s="6292"/>
      <c r="Y283" s="6292"/>
      <c r="Z283" s="6292"/>
      <c r="AA283" s="6292"/>
      <c r="AB283" s="6292"/>
      <c r="AC283" s="6292"/>
      <c r="AD283" s="6292"/>
      <c r="AF283" s="1284"/>
      <c r="AG283" s="1760"/>
      <c r="AH283" s="1760"/>
      <c r="AI283" s="1284"/>
      <c r="AJ283" s="1284"/>
      <c r="AK283" s="1284"/>
      <c r="AL283" s="1284"/>
      <c r="AM283" s="1760"/>
      <c r="AN283" s="1284"/>
      <c r="AO283" s="1284"/>
      <c r="AP283" s="668"/>
      <c r="AQ283" s="1284"/>
      <c r="AR283" s="1284"/>
      <c r="AS283" s="1284"/>
      <c r="AT283" s="1284"/>
      <c r="AU283" s="1284"/>
      <c r="AV283" s="1756"/>
      <c r="AW283" s="690"/>
      <c r="AX283" s="690"/>
      <c r="AY283" s="690"/>
      <c r="AZ283" s="690"/>
      <c r="BA283" s="1765">
        <v>11</v>
      </c>
    </row>
    <row s="6292" customFormat="1" customHeight="1" ht="11.549999999999999">
      <c r="A284" s="1111"/>
      <c r="B284" s="1760"/>
      <c r="C284" s="1760"/>
      <c r="D284" s="475"/>
      <c r="J284" s="6292"/>
      <c r="K284" s="6292"/>
      <c r="L284" s="6292"/>
      <c r="M284" s="6292"/>
      <c r="N284" s="6292"/>
      <c r="O284" s="6292"/>
      <c r="P284" s="6292"/>
      <c r="Q284" s="6292"/>
      <c r="R284" s="6292"/>
      <c r="S284" s="6292"/>
      <c r="T284" s="6292"/>
      <c r="U284" s="6292"/>
      <c r="V284" s="6292"/>
      <c r="W284" s="6292"/>
      <c r="X284" s="6292"/>
      <c r="Y284" s="6292"/>
      <c r="Z284" s="6292"/>
      <c r="AA284" s="6292"/>
      <c r="AB284" s="6292"/>
      <c r="AC284" s="6292"/>
      <c r="AD284" s="6292"/>
      <c r="AF284" s="1284"/>
      <c r="AG284" s="1760"/>
      <c r="AH284" s="1760"/>
      <c r="AI284" s="1284"/>
      <c r="AJ284" s="1284"/>
      <c r="AK284" s="1284"/>
      <c r="AL284" s="1284"/>
      <c r="AM284" s="1760"/>
      <c r="AN284" s="1284"/>
      <c r="AO284" s="1284"/>
      <c r="AP284" s="668"/>
      <c r="AQ284" s="1284"/>
      <c r="AR284" s="1284"/>
      <c r="AS284" s="1284"/>
      <c r="AT284" s="1284"/>
      <c r="AU284" s="1284"/>
      <c r="AV284" s="1756"/>
      <c r="AW284" s="690"/>
      <c r="AX284" s="690"/>
      <c r="AY284" s="690"/>
      <c r="AZ284" s="690"/>
      <c r="BA284" s="1765">
        <v>11</v>
      </c>
    </row>
    <row s="6292" customFormat="1" customHeight="1" ht="11.549999999999999">
      <c r="A285" s="1111"/>
      <c r="B285" s="1760"/>
      <c r="C285" s="1760"/>
      <c r="D285" s="475"/>
      <c r="J285" s="6292"/>
      <c r="K285" s="6292"/>
      <c r="L285" s="6292"/>
      <c r="M285" s="6292"/>
      <c r="N285" s="6292"/>
      <c r="O285" s="6292"/>
      <c r="P285" s="6292"/>
      <c r="Q285" s="6292"/>
      <c r="R285" s="6292"/>
      <c r="S285" s="6292"/>
      <c r="T285" s="6292"/>
      <c r="U285" s="6292"/>
      <c r="V285" s="6292"/>
      <c r="W285" s="6292"/>
      <c r="X285" s="6292"/>
      <c r="Y285" s="6292"/>
      <c r="Z285" s="6292"/>
      <c r="AA285" s="6292"/>
      <c r="AB285" s="6292"/>
      <c r="AC285" s="6292"/>
      <c r="AD285" s="6292"/>
      <c r="AF285" s="1284"/>
      <c r="AG285" s="1760"/>
      <c r="AH285" s="1760"/>
      <c r="AI285" s="1284"/>
      <c r="AJ285" s="1284"/>
      <c r="AK285" s="1284"/>
      <c r="AL285" s="1284"/>
      <c r="AM285" s="1760"/>
      <c r="AN285" s="1284"/>
      <c r="AO285" s="1284"/>
      <c r="AP285" s="668"/>
      <c r="AQ285" s="1284"/>
      <c r="AR285" s="1284"/>
      <c r="AS285" s="1284"/>
      <c r="AT285" s="1284"/>
      <c r="AU285" s="1284"/>
      <c r="AV285" s="1756"/>
      <c r="AW285" s="690"/>
      <c r="AX285" s="690"/>
      <c r="AY285" s="690"/>
      <c r="AZ285" s="690"/>
      <c r="BA285" s="1765">
        <v>11</v>
      </c>
    </row>
    <row s="6292" customFormat="1" customHeight="1" ht="11.549999999999999">
      <c r="A286" s="1111"/>
      <c r="B286" s="1760"/>
      <c r="C286" s="1760"/>
      <c r="D286" s="475"/>
      <c r="J286" s="6292"/>
      <c r="K286" s="6292"/>
      <c r="L286" s="6292"/>
      <c r="M286" s="6292"/>
      <c r="N286" s="6292"/>
      <c r="O286" s="6292"/>
      <c r="P286" s="6292"/>
      <c r="Q286" s="6292"/>
      <c r="R286" s="6292"/>
      <c r="S286" s="6292"/>
      <c r="T286" s="6292"/>
      <c r="U286" s="6292"/>
      <c r="V286" s="6292"/>
      <c r="W286" s="6292"/>
      <c r="X286" s="6292"/>
      <c r="Y286" s="6292"/>
      <c r="Z286" s="6292"/>
      <c r="AA286" s="6292"/>
      <c r="AB286" s="6292"/>
      <c r="AC286" s="6292"/>
      <c r="AD286" s="6292"/>
      <c r="AF286" s="1284"/>
      <c r="AG286" s="1760"/>
      <c r="AH286" s="1760"/>
      <c r="AI286" s="1284"/>
      <c r="AJ286" s="1284"/>
      <c r="AK286" s="1284"/>
      <c r="AL286" s="1284"/>
      <c r="AM286" s="1760"/>
      <c r="AN286" s="1284"/>
      <c r="AO286" s="1284"/>
      <c r="AP286" s="668"/>
      <c r="AQ286" s="1284"/>
      <c r="AR286" s="1284"/>
      <c r="AS286" s="1284"/>
      <c r="AT286" s="1284"/>
      <c r="AU286" s="1284"/>
      <c r="AV286" s="1756"/>
      <c r="AW286" s="690"/>
      <c r="AX286" s="690"/>
      <c r="AY286" s="690"/>
      <c r="AZ286" s="690"/>
      <c r="BA286" s="1765">
        <v>11</v>
      </c>
    </row>
    <row s="6292" customFormat="1" customHeight="1" ht="11.549999999999999">
      <c r="A287" s="1111"/>
      <c r="B287" s="1760"/>
      <c r="C287" s="1760"/>
      <c r="D287" s="475"/>
      <c r="J287" s="6292"/>
      <c r="K287" s="6292"/>
      <c r="L287" s="6292"/>
      <c r="M287" s="6292"/>
      <c r="N287" s="6292"/>
      <c r="O287" s="6292"/>
      <c r="P287" s="6292"/>
      <c r="Q287" s="6292"/>
      <c r="R287" s="6292"/>
      <c r="S287" s="6292"/>
      <c r="T287" s="6292"/>
      <c r="U287" s="6292"/>
      <c r="V287" s="6292"/>
      <c r="W287" s="6292"/>
      <c r="X287" s="6292"/>
      <c r="Y287" s="6292"/>
      <c r="Z287" s="6292"/>
      <c r="AA287" s="6292"/>
      <c r="AB287" s="6292"/>
      <c r="AC287" s="6292"/>
      <c r="AD287" s="6292"/>
      <c r="AF287" s="1284"/>
      <c r="AG287" s="1760"/>
      <c r="AH287" s="1760"/>
      <c r="AI287" s="1284"/>
      <c r="AJ287" s="1284"/>
      <c r="AK287" s="1284"/>
      <c r="AL287" s="1284"/>
      <c r="AM287" s="1760"/>
      <c r="AN287" s="1284"/>
      <c r="AO287" s="1284"/>
      <c r="AP287" s="668"/>
      <c r="AQ287" s="1284"/>
      <c r="AR287" s="1284"/>
      <c r="AS287" s="1284"/>
      <c r="AT287" s="1284"/>
      <c r="AU287" s="1284"/>
      <c r="AV287" s="1756"/>
      <c r="AW287" s="690"/>
      <c r="AX287" s="690"/>
      <c r="AY287" s="690"/>
      <c r="AZ287" s="690"/>
      <c r="BA287" s="1765">
        <v>11</v>
      </c>
    </row>
    <row s="6292" customFormat="1" customHeight="1" ht="11.549999999999999">
      <c r="A288" s="1111"/>
      <c r="B288" s="1760"/>
      <c r="C288" s="1760"/>
      <c r="D288" s="475"/>
      <c r="J288" s="6292"/>
      <c r="K288" s="6292"/>
      <c r="L288" s="6292"/>
      <c r="M288" s="6292"/>
      <c r="N288" s="6292"/>
      <c r="O288" s="6292"/>
      <c r="P288" s="6292"/>
      <c r="Q288" s="6292"/>
      <c r="R288" s="6292"/>
      <c r="S288" s="6292"/>
      <c r="T288" s="6292"/>
      <c r="U288" s="6292"/>
      <c r="V288" s="6292"/>
      <c r="W288" s="6292"/>
      <c r="X288" s="6292"/>
      <c r="Y288" s="6292"/>
      <c r="Z288" s="6292"/>
      <c r="AA288" s="6292"/>
      <c r="AB288" s="6292"/>
      <c r="AC288" s="6292"/>
      <c r="AD288" s="6292"/>
      <c r="AF288" s="1284"/>
      <c r="AG288" s="1760"/>
      <c r="AH288" s="1760"/>
      <c r="AI288" s="1284"/>
      <c r="AJ288" s="1284"/>
      <c r="AK288" s="1284"/>
      <c r="AL288" s="1284"/>
      <c r="AM288" s="1760"/>
      <c r="AN288" s="1284"/>
      <c r="AO288" s="1284"/>
      <c r="AP288" s="668"/>
      <c r="AQ288" s="1284"/>
      <c r="AR288" s="1284"/>
      <c r="AS288" s="1284"/>
      <c r="AT288" s="1284"/>
      <c r="AU288" s="1284"/>
      <c r="AV288" s="1756"/>
      <c r="AW288" s="690"/>
      <c r="AX288" s="690"/>
      <c r="AY288" s="690"/>
      <c r="AZ288" s="690"/>
      <c r="BA288" s="1765">
        <v>11</v>
      </c>
    </row>
    <row s="6292" customFormat="1" customHeight="1" ht="11.549999999999999">
      <c r="A289" s="1111"/>
      <c r="B289" s="1760"/>
      <c r="C289" s="1760"/>
      <c r="D289" s="475"/>
      <c r="J289" s="6292"/>
      <c r="K289" s="6292"/>
      <c r="L289" s="6292"/>
      <c r="M289" s="6292"/>
      <c r="N289" s="6292"/>
      <c r="O289" s="6292"/>
      <c r="P289" s="6292"/>
      <c r="Q289" s="6292"/>
      <c r="R289" s="6292"/>
      <c r="S289" s="6292"/>
      <c r="T289" s="6292"/>
      <c r="U289" s="6292"/>
      <c r="V289" s="6292"/>
      <c r="W289" s="6292"/>
      <c r="X289" s="6292"/>
      <c r="Y289" s="6292"/>
      <c r="Z289" s="6292"/>
      <c r="AA289" s="6292"/>
      <c r="AB289" s="6292"/>
      <c r="AC289" s="6292"/>
      <c r="AD289" s="6292"/>
      <c r="AF289" s="1284"/>
      <c r="AG289" s="1760"/>
      <c r="AH289" s="1760"/>
      <c r="AI289" s="1284"/>
      <c r="AJ289" s="1284"/>
      <c r="AK289" s="1284"/>
      <c r="AL289" s="1284"/>
      <c r="AM289" s="1760"/>
      <c r="AN289" s="1284"/>
      <c r="AO289" s="1284"/>
      <c r="AP289" s="668"/>
      <c r="AQ289" s="1284"/>
      <c r="AR289" s="1284"/>
      <c r="AS289" s="1284"/>
      <c r="AT289" s="1284"/>
      <c r="AU289" s="1284"/>
      <c r="AV289" s="1756"/>
      <c r="AW289" s="690"/>
      <c r="AX289" s="690"/>
      <c r="AY289" s="690"/>
      <c r="AZ289" s="690"/>
      <c r="BA289" s="1765">
        <v>11</v>
      </c>
    </row>
    <row s="6292" customFormat="1" customHeight="1" ht="11.549999999999999">
      <c r="A290" s="1111"/>
      <c r="B290" s="1760"/>
      <c r="C290" s="1760"/>
      <c r="D290" s="475"/>
      <c r="J290" s="6292"/>
      <c r="K290" s="6292"/>
      <c r="L290" s="6292"/>
      <c r="M290" s="6292"/>
      <c r="N290" s="6292"/>
      <c r="O290" s="6292"/>
      <c r="P290" s="6292"/>
      <c r="Q290" s="6292"/>
      <c r="R290" s="6292"/>
      <c r="S290" s="6292"/>
      <c r="T290" s="6292"/>
      <c r="U290" s="6292"/>
      <c r="V290" s="6292"/>
      <c r="W290" s="6292"/>
      <c r="X290" s="6292"/>
      <c r="Y290" s="6292"/>
      <c r="Z290" s="6292"/>
      <c r="AA290" s="6292"/>
      <c r="AB290" s="6292"/>
      <c r="AC290" s="6292"/>
      <c r="AD290" s="6292"/>
      <c r="AF290" s="1284"/>
      <c r="AG290" s="1760"/>
      <c r="AH290" s="1760"/>
      <c r="AI290" s="1284"/>
      <c r="AJ290" s="1284"/>
      <c r="AK290" s="1284"/>
      <c r="AL290" s="1284"/>
      <c r="AM290" s="1760"/>
      <c r="AN290" s="1284"/>
      <c r="AO290" s="1284"/>
      <c r="AP290" s="668"/>
      <c r="AQ290" s="1284"/>
      <c r="AR290" s="1284"/>
      <c r="AS290" s="1284"/>
      <c r="AT290" s="1284"/>
      <c r="AU290" s="1284"/>
      <c r="AV290" s="1756"/>
      <c r="AW290" s="690"/>
      <c r="AX290" s="690"/>
      <c r="AY290" s="690"/>
      <c r="AZ290" s="690"/>
      <c r="BA290" s="1765">
        <v>11</v>
      </c>
    </row>
    <row s="6292" customFormat="1" customHeight="1" ht="11.549999999999999">
      <c r="A291" s="1111"/>
      <c r="B291" s="1760"/>
      <c r="C291" s="1760"/>
      <c r="D291" s="475"/>
      <c r="J291" s="6292"/>
      <c r="K291" s="6292"/>
      <c r="L291" s="6292"/>
      <c r="M291" s="6292"/>
      <c r="N291" s="6292"/>
      <c r="O291" s="6292"/>
      <c r="P291" s="6292"/>
      <c r="Q291" s="6292"/>
      <c r="R291" s="6292"/>
      <c r="S291" s="6292"/>
      <c r="T291" s="6292"/>
      <c r="U291" s="6292"/>
      <c r="V291" s="6292"/>
      <c r="W291" s="6292"/>
      <c r="X291" s="6292"/>
      <c r="Y291" s="6292"/>
      <c r="Z291" s="6292"/>
      <c r="AA291" s="6292"/>
      <c r="AB291" s="6292"/>
      <c r="AC291" s="6292"/>
      <c r="AD291" s="6292"/>
      <c r="AF291" s="1284"/>
      <c r="AG291" s="1760"/>
      <c r="AH291" s="1760"/>
      <c r="AI291" s="1284"/>
      <c r="AJ291" s="1284"/>
      <c r="AK291" s="1284"/>
      <c r="AL291" s="1284"/>
      <c r="AM291" s="1760"/>
      <c r="AN291" s="1284"/>
      <c r="AO291" s="1284"/>
      <c r="AP291" s="668"/>
      <c r="AQ291" s="1284"/>
      <c r="AR291" s="1284"/>
      <c r="AS291" s="1284"/>
      <c r="AT291" s="1284"/>
      <c r="AU291" s="1284"/>
      <c r="AV291" s="1756"/>
      <c r="AW291" s="690"/>
      <c r="AX291" s="690"/>
      <c r="AY291" s="690"/>
      <c r="AZ291" s="690"/>
      <c r="BA291" s="1765">
        <v>11</v>
      </c>
    </row>
    <row s="6292" customFormat="1" customHeight="1" ht="11.549999999999999">
      <c r="A292" s="1111"/>
      <c r="B292" s="1760"/>
      <c r="C292" s="1760"/>
      <c r="D292" s="475"/>
      <c r="J292" s="6292"/>
      <c r="K292" s="6292"/>
      <c r="L292" s="6292"/>
      <c r="M292" s="6292"/>
      <c r="N292" s="6292"/>
      <c r="O292" s="6292"/>
      <c r="P292" s="6292"/>
      <c r="Q292" s="6292"/>
      <c r="R292" s="6292"/>
      <c r="S292" s="6292"/>
      <c r="T292" s="6292"/>
      <c r="U292" s="6292"/>
      <c r="V292" s="6292"/>
      <c r="W292" s="6292"/>
      <c r="X292" s="6292"/>
      <c r="Y292" s="6292"/>
      <c r="Z292" s="6292"/>
      <c r="AA292" s="6292"/>
      <c r="AB292" s="6292"/>
      <c r="AC292" s="6292"/>
      <c r="AD292" s="6292"/>
      <c r="AF292" s="1284"/>
      <c r="AG292" s="1760"/>
      <c r="AH292" s="1760"/>
      <c r="AI292" s="1284"/>
      <c r="AJ292" s="1284"/>
      <c r="AK292" s="1284"/>
      <c r="AL292" s="1284"/>
      <c r="AM292" s="1760"/>
      <c r="AN292" s="1284"/>
      <c r="AO292" s="1284"/>
      <c r="AP292" s="668"/>
      <c r="AQ292" s="1284"/>
      <c r="AR292" s="1284"/>
      <c r="AS292" s="1284"/>
      <c r="AT292" s="1284"/>
      <c r="AU292" s="1284"/>
      <c r="AV292" s="1756"/>
      <c r="AW292" s="690"/>
      <c r="AX292" s="690"/>
      <c r="AY292" s="690"/>
      <c r="AZ292" s="690"/>
      <c r="BA292" s="1765">
        <v>11</v>
      </c>
    </row>
    <row s="6292" customFormat="1" customHeight="1" ht="11.549999999999999">
      <c r="A293" s="1111"/>
      <c r="B293" s="1760"/>
      <c r="C293" s="1760"/>
      <c r="D293" s="475"/>
      <c r="J293" s="6292"/>
      <c r="K293" s="6292"/>
      <c r="L293" s="6292"/>
      <c r="M293" s="6292"/>
      <c r="N293" s="6292"/>
      <c r="O293" s="6292"/>
      <c r="P293" s="6292"/>
      <c r="Q293" s="6292"/>
      <c r="R293" s="6292"/>
      <c r="S293" s="6292"/>
      <c r="T293" s="6292"/>
      <c r="U293" s="6292"/>
      <c r="V293" s="6292"/>
      <c r="W293" s="6292"/>
      <c r="X293" s="6292"/>
      <c r="Y293" s="6292"/>
      <c r="Z293" s="6292"/>
      <c r="AA293" s="6292"/>
      <c r="AB293" s="6292"/>
      <c r="AC293" s="6292"/>
      <c r="AD293" s="6292"/>
      <c r="AF293" s="1284"/>
      <c r="AG293" s="1760"/>
      <c r="AH293" s="1760"/>
      <c r="AI293" s="1284"/>
      <c r="AJ293" s="1284"/>
      <c r="AK293" s="1284"/>
      <c r="AL293" s="1284"/>
      <c r="AM293" s="1760"/>
      <c r="AN293" s="1284"/>
      <c r="AO293" s="1284"/>
      <c r="AP293" s="668"/>
      <c r="AQ293" s="1284"/>
      <c r="AR293" s="1284"/>
      <c r="AS293" s="1284"/>
      <c r="AT293" s="1284"/>
      <c r="AU293" s="1284"/>
      <c r="AV293" s="1756"/>
      <c r="AW293" s="690"/>
      <c r="AX293" s="690"/>
      <c r="AY293" s="690"/>
      <c r="AZ293" s="690"/>
      <c r="BA293" s="1765">
        <v>11</v>
      </c>
    </row>
    <row s="6292" customFormat="1" customHeight="1" ht="11.549999999999999">
      <c r="A294" s="1111"/>
      <c r="B294" s="1760"/>
      <c r="C294" s="1760"/>
      <c r="D294" s="475"/>
      <c r="J294" s="6292"/>
      <c r="K294" s="6292"/>
      <c r="L294" s="6292"/>
      <c r="M294" s="6292"/>
      <c r="N294" s="6292"/>
      <c r="O294" s="6292"/>
      <c r="P294" s="6292"/>
      <c r="Q294" s="6292"/>
      <c r="R294" s="6292"/>
      <c r="S294" s="6292"/>
      <c r="T294" s="6292"/>
      <c r="U294" s="6292"/>
      <c r="V294" s="6292"/>
      <c r="W294" s="6292"/>
      <c r="X294" s="6292"/>
      <c r="Y294" s="6292"/>
      <c r="Z294" s="6292"/>
      <c r="AA294" s="6292"/>
      <c r="AB294" s="6292"/>
      <c r="AC294" s="6292"/>
      <c r="AD294" s="6292"/>
      <c r="AF294" s="1284"/>
      <c r="AG294" s="1760"/>
      <c r="AH294" s="1760"/>
      <c r="AI294" s="1284"/>
      <c r="AJ294" s="1284"/>
      <c r="AK294" s="1284"/>
      <c r="AL294" s="1284"/>
      <c r="AM294" s="1760"/>
      <c r="AN294" s="1284"/>
      <c r="AO294" s="1284"/>
      <c r="AP294" s="668"/>
      <c r="AQ294" s="1284"/>
      <c r="AR294" s="1284"/>
      <c r="AS294" s="1284"/>
      <c r="AT294" s="1284"/>
      <c r="AU294" s="1284"/>
      <c r="AV294" s="1756"/>
      <c r="AW294" s="690"/>
      <c r="AX294" s="690"/>
      <c r="AY294" s="690"/>
      <c r="AZ294" s="690"/>
      <c r="BA294" s="1765">
        <v>11</v>
      </c>
    </row>
    <row s="6292" customFormat="1" customHeight="1" ht="11.549999999999999">
      <c r="A295" s="1111"/>
      <c r="B295" s="1760"/>
      <c r="C295" s="1760"/>
      <c r="D295" s="475"/>
      <c r="J295" s="6292"/>
      <c r="K295" s="6292"/>
      <c r="L295" s="6292"/>
      <c r="M295" s="6292"/>
      <c r="N295" s="6292"/>
      <c r="O295" s="6292"/>
      <c r="P295" s="6292"/>
      <c r="Q295" s="6292"/>
      <c r="R295" s="6292"/>
      <c r="S295" s="6292"/>
      <c r="T295" s="6292"/>
      <c r="U295" s="6292"/>
      <c r="V295" s="6292"/>
      <c r="W295" s="6292"/>
      <c r="X295" s="6292"/>
      <c r="Y295" s="6292"/>
      <c r="Z295" s="6292"/>
      <c r="AA295" s="6292"/>
      <c r="AB295" s="6292"/>
      <c r="AC295" s="6292"/>
      <c r="AD295" s="6292"/>
      <c r="AF295" s="1284"/>
      <c r="AG295" s="1760"/>
      <c r="AH295" s="1760"/>
      <c r="AI295" s="1284"/>
      <c r="AJ295" s="1284"/>
      <c r="AK295" s="1284"/>
      <c r="AL295" s="1284"/>
      <c r="AM295" s="1760"/>
      <c r="AN295" s="1284"/>
      <c r="AO295" s="1284"/>
      <c r="AP295" s="668"/>
      <c r="AQ295" s="1284"/>
      <c r="AR295" s="1284"/>
      <c r="AS295" s="1284"/>
      <c r="AT295" s="1284"/>
      <c r="AU295" s="1284"/>
      <c r="AV295" s="1756"/>
      <c r="AW295" s="690"/>
      <c r="AX295" s="690"/>
      <c r="AY295" s="690"/>
      <c r="AZ295" s="690"/>
      <c r="BA295" s="1765">
        <v>11</v>
      </c>
    </row>
    <row s="6292" customFormat="1" customHeight="1" ht="11.549999999999999">
      <c r="A296" s="1111"/>
      <c r="B296" s="1760"/>
      <c r="C296" s="1760"/>
      <c r="D296" s="475"/>
      <c r="J296" s="6292"/>
      <c r="K296" s="6292"/>
      <c r="L296" s="6292"/>
      <c r="M296" s="6292"/>
      <c r="N296" s="6292"/>
      <c r="O296" s="6292"/>
      <c r="P296" s="6292"/>
      <c r="Q296" s="6292"/>
      <c r="R296" s="6292"/>
      <c r="S296" s="6292"/>
      <c r="T296" s="6292"/>
      <c r="U296" s="6292"/>
      <c r="V296" s="6292"/>
      <c r="W296" s="6292"/>
      <c r="X296" s="6292"/>
      <c r="Y296" s="6292"/>
      <c r="Z296" s="6292"/>
      <c r="AA296" s="6292"/>
      <c r="AB296" s="6292"/>
      <c r="AC296" s="6292"/>
      <c r="AD296" s="6292"/>
      <c r="AF296" s="1284"/>
      <c r="AG296" s="1760"/>
      <c r="AH296" s="1760"/>
      <c r="AI296" s="1284"/>
      <c r="AJ296" s="1284"/>
      <c r="AK296" s="1284"/>
      <c r="AL296" s="1284"/>
      <c r="AM296" s="1760"/>
      <c r="AN296" s="1284"/>
      <c r="AO296" s="1284"/>
      <c r="AP296" s="668"/>
      <c r="AQ296" s="1284"/>
      <c r="AR296" s="1284"/>
      <c r="AS296" s="1284"/>
      <c r="AT296" s="1284"/>
      <c r="AU296" s="1284"/>
      <c r="AV296" s="1756"/>
      <c r="AW296" s="690"/>
      <c r="AX296" s="690"/>
      <c r="AY296" s="690"/>
      <c r="AZ296" s="690"/>
      <c r="BA296" s="1765">
        <v>11</v>
      </c>
    </row>
    <row s="6292" customFormat="1" customHeight="1" ht="11.549999999999999">
      <c r="A297" s="1111"/>
      <c r="B297" s="1760"/>
      <c r="C297" s="1760"/>
      <c r="D297" s="475"/>
      <c r="J297" s="6292"/>
      <c r="K297" s="6292"/>
      <c r="L297" s="6292"/>
      <c r="M297" s="6292"/>
      <c r="N297" s="6292"/>
      <c r="O297" s="6292"/>
      <c r="P297" s="6292"/>
      <c r="Q297" s="6292"/>
      <c r="R297" s="6292"/>
      <c r="S297" s="6292"/>
      <c r="T297" s="6292"/>
      <c r="U297" s="6292"/>
      <c r="V297" s="6292"/>
      <c r="W297" s="6292"/>
      <c r="X297" s="6292"/>
      <c r="Y297" s="6292"/>
      <c r="Z297" s="6292"/>
      <c r="AA297" s="6292"/>
      <c r="AB297" s="6292"/>
      <c r="AC297" s="6292"/>
      <c r="AD297" s="6292"/>
      <c r="AF297" s="1284"/>
      <c r="AG297" s="1760"/>
      <c r="AH297" s="1760"/>
      <c r="AI297" s="1284"/>
      <c r="AJ297" s="1284"/>
      <c r="AK297" s="1284"/>
      <c r="AL297" s="1284"/>
      <c r="AM297" s="1760"/>
      <c r="AN297" s="1284"/>
      <c r="AO297" s="1284"/>
      <c r="AP297" s="668"/>
      <c r="AQ297" s="1284"/>
      <c r="AR297" s="1284"/>
      <c r="AS297" s="1284"/>
      <c r="AT297" s="1284"/>
      <c r="AU297" s="1284"/>
      <c r="AV297" s="1756"/>
      <c r="AW297" s="690"/>
      <c r="AX297" s="690"/>
      <c r="AY297" s="690"/>
      <c r="AZ297" s="690"/>
      <c r="BA297" s="1765">
        <v>11</v>
      </c>
    </row>
    <row s="6292" customFormat="1" customHeight="1" ht="11.549999999999999">
      <c r="A298" s="1111"/>
      <c r="B298" s="1760"/>
      <c r="C298" s="1760"/>
      <c r="D298" s="475"/>
      <c r="J298" s="6292"/>
      <c r="K298" s="6292"/>
      <c r="L298" s="6292"/>
      <c r="M298" s="6292"/>
      <c r="N298" s="6292"/>
      <c r="O298" s="6292"/>
      <c r="P298" s="6292"/>
      <c r="Q298" s="6292"/>
      <c r="R298" s="6292"/>
      <c r="S298" s="6292"/>
      <c r="T298" s="6292"/>
      <c r="U298" s="6292"/>
      <c r="V298" s="6292"/>
      <c r="W298" s="6292"/>
      <c r="X298" s="6292"/>
      <c r="Y298" s="6292"/>
      <c r="Z298" s="6292"/>
      <c r="AA298" s="6292"/>
      <c r="AB298" s="6292"/>
      <c r="AC298" s="6292"/>
      <c r="AD298" s="6292"/>
      <c r="AF298" s="1284"/>
      <c r="AG298" s="1760"/>
      <c r="AH298" s="1760"/>
      <c r="AI298" s="1284"/>
      <c r="AJ298" s="1284"/>
      <c r="AK298" s="1284"/>
      <c r="AL298" s="1284"/>
      <c r="AM298" s="1760"/>
      <c r="AN298" s="1284"/>
      <c r="AO298" s="1284"/>
      <c r="AP298" s="668"/>
      <c r="AQ298" s="1284"/>
      <c r="AR298" s="1284"/>
      <c r="AS298" s="1284"/>
      <c r="AT298" s="1284"/>
      <c r="AU298" s="1284"/>
      <c r="AV298" s="1756"/>
      <c r="AW298" s="690"/>
      <c r="AX298" s="690"/>
      <c r="AY298" s="690"/>
      <c r="AZ298" s="690"/>
      <c r="BA298" s="1765">
        <v>11</v>
      </c>
    </row>
    <row s="6292" customFormat="1" customHeight="1" ht="11.549999999999999">
      <c r="A299" s="1111"/>
      <c r="B299" s="1760"/>
      <c r="C299" s="1760"/>
      <c r="D299" s="475"/>
      <c r="J299" s="6292"/>
      <c r="K299" s="6292"/>
      <c r="L299" s="6292"/>
      <c r="M299" s="6292"/>
      <c r="N299" s="6292"/>
      <c r="O299" s="6292"/>
      <c r="P299" s="6292"/>
      <c r="Q299" s="6292"/>
      <c r="R299" s="6292"/>
      <c r="S299" s="6292"/>
      <c r="T299" s="6292"/>
      <c r="U299" s="6292"/>
      <c r="V299" s="6292"/>
      <c r="W299" s="6292"/>
      <c r="X299" s="6292"/>
      <c r="Y299" s="6292"/>
      <c r="Z299" s="6292"/>
      <c r="AA299" s="6292"/>
      <c r="AB299" s="6292"/>
      <c r="AC299" s="6292"/>
      <c r="AD299" s="6292"/>
      <c r="AF299" s="1284"/>
      <c r="AG299" s="1760"/>
      <c r="AH299" s="1760"/>
      <c r="AI299" s="1284"/>
      <c r="AJ299" s="1284"/>
      <c r="AK299" s="1284"/>
      <c r="AL299" s="1284"/>
      <c r="AM299" s="1760"/>
      <c r="AN299" s="1284"/>
      <c r="AO299" s="1284"/>
      <c r="AP299" s="668"/>
      <c r="AQ299" s="1284"/>
      <c r="AR299" s="1284"/>
      <c r="AS299" s="1284"/>
      <c r="AT299" s="1284"/>
      <c r="AU299" s="1284"/>
      <c r="AV299" s="1756"/>
      <c r="AW299" s="690"/>
      <c r="AX299" s="690"/>
      <c r="AY299" s="690"/>
      <c r="AZ299" s="690"/>
      <c r="BA299" s="1765">
        <v>11</v>
      </c>
    </row>
    <row s="6292" customFormat="1" customHeight="1" ht="11.549999999999999">
      <c r="A300" s="1111"/>
      <c r="B300" s="1760"/>
      <c r="C300" s="1760"/>
      <c r="D300" s="475"/>
      <c r="J300" s="6292"/>
      <c r="K300" s="6292"/>
      <c r="L300" s="6292"/>
      <c r="M300" s="6292"/>
      <c r="N300" s="6292"/>
      <c r="O300" s="6292"/>
      <c r="P300" s="6292"/>
      <c r="Q300" s="6292"/>
      <c r="R300" s="6292"/>
      <c r="S300" s="6292"/>
      <c r="T300" s="6292"/>
      <c r="U300" s="6292"/>
      <c r="V300" s="6292"/>
      <c r="W300" s="6292"/>
      <c r="X300" s="6292"/>
      <c r="Y300" s="6292"/>
      <c r="Z300" s="6292"/>
      <c r="AA300" s="6292"/>
      <c r="AB300" s="6292"/>
      <c r="AC300" s="6292"/>
      <c r="AD300" s="6292"/>
      <c r="AF300" s="1284"/>
      <c r="AG300" s="1760"/>
      <c r="AH300" s="1760"/>
      <c r="AI300" s="1284"/>
      <c r="AJ300" s="1284"/>
      <c r="AK300" s="1284"/>
      <c r="AL300" s="1284"/>
      <c r="AM300" s="1760"/>
      <c r="AN300" s="1284"/>
      <c r="AO300" s="1284"/>
      <c r="AP300" s="668"/>
      <c r="AQ300" s="1284"/>
      <c r="AR300" s="1284"/>
      <c r="AS300" s="1284"/>
      <c r="AT300" s="1284"/>
      <c r="AU300" s="1284"/>
      <c r="AV300" s="1756"/>
      <c r="AW300" s="690"/>
      <c r="AX300" s="690"/>
      <c r="AY300" s="690"/>
      <c r="AZ300" s="690"/>
      <c r="BA300" s="1765">
        <v>11</v>
      </c>
    </row>
    <row s="6292" customFormat="1" customHeight="1" ht="11.549999999999999">
      <c r="A301" s="1111"/>
      <c r="B301" s="1760"/>
      <c r="C301" s="1760"/>
      <c r="D301" s="475"/>
      <c r="J301" s="6292"/>
      <c r="K301" s="6292"/>
      <c r="L301" s="6292"/>
      <c r="M301" s="6292"/>
      <c r="N301" s="6292"/>
      <c r="O301" s="6292"/>
      <c r="P301" s="6292"/>
      <c r="Q301" s="6292"/>
      <c r="R301" s="6292"/>
      <c r="S301" s="6292"/>
      <c r="T301" s="6292"/>
      <c r="U301" s="6292"/>
      <c r="V301" s="6292"/>
      <c r="W301" s="6292"/>
      <c r="X301" s="6292"/>
      <c r="Y301" s="6292"/>
      <c r="Z301" s="6292"/>
      <c r="AA301" s="6292"/>
      <c r="AB301" s="6292"/>
      <c r="AC301" s="6292"/>
      <c r="AD301" s="6292"/>
      <c r="AF301" s="1284"/>
      <c r="AG301" s="1760"/>
      <c r="AH301" s="1760"/>
      <c r="AI301" s="1284"/>
      <c r="AJ301" s="1284"/>
      <c r="AK301" s="1284"/>
      <c r="AL301" s="1284"/>
      <c r="AM301" s="1760"/>
      <c r="AN301" s="1284"/>
      <c r="AO301" s="1284"/>
      <c r="AP301" s="668"/>
      <c r="AQ301" s="1284"/>
      <c r="AR301" s="1284"/>
      <c r="AS301" s="1284"/>
      <c r="AT301" s="1284"/>
      <c r="AU301" s="1284"/>
      <c r="AV301" s="1756"/>
      <c r="AW301" s="690"/>
      <c r="AX301" s="690"/>
      <c r="AY301" s="690"/>
      <c r="AZ301" s="690"/>
      <c r="BA301" s="1765">
        <v>11</v>
      </c>
    </row>
    <row s="6292" customFormat="1" customHeight="1" ht="11.549999999999999">
      <c r="A302" s="1111"/>
      <c r="B302" s="1760"/>
      <c r="C302" s="1760"/>
      <c r="D302" s="475"/>
      <c r="J302" s="6292"/>
      <c r="K302" s="6292"/>
      <c r="L302" s="6292"/>
      <c r="M302" s="6292"/>
      <c r="N302" s="6292"/>
      <c r="O302" s="6292"/>
      <c r="P302" s="6292"/>
      <c r="Q302" s="6292"/>
      <c r="R302" s="6292"/>
      <c r="S302" s="6292"/>
      <c r="T302" s="6292"/>
      <c r="U302" s="6292"/>
      <c r="V302" s="6292"/>
      <c r="W302" s="6292"/>
      <c r="X302" s="6292"/>
      <c r="Y302" s="6292"/>
      <c r="Z302" s="6292"/>
      <c r="AA302" s="6292"/>
      <c r="AB302" s="6292"/>
      <c r="AC302" s="6292"/>
      <c r="AD302" s="6292"/>
      <c r="AF302" s="1284"/>
      <c r="AG302" s="1760"/>
      <c r="AH302" s="1760"/>
      <c r="AI302" s="1284"/>
      <c r="AJ302" s="1284"/>
      <c r="AK302" s="1284"/>
      <c r="AL302" s="1284"/>
      <c r="AM302" s="1760"/>
      <c r="AN302" s="1284"/>
      <c r="AO302" s="1284"/>
      <c r="AP302" s="668"/>
      <c r="AQ302" s="1284"/>
      <c r="AR302" s="1284"/>
      <c r="AS302" s="1284"/>
      <c r="AT302" s="1284"/>
      <c r="AU302" s="1284"/>
      <c r="AV302" s="1756"/>
      <c r="AW302" s="690"/>
      <c r="AX302" s="690"/>
      <c r="AY302" s="690"/>
      <c r="AZ302" s="690"/>
      <c r="BA302" s="1765">
        <v>11</v>
      </c>
    </row>
    <row s="6292" customFormat="1" customHeight="1" ht="11.549999999999999">
      <c r="A303" s="1111"/>
      <c r="B303" s="1760"/>
      <c r="C303" s="1760"/>
      <c r="D303" s="475"/>
      <c r="J303" s="6292"/>
      <c r="K303" s="6292"/>
      <c r="L303" s="6292"/>
      <c r="M303" s="6292"/>
      <c r="N303" s="6292"/>
      <c r="O303" s="6292"/>
      <c r="P303" s="6292"/>
      <c r="Q303" s="6292"/>
      <c r="R303" s="6292"/>
      <c r="S303" s="6292"/>
      <c r="T303" s="6292"/>
      <c r="U303" s="6292"/>
      <c r="V303" s="6292"/>
      <c r="W303" s="6292"/>
      <c r="X303" s="6292"/>
      <c r="Y303" s="6292"/>
      <c r="Z303" s="6292"/>
      <c r="AA303" s="6292"/>
      <c r="AB303" s="6292"/>
      <c r="AC303" s="6292"/>
      <c r="AD303" s="6292"/>
      <c r="AF303" s="1284"/>
      <c r="AG303" s="1760"/>
      <c r="AH303" s="1760"/>
      <c r="AI303" s="1284"/>
      <c r="AJ303" s="1284"/>
      <c r="AK303" s="1284"/>
      <c r="AL303" s="1284"/>
      <c r="AM303" s="1760"/>
      <c r="AN303" s="1284"/>
      <c r="AO303" s="1284"/>
      <c r="AP303" s="668"/>
      <c r="AQ303" s="1284"/>
      <c r="AR303" s="1284"/>
      <c r="AS303" s="1284"/>
      <c r="AT303" s="1284"/>
      <c r="AU303" s="1284"/>
      <c r="AV303" s="1756"/>
      <c r="AW303" s="690"/>
      <c r="AX303" s="690"/>
      <c r="AY303" s="690"/>
      <c r="AZ303" s="690"/>
      <c r="BA303" s="1765">
        <v>11</v>
      </c>
    </row>
    <row s="6292" customFormat="1" customHeight="1" ht="11.549999999999999">
      <c r="A304" s="1111"/>
      <c r="B304" s="1760"/>
      <c r="C304" s="1760"/>
      <c r="D304" s="475"/>
      <c r="J304" s="6292"/>
      <c r="K304" s="6292"/>
      <c r="L304" s="6292"/>
      <c r="M304" s="6292"/>
      <c r="N304" s="6292"/>
      <c r="O304" s="6292"/>
      <c r="P304" s="6292"/>
      <c r="Q304" s="6292"/>
      <c r="R304" s="6292"/>
      <c r="S304" s="6292"/>
      <c r="T304" s="6292"/>
      <c r="U304" s="6292"/>
      <c r="V304" s="6292"/>
      <c r="W304" s="6292"/>
      <c r="X304" s="6292"/>
      <c r="Y304" s="6292"/>
      <c r="Z304" s="6292"/>
      <c r="AA304" s="6292"/>
      <c r="AB304" s="6292"/>
      <c r="AC304" s="6292"/>
      <c r="AD304" s="6292"/>
      <c r="AF304" s="1284"/>
      <c r="AG304" s="1760"/>
      <c r="AH304" s="1760"/>
      <c r="AI304" s="1284"/>
      <c r="AJ304" s="1284"/>
      <c r="AK304" s="1284"/>
      <c r="AL304" s="1284"/>
      <c r="AM304" s="1760"/>
      <c r="AN304" s="1284"/>
      <c r="AO304" s="1284"/>
      <c r="AP304" s="668"/>
      <c r="AQ304" s="1284"/>
      <c r="AR304" s="1284"/>
      <c r="AS304" s="1284"/>
      <c r="AT304" s="1284"/>
      <c r="AU304" s="1284"/>
      <c r="AV304" s="1756"/>
      <c r="AW304" s="690"/>
      <c r="AX304" s="690"/>
      <c r="AY304" s="690"/>
      <c r="AZ304" s="690"/>
      <c r="BA304" s="1765">
        <v>11</v>
      </c>
    </row>
    <row s="6292" customFormat="1" customHeight="1" ht="11.549999999999999">
      <c r="A305" s="1111"/>
      <c r="B305" s="1760"/>
      <c r="C305" s="1760"/>
      <c r="D305" s="475"/>
      <c r="J305" s="6292"/>
      <c r="K305" s="6292"/>
      <c r="L305" s="6292"/>
      <c r="M305" s="6292"/>
      <c r="N305" s="6292"/>
      <c r="O305" s="6292"/>
      <c r="P305" s="6292"/>
      <c r="Q305" s="6292"/>
      <c r="R305" s="6292"/>
      <c r="S305" s="6292"/>
      <c r="T305" s="6292"/>
      <c r="U305" s="6292"/>
      <c r="V305" s="6292"/>
      <c r="W305" s="6292"/>
      <c r="X305" s="6292"/>
      <c r="Y305" s="6292"/>
      <c r="Z305" s="6292"/>
      <c r="AA305" s="6292"/>
      <c r="AB305" s="6292"/>
      <c r="AC305" s="6292"/>
      <c r="AD305" s="6292"/>
      <c r="AF305" s="1284"/>
      <c r="AG305" s="1760"/>
      <c r="AH305" s="1760"/>
      <c r="AI305" s="1284"/>
      <c r="AJ305" s="1284"/>
      <c r="AK305" s="1284"/>
      <c r="AL305" s="1284"/>
      <c r="AM305" s="1760"/>
      <c r="AN305" s="1284"/>
      <c r="AO305" s="1284"/>
      <c r="AP305" s="668"/>
      <c r="AQ305" s="1284"/>
      <c r="AR305" s="1284"/>
      <c r="AS305" s="1284"/>
      <c r="AT305" s="1284"/>
      <c r="AU305" s="1284"/>
      <c r="AV305" s="1756"/>
      <c r="AW305" s="690"/>
      <c r="AX305" s="690"/>
      <c r="AY305" s="690"/>
      <c r="AZ305" s="690"/>
      <c r="BA305" s="1765">
        <v>11</v>
      </c>
    </row>
    <row s="6292" customFormat="1" customHeight="1" ht="11.549999999999999">
      <c r="A306" s="1111"/>
      <c r="B306" s="1760"/>
      <c r="C306" s="1760"/>
      <c r="D306" s="475"/>
      <c r="J306" s="6292"/>
      <c r="K306" s="6292"/>
      <c r="L306" s="6292"/>
      <c r="M306" s="6292"/>
      <c r="N306" s="6292"/>
      <c r="O306" s="6292"/>
      <c r="P306" s="6292"/>
      <c r="Q306" s="6292"/>
      <c r="R306" s="6292"/>
      <c r="S306" s="6292"/>
      <c r="T306" s="6292"/>
      <c r="U306" s="6292"/>
      <c r="V306" s="6292"/>
      <c r="W306" s="6292"/>
      <c r="X306" s="6292"/>
      <c r="Y306" s="6292"/>
      <c r="Z306" s="6292"/>
      <c r="AA306" s="6292"/>
      <c r="AB306" s="6292"/>
      <c r="AC306" s="6292"/>
      <c r="AD306" s="6292"/>
      <c r="AF306" s="1284"/>
      <c r="AG306" s="1760"/>
      <c r="AH306" s="1760"/>
      <c r="AI306" s="1284"/>
      <c r="AJ306" s="1284"/>
      <c r="AK306" s="1284"/>
      <c r="AL306" s="1284"/>
      <c r="AM306" s="1760"/>
      <c r="AN306" s="1284"/>
      <c r="AO306" s="1284"/>
      <c r="AP306" s="668"/>
      <c r="AQ306" s="1284"/>
      <c r="AR306" s="1284"/>
      <c r="AS306" s="1284"/>
      <c r="AT306" s="1284"/>
      <c r="AU306" s="1284"/>
      <c r="AV306" s="1756"/>
      <c r="AW306" s="690"/>
      <c r="AX306" s="690"/>
      <c r="AY306" s="690"/>
      <c r="AZ306" s="690"/>
      <c r="BA306" s="1765">
        <v>11</v>
      </c>
    </row>
    <row s="6292" customFormat="1" customHeight="1" ht="11.549999999999999">
      <c r="A307" s="1111"/>
      <c r="B307" s="1760"/>
      <c r="C307" s="1760"/>
      <c r="D307" s="475"/>
      <c r="J307" s="6292"/>
      <c r="K307" s="6292"/>
      <c r="L307" s="6292"/>
      <c r="M307" s="6292"/>
      <c r="N307" s="6292"/>
      <c r="O307" s="6292"/>
      <c r="P307" s="6292"/>
      <c r="Q307" s="6292"/>
      <c r="R307" s="6292"/>
      <c r="S307" s="6292"/>
      <c r="T307" s="6292"/>
      <c r="U307" s="6292"/>
      <c r="V307" s="6292"/>
      <c r="W307" s="6292"/>
      <c r="X307" s="6292"/>
      <c r="Y307" s="6292"/>
      <c r="Z307" s="6292"/>
      <c r="AA307" s="6292"/>
      <c r="AB307" s="6292"/>
      <c r="AC307" s="6292"/>
      <c r="AD307" s="6292"/>
      <c r="AF307" s="1284"/>
      <c r="AG307" s="1760"/>
      <c r="AH307" s="1760"/>
      <c r="AI307" s="1284"/>
      <c r="AJ307" s="1284"/>
      <c r="AK307" s="1284"/>
      <c r="AL307" s="1284"/>
      <c r="AM307" s="1760"/>
      <c r="AN307" s="1284"/>
      <c r="AO307" s="1284"/>
      <c r="AP307" s="668"/>
      <c r="AQ307" s="1284"/>
      <c r="AR307" s="1284"/>
      <c r="AS307" s="1284"/>
      <c r="AT307" s="1284"/>
      <c r="AU307" s="1284"/>
      <c r="AV307" s="1756"/>
      <c r="AW307" s="690"/>
      <c r="AX307" s="690"/>
      <c r="AY307" s="690"/>
      <c r="AZ307" s="690"/>
      <c r="BA307" s="1765">
        <v>11</v>
      </c>
    </row>
    <row s="6292" customFormat="1" customHeight="1" ht="11.549999999999999">
      <c r="A308" s="1111"/>
      <c r="B308" s="1760"/>
      <c r="C308" s="1760"/>
      <c r="D308" s="475"/>
      <c r="J308" s="6292"/>
      <c r="K308" s="6292"/>
      <c r="L308" s="6292"/>
      <c r="M308" s="6292"/>
      <c r="N308" s="6292"/>
      <c r="O308" s="6292"/>
      <c r="P308" s="6292"/>
      <c r="Q308" s="6292"/>
      <c r="R308" s="6292"/>
      <c r="S308" s="6292"/>
      <c r="T308" s="6292"/>
      <c r="U308" s="6292"/>
      <c r="V308" s="6292"/>
      <c r="W308" s="6292"/>
      <c r="X308" s="6292"/>
      <c r="Y308" s="6292"/>
      <c r="Z308" s="6292"/>
      <c r="AA308" s="6292"/>
      <c r="AB308" s="6292"/>
      <c r="AC308" s="6292"/>
      <c r="AD308" s="6292"/>
      <c r="AF308" s="1284"/>
      <c r="AG308" s="1760"/>
      <c r="AH308" s="1760"/>
      <c r="AI308" s="1284"/>
      <c r="AJ308" s="1284"/>
      <c r="AK308" s="1284"/>
      <c r="AL308" s="1284"/>
      <c r="AM308" s="1760"/>
      <c r="AN308" s="1284"/>
      <c r="AO308" s="1284"/>
      <c r="AP308" s="668"/>
      <c r="AQ308" s="1284"/>
      <c r="AR308" s="1284"/>
      <c r="AS308" s="1284"/>
      <c r="AT308" s="1284"/>
      <c r="AU308" s="1284"/>
      <c r="AV308" s="1756"/>
      <c r="AW308" s="690"/>
      <c r="AX308" s="690"/>
      <c r="AY308" s="690"/>
      <c r="AZ308" s="690"/>
      <c r="BA308" s="1765">
        <v>11</v>
      </c>
    </row>
    <row s="6292" customFormat="1" customHeight="1" ht="11.549999999999999">
      <c r="A309" s="1111"/>
      <c r="B309" s="1760"/>
      <c r="C309" s="1760"/>
      <c r="D309" s="475"/>
      <c r="J309" s="6292"/>
      <c r="K309" s="6292"/>
      <c r="L309" s="6292"/>
      <c r="M309" s="6292"/>
      <c r="N309" s="6292"/>
      <c r="O309" s="6292"/>
      <c r="P309" s="6292"/>
      <c r="Q309" s="6292"/>
      <c r="R309" s="6292"/>
      <c r="S309" s="6292"/>
      <c r="T309" s="6292"/>
      <c r="U309" s="6292"/>
      <c r="V309" s="6292"/>
      <c r="W309" s="6292"/>
      <c r="X309" s="6292"/>
      <c r="Y309" s="6292"/>
      <c r="Z309" s="6292"/>
      <c r="AA309" s="6292"/>
      <c r="AB309" s="6292"/>
      <c r="AC309" s="6292"/>
      <c r="AD309" s="6292"/>
      <c r="AF309" s="1284"/>
      <c r="AG309" s="1760"/>
      <c r="AH309" s="1760"/>
      <c r="AI309" s="1284"/>
      <c r="AJ309" s="1284"/>
      <c r="AK309" s="1284"/>
      <c r="AL309" s="1284"/>
      <c r="AM309" s="1760"/>
      <c r="AN309" s="1284"/>
      <c r="AO309" s="1284"/>
      <c r="AP309" s="668"/>
      <c r="AQ309" s="1284"/>
      <c r="AR309" s="1284"/>
      <c r="AS309" s="1284"/>
      <c r="AT309" s="1284"/>
      <c r="AU309" s="1284"/>
      <c r="AV309" s="1756"/>
      <c r="AW309" s="690"/>
      <c r="AX309" s="690"/>
      <c r="AY309" s="690"/>
      <c r="AZ309" s="690"/>
      <c r="BA309" s="1765">
        <v>11</v>
      </c>
    </row>
    <row s="6292" customFormat="1" customHeight="1" ht="11.549999999999999">
      <c r="A310" s="1111"/>
      <c r="B310" s="1760"/>
      <c r="C310" s="1760"/>
      <c r="D310" s="475"/>
      <c r="J310" s="6292"/>
      <c r="K310" s="6292"/>
      <c r="L310" s="6292"/>
      <c r="M310" s="6292"/>
      <c r="N310" s="6292"/>
      <c r="O310" s="6292"/>
      <c r="P310" s="6292"/>
      <c r="Q310" s="6292"/>
      <c r="R310" s="6292"/>
      <c r="S310" s="6292"/>
      <c r="T310" s="6292"/>
      <c r="U310" s="6292"/>
      <c r="V310" s="6292"/>
      <c r="W310" s="6292"/>
      <c r="X310" s="6292"/>
      <c r="Y310" s="6292"/>
      <c r="Z310" s="6292"/>
      <c r="AA310" s="6292"/>
      <c r="AB310" s="6292"/>
      <c r="AC310" s="6292"/>
      <c r="AD310" s="6292"/>
      <c r="AF310" s="1284"/>
      <c r="AG310" s="1760"/>
      <c r="AH310" s="1760"/>
      <c r="AI310" s="1284"/>
      <c r="AJ310" s="1284"/>
      <c r="AK310" s="1284"/>
      <c r="AL310" s="1284"/>
      <c r="AM310" s="1760"/>
      <c r="AN310" s="1284"/>
      <c r="AO310" s="1284"/>
      <c r="AP310" s="668"/>
      <c r="AQ310" s="1284"/>
      <c r="AR310" s="1284"/>
      <c r="AS310" s="1284"/>
      <c r="AT310" s="1284"/>
      <c r="AU310" s="1284"/>
      <c r="AV310" s="1756"/>
      <c r="AW310" s="690"/>
      <c r="AX310" s="690"/>
      <c r="AY310" s="690"/>
      <c r="AZ310" s="690"/>
      <c r="BA310" s="1765">
        <v>11</v>
      </c>
    </row>
    <row s="6292" customFormat="1" customHeight="1" ht="11.549999999999999">
      <c r="A311" s="1111"/>
      <c r="B311" s="1760"/>
      <c r="C311" s="1760"/>
      <c r="D311" s="475"/>
      <c r="J311" s="6292"/>
      <c r="K311" s="6292"/>
      <c r="L311" s="6292"/>
      <c r="M311" s="6292"/>
      <c r="N311" s="6292"/>
      <c r="O311" s="6292"/>
      <c r="P311" s="6292"/>
      <c r="Q311" s="6292"/>
      <c r="R311" s="6292"/>
      <c r="S311" s="6292"/>
      <c r="T311" s="6292"/>
      <c r="U311" s="6292"/>
      <c r="V311" s="6292"/>
      <c r="W311" s="6292"/>
      <c r="X311" s="6292"/>
      <c r="Y311" s="6292"/>
      <c r="Z311" s="6292"/>
      <c r="AA311" s="6292"/>
      <c r="AB311" s="6292"/>
      <c r="AC311" s="6292"/>
      <c r="AD311" s="6292"/>
      <c r="AF311" s="1284"/>
      <c r="AG311" s="1760"/>
      <c r="AH311" s="1760"/>
      <c r="AI311" s="1284"/>
      <c r="AJ311" s="1284"/>
      <c r="AK311" s="1284"/>
      <c r="AL311" s="1284"/>
      <c r="AM311" s="1760"/>
      <c r="AN311" s="1284"/>
      <c r="AO311" s="1284"/>
      <c r="AP311" s="668"/>
      <c r="AQ311" s="1284"/>
      <c r="AR311" s="1284"/>
      <c r="AS311" s="1284"/>
      <c r="AT311" s="1284"/>
      <c r="AU311" s="1284"/>
      <c r="AV311" s="1756"/>
      <c r="AW311" s="690"/>
      <c r="AX311" s="690"/>
      <c r="AY311" s="690"/>
      <c r="AZ311" s="690"/>
      <c r="BA311" s="1765">
        <v>11</v>
      </c>
    </row>
    <row s="6292" customFormat="1" customHeight="1" ht="11.549999999999999">
      <c r="A312" s="1111"/>
      <c r="B312" s="1760"/>
      <c r="C312" s="1760"/>
      <c r="D312" s="475"/>
      <c r="J312" s="6292"/>
      <c r="K312" s="6292"/>
      <c r="L312" s="6292"/>
      <c r="M312" s="6292"/>
      <c r="N312" s="6292"/>
      <c r="O312" s="6292"/>
      <c r="P312" s="6292"/>
      <c r="Q312" s="6292"/>
      <c r="R312" s="6292"/>
      <c r="S312" s="6292"/>
      <c r="T312" s="6292"/>
      <c r="U312" s="6292"/>
      <c r="V312" s="6292"/>
      <c r="W312" s="6292"/>
      <c r="X312" s="6292"/>
      <c r="Y312" s="6292"/>
      <c r="Z312" s="6292"/>
      <c r="AA312" s="6292"/>
      <c r="AB312" s="6292"/>
      <c r="AC312" s="6292"/>
      <c r="AD312" s="6292"/>
      <c r="AF312" s="1284"/>
      <c r="AG312" s="1760"/>
      <c r="AH312" s="1760"/>
      <c r="AI312" s="1284"/>
      <c r="AJ312" s="1284"/>
      <c r="AK312" s="1284"/>
      <c r="AL312" s="1284"/>
      <c r="AM312" s="1760"/>
      <c r="AN312" s="1284"/>
      <c r="AO312" s="1284"/>
      <c r="AP312" s="668"/>
      <c r="AQ312" s="1284"/>
      <c r="AR312" s="1284"/>
      <c r="AS312" s="1284"/>
      <c r="AT312" s="1284"/>
      <c r="AU312" s="1284"/>
      <c r="AV312" s="1756"/>
      <c r="AW312" s="690"/>
      <c r="AX312" s="690"/>
      <c r="AY312" s="690"/>
      <c r="AZ312" s="690"/>
      <c r="BA312" s="1765">
        <v>11</v>
      </c>
    </row>
    <row s="6292" customFormat="1" customHeight="1" ht="11.549999999999999">
      <c r="A313" s="1111"/>
      <c r="B313" s="1760"/>
      <c r="C313" s="1760"/>
      <c r="D313" s="475"/>
      <c r="J313" s="6292"/>
      <c r="K313" s="6292"/>
      <c r="L313" s="6292"/>
      <c r="M313" s="6292"/>
      <c r="N313" s="6292"/>
      <c r="O313" s="6292"/>
      <c r="P313" s="6292"/>
      <c r="Q313" s="6292"/>
      <c r="R313" s="6292"/>
      <c r="S313" s="6292"/>
      <c r="T313" s="6292"/>
      <c r="U313" s="6292"/>
      <c r="V313" s="6292"/>
      <c r="W313" s="6292"/>
      <c r="X313" s="6292"/>
      <c r="Y313" s="6292"/>
      <c r="Z313" s="6292"/>
      <c r="AA313" s="6292"/>
      <c r="AB313" s="6292"/>
      <c r="AC313" s="6292"/>
      <c r="AD313" s="6292"/>
      <c r="AF313" s="1284"/>
      <c r="AG313" s="1760"/>
      <c r="AH313" s="1760"/>
      <c r="AI313" s="1284"/>
      <c r="AJ313" s="1284"/>
      <c r="AK313" s="1284"/>
      <c r="AL313" s="1284"/>
      <c r="AM313" s="1760"/>
      <c r="AN313" s="1284"/>
      <c r="AO313" s="1284"/>
      <c r="AP313" s="668"/>
      <c r="AQ313" s="1284"/>
      <c r="AR313" s="1284"/>
      <c r="AS313" s="1284"/>
      <c r="AT313" s="1284"/>
      <c r="AU313" s="1284"/>
      <c r="AV313" s="1756"/>
      <c r="AW313" s="690"/>
      <c r="AX313" s="690"/>
      <c r="AY313" s="690"/>
      <c r="AZ313" s="690"/>
      <c r="BA313" s="1765">
        <v>11</v>
      </c>
    </row>
    <row s="6292" customFormat="1" customHeight="1" ht="11.549999999999999">
      <c r="A314" s="1111"/>
      <c r="B314" s="1760"/>
      <c r="C314" s="1760"/>
      <c r="D314" s="475"/>
      <c r="J314" s="6292"/>
      <c r="K314" s="6292"/>
      <c r="L314" s="6292"/>
      <c r="M314" s="6292"/>
      <c r="N314" s="6292"/>
      <c r="O314" s="6292"/>
      <c r="P314" s="6292"/>
      <c r="Q314" s="6292"/>
      <c r="R314" s="6292"/>
      <c r="S314" s="6292"/>
      <c r="T314" s="6292"/>
      <c r="U314" s="6292"/>
      <c r="V314" s="6292"/>
      <c r="W314" s="6292"/>
      <c r="X314" s="6292"/>
      <c r="Y314" s="6292"/>
      <c r="Z314" s="6292"/>
      <c r="AA314" s="6292"/>
      <c r="AB314" s="6292"/>
      <c r="AC314" s="6292"/>
      <c r="AD314" s="6292"/>
      <c r="AF314" s="1284"/>
      <c r="AG314" s="1760"/>
      <c r="AH314" s="1760"/>
      <c r="AI314" s="1284"/>
      <c r="AJ314" s="1284"/>
      <c r="AK314" s="1284"/>
      <c r="AL314" s="1284"/>
      <c r="AM314" s="1760"/>
      <c r="AN314" s="1284"/>
      <c r="AO314" s="1284"/>
      <c r="AP314" s="668"/>
      <c r="AQ314" s="1284"/>
      <c r="AR314" s="1284"/>
      <c r="AS314" s="1284"/>
      <c r="AT314" s="1284"/>
      <c r="AU314" s="1284"/>
      <c r="AV314" s="1756"/>
      <c r="AW314" s="690"/>
      <c r="AX314" s="690"/>
      <c r="AY314" s="690"/>
      <c r="AZ314" s="690"/>
      <c r="BA314" s="1765">
        <v>11</v>
      </c>
    </row>
    <row s="6292" customFormat="1" customHeight="1" ht="11.549999999999999">
      <c r="A315" s="1111"/>
      <c r="B315" s="1760"/>
      <c r="C315" s="1760"/>
      <c r="D315" s="475"/>
      <c r="J315" s="6292"/>
      <c r="K315" s="6292"/>
      <c r="L315" s="6292"/>
      <c r="M315" s="6292"/>
      <c r="N315" s="6292"/>
      <c r="O315" s="6292"/>
      <c r="P315" s="6292"/>
      <c r="Q315" s="6292"/>
      <c r="R315" s="6292"/>
      <c r="S315" s="6292"/>
      <c r="T315" s="6292"/>
      <c r="U315" s="6292"/>
      <c r="V315" s="6292"/>
      <c r="W315" s="6292"/>
      <c r="X315" s="6292"/>
      <c r="Y315" s="6292"/>
      <c r="Z315" s="6292"/>
      <c r="AA315" s="6292"/>
      <c r="AB315" s="6292"/>
      <c r="AC315" s="6292"/>
      <c r="AD315" s="6292"/>
      <c r="AF315" s="1284"/>
      <c r="AG315" s="1760"/>
      <c r="AH315" s="1760"/>
      <c r="AI315" s="1284"/>
      <c r="AJ315" s="1284"/>
      <c r="AK315" s="1284"/>
      <c r="AL315" s="1284"/>
      <c r="AM315" s="1760"/>
      <c r="AN315" s="1284"/>
      <c r="AO315" s="1284"/>
      <c r="AP315" s="668"/>
      <c r="AQ315" s="1284"/>
      <c r="AR315" s="1284"/>
      <c r="AS315" s="1284"/>
      <c r="AT315" s="1284"/>
      <c r="AU315" s="1284"/>
      <c r="AV315" s="1756"/>
      <c r="AW315" s="690"/>
      <c r="AX315" s="690"/>
      <c r="AY315" s="690"/>
      <c r="AZ315" s="690"/>
      <c r="BA315" s="1765">
        <v>11</v>
      </c>
    </row>
    <row s="6292" customFormat="1" customHeight="1" ht="11.549999999999999">
      <c r="A316" s="1111"/>
      <c r="B316" s="1760"/>
      <c r="C316" s="1760"/>
      <c r="D316" s="475"/>
      <c r="J316" s="6292"/>
      <c r="K316" s="6292"/>
      <c r="L316" s="6292"/>
      <c r="M316" s="6292"/>
      <c r="N316" s="6292"/>
      <c r="O316" s="6292"/>
      <c r="P316" s="6292"/>
      <c r="Q316" s="6292"/>
      <c r="R316" s="6292"/>
      <c r="S316" s="6292"/>
      <c r="T316" s="6292"/>
      <c r="U316" s="6292"/>
      <c r="V316" s="6292"/>
      <c r="W316" s="6292"/>
      <c r="X316" s="6292"/>
      <c r="Y316" s="6292"/>
      <c r="Z316" s="6292"/>
      <c r="AA316" s="6292"/>
      <c r="AB316" s="6292"/>
      <c r="AC316" s="6292"/>
      <c r="AD316" s="6292"/>
      <c r="AF316" s="1284"/>
      <c r="AG316" s="1760"/>
      <c r="AH316" s="1760"/>
      <c r="AI316" s="1284"/>
      <c r="AJ316" s="1284"/>
      <c r="AK316" s="1284"/>
      <c r="AL316" s="1284"/>
      <c r="AM316" s="1760"/>
      <c r="AN316" s="1284"/>
      <c r="AO316" s="1284"/>
      <c r="AP316" s="668"/>
      <c r="AQ316" s="1284"/>
      <c r="AR316" s="1284"/>
      <c r="AS316" s="1284"/>
      <c r="AT316" s="1284"/>
      <c r="AU316" s="1284"/>
      <c r="AV316" s="1756"/>
      <c r="AW316" s="690"/>
      <c r="AX316" s="690"/>
      <c r="AY316" s="690"/>
      <c r="AZ316" s="690"/>
      <c r="BA316" s="1765">
        <v>11</v>
      </c>
    </row>
    <row s="6292" customFormat="1" customHeight="1" ht="11.549999999999999">
      <c r="A317" s="1111"/>
      <c r="B317" s="1760"/>
      <c r="C317" s="1760"/>
      <c r="D317" s="475"/>
      <c r="J317" s="6292"/>
      <c r="K317" s="6292"/>
      <c r="L317" s="6292"/>
      <c r="M317" s="6292"/>
      <c r="N317" s="6292"/>
      <c r="O317" s="6292"/>
      <c r="P317" s="6292"/>
      <c r="Q317" s="6292"/>
      <c r="R317" s="6292"/>
      <c r="S317" s="6292"/>
      <c r="T317" s="6292"/>
      <c r="U317" s="6292"/>
      <c r="V317" s="6292"/>
      <c r="W317" s="6292"/>
      <c r="X317" s="6292"/>
      <c r="Y317" s="6292"/>
      <c r="Z317" s="6292"/>
      <c r="AA317" s="6292"/>
      <c r="AB317" s="6292"/>
      <c r="AC317" s="6292"/>
      <c r="AD317" s="6292"/>
      <c r="AF317" s="1284"/>
      <c r="AG317" s="1760"/>
      <c r="AH317" s="1760"/>
      <c r="AI317" s="1284"/>
      <c r="AJ317" s="1284"/>
      <c r="AK317" s="1284"/>
      <c r="AL317" s="1284"/>
      <c r="AM317" s="1760"/>
      <c r="AN317" s="1284"/>
      <c r="AO317" s="1284"/>
      <c r="AP317" s="668"/>
      <c r="AQ317" s="1284"/>
      <c r="AR317" s="1284"/>
      <c r="AS317" s="1284"/>
      <c r="AT317" s="1284"/>
      <c r="AU317" s="1284"/>
      <c r="AV317" s="1756"/>
      <c r="AW317" s="690"/>
      <c r="AX317" s="690"/>
      <c r="AY317" s="690"/>
      <c r="AZ317" s="690"/>
      <c r="BA317" s="1765">
        <v>11</v>
      </c>
    </row>
    <row customHeight="1" ht="11.549999999999999">
      <c r="J318" s="7213"/>
      <c r="K318" s="7213"/>
      <c r="L318" s="7213"/>
      <c r="M318" s="7213"/>
      <c r="N318" s="7213"/>
      <c r="O318" s="7213"/>
      <c r="P318" s="7213"/>
      <c r="Q318" s="7213"/>
      <c r="R318" s="7213"/>
      <c r="S318" s="7213"/>
      <c r="T318" s="7213"/>
      <c r="U318" s="7213"/>
      <c r="V318" s="7213"/>
      <c r="W318" s="7213"/>
      <c r="X318" s="7213"/>
      <c r="Y318" s="7213"/>
      <c r="Z318" s="7213"/>
      <c r="AA318" s="7213"/>
      <c r="AB318" s="7213"/>
      <c r="AC318" s="7213"/>
      <c r="AD318" s="7213"/>
      <c r="BA318" s="1755">
        <v>11</v>
      </c>
    </row>
    <row customHeight="1" ht="11.549999999999999">
      <c r="J319" s="7213"/>
      <c r="K319" s="7213"/>
      <c r="L319" s="7213"/>
      <c r="M319" s="7213"/>
      <c r="N319" s="7213"/>
      <c r="O319" s="7213"/>
      <c r="P319" s="7213"/>
      <c r="Q319" s="7213"/>
      <c r="R319" s="7213"/>
      <c r="S319" s="7213"/>
      <c r="T319" s="7213"/>
      <c r="U319" s="7213"/>
      <c r="V319" s="7213"/>
      <c r="W319" s="7213"/>
      <c r="X319" s="7213"/>
      <c r="Y319" s="7213"/>
      <c r="Z319" s="7213"/>
      <c r="AA319" s="7213"/>
      <c r="AB319" s="7213"/>
      <c r="AC319" s="7213"/>
      <c r="AD319" s="7213"/>
      <c r="BA319" s="1755">
        <v>11</v>
      </c>
    </row>
    <row customHeight="1" ht="11.549999999999999">
      <c r="J320" s="7213"/>
      <c r="K320" s="7213"/>
      <c r="L320" s="7213"/>
      <c r="M320" s="7213"/>
      <c r="N320" s="7213"/>
      <c r="O320" s="7213"/>
      <c r="P320" s="7213"/>
      <c r="Q320" s="7213"/>
      <c r="R320" s="7213"/>
      <c r="S320" s="7213"/>
      <c r="T320" s="7213"/>
      <c r="U320" s="7213"/>
      <c r="V320" s="7213"/>
      <c r="W320" s="7213"/>
      <c r="X320" s="7213"/>
      <c r="Y320" s="7213"/>
      <c r="Z320" s="7213"/>
      <c r="AA320" s="7213"/>
      <c r="AB320" s="7213"/>
      <c r="AC320" s="7213"/>
      <c r="AD320" s="7213"/>
      <c r="BA320" s="1755">
        <v>11</v>
      </c>
    </row>
    <row customHeight="1" ht="11.549999999999999">
      <c r="A321" s="1114"/>
      <c r="B321" s="1755"/>
      <c r="D321" s="1755"/>
      <c r="J321" s="7213"/>
      <c r="K321" s="7213"/>
      <c r="L321" s="7213"/>
      <c r="M321" s="7213"/>
      <c r="N321" s="7213"/>
      <c r="O321" s="7213"/>
      <c r="P321" s="7213"/>
      <c r="Q321" s="7213"/>
      <c r="R321" s="7213"/>
      <c r="S321" s="7213"/>
      <c r="T321" s="7213"/>
      <c r="U321" s="7213"/>
      <c r="V321" s="7213"/>
      <c r="W321" s="7213"/>
      <c r="X321" s="7213"/>
      <c r="Y321" s="7213"/>
      <c r="Z321" s="7213"/>
      <c r="AA321" s="7213"/>
      <c r="AB321" s="7213"/>
      <c r="AC321" s="7213"/>
      <c r="AD321" s="7213"/>
      <c r="AF321" s="1755"/>
      <c r="AI321" s="1755"/>
      <c r="AJ321" s="1755"/>
      <c r="AK321" s="1755"/>
      <c r="AL321" s="1755"/>
      <c r="AN321" s="1755"/>
      <c r="AO321" s="1755"/>
      <c r="AP321" s="1755"/>
      <c r="AQ321" s="1755"/>
      <c r="AR321" s="1755"/>
      <c r="AS321" s="1755"/>
      <c r="AT321" s="1755"/>
      <c r="AU321" s="1755"/>
      <c r="AV321" s="1755"/>
      <c r="AW321" s="1755"/>
      <c r="AX321" s="1755"/>
      <c r="AY321" s="1755"/>
      <c r="AZ321" s="1755"/>
      <c r="BA321" s="1755">
        <v>11</v>
      </c>
    </row>
    <row customHeight="1" ht="11.549999999999999">
      <c r="A322" s="1114"/>
      <c r="B322" s="1755"/>
      <c r="D322" s="1755"/>
      <c r="J322" s="7213"/>
      <c r="K322" s="7213"/>
      <c r="L322" s="7213"/>
      <c r="M322" s="7213"/>
      <c r="N322" s="7213"/>
      <c r="O322" s="7213"/>
      <c r="P322" s="7213"/>
      <c r="Q322" s="7213"/>
      <c r="R322" s="7213"/>
      <c r="S322" s="7213"/>
      <c r="T322" s="7213"/>
      <c r="U322" s="7213"/>
      <c r="V322" s="7213"/>
      <c r="W322" s="7213"/>
      <c r="X322" s="7213"/>
      <c r="Y322" s="7213"/>
      <c r="Z322" s="7213"/>
      <c r="AA322" s="7213"/>
      <c r="AB322" s="7213"/>
      <c r="AC322" s="7213"/>
      <c r="AD322" s="7213"/>
      <c r="AF322" s="1755"/>
      <c r="AI322" s="1755"/>
      <c r="AJ322" s="1755"/>
      <c r="AK322" s="1755"/>
      <c r="AL322" s="1755"/>
      <c r="AN322" s="1755"/>
      <c r="AO322" s="1755"/>
      <c r="AP322" s="1755"/>
      <c r="AQ322" s="1755"/>
      <c r="AR322" s="1755"/>
      <c r="AS322" s="1755"/>
      <c r="AT322" s="1755"/>
      <c r="AU322" s="1755"/>
      <c r="AV322" s="1755"/>
      <c r="AW322" s="1755"/>
      <c r="AX322" s="1755"/>
      <c r="AY322" s="1755"/>
      <c r="AZ322" s="1755"/>
      <c r="BA322" s="1755">
        <v>11</v>
      </c>
    </row>
    <row customHeight="1" ht="11.549999999999999">
      <c r="A323" s="1114"/>
      <c r="B323" s="1755"/>
      <c r="D323" s="1755"/>
      <c r="J323" s="7213"/>
      <c r="K323" s="7213"/>
      <c r="L323" s="7213"/>
      <c r="M323" s="7213"/>
      <c r="N323" s="7213"/>
      <c r="O323" s="7213"/>
      <c r="P323" s="7213"/>
      <c r="Q323" s="7213"/>
      <c r="R323" s="7213"/>
      <c r="S323" s="7213"/>
      <c r="T323" s="7213"/>
      <c r="U323" s="7213"/>
      <c r="V323" s="7213"/>
      <c r="W323" s="7213"/>
      <c r="X323" s="7213"/>
      <c r="Y323" s="7213"/>
      <c r="Z323" s="7213"/>
      <c r="AA323" s="7213"/>
      <c r="AB323" s="7213"/>
      <c r="AC323" s="7213"/>
      <c r="AD323" s="7213"/>
      <c r="AF323" s="1755"/>
      <c r="AI323" s="1755"/>
      <c r="AJ323" s="1755"/>
      <c r="AK323" s="1755"/>
      <c r="AL323" s="1755"/>
      <c r="AN323" s="1755"/>
      <c r="AO323" s="1755"/>
      <c r="AP323" s="1755"/>
      <c r="AQ323" s="1755"/>
      <c r="AR323" s="1755"/>
      <c r="AS323" s="1755"/>
      <c r="AT323" s="1755"/>
      <c r="AU323" s="1755"/>
      <c r="AV323" s="1755"/>
      <c r="AW323" s="1755"/>
      <c r="AX323" s="1755"/>
      <c r="AY323" s="1755"/>
      <c r="AZ323" s="1755"/>
      <c r="BA323" s="1755">
        <v>11</v>
      </c>
    </row>
    <row customHeight="1" ht="11.549999999999999">
      <c r="A324" s="1114"/>
      <c r="B324" s="1755"/>
      <c r="D324" s="1755"/>
      <c r="J324" s="7213"/>
      <c r="K324" s="7213"/>
      <c r="L324" s="7213"/>
      <c r="M324" s="7213"/>
      <c r="N324" s="7213"/>
      <c r="O324" s="7213"/>
      <c r="P324" s="7213"/>
      <c r="Q324" s="7213"/>
      <c r="R324" s="7213"/>
      <c r="S324" s="7213"/>
      <c r="T324" s="7213"/>
      <c r="U324" s="7213"/>
      <c r="V324" s="7213"/>
      <c r="W324" s="7213"/>
      <c r="X324" s="7213"/>
      <c r="Y324" s="7213"/>
      <c r="Z324" s="7213"/>
      <c r="AA324" s="7213"/>
      <c r="AB324" s="7213"/>
      <c r="AC324" s="7213"/>
      <c r="AD324" s="7213"/>
      <c r="AF324" s="1755"/>
      <c r="AI324" s="1755"/>
      <c r="AJ324" s="1755"/>
      <c r="AK324" s="1755"/>
      <c r="AL324" s="1755"/>
      <c r="AN324" s="1755"/>
      <c r="AO324" s="1755"/>
      <c r="AP324" s="1755"/>
      <c r="AQ324" s="1755"/>
      <c r="AR324" s="1755"/>
      <c r="AS324" s="1755"/>
      <c r="AT324" s="1755"/>
      <c r="AU324" s="1755"/>
      <c r="AV324" s="1755"/>
      <c r="AW324" s="1755"/>
      <c r="AX324" s="1755"/>
      <c r="AY324" s="1755"/>
      <c r="AZ324" s="1755"/>
      <c r="BA324" s="1755">
        <v>11</v>
      </c>
    </row>
    <row customHeight="1" ht="11.549999999999999">
      <c r="A325" s="1114"/>
      <c r="B325" s="1755"/>
      <c r="D325" s="1755"/>
      <c r="J325" s="7213"/>
      <c r="K325" s="7213"/>
      <c r="L325" s="7213"/>
      <c r="M325" s="7213"/>
      <c r="N325" s="7213"/>
      <c r="O325" s="7213"/>
      <c r="P325" s="7213"/>
      <c r="Q325" s="7213"/>
      <c r="R325" s="7213"/>
      <c r="S325" s="7213"/>
      <c r="T325" s="7213"/>
      <c r="U325" s="7213"/>
      <c r="V325" s="7213"/>
      <c r="W325" s="7213"/>
      <c r="X325" s="7213"/>
      <c r="Y325" s="7213"/>
      <c r="Z325" s="7213"/>
      <c r="AA325" s="7213"/>
      <c r="AB325" s="7213"/>
      <c r="AC325" s="7213"/>
      <c r="AD325" s="7213"/>
      <c r="AF325" s="1755"/>
      <c r="AI325" s="1755"/>
      <c r="AJ325" s="1755"/>
      <c r="AK325" s="1755"/>
      <c r="AL325" s="1755"/>
      <c r="AN325" s="1755"/>
      <c r="AO325" s="1755"/>
      <c r="AP325" s="1755"/>
      <c r="AQ325" s="1755"/>
      <c r="AR325" s="1755"/>
      <c r="AS325" s="1755"/>
      <c r="AT325" s="1755"/>
      <c r="AU325" s="1755"/>
      <c r="AV325" s="1755"/>
      <c r="AW325" s="1755"/>
      <c r="AX325" s="1755"/>
      <c r="AY325" s="1755"/>
      <c r="AZ325" s="1755"/>
      <c r="BA325" s="1755">
        <v>11</v>
      </c>
    </row>
    <row customHeight="1" ht="11.549999999999999">
      <c r="A326" s="1114"/>
      <c r="B326" s="1755"/>
      <c r="D326" s="1755"/>
      <c r="J326" s="7213"/>
      <c r="K326" s="7213"/>
      <c r="L326" s="7213"/>
      <c r="M326" s="7213"/>
      <c r="N326" s="7213"/>
      <c r="O326" s="7213"/>
      <c r="P326" s="7213"/>
      <c r="Q326" s="7213"/>
      <c r="R326" s="7213"/>
      <c r="S326" s="7213"/>
      <c r="T326" s="7213"/>
      <c r="U326" s="7213"/>
      <c r="V326" s="7213"/>
      <c r="W326" s="7213"/>
      <c r="X326" s="7213"/>
      <c r="Y326" s="7213"/>
      <c r="Z326" s="7213"/>
      <c r="AA326" s="7213"/>
      <c r="AB326" s="7213"/>
      <c r="AC326" s="7213"/>
      <c r="AD326" s="7213"/>
      <c r="AF326" s="1755"/>
      <c r="AI326" s="1755"/>
      <c r="AJ326" s="1755"/>
      <c r="AK326" s="1755"/>
      <c r="AL326" s="1755"/>
      <c r="AN326" s="1755"/>
      <c r="AO326" s="1755"/>
      <c r="AP326" s="1755"/>
      <c r="AQ326" s="1755"/>
      <c r="AR326" s="1755"/>
      <c r="AS326" s="1755"/>
      <c r="AT326" s="1755"/>
      <c r="AU326" s="1755"/>
      <c r="AV326" s="1755"/>
      <c r="AW326" s="1755"/>
      <c r="AX326" s="1755"/>
      <c r="AY326" s="1755"/>
      <c r="AZ326" s="1755"/>
      <c r="BA326" s="1755">
        <v>11</v>
      </c>
    </row>
    <row customHeight="1" ht="11.549999999999999">
      <c r="A327" s="1114"/>
      <c r="B327" s="1755"/>
      <c r="D327" s="1755"/>
      <c r="J327" s="7213"/>
      <c r="K327" s="7213"/>
      <c r="L327" s="7213"/>
      <c r="M327" s="7213"/>
      <c r="N327" s="7213"/>
      <c r="O327" s="7213"/>
      <c r="P327" s="7213"/>
      <c r="Q327" s="7213"/>
      <c r="R327" s="7213"/>
      <c r="S327" s="7213"/>
      <c r="T327" s="7213"/>
      <c r="U327" s="7213"/>
      <c r="V327" s="7213"/>
      <c r="W327" s="7213"/>
      <c r="X327" s="7213"/>
      <c r="Y327" s="7213"/>
      <c r="Z327" s="7213"/>
      <c r="AA327" s="7213"/>
      <c r="AB327" s="7213"/>
      <c r="AC327" s="7213"/>
      <c r="AD327" s="7213"/>
      <c r="AF327" s="1755"/>
      <c r="AI327" s="1755"/>
      <c r="AJ327" s="1755"/>
      <c r="AK327" s="1755"/>
      <c r="AL327" s="1755"/>
      <c r="AN327" s="1755"/>
      <c r="AO327" s="1755"/>
      <c r="AP327" s="1755"/>
      <c r="AQ327" s="1755"/>
      <c r="AR327" s="1755"/>
      <c r="AS327" s="1755"/>
      <c r="AT327" s="1755"/>
      <c r="AU327" s="1755"/>
      <c r="AV327" s="1755"/>
      <c r="AW327" s="1755"/>
      <c r="AX327" s="1755"/>
      <c r="AY327" s="1755"/>
      <c r="AZ327" s="1755"/>
      <c r="BA327" s="1755">
        <v>11</v>
      </c>
    </row>
    <row customHeight="1" ht="11.549999999999999">
      <c r="A328" s="1114"/>
      <c r="B328" s="1755"/>
      <c r="D328" s="1755"/>
      <c r="J328" s="7213"/>
      <c r="K328" s="7213"/>
      <c r="L328" s="7213"/>
      <c r="M328" s="7213"/>
      <c r="N328" s="7213"/>
      <c r="O328" s="7213"/>
      <c r="P328" s="7213"/>
      <c r="Q328" s="7213"/>
      <c r="R328" s="7213"/>
      <c r="S328" s="7213"/>
      <c r="T328" s="7213"/>
      <c r="U328" s="7213"/>
      <c r="V328" s="7213"/>
      <c r="W328" s="7213"/>
      <c r="X328" s="7213"/>
      <c r="Y328" s="7213"/>
      <c r="Z328" s="7213"/>
      <c r="AA328" s="7213"/>
      <c r="AB328" s="7213"/>
      <c r="AC328" s="7213"/>
      <c r="AD328" s="7213"/>
      <c r="AF328" s="1755"/>
      <c r="AI328" s="1755"/>
      <c r="AJ328" s="1755"/>
      <c r="AK328" s="1755"/>
      <c r="AL328" s="1755"/>
      <c r="AN328" s="1755"/>
      <c r="AO328" s="1755"/>
      <c r="AP328" s="1755"/>
      <c r="AQ328" s="1755"/>
      <c r="AR328" s="1755"/>
      <c r="AS328" s="1755"/>
      <c r="AT328" s="1755"/>
      <c r="AU328" s="1755"/>
      <c r="AV328" s="1755"/>
      <c r="AW328" s="1755"/>
      <c r="AX328" s="1755"/>
      <c r="AY328" s="1755"/>
      <c r="AZ328" s="1755"/>
      <c r="BA328" s="1755">
        <v>11</v>
      </c>
    </row>
    <row customHeight="1" ht="11.549999999999999">
      <c r="A329" s="1114"/>
      <c r="B329" s="1755"/>
      <c r="D329" s="1755"/>
      <c r="J329" s="7213"/>
      <c r="K329" s="7213"/>
      <c r="L329" s="7213"/>
      <c r="M329" s="7213"/>
      <c r="N329" s="7213"/>
      <c r="O329" s="7213"/>
      <c r="P329" s="7213"/>
      <c r="Q329" s="7213"/>
      <c r="R329" s="7213"/>
      <c r="S329" s="7213"/>
      <c r="T329" s="7213"/>
      <c r="U329" s="7213"/>
      <c r="V329" s="7213"/>
      <c r="W329" s="7213"/>
      <c r="X329" s="7213"/>
      <c r="Y329" s="7213"/>
      <c r="Z329" s="7213"/>
      <c r="AA329" s="7213"/>
      <c r="AB329" s="7213"/>
      <c r="AC329" s="7213"/>
      <c r="AD329" s="7213"/>
      <c r="AF329" s="1755"/>
      <c r="AI329" s="1755"/>
      <c r="AJ329" s="1755"/>
      <c r="AK329" s="1755"/>
      <c r="AL329" s="1755"/>
      <c r="AN329" s="1755"/>
      <c r="AO329" s="1755"/>
      <c r="AP329" s="1755"/>
      <c r="AQ329" s="1755"/>
      <c r="AR329" s="1755"/>
      <c r="AS329" s="1755"/>
      <c r="AT329" s="1755"/>
      <c r="AU329" s="1755"/>
      <c r="AV329" s="1755"/>
      <c r="AW329" s="1755"/>
      <c r="AX329" s="1755"/>
      <c r="AY329" s="1755"/>
      <c r="AZ329" s="1755"/>
      <c r="BA329" s="1755">
        <v>11</v>
      </c>
    </row>
    <row customHeight="1" ht="11.549999999999999">
      <c r="A330" s="1114"/>
      <c r="B330" s="1755"/>
      <c r="D330" s="1755"/>
      <c r="J330" s="7213"/>
      <c r="K330" s="7213"/>
      <c r="L330" s="7213"/>
      <c r="M330" s="7213"/>
      <c r="N330" s="7213"/>
      <c r="O330" s="7213"/>
      <c r="P330" s="7213"/>
      <c r="Q330" s="7213"/>
      <c r="R330" s="7213"/>
      <c r="S330" s="7213"/>
      <c r="T330" s="7213"/>
      <c r="U330" s="7213"/>
      <c r="V330" s="7213"/>
      <c r="W330" s="7213"/>
      <c r="X330" s="7213"/>
      <c r="Y330" s="7213"/>
      <c r="Z330" s="7213"/>
      <c r="AA330" s="7213"/>
      <c r="AB330" s="7213"/>
      <c r="AC330" s="7213"/>
      <c r="AD330" s="7213"/>
      <c r="AF330" s="1755"/>
      <c r="AI330" s="1755"/>
      <c r="AJ330" s="1755"/>
      <c r="AK330" s="1755"/>
      <c r="AL330" s="1755"/>
      <c r="AN330" s="1755"/>
      <c r="AO330" s="1755"/>
      <c r="AP330" s="1755"/>
      <c r="AQ330" s="1755"/>
      <c r="AR330" s="1755"/>
      <c r="AS330" s="1755"/>
      <c r="AT330" s="1755"/>
      <c r="AU330" s="1755"/>
      <c r="AV330" s="1755"/>
      <c r="AW330" s="1755"/>
      <c r="AX330" s="1755"/>
      <c r="AY330" s="1755"/>
      <c r="AZ330" s="1755"/>
      <c r="BA330" s="1755">
        <v>11</v>
      </c>
    </row>
    <row customHeight="1" ht="11.549999999999999">
      <c r="A331" s="1114"/>
      <c r="B331" s="1755"/>
      <c r="D331" s="1755"/>
      <c r="J331" s="7213"/>
      <c r="K331" s="7213"/>
      <c r="L331" s="7213"/>
      <c r="M331" s="7213"/>
      <c r="N331" s="7213"/>
      <c r="O331" s="7213"/>
      <c r="P331" s="7213"/>
      <c r="Q331" s="7213"/>
      <c r="R331" s="7213"/>
      <c r="S331" s="7213"/>
      <c r="T331" s="7213"/>
      <c r="U331" s="7213"/>
      <c r="V331" s="7213"/>
      <c r="W331" s="7213"/>
      <c r="X331" s="7213"/>
      <c r="Y331" s="7213"/>
      <c r="Z331" s="7213"/>
      <c r="AA331" s="7213"/>
      <c r="AB331" s="7213"/>
      <c r="AC331" s="7213"/>
      <c r="AD331" s="7213"/>
      <c r="AF331" s="1755"/>
      <c r="AI331" s="1755"/>
      <c r="AJ331" s="1755"/>
      <c r="AK331" s="1755"/>
      <c r="AL331" s="1755"/>
      <c r="AN331" s="1755"/>
      <c r="AO331" s="1755"/>
      <c r="AP331" s="1755"/>
      <c r="AQ331" s="1755"/>
      <c r="AR331" s="1755"/>
      <c r="AS331" s="1755"/>
      <c r="AT331" s="1755"/>
      <c r="AU331" s="1755"/>
      <c r="AV331" s="1755"/>
      <c r="AW331" s="1755"/>
      <c r="AX331" s="1755"/>
      <c r="AY331" s="1755"/>
      <c r="AZ331" s="1755"/>
      <c r="BA331" s="1755">
        <v>11</v>
      </c>
    </row>
    <row customHeight="1" ht="11.25" hidden="1">
      <c r="A332" s="1111" t="s">
        <v>82</v>
      </c>
      <c r="B332" s="1284">
        <v>0</v>
      </c>
      <c r="C332" s="1760">
        <v>0</v>
      </c>
      <c r="D332" s="1759">
        <v>3</v>
      </c>
      <c r="E332" s="1755">
        <v>7</v>
      </c>
      <c r="F332" s="1755">
        <v>54</v>
      </c>
      <c r="G332" s="1755">
        <v>10</v>
      </c>
      <c r="H332" s="1755">
        <v>0</v>
      </c>
      <c r="I332" s="1755">
        <v>40</v>
      </c>
      <c r="J332" s="7213">
        <v>0</v>
      </c>
      <c r="K332" s="7213">
        <v>0</v>
      </c>
      <c r="L332" s="7213">
        <v>0</v>
      </c>
      <c r="M332" s="7213">
        <v>0</v>
      </c>
      <c r="N332" s="7213">
        <v>0</v>
      </c>
      <c r="O332" s="7213">
        <v>0</v>
      </c>
      <c r="P332" s="7213">
        <v>0</v>
      </c>
      <c r="Q332" s="7213">
        <v>0</v>
      </c>
      <c r="R332" s="7213">
        <v>0</v>
      </c>
      <c r="S332" s="7213">
        <v>0</v>
      </c>
      <c r="T332" s="7213">
        <v>0</v>
      </c>
      <c r="U332" s="7213">
        <v>0</v>
      </c>
      <c r="V332" s="7213">
        <v>0</v>
      </c>
      <c r="W332" s="7213">
        <v>0</v>
      </c>
      <c r="X332" s="7213">
        <v>0</v>
      </c>
      <c r="Y332" s="7213">
        <v>0</v>
      </c>
      <c r="Z332" s="7213">
        <v>0</v>
      </c>
      <c r="AA332" s="7213">
        <v>0</v>
      </c>
      <c r="AB332" s="7213">
        <v>0</v>
      </c>
      <c r="AC332" s="7213">
        <v>0</v>
      </c>
      <c r="AD332" s="7213">
        <v>0</v>
      </c>
      <c r="AE332" s="1755">
        <v>102</v>
      </c>
      <c r="AF332" s="1284">
        <v>9</v>
      </c>
      <c r="AG332" s="1760">
        <v>5</v>
      </c>
      <c r="AH332" s="1760">
        <v>3</v>
      </c>
      <c r="AI332" s="1284">
        <v>3</v>
      </c>
      <c r="AJ332" s="1284">
        <v>3</v>
      </c>
      <c r="AK332" s="1284">
        <v>3</v>
      </c>
      <c r="AL332" s="1284">
        <v>3</v>
      </c>
      <c r="AM332" s="1760">
        <v>10</v>
      </c>
      <c r="AN332" s="1284">
        <v>34</v>
      </c>
      <c r="AO332" s="1284">
        <v>9</v>
      </c>
      <c r="AP332" s="668">
        <v>8</v>
      </c>
      <c r="AQ332" s="1284">
        <v>8</v>
      </c>
      <c r="AR332" s="1284">
        <v>8</v>
      </c>
      <c r="AS332" s="1284">
        <v>8</v>
      </c>
      <c r="AT332" s="1284">
        <v>8</v>
      </c>
      <c r="AU332" s="1284">
        <v>8</v>
      </c>
      <c r="AV332" s="1756">
        <v>8</v>
      </c>
      <c r="AW332" s="1756">
        <v>8</v>
      </c>
      <c r="AX332" s="1756">
        <v>8</v>
      </c>
      <c r="AY332" s="1756">
        <v>8</v>
      </c>
      <c r="AZ332" s="1756">
        <v>8</v>
      </c>
      <c r="BA332" s="1755">
        <v>11</v>
      </c>
    </row>
  </sheetData>
  <sheetProtection formatColumns="0" formatRows="0" autoFilter="0" sort="0" insertRows="0" insertColumns="1" deleteRows="0" deleteColumns="0"/>
  <mergeCells count="20">
    <mergeCell ref="A149:A159"/>
    <mergeCell ref="E21:I21"/>
    <mergeCell ref="E22:I22"/>
    <mergeCell ref="A33:A52"/>
    <mergeCell ref="B34:B39"/>
    <mergeCell ref="A53:A55"/>
    <mergeCell ref="A79:A80"/>
    <mergeCell ref="A111:A119"/>
    <mergeCell ref="A120:A124"/>
    <mergeCell ref="A125:A127"/>
    <mergeCell ref="A128:A140"/>
    <mergeCell ref="A144:A148"/>
    <mergeCell ref="B2:B7"/>
    <mergeCell ref="AE25:AE29"/>
    <mergeCell ref="F25:G25"/>
    <mergeCell ref="F26:G26"/>
    <mergeCell ref="F27:G27"/>
    <mergeCell ref="E28:G28"/>
    <mergeCell ref="B40:B45"/>
    <mergeCell ref="B46:B51"/>
  </mergeCells>
  <dataValidations count="12">
    <dataValidation type="list" allowBlank="1" showInputMessage="1" showErrorMessage="1" errorTitle="Ошибка" error="Выберите значение из списка" prompt="Выберите значение из списка" sqref="H7:AD7 H45 H51 I45 I51 J45 J51 K45 K51 L45 L51 M45 M51 N45 N51 O45 O51 P45 P51 Q45 Q51 R45 R51 S45 S51 T45 T51 U45 U51 V45 V51 W45 W51 X45 X51 Y45 Y51 Z45 Z51 AA45 AA51 AB45 AB51 AC45 AC51 AD45 AD51">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D82 AC82 AB82 AA82 Z82 Y82 X82 W82 V82 U82 T82 S82 R82 Q82 P82 O82 N82 M82 L82 K82 J82 I82 H82">
      <formula1>900</formula1>
    </dataValidation>
    <dataValidation type="textLength" operator="lessThanOrEqual" allowBlank="1" showInputMessage="1" showErrorMessage="1" errorTitle="Ошибка" error="Допускается ввод не более 900 символов!" sqref="G4 H34:AD34 AD39 AC39 AB39 AA39 Z39 Y39 X39 W39 V39 U39 T39 S39 R39 Q39 P39 O39 N39 M39 L39 K39 J39 I39 H39 G42 G48">
      <formula1>900</formula1>
    </dataValidation>
    <dataValidation type="decimal" allowBlank="1" showErrorMessage="1" errorTitle="Ошибка" error="Допускается ввод только неотрицательных чисел!" sqref="H79:AD79 H81:AD81 H120:AD123 H156:AD156 H30:AD30 H32:AD33 H35:AD38 H52:AD77 H111:AD115 H17:AD17 H9:AD13 H15:AD15 H4:AD6 H103:AD103 H117:AD118 H125:AD132 H134:AD148 H42 I42 J42 K42 L42 M42 N42 O42 P42 Q42 R42 S42 T42 U42 V42 W42 X42 Y42 Z42 AA42 AB42 AC42 AD42 H43 I43 J43 K43 L43 M43 N43 O43 P43 Q43 R43 S43 T43 U43 V43 W43 X43 Y43 Z43 AA43 AB43 AC43 AD43 H44 I44 J44 K44 L44 M44 N44 O44 P44 Q44 R44 S44 T44 U44 V44 W44 X44 Y44 Z44 AA44 AB44 AC44 AD44 H48 I48 J48 K48 L48 M48 N48 O48 P48 Q48 R48 S48 T48 U48 V48 W48 X48 Y48 Z48 AA48 AB48 AC48 AD48 H49 I49 J49 K49 L49 M49 N49 O49 P49 Q49 R49 S49 T49 U49 V49 W49 X49 Y49 Z49 AA49 AB49 AC49 AD49 H50 I50 J50 K50 L50 M50 N50 O50 P50 Q50 R50 S50 T50 U50 V50 W50 X50 Y50 Z50 AA50 AB50 AC50 AD50 H83:H99 I83:I99 J83:J99 K83:K99 L83:L99 M83:M99 N83:N99 O83:O99 P83:P99 Q83:Q99 R83:R99 S83:S99 T83:T99 U83:U99 V83:V99 W83:W99 X83:X99 Y83:Y99 Z83:Z99 AA83:AA99 AB83:AB99 AC83:AC99 AD83:AD9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list" allowBlank="1" showInputMessage="1" showErrorMessage="1" errorTitle="Ошибка" error="Выберите значение из списка" prompt="Выберите значение из списка" sqref="G122">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7:AD159 H110:AD110">
      <formula1>900</formula1>
    </dataValidation>
    <dataValidation type="decimal" allowBlank="1" showErrorMessage="1" errorTitle="Ошибка" error="Допускается ввод только действительных чисел!" sqref="H101:AD102">
      <formula1>-9.99999999999999E+23</formula1>
      <formula2>9.99999999999999E+23</formula2>
    </dataValidation>
    <dataValidation type="decimal" allowBlank="1" showErrorMessage="1" errorTitle="Ошибка" error="Допускается ввод только действительных чисел!" sqref="H152:AD152 H149:AD149 H155:AD155 H104:AD109 H133:AD133">
      <formula1>-9.99999999999999E+37</formula1>
      <formula2>9.99999999999999E+37</formula2>
    </dataValidation>
    <dataValidation type="decimal" allowBlank="1" showErrorMessage="1" errorTitle="Ошибка" error="Введите значение от 0 до 100%" sqref="H119:AD119 H124:AD124">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AD80 H78:AD78"/>
  </dataValidations>
  <hyperlinks>
    <hyperlink ref="I110" r:id="rId1" xr:uid="{26A055A3-C25D-C9E8-AFE2-422CCFDD1738}"/>
    <hyperlink ref="J110" r:id="rId2" xr:uid="{AB6990DF-B5E8-7B58-6568-556B4E66FCE8}"/>
    <hyperlink ref="K110" r:id="rId3" xr:uid="{78239259-4328-CB68-9B88-71720C8DF848}"/>
    <hyperlink ref="L110" r:id="rId4" xr:uid="{EA5193B3-2888-6E02-6A98-B6FC280651BD}"/>
    <hyperlink ref="M110" r:id="rId5" xr:uid="{02181D52-3BF8-DEC8-ADA8-8E441464FC6D}"/>
    <hyperlink ref="N110" r:id="rId6" xr:uid="{6A6CAB28-6649-4498-61A8-9DFBF5C913EC}"/>
    <hyperlink ref="O110" r:id="rId7" xr:uid="{4D092985-7E24-9FE8-8668-D109C8CF2B08}"/>
    <hyperlink ref="P110" r:id="rId8" xr:uid="{A2A28AF8-076A-0648-2848-E2FB71E26A48}"/>
    <hyperlink ref="Q110" r:id="rId9" xr:uid="{FA784395-BB29-0958-3098-C10C06C77538}"/>
    <hyperlink ref="R110" r:id="rId10" xr:uid="{4018CBF1-4058-A79D-8BB8-0D4D75505A05}"/>
    <hyperlink ref="S110" r:id="rId11" xr:uid="{40C8C668-2B98-E688-7658-256494096728}"/>
    <hyperlink ref="T110" r:id="rId12" xr:uid="{9BE56EFF-81AC-AE6F-2B3C-48FFFA5B9512}"/>
    <hyperlink ref="U110" r:id="rId13" xr:uid="{65D8B268-D9C1-8168-D3D8-64B5500F6438}"/>
    <hyperlink ref="V110" r:id="rId14" xr:uid="{C09EF038-3C78-8AFC-1F08-5F48A33EAC68}"/>
    <hyperlink ref="W110" r:id="rId15" xr:uid="{EDC1F438-9DA7-EF48-9E7A-D3683CBF7E08}"/>
    <hyperlink ref="X110" r:id="rId16" xr:uid="{D7B50A08-7078-47B8-5668-23E88673CA48}"/>
    <hyperlink ref="Y110" r:id="rId17" xr:uid="{9C2F65F8-5B1F-9618-3174-9070946FF614}"/>
    <hyperlink ref="Z110" r:id="rId18" xr:uid="{CAB20537-F9F8-3968-3035-32DFE2F4E908}"/>
    <hyperlink ref="AA110" r:id="rId19" xr:uid="{BA6B2588-D958-3588-5F49-D5C254A5E4B8}"/>
    <hyperlink ref="AB110" r:id="rId20" xr:uid="{1FC6BF58-4E9C-80DD-92AF-3229F7453F98}"/>
    <hyperlink ref="AC110" r:id="rId21" xr:uid="{F8EF3F04-6F4B-F2A8-11AA-9F18A00EC503}"/>
    <hyperlink ref="AD110" r:id="rId22" xr:uid="{F85C7F18-D6F8-9E48-861F-68119CE5317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A5EB48-5CA7-E042-0DE8-4015089D2A92}" mc:Ignorable="x14ac xr xr2 xr3">
  <sheetPr>
    <tabColor theme="9" tint="-0.25"/>
  </sheetPr>
  <dimension ref="A1:CF218"/>
  <sheetViews>
    <sheetView topLeftCell="C4" showGridLines="0" zoomScale="90" workbookViewId="0">
      <selection activeCell="A212" sqref="A212:CF218"/>
    </sheetView>
  </sheetViews>
  <sheetFormatPr defaultColWidth="9.140625" customHeight="1" defaultRowHeight="11.25"/>
  <cols>
    <col min="1" max="1" style="7060" width="14.7109375" hidden="1" customWidth="1"/>
    <col min="2" max="2" style="7464" width="17.00390625" hidden="1" customWidth="1"/>
    <col min="3" max="3" style="7213" width="3.00390625" customWidth="1"/>
    <col min="4" max="4" style="7213" width="1.8515625" hidden="1" customWidth="1"/>
    <col min="5" max="6" style="7213" width="7.00390625" customWidth="1"/>
    <col min="7" max="7" style="7213" width="29.00390625" customWidth="1"/>
    <col min="8" max="8" style="7213" width="3.7109375" customWidth="1"/>
    <col min="9" max="9" style="7213" width="5.00390625" customWidth="1"/>
    <col min="10" max="11" style="7213" width="24.00390625" customWidth="1"/>
    <col min="12" max="12" style="7213" width="3.00390625" customWidth="1"/>
    <col min="13" max="13" style="7213" width="6.00390625" customWidth="1"/>
    <col min="14" max="14" style="7213" width="25.00390625" customWidth="1"/>
    <col min="15" max="18" style="7213" width="18.00390625" customWidth="1"/>
    <col min="19" max="19" style="7213" width="93.00390625" customWidth="1"/>
    <col min="20" max="20" style="7213" width="10.00390625" customWidth="1"/>
    <col min="21" max="21" style="6698" width="10.00390625" customWidth="1"/>
    <col min="22" max="22" style="6698" width="11.00390625" customWidth="1"/>
    <col min="23" max="27" style="7464" width="10.00390625" customWidth="1"/>
    <col min="28" max="83" style="7213" width="8.00390625" customWidth="1"/>
    <col min="84" max="84" style="7213" width="9.140625" hidden="1"/>
  </cols>
  <sheetData>
    <row customHeight="1" ht="22.5" hidden="1">
      <c r="CF1" s="629" t="s">
        <v>14</v>
      </c>
    </row>
    <row customHeight="1" ht="11.25" hidden="1">
      <c r="CF2" s="629">
        <v>0</v>
      </c>
    </row>
    <row customHeight="1" ht="11.25" hidden="1">
      <c r="CF3" s="629">
        <v>0</v>
      </c>
    </row>
    <row customHeight="1" ht="3">
      <c r="C4" s="633"/>
      <c r="D4" s="633"/>
      <c r="E4" s="633"/>
      <c r="F4" s="633"/>
      <c r="G4" s="633"/>
      <c r="H4" s="633"/>
      <c r="I4" s="633"/>
      <c r="J4" s="633"/>
      <c r="K4" s="290"/>
      <c r="L4" s="290"/>
      <c r="M4" s="290"/>
      <c r="CF4" s="629">
        <v>3</v>
      </c>
    </row>
    <row customHeight="1" ht="29.25">
      <c r="C5" s="633"/>
      <c r="D5" s="1181"/>
      <c r="E5" s="2374" t="str">
        <f>FHD20_NAME_FORM</f>
        <v>Форма 11. Информация о расходах на капитальный и текущий ремонт основных средств</v>
      </c>
      <c r="F5" s="2374"/>
      <c r="G5" s="2374"/>
      <c r="H5" s="2374"/>
      <c r="I5" s="2374"/>
      <c r="J5" s="2374"/>
      <c r="K5" s="2374"/>
      <c r="L5" s="737"/>
      <c r="M5" s="737"/>
      <c r="CF5" s="629">
        <v>28</v>
      </c>
    </row>
    <row s="7213" customFormat="1" customHeight="1" ht="16.8">
      <c r="A6" s="734"/>
      <c r="B6" s="883"/>
      <c r="C6" s="633"/>
      <c r="D6" s="1182"/>
      <c r="E6" s="2313" t="str">
        <f>IF(org=0,"Не определено",org)</f>
        <v>ООО "СамРЭК-Эксплуатация"</v>
      </c>
      <c r="F6" s="2313"/>
      <c r="G6" s="2313"/>
      <c r="H6" s="2313"/>
      <c r="I6" s="2313"/>
      <c r="J6" s="2313"/>
      <c r="K6" s="2313"/>
      <c r="L6" s="737"/>
      <c r="M6" s="737"/>
      <c r="U6" s="735"/>
      <c r="V6" s="735"/>
      <c r="W6" s="736"/>
      <c r="X6" s="883"/>
      <c r="Y6" s="883"/>
      <c r="Z6" s="883"/>
      <c r="AA6" s="883"/>
      <c r="CF6" s="882">
        <v>16</v>
      </c>
    </row>
    <row customHeight="1" ht="11.549999999999999">
      <c r="C7" s="633"/>
      <c r="D7" s="633"/>
      <c r="E7" s="633"/>
      <c r="F7" s="633"/>
      <c r="G7" s="646"/>
      <c r="H7" s="646"/>
      <c r="I7" s="646"/>
      <c r="J7" s="646"/>
      <c r="K7" s="738"/>
      <c r="L7" s="738"/>
      <c r="M7" s="738"/>
      <c r="R7" s="876"/>
      <c r="CF7" s="629">
        <v>11</v>
      </c>
    </row>
    <row s="6292" customFormat="1" customHeight="1" ht="4.2">
      <c r="A8" s="745"/>
      <c r="B8" s="690"/>
      <c r="C8" s="475"/>
      <c r="D8" s="475"/>
      <c r="E8" s="475"/>
      <c r="F8" s="475"/>
      <c r="G8" s="1099"/>
      <c r="H8" s="1099"/>
      <c r="I8" s="1099"/>
      <c r="J8" s="1099"/>
      <c r="K8" s="1142"/>
      <c r="L8" s="1142"/>
      <c r="M8" s="1142"/>
      <c r="R8" s="1143"/>
      <c r="U8" s="735"/>
      <c r="V8" s="735"/>
      <c r="W8" s="746"/>
      <c r="X8" s="690"/>
      <c r="Y8" s="690"/>
      <c r="Z8" s="690"/>
      <c r="AA8" s="690"/>
      <c r="CF8" s="620">
        <v>4</v>
      </c>
    </row>
    <row customHeight="1" ht="19.95">
      <c r="D9" s="413"/>
      <c r="E9" s="2238" t="s">
        <v>412</v>
      </c>
      <c r="F9" s="2239"/>
      <c r="G9" s="2239"/>
      <c r="H9" s="2239"/>
      <c r="I9" s="2239"/>
      <c r="J9" s="2239"/>
      <c r="K9" s="2239"/>
      <c r="L9" s="2239"/>
      <c r="M9" s="2239"/>
      <c r="N9" s="2239"/>
      <c r="O9" s="2239"/>
      <c r="P9" s="2239"/>
      <c r="Q9" s="2239"/>
      <c r="R9" s="2240"/>
      <c r="S9" s="2264" t="s">
        <v>413</v>
      </c>
      <c r="T9" s="458"/>
      <c r="CF9" s="629">
        <v>19</v>
      </c>
    </row>
    <row customHeight="1" ht="48.29999999999999">
      <c r="D10" s="675" t="s">
        <v>88</v>
      </c>
      <c r="E10" s="2264" t="s">
        <v>88</v>
      </c>
      <c r="F10" s="2264"/>
      <c r="G10" s="645" t="s">
        <v>414</v>
      </c>
      <c r="H10" s="2264" t="s">
        <v>88</v>
      </c>
      <c r="I10" s="2264"/>
      <c r="J10" s="645" t="s">
        <v>738</v>
      </c>
      <c r="K10" s="645" t="s">
        <v>739</v>
      </c>
      <c r="L10" s="2264" t="s">
        <v>88</v>
      </c>
      <c r="M10" s="2264"/>
      <c r="N10" s="645" t="s">
        <v>740</v>
      </c>
      <c r="O10" s="645" t="s">
        <v>741</v>
      </c>
      <c r="P10" s="645" t="s">
        <v>742</v>
      </c>
      <c r="Q10" s="645" t="s">
        <v>743</v>
      </c>
      <c r="R10" s="645" t="s">
        <v>744</v>
      </c>
      <c r="S10" s="2264"/>
      <c r="T10" s="458"/>
      <c r="CF10" s="629">
        <v>46</v>
      </c>
    </row>
    <row s="6698" customFormat="1" customHeight="1" ht="15">
      <c r="A11" s="1176"/>
      <c r="D11" s="1149" t="s">
        <v>210</v>
      </c>
      <c r="E11" s="1149"/>
      <c r="F11" s="1149" t="s">
        <v>102</v>
      </c>
      <c r="G11" s="1149" t="s">
        <v>90</v>
      </c>
      <c r="H11" s="1149"/>
      <c r="I11" s="1149" t="s">
        <v>91</v>
      </c>
      <c r="J11" s="1149" t="s">
        <v>116</v>
      </c>
      <c r="K11" s="1149" t="s">
        <v>92</v>
      </c>
      <c r="L11" s="1149"/>
      <c r="M11" s="1149" t="s">
        <v>93</v>
      </c>
      <c r="N11" s="1149" t="s">
        <v>129</v>
      </c>
      <c r="O11" s="1149" t="s">
        <v>134</v>
      </c>
      <c r="P11" s="1149" t="s">
        <v>139</v>
      </c>
      <c r="Q11" s="1149" t="s">
        <v>144</v>
      </c>
      <c r="R11" s="1149" t="s">
        <v>149</v>
      </c>
      <c r="S11" s="1149" t="s">
        <v>154</v>
      </c>
      <c r="U11" s="735"/>
      <c r="V11" s="735"/>
      <c r="W11" s="735"/>
      <c r="CF11" s="635">
        <v>0</v>
      </c>
    </row>
    <row s="7213" customFormat="1" customHeight="1" ht="1.05">
      <c r="A12" s="739"/>
      <c r="B12" s="486"/>
      <c r="D12" s="672"/>
      <c r="E12" s="470"/>
      <c r="F12" s="470"/>
      <c r="Q12" s="740"/>
      <c r="R12" s="741"/>
      <c r="T12" s="742"/>
      <c r="U12" s="743"/>
      <c r="V12" s="743"/>
      <c r="W12" s="744"/>
      <c r="X12" s="486"/>
      <c r="Y12" s="486"/>
      <c r="Z12" s="486"/>
      <c r="AA12" s="486"/>
      <c r="CF12" s="633">
        <v>1</v>
      </c>
    </row>
    <row s="6292" customFormat="1" customHeight="1" ht="1.05">
      <c r="A13" s="745"/>
      <c r="B13" s="690"/>
      <c r="D13" s="672" t="s">
        <v>488</v>
      </c>
      <c r="E13" s="684"/>
      <c r="F13" s="684"/>
      <c r="G13" s="684"/>
      <c r="H13" s="684"/>
      <c r="I13" s="684"/>
      <c r="J13" s="684"/>
      <c r="K13" s="684"/>
      <c r="L13" s="684"/>
      <c r="M13" s="684"/>
      <c r="N13" s="684"/>
      <c r="O13" s="684"/>
      <c r="P13" s="684"/>
      <c r="Q13" s="684"/>
      <c r="R13" s="684"/>
      <c r="T13" s="458"/>
      <c r="U13" s="735"/>
      <c r="V13" s="735"/>
      <c r="W13" s="746"/>
      <c r="X13" s="690"/>
      <c r="Y13" s="690"/>
      <c r="Z13" s="690"/>
      <c r="AA13" s="690"/>
      <c r="CF13" s="620">
        <v>1</v>
      </c>
    </row>
    <row s="7954" customFormat="1" customHeight="1" ht="15">
      <c r="A14" s="747" t="s">
        <v>215</v>
      </c>
      <c r="B14" s="748"/>
      <c r="C14" s="748"/>
      <c r="D14" s="2517" t="s">
        <v>210</v>
      </c>
      <c r="E14" s="2514" t="s">
        <v>206</v>
      </c>
      <c r="F14" s="2515"/>
      <c r="G14" s="2516"/>
      <c r="H14" s="2520" t="str">
        <f>IF(A14="","",INDEX(DIFFERENTIATION_UNMERGE_VD,MATCH(A14,DIFFERENTIATION_ID_DIFF,0)))</f>
        <v>Производство тепловой энергии. Некомбинированная выработка</v>
      </c>
      <c r="I14" s="2520"/>
      <c r="J14" s="2520"/>
      <c r="K14" s="2520"/>
      <c r="L14" s="2520"/>
      <c r="M14" s="2520"/>
      <c r="N14" s="2520"/>
      <c r="O14" s="2520"/>
      <c r="P14" s="2520"/>
      <c r="Q14" s="2520"/>
      <c r="R14" s="2520"/>
      <c r="S14" s="843"/>
      <c r="T14" s="840"/>
      <c r="U14" s="749"/>
      <c r="V14" s="749"/>
      <c r="W14" s="750"/>
      <c r="X14" s="750"/>
      <c r="Y14" s="750"/>
      <c r="Z14" s="750"/>
      <c r="AA14" s="751"/>
      <c r="AB14" s="752"/>
      <c r="AC14" s="2512"/>
      <c r="AD14" s="753"/>
      <c r="AE14" s="754" t="s">
        <v>22</v>
      </c>
      <c r="AF14" s="754"/>
      <c r="AG14" s="755" t="s">
        <v>745</v>
      </c>
      <c r="AH14" s="756">
        <v>3</v>
      </c>
      <c r="AI14" s="749"/>
      <c r="AJ14" s="749"/>
      <c r="AK14" s="749"/>
      <c r="AL14" s="749"/>
      <c r="AM14" s="749"/>
      <c r="AN14" s="749"/>
      <c r="AO14" s="749"/>
      <c r="AP14" s="749"/>
      <c r="AQ14" s="749"/>
      <c r="AR14" s="749"/>
      <c r="AS14" s="749"/>
      <c r="AT14" s="749"/>
      <c r="AU14" s="749"/>
      <c r="AV14" s="749"/>
      <c r="AW14" s="749"/>
      <c r="AX14" s="749"/>
      <c r="AY14" s="749"/>
      <c r="AZ14" s="749"/>
      <c r="BA14" s="749"/>
      <c r="BB14" s="749"/>
      <c r="BC14" s="749"/>
      <c r="BD14" s="749"/>
      <c r="BE14" s="749"/>
      <c r="BF14" s="749"/>
      <c r="BG14" s="749"/>
      <c r="BH14" s="749"/>
      <c r="BI14" s="749"/>
      <c r="BJ14" s="749"/>
      <c r="BK14" s="749"/>
      <c r="BL14" s="749"/>
      <c r="BM14" s="749"/>
      <c r="BN14" s="749"/>
      <c r="BO14" s="749"/>
      <c r="BP14" s="749"/>
      <c r="BQ14" s="749"/>
      <c r="BR14" s="749"/>
      <c r="BS14" s="749"/>
      <c r="BT14" s="749"/>
      <c r="BU14" s="749"/>
      <c r="BV14" s="750"/>
      <c r="BW14" s="750"/>
      <c r="BX14" s="750"/>
      <c r="BY14" s="750"/>
      <c r="BZ14" s="750"/>
      <c r="CA14" s="750"/>
      <c r="CB14" s="750"/>
      <c r="CC14" s="750"/>
      <c r="CD14" s="750"/>
      <c r="CE14" s="750"/>
      <c r="CF14" s="417">
        <v>0</v>
      </c>
    </row>
    <row s="7954" customFormat="1" customHeight="1" ht="15">
      <c r="A15" s="747"/>
      <c r="B15" s="748"/>
      <c r="C15" s="748"/>
      <c r="D15" s="2518"/>
      <c r="E15" s="2514" t="s">
        <v>676</v>
      </c>
      <c r="F15" s="2515"/>
      <c r="G15" s="2516"/>
      <c r="H15" s="2520" t="str">
        <f>IF(A14="","",INDEX(DIFFERENTIATION_UNMERGE_AREA,MATCH(A14,DIFFERENTIATION_ID_DIFF,0)))</f>
        <v>Территория 1</v>
      </c>
      <c r="I15" s="2520"/>
      <c r="J15" s="2520"/>
      <c r="K15" s="2520"/>
      <c r="L15" s="2520"/>
      <c r="M15" s="2520"/>
      <c r="N15" s="2520"/>
      <c r="O15" s="2520"/>
      <c r="P15" s="2520"/>
      <c r="Q15" s="2520"/>
      <c r="R15" s="2520"/>
      <c r="S15" s="843"/>
      <c r="T15" s="840"/>
      <c r="U15" s="749"/>
      <c r="V15" s="749"/>
      <c r="W15" s="750"/>
      <c r="X15" s="750"/>
      <c r="Y15" s="750"/>
      <c r="Z15" s="750"/>
      <c r="AA15" s="751"/>
      <c r="AB15" s="752"/>
      <c r="AC15" s="2512"/>
      <c r="AD15" s="753"/>
      <c r="AE15" s="754"/>
      <c r="AF15" s="754"/>
      <c r="AG15" s="755"/>
      <c r="AH15" s="756"/>
      <c r="AI15" s="749"/>
      <c r="AJ15" s="749"/>
      <c r="AK15" s="749"/>
      <c r="AL15" s="749"/>
      <c r="AM15" s="749"/>
      <c r="AN15" s="749"/>
      <c r="AO15" s="749"/>
      <c r="AP15" s="749"/>
      <c r="AQ15" s="749"/>
      <c r="AR15" s="749"/>
      <c r="AS15" s="749"/>
      <c r="AT15" s="749"/>
      <c r="AU15" s="749"/>
      <c r="AV15" s="749"/>
      <c r="AW15" s="749"/>
      <c r="AX15" s="749"/>
      <c r="AY15" s="749"/>
      <c r="AZ15" s="749"/>
      <c r="BA15" s="749"/>
      <c r="BB15" s="749"/>
      <c r="BC15" s="749"/>
      <c r="BD15" s="749"/>
      <c r="BE15" s="749"/>
      <c r="BF15" s="749"/>
      <c r="BG15" s="749"/>
      <c r="BH15" s="749"/>
      <c r="BI15" s="749"/>
      <c r="BJ15" s="749"/>
      <c r="BK15" s="749"/>
      <c r="BL15" s="749"/>
      <c r="BM15" s="749"/>
      <c r="BN15" s="749"/>
      <c r="BO15" s="749"/>
      <c r="BP15" s="749"/>
      <c r="BQ15" s="749"/>
      <c r="BR15" s="749"/>
      <c r="BS15" s="749"/>
      <c r="BT15" s="749"/>
      <c r="BU15" s="749"/>
      <c r="BV15" s="750"/>
      <c r="BW15" s="750"/>
      <c r="BX15" s="750"/>
      <c r="BY15" s="750"/>
      <c r="BZ15" s="750"/>
      <c r="CA15" s="750"/>
      <c r="CB15" s="750"/>
      <c r="CC15" s="750"/>
      <c r="CD15" s="750"/>
      <c r="CE15" s="750"/>
      <c r="CF15" s="417">
        <v>0</v>
      </c>
    </row>
    <row s="7954" customFormat="1" customHeight="1" ht="15">
      <c r="A16" s="747"/>
      <c r="B16" s="748"/>
      <c r="C16" s="748"/>
      <c r="D16" s="2518"/>
      <c r="E16" s="2514" t="s">
        <v>677</v>
      </c>
      <c r="F16" s="2515"/>
      <c r="G16" s="2516"/>
      <c r="H16" s="2520" t="str">
        <f>IF(A14="","",INDEX(DIFFERENTIATION_UNMERGE_SYSTEM,MATCH(A14,DIFFERENTIATION_ID_DIFF,0)))</f>
        <v>без дифференциации</v>
      </c>
      <c r="I16" s="2520"/>
      <c r="J16" s="2520"/>
      <c r="K16" s="2520"/>
      <c r="L16" s="2520"/>
      <c r="M16" s="2520"/>
      <c r="N16" s="2520"/>
      <c r="O16" s="2520"/>
      <c r="P16" s="2520"/>
      <c r="Q16" s="2520"/>
      <c r="R16" s="2520"/>
      <c r="S16" s="843"/>
      <c r="T16" s="840"/>
      <c r="U16" s="749"/>
      <c r="V16" s="749"/>
      <c r="W16" s="750"/>
      <c r="X16" s="750"/>
      <c r="Y16" s="750"/>
      <c r="Z16" s="750"/>
      <c r="AA16" s="751"/>
      <c r="AB16" s="752"/>
      <c r="AC16" s="2512"/>
      <c r="AD16" s="753"/>
      <c r="AE16" s="754"/>
      <c r="AF16" s="754"/>
      <c r="AG16" s="755"/>
      <c r="AH16" s="756"/>
      <c r="AI16" s="749"/>
      <c r="AJ16" s="749"/>
      <c r="AK16" s="749"/>
      <c r="AL16" s="749"/>
      <c r="AM16" s="749"/>
      <c r="AN16" s="749"/>
      <c r="AO16" s="749"/>
      <c r="AP16" s="749"/>
      <c r="AQ16" s="749"/>
      <c r="AR16" s="749"/>
      <c r="AS16" s="749"/>
      <c r="AT16" s="749"/>
      <c r="AU16" s="749"/>
      <c r="AV16" s="749"/>
      <c r="AW16" s="749"/>
      <c r="AX16" s="749"/>
      <c r="AY16" s="749"/>
      <c r="AZ16" s="749"/>
      <c r="BA16" s="749"/>
      <c r="BB16" s="749"/>
      <c r="BC16" s="749"/>
      <c r="BD16" s="749"/>
      <c r="BE16" s="749"/>
      <c r="BF16" s="749"/>
      <c r="BG16" s="749"/>
      <c r="BH16" s="749"/>
      <c r="BI16" s="749"/>
      <c r="BJ16" s="749"/>
      <c r="BK16" s="749"/>
      <c r="BL16" s="749"/>
      <c r="BM16" s="749"/>
      <c r="BN16" s="749"/>
      <c r="BO16" s="749"/>
      <c r="BP16" s="749"/>
      <c r="BQ16" s="749"/>
      <c r="BR16" s="749"/>
      <c r="BS16" s="749"/>
      <c r="BT16" s="749"/>
      <c r="BU16" s="749"/>
      <c r="BV16" s="750"/>
      <c r="BW16" s="750"/>
      <c r="BX16" s="750"/>
      <c r="BY16" s="750"/>
      <c r="BZ16" s="750"/>
      <c r="CA16" s="750"/>
      <c r="CB16" s="750"/>
      <c r="CC16" s="750"/>
      <c r="CD16" s="750"/>
      <c r="CE16" s="750"/>
      <c r="CF16" s="417">
        <v>0</v>
      </c>
    </row>
    <row s="7954" customFormat="1" customHeight="1" ht="22.5">
      <c r="A17" s="757"/>
      <c r="B17" s="541"/>
      <c r="C17" s="536"/>
      <c r="D17" s="2518"/>
      <c r="E17" s="2513" t="s">
        <v>746</v>
      </c>
      <c r="F17" s="2513"/>
      <c r="G17" s="2513"/>
      <c r="H17" s="2513"/>
      <c r="I17" s="2513"/>
      <c r="J17" s="2513"/>
      <c r="K17" s="2513"/>
      <c r="L17" s="2513"/>
      <c r="M17" s="2513"/>
      <c r="N17" s="2513"/>
      <c r="O17" s="2513"/>
      <c r="P17" s="2513"/>
      <c r="Q17" s="682">
        <f>SUMIF(T18:T19,"i",Q18:Q19)</f>
        <v>0</v>
      </c>
      <c r="R17" s="1141"/>
      <c r="S17" s="1021" t="s">
        <v>747</v>
      </c>
      <c r="T17" s="841" t="s">
        <v>748</v>
      </c>
      <c r="U17" s="2511">
        <v>1</v>
      </c>
      <c r="V17" s="2511" t="str">
        <f>INDEX(B_FHD_FLAG_INDEX_1,1,MATCH(A14,B_FHD_FLAG_DIFFERENTIATION,0))</f>
        <v>отсутствует</v>
      </c>
      <c r="W17" s="541"/>
      <c r="X17" s="541"/>
      <c r="Y17" s="541"/>
      <c r="Z17" s="541"/>
      <c r="AA17" s="635"/>
      <c r="AB17" s="541"/>
      <c r="AC17" s="2512"/>
      <c r="AD17" s="753"/>
      <c r="AE17" s="541"/>
      <c r="AF17" s="541"/>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541"/>
      <c r="BW17" s="541"/>
      <c r="BX17" s="541"/>
      <c r="BY17" s="541"/>
      <c r="BZ17" s="541"/>
      <c r="CA17" s="541"/>
      <c r="CB17" s="541"/>
      <c r="CC17" s="541"/>
      <c r="CD17" s="541"/>
      <c r="CE17" s="541"/>
      <c r="CF17" s="417">
        <v>0</v>
      </c>
    </row>
    <row s="7954" customFormat="1" customHeight="1" ht="11.25" hidden="1">
      <c r="A18" s="758"/>
      <c r="B18" s="635"/>
      <c r="C18" s="635"/>
      <c r="D18" s="2518"/>
      <c r="E18" s="759"/>
      <c r="F18" s="759">
        <v>0</v>
      </c>
      <c r="G18" s="759"/>
      <c r="H18" s="759"/>
      <c r="I18" s="759"/>
      <c r="J18" s="759"/>
      <c r="K18" s="759"/>
      <c r="L18" s="759"/>
      <c r="M18" s="759"/>
      <c r="N18" s="759"/>
      <c r="O18" s="759"/>
      <c r="P18" s="759"/>
      <c r="Q18" s="759"/>
      <c r="R18" s="759"/>
      <c r="S18" s="760"/>
      <c r="T18" s="842"/>
      <c r="U18" s="2511"/>
      <c r="V18" s="2511"/>
      <c r="W18" s="635"/>
      <c r="X18" s="635"/>
      <c r="Y18" s="635"/>
      <c r="Z18" s="635"/>
      <c r="AA18" s="635"/>
      <c r="AB18" s="541"/>
      <c r="AC18" s="2512"/>
      <c r="AD18" s="753"/>
      <c r="AE18" s="541"/>
      <c r="AF18" s="541"/>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417">
        <v>0</v>
      </c>
    </row>
    <row s="7954" customFormat="1" customHeight="1" ht="11.25">
      <c r="A19" s="757"/>
      <c r="B19" s="541"/>
      <c r="C19" s="536"/>
      <c r="D19" s="2518"/>
      <c r="E19" s="773" t="s">
        <v>22</v>
      </c>
      <c r="F19" s="774" t="s">
        <v>22</v>
      </c>
      <c r="G19" s="774" t="s">
        <v>22</v>
      </c>
      <c r="H19" s="775" t="s">
        <v>22</v>
      </c>
      <c r="I19" s="775"/>
      <c r="J19" s="775"/>
      <c r="K19" s="775"/>
      <c r="L19" s="775"/>
      <c r="M19" s="775"/>
      <c r="N19" s="775"/>
      <c r="O19" s="775"/>
      <c r="P19" s="775"/>
      <c r="Q19" s="775"/>
      <c r="R19" s="776"/>
      <c r="S19" s="1144"/>
      <c r="T19" s="842"/>
      <c r="U19" s="2511"/>
      <c r="V19" s="2511"/>
      <c r="W19" s="541"/>
      <c r="X19" s="541"/>
      <c r="Y19" s="541"/>
      <c r="Z19" s="541"/>
      <c r="AA19" s="635"/>
      <c r="AB19" s="541"/>
      <c r="AC19" s="2512"/>
      <c r="AD19" s="753"/>
      <c r="AE19" s="541"/>
      <c r="AF19" s="541"/>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541"/>
      <c r="BW19" s="541"/>
      <c r="BX19" s="541"/>
      <c r="BY19" s="541"/>
      <c r="BZ19" s="541"/>
      <c r="CA19" s="541"/>
      <c r="CB19" s="541"/>
      <c r="CC19" s="541"/>
      <c r="CD19" s="541"/>
      <c r="CE19" s="541"/>
      <c r="CF19" s="417">
        <v>0</v>
      </c>
    </row>
    <row s="7954" customFormat="1" customHeight="1" ht="22.5">
      <c r="A20" s="757"/>
      <c r="B20" s="541"/>
      <c r="C20" s="536"/>
      <c r="D20" s="2518"/>
      <c r="E20" s="2513" t="s">
        <v>749</v>
      </c>
      <c r="F20" s="2513"/>
      <c r="G20" s="2513"/>
      <c r="H20" s="2513"/>
      <c r="I20" s="2513"/>
      <c r="J20" s="2513"/>
      <c r="K20" s="2513"/>
      <c r="L20" s="2513"/>
      <c r="M20" s="2513"/>
      <c r="N20" s="2513"/>
      <c r="O20" s="2513"/>
      <c r="P20" s="2513"/>
      <c r="Q20" s="682">
        <f>SUMIF(T21:T22,"i",Q21:Q22)</f>
        <v>0</v>
      </c>
      <c r="R20" s="1141"/>
      <c r="S20" s="833" t="s">
        <v>750</v>
      </c>
      <c r="T20" s="841" t="s">
        <v>748</v>
      </c>
      <c r="U20" s="2511">
        <v>2</v>
      </c>
      <c r="V20" s="2511" t="str">
        <f>INDEX(B_FHD_FLAG_INDEX_2,1,MATCH(A14,B_FHD_FLAG_DIFFERENTIATION,0))</f>
        <v>отсутствует</v>
      </c>
      <c r="W20" s="541"/>
      <c r="X20" s="541"/>
      <c r="Y20" s="541"/>
      <c r="Z20" s="541"/>
      <c r="AA20" s="635"/>
      <c r="AB20" s="541"/>
      <c r="AC20" s="830"/>
      <c r="AD20" s="753"/>
      <c r="AE20" s="541"/>
      <c r="AF20" s="541"/>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541"/>
      <c r="BW20" s="541"/>
      <c r="BX20" s="541"/>
      <c r="BY20" s="541"/>
      <c r="BZ20" s="541"/>
      <c r="CA20" s="541"/>
      <c r="CB20" s="541"/>
      <c r="CC20" s="541"/>
      <c r="CD20" s="541"/>
      <c r="CE20" s="541"/>
      <c r="CF20" s="417">
        <v>0</v>
      </c>
    </row>
    <row s="7954" customFormat="1" customHeight="1" ht="11.25" hidden="1">
      <c r="A21" s="832"/>
      <c r="B21" s="635"/>
      <c r="C21" s="635"/>
      <c r="D21" s="2518"/>
      <c r="E21" s="759"/>
      <c r="F21" s="759">
        <v>0</v>
      </c>
      <c r="G21" s="759"/>
      <c r="H21" s="759"/>
      <c r="I21" s="759"/>
      <c r="J21" s="759"/>
      <c r="K21" s="759"/>
      <c r="L21" s="759"/>
      <c r="M21" s="759"/>
      <c r="N21" s="759"/>
      <c r="O21" s="759"/>
      <c r="P21" s="759"/>
      <c r="Q21" s="759"/>
      <c r="R21" s="759"/>
      <c r="S21" s="760"/>
      <c r="T21" s="842"/>
      <c r="U21" s="2511"/>
      <c r="V21" s="2511"/>
      <c r="W21" s="635"/>
      <c r="X21" s="635"/>
      <c r="Y21" s="635"/>
      <c r="Z21" s="635"/>
      <c r="AA21" s="635"/>
      <c r="AB21" s="541"/>
      <c r="AC21" s="830"/>
      <c r="AD21" s="753"/>
      <c r="AE21" s="541"/>
      <c r="AF21" s="541"/>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417">
        <v>0</v>
      </c>
    </row>
    <row s="7954" customFormat="1" customHeight="1" ht="11.25">
      <c r="A22" s="757"/>
      <c r="B22" s="541"/>
      <c r="C22" s="536"/>
      <c r="D22" s="2519"/>
      <c r="E22" s="773" t="s">
        <v>22</v>
      </c>
      <c r="F22" s="774" t="s">
        <v>22</v>
      </c>
      <c r="G22" s="774" t="s">
        <v>22</v>
      </c>
      <c r="H22" s="775" t="s">
        <v>22</v>
      </c>
      <c r="I22" s="775"/>
      <c r="J22" s="775"/>
      <c r="K22" s="775"/>
      <c r="L22" s="775"/>
      <c r="M22" s="775"/>
      <c r="N22" s="775"/>
      <c r="O22" s="775"/>
      <c r="P22" s="775"/>
      <c r="Q22" s="775"/>
      <c r="R22" s="776"/>
      <c r="S22" s="1144"/>
      <c r="T22" s="842"/>
      <c r="U22" s="2511"/>
      <c r="V22" s="2511"/>
      <c r="W22" s="541"/>
      <c r="X22" s="541"/>
      <c r="Y22" s="541"/>
      <c r="Z22" s="541"/>
      <c r="AA22" s="635"/>
      <c r="AB22" s="541"/>
      <c r="AC22" s="830"/>
      <c r="AD22" s="753"/>
      <c r="AE22" s="541"/>
      <c r="AF22" s="541"/>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c r="BU22" s="635"/>
      <c r="BV22" s="541"/>
      <c r="BW22" s="541"/>
      <c r="BX22" s="541"/>
      <c r="BY22" s="541"/>
      <c r="BZ22" s="541"/>
      <c r="CA22" s="541"/>
      <c r="CB22" s="541"/>
      <c r="CC22" s="541"/>
      <c r="CD22" s="541"/>
      <c r="CE22" s="541"/>
      <c r="CF22" s="417">
        <v>0</v>
      </c>
    </row>
    <row customHeight="1" ht="15" hidden="1">
      <c r="A23" s="747" t="s">
        <v>219</v>
      </c>
      <c r="B23" s="748"/>
      <c r="C23" s="748" t="s">
        <v>22</v>
      </c>
      <c r="D23" s="2715" t="s">
        <v>144</v>
      </c>
      <c r="E23" s="2514" t="s">
        <v>206</v>
      </c>
      <c r="F23" s="2515"/>
      <c r="G23" s="2516"/>
      <c r="H23" s="2520" t="str">
        <f>IF(A23="","",INDEX(DIFFERENTIATION_UNMERGE_VD,MATCH(A23,DIFFERENTIATION_ID_DIFF,0)))</f>
        <v>Производство тепловой энергии. Некомбинированная выработка</v>
      </c>
      <c r="I23" s="2520"/>
      <c r="J23" s="2520"/>
      <c r="K23" s="2520"/>
      <c r="L23" s="2520"/>
      <c r="M23" s="2520"/>
      <c r="N23" s="2520"/>
      <c r="O23" s="2520"/>
      <c r="P23" s="2520"/>
      <c r="Q23" s="2520"/>
      <c r="R23" s="2520"/>
      <c r="S23" s="843"/>
      <c r="T23" s="840"/>
      <c r="U23" s="749"/>
      <c r="V23" s="749"/>
      <c r="W23" s="750"/>
      <c r="X23" s="750"/>
      <c r="Y23" s="750"/>
      <c r="Z23" s="750"/>
      <c r="AA23" s="751"/>
      <c r="AB23" s="752"/>
      <c r="AC23" s="2512"/>
      <c r="AD23" s="753"/>
      <c r="AE23" s="754" t="s">
        <v>22</v>
      </c>
      <c r="AF23" s="754"/>
      <c r="AG23" s="755" t="s">
        <v>745</v>
      </c>
      <c r="AH23" s="756">
        <v>3</v>
      </c>
      <c r="AI23" s="749"/>
      <c r="AJ23" s="749"/>
      <c r="AK23" s="749"/>
      <c r="AL23" s="749"/>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749"/>
      <c r="BI23" s="749"/>
      <c r="BJ23" s="749"/>
      <c r="BK23" s="749"/>
      <c r="BL23" s="749"/>
      <c r="BM23" s="749"/>
      <c r="BN23" s="749"/>
      <c r="BO23" s="749"/>
      <c r="BP23" s="749"/>
      <c r="BQ23" s="749"/>
      <c r="BR23" s="749"/>
      <c r="BS23" s="749"/>
      <c r="BT23" s="749"/>
      <c r="BU23" s="749"/>
      <c r="BV23" s="750"/>
      <c r="BW23" s="750"/>
      <c r="BX23" s="750"/>
      <c r="BY23" s="750"/>
      <c r="BZ23" s="750"/>
      <c r="CA23" s="750"/>
      <c r="CB23" s="750"/>
      <c r="CC23" s="750"/>
      <c r="CD23" s="750"/>
      <c r="CE23" s="750"/>
      <c r="CF23" s="7954"/>
    </row>
    <row customHeight="1" ht="15" hidden="1">
      <c r="A24" s="747"/>
      <c r="B24" s="748"/>
      <c r="C24" s="748"/>
      <c r="D24" s="2716"/>
      <c r="E24" s="2514" t="s">
        <v>676</v>
      </c>
      <c r="F24" s="2515"/>
      <c r="G24" s="2516"/>
      <c r="H24" s="2520" t="str">
        <f>IF(A23="","",INDEX(DIFFERENTIATION_UNMERGE_AREA,MATCH(A23,DIFFERENTIATION_ID_DIFF,0)))</f>
        <v>Территория 2</v>
      </c>
      <c r="I24" s="2520"/>
      <c r="J24" s="2520"/>
      <c r="K24" s="2520"/>
      <c r="L24" s="2520"/>
      <c r="M24" s="2520"/>
      <c r="N24" s="2520"/>
      <c r="O24" s="2520"/>
      <c r="P24" s="2520"/>
      <c r="Q24" s="2520"/>
      <c r="R24" s="2520"/>
      <c r="S24" s="843"/>
      <c r="T24" s="840"/>
      <c r="U24" s="749"/>
      <c r="V24" s="749"/>
      <c r="W24" s="750"/>
      <c r="X24" s="750"/>
      <c r="Y24" s="750"/>
      <c r="Z24" s="750"/>
      <c r="AA24" s="751"/>
      <c r="AB24" s="752"/>
      <c r="AC24" s="2512"/>
      <c r="AD24" s="753"/>
      <c r="AE24" s="754"/>
      <c r="AF24" s="754"/>
      <c r="AG24" s="755"/>
      <c r="AH24" s="756"/>
      <c r="AI24" s="749"/>
      <c r="AJ24" s="749"/>
      <c r="AK24" s="749"/>
      <c r="AL24" s="749"/>
      <c r="AM24" s="749"/>
      <c r="AN24" s="749"/>
      <c r="AO24" s="749"/>
      <c r="AP24" s="749"/>
      <c r="AQ24" s="749"/>
      <c r="AR24" s="749"/>
      <c r="AS24" s="749"/>
      <c r="AT24" s="749"/>
      <c r="AU24" s="749"/>
      <c r="AV24" s="749"/>
      <c r="AW24" s="749"/>
      <c r="AX24" s="749"/>
      <c r="AY24" s="749"/>
      <c r="AZ24" s="749"/>
      <c r="BA24" s="749"/>
      <c r="BB24" s="749"/>
      <c r="BC24" s="749"/>
      <c r="BD24" s="749"/>
      <c r="BE24" s="749"/>
      <c r="BF24" s="749"/>
      <c r="BG24" s="749"/>
      <c r="BH24" s="749"/>
      <c r="BI24" s="749"/>
      <c r="BJ24" s="749"/>
      <c r="BK24" s="749"/>
      <c r="BL24" s="749"/>
      <c r="BM24" s="749"/>
      <c r="BN24" s="749"/>
      <c r="BO24" s="749"/>
      <c r="BP24" s="749"/>
      <c r="BQ24" s="749"/>
      <c r="BR24" s="749"/>
      <c r="BS24" s="749"/>
      <c r="BT24" s="749"/>
      <c r="BU24" s="749"/>
      <c r="BV24" s="750"/>
      <c r="BW24" s="750"/>
      <c r="BX24" s="750"/>
      <c r="BY24" s="750"/>
      <c r="BZ24" s="750"/>
      <c r="CA24" s="750"/>
      <c r="CB24" s="750"/>
      <c r="CC24" s="750"/>
      <c r="CD24" s="750"/>
      <c r="CE24" s="750"/>
      <c r="CF24" s="7954"/>
    </row>
    <row customHeight="1" ht="15" hidden="1">
      <c r="A25" s="747"/>
      <c r="B25" s="748"/>
      <c r="C25" s="748"/>
      <c r="D25" s="2716"/>
      <c r="E25" s="2514" t="s">
        <v>677</v>
      </c>
      <c r="F25" s="2515"/>
      <c r="G25" s="2516"/>
      <c r="H25" s="2520" t="str">
        <f>IF(A23="","",INDEX(DIFFERENTIATION_UNMERGE_SYSTEM,MATCH(A23,DIFFERENTIATION_ID_DIFF,0)))</f>
        <v>без дифференциации</v>
      </c>
      <c r="I25" s="2520"/>
      <c r="J25" s="2520"/>
      <c r="K25" s="2520"/>
      <c r="L25" s="2520"/>
      <c r="M25" s="2520"/>
      <c r="N25" s="2520"/>
      <c r="O25" s="2520"/>
      <c r="P25" s="2520"/>
      <c r="Q25" s="2520"/>
      <c r="R25" s="2520"/>
      <c r="S25" s="843"/>
      <c r="T25" s="840"/>
      <c r="U25" s="749"/>
      <c r="V25" s="749"/>
      <c r="W25" s="750"/>
      <c r="X25" s="750"/>
      <c r="Y25" s="750"/>
      <c r="Z25" s="750"/>
      <c r="AA25" s="751"/>
      <c r="AB25" s="752"/>
      <c r="AC25" s="2512"/>
      <c r="AD25" s="753"/>
      <c r="AE25" s="754"/>
      <c r="AF25" s="754"/>
      <c r="AG25" s="755"/>
      <c r="AH25" s="756"/>
      <c r="AI25" s="749"/>
      <c r="AJ25" s="749"/>
      <c r="AK25" s="749"/>
      <c r="AL25" s="749"/>
      <c r="AM25" s="749"/>
      <c r="AN25" s="749"/>
      <c r="AO25" s="749"/>
      <c r="AP25" s="749"/>
      <c r="AQ25" s="749"/>
      <c r="AR25" s="749"/>
      <c r="AS25" s="749"/>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P25" s="749"/>
      <c r="BQ25" s="749"/>
      <c r="BR25" s="749"/>
      <c r="BS25" s="749"/>
      <c r="BT25" s="749"/>
      <c r="BU25" s="749"/>
      <c r="BV25" s="750"/>
      <c r="BW25" s="750"/>
      <c r="BX25" s="750"/>
      <c r="BY25" s="750"/>
      <c r="BZ25" s="750"/>
      <c r="CA25" s="750"/>
      <c r="CB25" s="750"/>
      <c r="CC25" s="750"/>
      <c r="CD25" s="750"/>
      <c r="CE25" s="750"/>
      <c r="CF25" s="7954"/>
    </row>
    <row customHeight="1" ht="24.75" hidden="1">
      <c r="A26" s="1929"/>
      <c r="B26" s="1284"/>
      <c r="C26" s="536"/>
      <c r="D26" s="2716"/>
      <c r="E26" s="2513" t="s">
        <v>746</v>
      </c>
      <c r="F26" s="2513"/>
      <c r="G26" s="2513"/>
      <c r="H26" s="2513"/>
      <c r="I26" s="2513"/>
      <c r="J26" s="2513"/>
      <c r="K26" s="2513"/>
      <c r="L26" s="2513"/>
      <c r="M26" s="2513"/>
      <c r="N26" s="2513"/>
      <c r="O26" s="2513"/>
      <c r="P26" s="2513"/>
      <c r="Q26" s="682">
        <f>SUMIF(T27:T28,"i",Q27:Q28)</f>
        <v>0</v>
      </c>
      <c r="R26" s="1141"/>
      <c r="S26" s="1921" t="s">
        <v>747</v>
      </c>
      <c r="T26" s="841" t="s">
        <v>748</v>
      </c>
      <c r="U26" s="2511">
        <v>1</v>
      </c>
      <c r="V26" s="2511" t="str">
        <f>INDEX(B_FHD_FLAG_INDEX_1,1,MATCH(A23,B_FHD_FLAG_DIFFERENTIATION,0))</f>
        <v>отсутствует</v>
      </c>
      <c r="W26" s="1284"/>
      <c r="X26" s="1284"/>
      <c r="Y26" s="1284"/>
      <c r="Z26" s="1284"/>
      <c r="AA26" s="1760"/>
      <c r="AB26" s="1284"/>
      <c r="AC26" s="2512"/>
      <c r="AD26" s="753"/>
      <c r="AE26" s="1284"/>
      <c r="AF26" s="1284"/>
      <c r="AG26" s="1760"/>
      <c r="AH26" s="1760"/>
      <c r="AI26" s="1760"/>
      <c r="AJ26" s="1760"/>
      <c r="AK26" s="1760"/>
      <c r="AL26" s="1760"/>
      <c r="AM26" s="1760"/>
      <c r="AN26" s="1760"/>
      <c r="AO26" s="1760"/>
      <c r="AP26" s="1760"/>
      <c r="AQ26" s="1760"/>
      <c r="AR26" s="1760"/>
      <c r="AS26" s="1760"/>
      <c r="AT26" s="1760"/>
      <c r="AU26" s="1760"/>
      <c r="AV26" s="1760"/>
      <c r="AW26" s="1760"/>
      <c r="AX26" s="1760"/>
      <c r="AY26" s="1760"/>
      <c r="AZ26" s="1760"/>
      <c r="BA26" s="1760"/>
      <c r="BB26" s="1760"/>
      <c r="BC26" s="1760"/>
      <c r="BD26" s="1760"/>
      <c r="BE26" s="1760"/>
      <c r="BF26" s="1760"/>
      <c r="BG26" s="1760"/>
      <c r="BH26" s="1760"/>
      <c r="BI26" s="1760"/>
      <c r="BJ26" s="1760"/>
      <c r="BK26" s="1760"/>
      <c r="BL26" s="1760"/>
      <c r="BM26" s="1760"/>
      <c r="BN26" s="1760"/>
      <c r="BO26" s="1760"/>
      <c r="BP26" s="1760"/>
      <c r="BQ26" s="1760"/>
      <c r="BR26" s="1760"/>
      <c r="BS26" s="1760"/>
      <c r="BT26" s="1760"/>
      <c r="BU26" s="1760"/>
      <c r="BV26" s="1284"/>
      <c r="BW26" s="1284"/>
      <c r="BX26" s="1284"/>
      <c r="BY26" s="1284"/>
      <c r="BZ26" s="1284"/>
      <c r="CA26" s="1284"/>
      <c r="CB26" s="1284"/>
      <c r="CC26" s="1284"/>
      <c r="CD26" s="1284"/>
      <c r="CE26" s="1284"/>
      <c r="CF26" s="7954"/>
    </row>
    <row customHeight="1" ht="11.25" hidden="1">
      <c r="A27" s="1916"/>
      <c r="B27" s="1760"/>
      <c r="C27" s="1760"/>
      <c r="D27" s="2716"/>
      <c r="E27" s="759"/>
      <c r="F27" s="759">
        <v>0</v>
      </c>
      <c r="G27" s="759"/>
      <c r="H27" s="759"/>
      <c r="I27" s="759"/>
      <c r="J27" s="759"/>
      <c r="K27" s="759"/>
      <c r="L27" s="759"/>
      <c r="M27" s="759"/>
      <c r="N27" s="759"/>
      <c r="O27" s="759"/>
      <c r="P27" s="759"/>
      <c r="Q27" s="759"/>
      <c r="R27" s="759"/>
      <c r="S27" s="760"/>
      <c r="T27" s="842"/>
      <c r="U27" s="2511"/>
      <c r="V27" s="2511"/>
      <c r="W27" s="1760"/>
      <c r="X27" s="1760"/>
      <c r="Y27" s="1760"/>
      <c r="Z27" s="1760"/>
      <c r="AA27" s="1760"/>
      <c r="AB27" s="1284"/>
      <c r="AC27" s="2512"/>
      <c r="AD27" s="753"/>
      <c r="AE27" s="1284"/>
      <c r="AF27" s="1284"/>
      <c r="AG27" s="1760"/>
      <c r="AH27" s="1760"/>
      <c r="AI27" s="1760"/>
      <c r="AJ27" s="1760"/>
      <c r="AK27" s="1760"/>
      <c r="AL27" s="1760"/>
      <c r="AM27" s="1760"/>
      <c r="AN27" s="1760"/>
      <c r="AO27" s="1760"/>
      <c r="AP27" s="1760"/>
      <c r="AQ27" s="1760"/>
      <c r="AR27" s="1760"/>
      <c r="AS27" s="1760"/>
      <c r="AT27" s="1760"/>
      <c r="AU27" s="1760"/>
      <c r="AV27" s="1760"/>
      <c r="AW27" s="1760"/>
      <c r="AX27" s="1760"/>
      <c r="AY27" s="1760"/>
      <c r="AZ27" s="1760"/>
      <c r="BA27" s="1760"/>
      <c r="BB27" s="1760"/>
      <c r="BC27" s="1760"/>
      <c r="BD27" s="1760"/>
      <c r="BE27" s="1760"/>
      <c r="BF27" s="1760"/>
      <c r="BG27" s="1760"/>
      <c r="BH27" s="1760"/>
      <c r="BI27" s="1760"/>
      <c r="BJ27" s="1760"/>
      <c r="BK27" s="1760"/>
      <c r="BL27" s="1760"/>
      <c r="BM27" s="1760"/>
      <c r="BN27" s="1760"/>
      <c r="BO27" s="1760"/>
      <c r="BP27" s="1760"/>
      <c r="BQ27" s="1760"/>
      <c r="BR27" s="1760"/>
      <c r="BS27" s="1760"/>
      <c r="BT27" s="1760"/>
      <c r="BU27" s="1760"/>
      <c r="BV27" s="1760"/>
      <c r="BW27" s="1760"/>
      <c r="BX27" s="1760"/>
      <c r="BY27" s="1760"/>
      <c r="BZ27" s="1760"/>
      <c r="CA27" s="1760"/>
      <c r="CB27" s="1760"/>
      <c r="CC27" s="1760"/>
      <c r="CD27" s="1760"/>
      <c r="CE27" s="1760"/>
      <c r="CF27" s="7954"/>
    </row>
    <row customHeight="1" ht="11.25" hidden="1">
      <c r="A28" s="1929"/>
      <c r="B28" s="1284"/>
      <c r="C28" s="536"/>
      <c r="D28" s="2716"/>
      <c r="E28" s="773" t="s">
        <v>22</v>
      </c>
      <c r="F28" s="1292" t="s">
        <v>22</v>
      </c>
      <c r="G28" s="1292" t="s">
        <v>751</v>
      </c>
      <c r="H28" s="775" t="s">
        <v>22</v>
      </c>
      <c r="I28" s="775"/>
      <c r="J28" s="775"/>
      <c r="K28" s="775"/>
      <c r="L28" s="775"/>
      <c r="M28" s="775"/>
      <c r="N28" s="775"/>
      <c r="O28" s="775"/>
      <c r="P28" s="775"/>
      <c r="Q28" s="775"/>
      <c r="R28" s="776"/>
      <c r="S28" s="777"/>
      <c r="T28" s="842"/>
      <c r="U28" s="2511"/>
      <c r="V28" s="2511"/>
      <c r="W28" s="1284"/>
      <c r="X28" s="1284"/>
      <c r="Y28" s="1284"/>
      <c r="Z28" s="1284"/>
      <c r="AA28" s="1760"/>
      <c r="AB28" s="1284"/>
      <c r="AC28" s="2512"/>
      <c r="AD28" s="753"/>
      <c r="AE28" s="1284"/>
      <c r="AF28" s="1284"/>
      <c r="AG28" s="1760"/>
      <c r="AH28" s="1760"/>
      <c r="AI28" s="1760"/>
      <c r="AJ28" s="1760"/>
      <c r="AK28" s="1760"/>
      <c r="AL28" s="1760"/>
      <c r="AM28" s="1760"/>
      <c r="AN28" s="1760"/>
      <c r="AO28" s="1760"/>
      <c r="AP28" s="1760"/>
      <c r="AQ28" s="1760"/>
      <c r="AR28" s="1760"/>
      <c r="AS28" s="1760"/>
      <c r="AT28" s="1760"/>
      <c r="AU28" s="1760"/>
      <c r="AV28" s="1760"/>
      <c r="AW28" s="1760"/>
      <c r="AX28" s="1760"/>
      <c r="AY28" s="1760"/>
      <c r="AZ28" s="1760"/>
      <c r="BA28" s="1760"/>
      <c r="BB28" s="1760"/>
      <c r="BC28" s="1760"/>
      <c r="BD28" s="1760"/>
      <c r="BE28" s="1760"/>
      <c r="BF28" s="1760"/>
      <c r="BG28" s="1760"/>
      <c r="BH28" s="1760"/>
      <c r="BI28" s="1760"/>
      <c r="BJ28" s="1760"/>
      <c r="BK28" s="1760"/>
      <c r="BL28" s="1760"/>
      <c r="BM28" s="1760"/>
      <c r="BN28" s="1760"/>
      <c r="BO28" s="1760"/>
      <c r="BP28" s="1760"/>
      <c r="BQ28" s="1760"/>
      <c r="BR28" s="1760"/>
      <c r="BS28" s="1760"/>
      <c r="BT28" s="1760"/>
      <c r="BU28" s="1760"/>
      <c r="BV28" s="1284"/>
      <c r="BW28" s="1284"/>
      <c r="BX28" s="1284"/>
      <c r="BY28" s="1284"/>
      <c r="BZ28" s="1284"/>
      <c r="CA28" s="1284"/>
      <c r="CB28" s="1284"/>
      <c r="CC28" s="1284"/>
      <c r="CD28" s="1284"/>
      <c r="CE28" s="1284"/>
      <c r="CF28" s="7954"/>
    </row>
    <row customHeight="1" ht="5.25" hidden="1">
      <c r="A29" s="1916"/>
      <c r="B29" s="1760"/>
      <c r="C29" s="1760"/>
      <c r="D29" s="2716"/>
      <c r="E29" s="1163"/>
      <c r="F29" s="1163"/>
      <c r="G29" s="1163"/>
      <c r="H29" s="1163"/>
      <c r="I29" s="1163"/>
      <c r="J29" s="1163"/>
      <c r="K29" s="1163"/>
      <c r="L29" s="1163"/>
      <c r="M29" s="1163"/>
      <c r="N29" s="1163"/>
      <c r="O29" s="1163"/>
      <c r="P29" s="1163"/>
      <c r="Q29" s="1164"/>
      <c r="R29" s="1165"/>
      <c r="S29" s="1166"/>
      <c r="T29" s="841" t="s">
        <v>748</v>
      </c>
      <c r="U29" s="2511">
        <v>1</v>
      </c>
      <c r="V29" s="2511" t="s">
        <v>693</v>
      </c>
      <c r="W29" s="1760"/>
      <c r="X29" s="1760"/>
      <c r="Y29" s="1760"/>
      <c r="Z29" s="1760"/>
      <c r="AA29" s="1760"/>
      <c r="AB29" s="1760"/>
      <c r="AC29" s="1161"/>
      <c r="AD29" s="1162"/>
      <c r="AE29" s="1760"/>
      <c r="AF29" s="1760"/>
      <c r="AG29" s="1760"/>
      <c r="AH29" s="1760"/>
      <c r="AI29" s="1760"/>
      <c r="AJ29" s="1760"/>
      <c r="AK29" s="1760"/>
      <c r="AL29" s="1760"/>
      <c r="AM29" s="1760"/>
      <c r="AN29" s="1760"/>
      <c r="AO29" s="1760"/>
      <c r="AP29" s="1760"/>
      <c r="AQ29" s="1760"/>
      <c r="AR29" s="1760"/>
      <c r="AS29" s="1760"/>
      <c r="AT29" s="1760"/>
      <c r="AU29" s="1760"/>
      <c r="AV29" s="1760"/>
      <c r="AW29" s="1760"/>
      <c r="AX29" s="1760"/>
      <c r="AY29" s="1760"/>
      <c r="AZ29" s="1760"/>
      <c r="BA29" s="1760"/>
      <c r="BB29" s="1760"/>
      <c r="BC29" s="1760"/>
      <c r="BD29" s="1760"/>
      <c r="BE29" s="1760"/>
      <c r="BF29" s="1760"/>
      <c r="BG29" s="1760"/>
      <c r="BH29" s="1760"/>
      <c r="BI29" s="1760"/>
      <c r="BJ29" s="1760"/>
      <c r="BK29" s="1760"/>
      <c r="BL29" s="1760"/>
      <c r="BM29" s="1760"/>
      <c r="BN29" s="1760"/>
      <c r="BO29" s="1760"/>
      <c r="BP29" s="1760"/>
      <c r="BQ29" s="1760"/>
      <c r="BR29" s="1760"/>
      <c r="BS29" s="1760"/>
      <c r="BT29" s="1760"/>
      <c r="BU29" s="1760"/>
      <c r="BV29" s="1760"/>
      <c r="BW29" s="1760"/>
      <c r="BX29" s="1760"/>
      <c r="BY29" s="1760"/>
      <c r="BZ29" s="1760"/>
      <c r="CA29" s="1760"/>
      <c r="CB29" s="1760"/>
      <c r="CC29" s="1760"/>
      <c r="CD29" s="1760"/>
      <c r="CE29" s="1760"/>
      <c r="CF29" s="7914"/>
    </row>
    <row customHeight="1" ht="5.25" hidden="1">
      <c r="A30" s="1916"/>
      <c r="B30" s="1760"/>
      <c r="C30" s="1760"/>
      <c r="D30" s="2716"/>
      <c r="E30" s="759"/>
      <c r="F30" s="759"/>
      <c r="G30" s="759"/>
      <c r="H30" s="759"/>
      <c r="I30" s="759"/>
      <c r="J30" s="759"/>
      <c r="K30" s="759"/>
      <c r="L30" s="759"/>
      <c r="M30" s="759"/>
      <c r="N30" s="759"/>
      <c r="O30" s="759"/>
      <c r="P30" s="759"/>
      <c r="Q30" s="759"/>
      <c r="R30" s="759"/>
      <c r="S30" s="760"/>
      <c r="T30" s="842"/>
      <c r="U30" s="2511"/>
      <c r="V30" s="2511"/>
      <c r="W30" s="1760"/>
      <c r="X30" s="1760"/>
      <c r="Y30" s="1760"/>
      <c r="Z30" s="1760"/>
      <c r="AA30" s="1760"/>
      <c r="AB30" s="1760"/>
      <c r="AC30" s="1161"/>
      <c r="AD30" s="1162"/>
      <c r="AE30" s="1760"/>
      <c r="AF30" s="1760"/>
      <c r="AG30" s="1760"/>
      <c r="AH30" s="1760"/>
      <c r="AI30" s="1760"/>
      <c r="AJ30" s="1760"/>
      <c r="AK30" s="1760"/>
      <c r="AL30" s="1760"/>
      <c r="AM30" s="1760"/>
      <c r="AN30" s="1760"/>
      <c r="AO30" s="1760"/>
      <c r="AP30" s="1760"/>
      <c r="AQ30" s="1760"/>
      <c r="AR30" s="1760"/>
      <c r="AS30" s="1760"/>
      <c r="AT30" s="1760"/>
      <c r="AU30" s="1760"/>
      <c r="AV30" s="1760"/>
      <c r="AW30" s="1760"/>
      <c r="AX30" s="1760"/>
      <c r="AY30" s="1760"/>
      <c r="AZ30" s="1760"/>
      <c r="BA30" s="1760"/>
      <c r="BB30" s="1760"/>
      <c r="BC30" s="1760"/>
      <c r="BD30" s="1760"/>
      <c r="BE30" s="1760"/>
      <c r="BF30" s="1760"/>
      <c r="BG30" s="1760"/>
      <c r="BH30" s="1760"/>
      <c r="BI30" s="1760"/>
      <c r="BJ30" s="1760"/>
      <c r="BK30" s="1760"/>
      <c r="BL30" s="1760"/>
      <c r="BM30" s="1760"/>
      <c r="BN30" s="1760"/>
      <c r="BO30" s="1760"/>
      <c r="BP30" s="1760"/>
      <c r="BQ30" s="1760"/>
      <c r="BR30" s="1760"/>
      <c r="BS30" s="1760"/>
      <c r="BT30" s="1760"/>
      <c r="BU30" s="1760"/>
      <c r="BV30" s="1760"/>
      <c r="BW30" s="1760"/>
      <c r="BX30" s="1760"/>
      <c r="BY30" s="1760"/>
      <c r="BZ30" s="1760"/>
      <c r="CA30" s="1760"/>
      <c r="CB30" s="1760"/>
      <c r="CC30" s="1760"/>
      <c r="CD30" s="1760"/>
      <c r="CE30" s="1760"/>
      <c r="CF30" s="7914"/>
    </row>
    <row customHeight="1" ht="5.25" hidden="1">
      <c r="A31" s="1916"/>
      <c r="B31" s="1760"/>
      <c r="C31" s="1760"/>
      <c r="D31" s="2717"/>
      <c r="E31" s="1167"/>
      <c r="F31" s="1168"/>
      <c r="G31" s="1168"/>
      <c r="H31" s="1169"/>
      <c r="I31" s="1169"/>
      <c r="J31" s="1169"/>
      <c r="K31" s="1169"/>
      <c r="L31" s="1169"/>
      <c r="M31" s="1169"/>
      <c r="N31" s="1169"/>
      <c r="O31" s="1169"/>
      <c r="P31" s="1169"/>
      <c r="Q31" s="1169"/>
      <c r="R31" s="1070"/>
      <c r="S31" s="1170"/>
      <c r="T31" s="842"/>
      <c r="U31" s="2511"/>
      <c r="V31" s="2511"/>
      <c r="W31" s="1760"/>
      <c r="X31" s="1760"/>
      <c r="Y31" s="1760"/>
      <c r="Z31" s="1760"/>
      <c r="AA31" s="1760"/>
      <c r="AB31" s="1760"/>
      <c r="AC31" s="1161"/>
      <c r="AD31" s="1162"/>
      <c r="AE31" s="1760"/>
      <c r="AF31" s="1760"/>
      <c r="AG31" s="1760"/>
      <c r="AH31" s="1760"/>
      <c r="AI31" s="1760"/>
      <c r="AJ31" s="1760"/>
      <c r="AK31" s="1760"/>
      <c r="AL31" s="1760"/>
      <c r="AM31" s="1760"/>
      <c r="AN31" s="1760"/>
      <c r="AO31" s="1760"/>
      <c r="AP31" s="1760"/>
      <c r="AQ31" s="1760"/>
      <c r="AR31" s="1760"/>
      <c r="AS31" s="1760"/>
      <c r="AT31" s="1760"/>
      <c r="AU31" s="1760"/>
      <c r="AV31" s="1760"/>
      <c r="AW31" s="1760"/>
      <c r="AX31" s="1760"/>
      <c r="AY31" s="1760"/>
      <c r="AZ31" s="1760"/>
      <c r="BA31" s="1760"/>
      <c r="BB31" s="1760"/>
      <c r="BC31" s="1760"/>
      <c r="BD31" s="1760"/>
      <c r="BE31" s="1760"/>
      <c r="BF31" s="1760"/>
      <c r="BG31" s="1760"/>
      <c r="BH31" s="1760"/>
      <c r="BI31" s="1760"/>
      <c r="BJ31" s="1760"/>
      <c r="BK31" s="1760"/>
      <c r="BL31" s="1760"/>
      <c r="BM31" s="1760"/>
      <c r="BN31" s="1760"/>
      <c r="BO31" s="1760"/>
      <c r="BP31" s="1760"/>
      <c r="BQ31" s="1760"/>
      <c r="BR31" s="1760"/>
      <c r="BS31" s="1760"/>
      <c r="BT31" s="1760"/>
      <c r="BU31" s="1760"/>
      <c r="BV31" s="1760"/>
      <c r="BW31" s="1760"/>
      <c r="BX31" s="1760"/>
      <c r="BY31" s="1760"/>
      <c r="BZ31" s="1760"/>
      <c r="CA31" s="1760"/>
      <c r="CB31" s="1760"/>
      <c r="CC31" s="1760"/>
      <c r="CD31" s="1760"/>
      <c r="CE31" s="1760"/>
      <c r="CF31" s="7914"/>
    </row>
    <row customHeight="1" ht="15" hidden="1">
      <c r="A32" s="747" t="s">
        <v>220</v>
      </c>
      <c r="B32" s="748"/>
      <c r="C32" s="748" t="s">
        <v>22</v>
      </c>
      <c r="D32" s="2715" t="s">
        <v>752</v>
      </c>
      <c r="E32" s="2514" t="s">
        <v>206</v>
      </c>
      <c r="F32" s="2515"/>
      <c r="G32" s="2516"/>
      <c r="H32" s="2520" t="str">
        <f>IF(A32="","",INDEX(DIFFERENTIATION_UNMERGE_VD,MATCH(A32,DIFFERENTIATION_ID_DIFF,0)))</f>
        <v>Производство тепловой энергии. Некомбинированная выработка</v>
      </c>
      <c r="I32" s="2520"/>
      <c r="J32" s="2520"/>
      <c r="K32" s="2520"/>
      <c r="L32" s="2520"/>
      <c r="M32" s="2520"/>
      <c r="N32" s="2520"/>
      <c r="O32" s="2520"/>
      <c r="P32" s="2520"/>
      <c r="Q32" s="2520"/>
      <c r="R32" s="2520"/>
      <c r="S32" s="843"/>
      <c r="T32" s="840"/>
      <c r="U32" s="749"/>
      <c r="V32" s="749"/>
      <c r="W32" s="750"/>
      <c r="X32" s="750"/>
      <c r="Y32" s="750"/>
      <c r="Z32" s="750"/>
      <c r="AA32" s="751"/>
      <c r="AB32" s="752"/>
      <c r="AC32" s="2512"/>
      <c r="AD32" s="753"/>
      <c r="AE32" s="754" t="s">
        <v>22</v>
      </c>
      <c r="AF32" s="754"/>
      <c r="AG32" s="755" t="s">
        <v>745</v>
      </c>
      <c r="AH32" s="756">
        <v>3</v>
      </c>
      <c r="AI32" s="749"/>
      <c r="AJ32" s="749"/>
      <c r="AK32" s="749"/>
      <c r="AL32" s="749"/>
      <c r="AM32" s="749"/>
      <c r="AN32" s="749"/>
      <c r="AO32" s="749"/>
      <c r="AP32" s="749"/>
      <c r="AQ32" s="749"/>
      <c r="AR32" s="749"/>
      <c r="AS32" s="749"/>
      <c r="AT32" s="749"/>
      <c r="AU32" s="749"/>
      <c r="AV32" s="749"/>
      <c r="AW32" s="749"/>
      <c r="AX32" s="749"/>
      <c r="AY32" s="749"/>
      <c r="AZ32" s="749"/>
      <c r="BA32" s="749"/>
      <c r="BB32" s="749"/>
      <c r="BC32" s="749"/>
      <c r="BD32" s="749"/>
      <c r="BE32" s="749"/>
      <c r="BF32" s="749"/>
      <c r="BG32" s="749"/>
      <c r="BH32" s="749"/>
      <c r="BI32" s="749"/>
      <c r="BJ32" s="749"/>
      <c r="BK32" s="749"/>
      <c r="BL32" s="749"/>
      <c r="BM32" s="749"/>
      <c r="BN32" s="749"/>
      <c r="BO32" s="749"/>
      <c r="BP32" s="749"/>
      <c r="BQ32" s="749"/>
      <c r="BR32" s="749"/>
      <c r="BS32" s="749"/>
      <c r="BT32" s="749"/>
      <c r="BU32" s="749"/>
      <c r="BV32" s="750"/>
      <c r="BW32" s="750"/>
      <c r="BX32" s="750"/>
      <c r="BY32" s="750"/>
      <c r="BZ32" s="750"/>
      <c r="CA32" s="750"/>
      <c r="CB32" s="750"/>
      <c r="CC32" s="750"/>
      <c r="CD32" s="750"/>
      <c r="CE32" s="750"/>
      <c r="CF32" s="7954"/>
    </row>
    <row customHeight="1" ht="15" hidden="1">
      <c r="A33" s="747"/>
      <c r="B33" s="748"/>
      <c r="C33" s="748"/>
      <c r="D33" s="2716"/>
      <c r="E33" s="2514" t="s">
        <v>676</v>
      </c>
      <c r="F33" s="2515"/>
      <c r="G33" s="2516"/>
      <c r="H33" s="2520" t="str">
        <f>IF(A32="","",INDEX(DIFFERENTIATION_UNMERGE_AREA,MATCH(A32,DIFFERENTIATION_ID_DIFF,0)))</f>
        <v>Территория 3</v>
      </c>
      <c r="I33" s="2520"/>
      <c r="J33" s="2520"/>
      <c r="K33" s="2520"/>
      <c r="L33" s="2520"/>
      <c r="M33" s="2520"/>
      <c r="N33" s="2520"/>
      <c r="O33" s="2520"/>
      <c r="P33" s="2520"/>
      <c r="Q33" s="2520"/>
      <c r="R33" s="2520"/>
      <c r="S33" s="843"/>
      <c r="T33" s="840"/>
      <c r="U33" s="749"/>
      <c r="V33" s="749"/>
      <c r="W33" s="750"/>
      <c r="X33" s="750"/>
      <c r="Y33" s="750"/>
      <c r="Z33" s="750"/>
      <c r="AA33" s="751"/>
      <c r="AB33" s="752"/>
      <c r="AC33" s="2512"/>
      <c r="AD33" s="753"/>
      <c r="AE33" s="754"/>
      <c r="AF33" s="754"/>
      <c r="AG33" s="755"/>
      <c r="AH33" s="756"/>
      <c r="AI33" s="749"/>
      <c r="AJ33" s="749"/>
      <c r="AK33" s="749"/>
      <c r="AL33" s="749"/>
      <c r="AM33" s="749"/>
      <c r="AN33" s="749"/>
      <c r="AO33" s="749"/>
      <c r="AP33" s="749"/>
      <c r="AQ33" s="749"/>
      <c r="AR33" s="749"/>
      <c r="AS33" s="749"/>
      <c r="AT33" s="749"/>
      <c r="AU33" s="749"/>
      <c r="AV33" s="749"/>
      <c r="AW33" s="749"/>
      <c r="AX33" s="749"/>
      <c r="AY33" s="749"/>
      <c r="AZ33" s="749"/>
      <c r="BA33" s="749"/>
      <c r="BB33" s="749"/>
      <c r="BC33" s="749"/>
      <c r="BD33" s="749"/>
      <c r="BE33" s="749"/>
      <c r="BF33" s="749"/>
      <c r="BG33" s="749"/>
      <c r="BH33" s="749"/>
      <c r="BI33" s="749"/>
      <c r="BJ33" s="749"/>
      <c r="BK33" s="749"/>
      <c r="BL33" s="749"/>
      <c r="BM33" s="749"/>
      <c r="BN33" s="749"/>
      <c r="BO33" s="749"/>
      <c r="BP33" s="749"/>
      <c r="BQ33" s="749"/>
      <c r="BR33" s="749"/>
      <c r="BS33" s="749"/>
      <c r="BT33" s="749"/>
      <c r="BU33" s="749"/>
      <c r="BV33" s="750"/>
      <c r="BW33" s="750"/>
      <c r="BX33" s="750"/>
      <c r="BY33" s="750"/>
      <c r="BZ33" s="750"/>
      <c r="CA33" s="750"/>
      <c r="CB33" s="750"/>
      <c r="CC33" s="750"/>
      <c r="CD33" s="750"/>
      <c r="CE33" s="750"/>
      <c r="CF33" s="7954"/>
    </row>
    <row customHeight="1" ht="15" hidden="1">
      <c r="A34" s="747"/>
      <c r="B34" s="748"/>
      <c r="C34" s="748"/>
      <c r="D34" s="2716"/>
      <c r="E34" s="2514" t="s">
        <v>677</v>
      </c>
      <c r="F34" s="2515"/>
      <c r="G34" s="2516"/>
      <c r="H34" s="2520" t="str">
        <f>IF(A32="","",INDEX(DIFFERENTIATION_UNMERGE_SYSTEM,MATCH(A32,DIFFERENTIATION_ID_DIFF,0)))</f>
        <v>без дифференциации</v>
      </c>
      <c r="I34" s="2520"/>
      <c r="J34" s="2520"/>
      <c r="K34" s="2520"/>
      <c r="L34" s="2520"/>
      <c r="M34" s="2520"/>
      <c r="N34" s="2520"/>
      <c r="O34" s="2520"/>
      <c r="P34" s="2520"/>
      <c r="Q34" s="2520"/>
      <c r="R34" s="2520"/>
      <c r="S34" s="843"/>
      <c r="T34" s="840"/>
      <c r="U34" s="749"/>
      <c r="V34" s="749"/>
      <c r="W34" s="750"/>
      <c r="X34" s="750"/>
      <c r="Y34" s="750"/>
      <c r="Z34" s="750"/>
      <c r="AA34" s="751"/>
      <c r="AB34" s="752"/>
      <c r="AC34" s="2512"/>
      <c r="AD34" s="753"/>
      <c r="AE34" s="754"/>
      <c r="AF34" s="754"/>
      <c r="AG34" s="755"/>
      <c r="AH34" s="756"/>
      <c r="AI34" s="749"/>
      <c r="AJ34" s="749"/>
      <c r="AK34" s="749"/>
      <c r="AL34" s="749"/>
      <c r="AM34" s="749"/>
      <c r="AN34" s="749"/>
      <c r="AO34" s="749"/>
      <c r="AP34" s="749"/>
      <c r="AQ34" s="749"/>
      <c r="AR34" s="749"/>
      <c r="AS34" s="749"/>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49"/>
      <c r="BR34" s="749"/>
      <c r="BS34" s="749"/>
      <c r="BT34" s="749"/>
      <c r="BU34" s="749"/>
      <c r="BV34" s="750"/>
      <c r="BW34" s="750"/>
      <c r="BX34" s="750"/>
      <c r="BY34" s="750"/>
      <c r="BZ34" s="750"/>
      <c r="CA34" s="750"/>
      <c r="CB34" s="750"/>
      <c r="CC34" s="750"/>
      <c r="CD34" s="750"/>
      <c r="CE34" s="750"/>
      <c r="CF34" s="7954"/>
    </row>
    <row customHeight="1" ht="24.75" hidden="1">
      <c r="A35" s="1929"/>
      <c r="B35" s="1284"/>
      <c r="C35" s="536"/>
      <c r="D35" s="2716"/>
      <c r="E35" s="2513" t="s">
        <v>746</v>
      </c>
      <c r="F35" s="2513"/>
      <c r="G35" s="2513"/>
      <c r="H35" s="2513"/>
      <c r="I35" s="2513"/>
      <c r="J35" s="2513"/>
      <c r="K35" s="2513"/>
      <c r="L35" s="2513"/>
      <c r="M35" s="2513"/>
      <c r="N35" s="2513"/>
      <c r="O35" s="2513"/>
      <c r="P35" s="2513"/>
      <c r="Q35" s="682">
        <f>SUMIF(T36:T37,"i",Q36:Q37)</f>
        <v>0</v>
      </c>
      <c r="R35" s="1141"/>
      <c r="S35" s="1921" t="s">
        <v>747</v>
      </c>
      <c r="T35" s="841" t="s">
        <v>748</v>
      </c>
      <c r="U35" s="2511">
        <v>1</v>
      </c>
      <c r="V35" s="2511" t="str">
        <f>INDEX(B_FHD_FLAG_INDEX_1,1,MATCH(A32,B_FHD_FLAG_DIFFERENTIATION,0))</f>
        <v>отсутствует</v>
      </c>
      <c r="W35" s="1284"/>
      <c r="X35" s="1284"/>
      <c r="Y35" s="1284"/>
      <c r="Z35" s="1284"/>
      <c r="AA35" s="1760"/>
      <c r="AB35" s="1284"/>
      <c r="AC35" s="2512"/>
      <c r="AD35" s="753"/>
      <c r="AE35" s="1284"/>
      <c r="AF35" s="1284"/>
      <c r="AG35" s="1760"/>
      <c r="AH35" s="1760"/>
      <c r="AI35" s="1760"/>
      <c r="AJ35" s="1760"/>
      <c r="AK35" s="1760"/>
      <c r="AL35" s="1760"/>
      <c r="AM35" s="1760"/>
      <c r="AN35" s="1760"/>
      <c r="AO35" s="1760"/>
      <c r="AP35" s="1760"/>
      <c r="AQ35" s="1760"/>
      <c r="AR35" s="1760"/>
      <c r="AS35" s="1760"/>
      <c r="AT35" s="1760"/>
      <c r="AU35" s="1760"/>
      <c r="AV35" s="1760"/>
      <c r="AW35" s="1760"/>
      <c r="AX35" s="1760"/>
      <c r="AY35" s="1760"/>
      <c r="AZ35" s="1760"/>
      <c r="BA35" s="1760"/>
      <c r="BB35" s="1760"/>
      <c r="BC35" s="1760"/>
      <c r="BD35" s="1760"/>
      <c r="BE35" s="1760"/>
      <c r="BF35" s="1760"/>
      <c r="BG35" s="1760"/>
      <c r="BH35" s="1760"/>
      <c r="BI35" s="1760"/>
      <c r="BJ35" s="1760"/>
      <c r="BK35" s="1760"/>
      <c r="BL35" s="1760"/>
      <c r="BM35" s="1760"/>
      <c r="BN35" s="1760"/>
      <c r="BO35" s="1760"/>
      <c r="BP35" s="1760"/>
      <c r="BQ35" s="1760"/>
      <c r="BR35" s="1760"/>
      <c r="BS35" s="1760"/>
      <c r="BT35" s="1760"/>
      <c r="BU35" s="1760"/>
      <c r="BV35" s="1284"/>
      <c r="BW35" s="1284"/>
      <c r="BX35" s="1284"/>
      <c r="BY35" s="1284"/>
      <c r="BZ35" s="1284"/>
      <c r="CA35" s="1284"/>
      <c r="CB35" s="1284"/>
      <c r="CC35" s="1284"/>
      <c r="CD35" s="1284"/>
      <c r="CE35" s="1284"/>
      <c r="CF35" s="7954"/>
    </row>
    <row customHeight="1" ht="11.25" hidden="1">
      <c r="A36" s="1916"/>
      <c r="B36" s="1760"/>
      <c r="C36" s="1760"/>
      <c r="D36" s="2716"/>
      <c r="E36" s="759"/>
      <c r="F36" s="759">
        <v>0</v>
      </c>
      <c r="G36" s="759"/>
      <c r="H36" s="759"/>
      <c r="I36" s="759"/>
      <c r="J36" s="759"/>
      <c r="K36" s="759"/>
      <c r="L36" s="759"/>
      <c r="M36" s="759"/>
      <c r="N36" s="759"/>
      <c r="O36" s="759"/>
      <c r="P36" s="759"/>
      <c r="Q36" s="759"/>
      <c r="R36" s="759"/>
      <c r="S36" s="760"/>
      <c r="T36" s="842"/>
      <c r="U36" s="2511"/>
      <c r="V36" s="2511"/>
      <c r="W36" s="1760"/>
      <c r="X36" s="1760"/>
      <c r="Y36" s="1760"/>
      <c r="Z36" s="1760"/>
      <c r="AA36" s="1760"/>
      <c r="AB36" s="1284"/>
      <c r="AC36" s="2512"/>
      <c r="AD36" s="753"/>
      <c r="AE36" s="1284"/>
      <c r="AF36" s="1284"/>
      <c r="AG36" s="1760"/>
      <c r="AH36" s="1760"/>
      <c r="AI36" s="1760"/>
      <c r="AJ36" s="1760"/>
      <c r="AK36" s="1760"/>
      <c r="AL36" s="1760"/>
      <c r="AM36" s="1760"/>
      <c r="AN36" s="1760"/>
      <c r="AO36" s="1760"/>
      <c r="AP36" s="1760"/>
      <c r="AQ36" s="1760"/>
      <c r="AR36" s="1760"/>
      <c r="AS36" s="1760"/>
      <c r="AT36" s="1760"/>
      <c r="AU36" s="1760"/>
      <c r="AV36" s="1760"/>
      <c r="AW36" s="1760"/>
      <c r="AX36" s="1760"/>
      <c r="AY36" s="1760"/>
      <c r="AZ36" s="1760"/>
      <c r="BA36" s="1760"/>
      <c r="BB36" s="1760"/>
      <c r="BC36" s="1760"/>
      <c r="BD36" s="1760"/>
      <c r="BE36" s="1760"/>
      <c r="BF36" s="1760"/>
      <c r="BG36" s="1760"/>
      <c r="BH36" s="1760"/>
      <c r="BI36" s="1760"/>
      <c r="BJ36" s="1760"/>
      <c r="BK36" s="1760"/>
      <c r="BL36" s="1760"/>
      <c r="BM36" s="1760"/>
      <c r="BN36" s="1760"/>
      <c r="BO36" s="1760"/>
      <c r="BP36" s="1760"/>
      <c r="BQ36" s="1760"/>
      <c r="BR36" s="1760"/>
      <c r="BS36" s="1760"/>
      <c r="BT36" s="1760"/>
      <c r="BU36" s="1760"/>
      <c r="BV36" s="1760"/>
      <c r="BW36" s="1760"/>
      <c r="BX36" s="1760"/>
      <c r="BY36" s="1760"/>
      <c r="BZ36" s="1760"/>
      <c r="CA36" s="1760"/>
      <c r="CB36" s="1760"/>
      <c r="CC36" s="1760"/>
      <c r="CD36" s="1760"/>
      <c r="CE36" s="1760"/>
      <c r="CF36" s="7954"/>
    </row>
    <row customHeight="1" ht="11.25" hidden="1">
      <c r="A37" s="1929"/>
      <c r="B37" s="1284"/>
      <c r="C37" s="536"/>
      <c r="D37" s="2716"/>
      <c r="E37" s="773" t="s">
        <v>22</v>
      </c>
      <c r="F37" s="1292" t="s">
        <v>22</v>
      </c>
      <c r="G37" s="1292" t="s">
        <v>751</v>
      </c>
      <c r="H37" s="775" t="s">
        <v>22</v>
      </c>
      <c r="I37" s="775"/>
      <c r="J37" s="775"/>
      <c r="K37" s="775"/>
      <c r="L37" s="775"/>
      <c r="M37" s="775"/>
      <c r="N37" s="775"/>
      <c r="O37" s="775"/>
      <c r="P37" s="775"/>
      <c r="Q37" s="775"/>
      <c r="R37" s="776"/>
      <c r="S37" s="777"/>
      <c r="T37" s="842"/>
      <c r="U37" s="2511"/>
      <c r="V37" s="2511"/>
      <c r="W37" s="1284"/>
      <c r="X37" s="1284"/>
      <c r="Y37" s="1284"/>
      <c r="Z37" s="1284"/>
      <c r="AA37" s="1760"/>
      <c r="AB37" s="1284"/>
      <c r="AC37" s="2512"/>
      <c r="AD37" s="753"/>
      <c r="AE37" s="1284"/>
      <c r="AF37" s="1284"/>
      <c r="AG37" s="1760"/>
      <c r="AH37" s="1760"/>
      <c r="AI37" s="1760"/>
      <c r="AJ37" s="1760"/>
      <c r="AK37" s="1760"/>
      <c r="AL37" s="1760"/>
      <c r="AM37" s="1760"/>
      <c r="AN37" s="1760"/>
      <c r="AO37" s="1760"/>
      <c r="AP37" s="1760"/>
      <c r="AQ37" s="1760"/>
      <c r="AR37" s="1760"/>
      <c r="AS37" s="1760"/>
      <c r="AT37" s="1760"/>
      <c r="AU37" s="1760"/>
      <c r="AV37" s="1760"/>
      <c r="AW37" s="1760"/>
      <c r="AX37" s="1760"/>
      <c r="AY37" s="1760"/>
      <c r="AZ37" s="1760"/>
      <c r="BA37" s="1760"/>
      <c r="BB37" s="1760"/>
      <c r="BC37" s="1760"/>
      <c r="BD37" s="1760"/>
      <c r="BE37" s="1760"/>
      <c r="BF37" s="1760"/>
      <c r="BG37" s="1760"/>
      <c r="BH37" s="1760"/>
      <c r="BI37" s="1760"/>
      <c r="BJ37" s="1760"/>
      <c r="BK37" s="1760"/>
      <c r="BL37" s="1760"/>
      <c r="BM37" s="1760"/>
      <c r="BN37" s="1760"/>
      <c r="BO37" s="1760"/>
      <c r="BP37" s="1760"/>
      <c r="BQ37" s="1760"/>
      <c r="BR37" s="1760"/>
      <c r="BS37" s="1760"/>
      <c r="BT37" s="1760"/>
      <c r="BU37" s="1760"/>
      <c r="BV37" s="1284"/>
      <c r="BW37" s="1284"/>
      <c r="BX37" s="1284"/>
      <c r="BY37" s="1284"/>
      <c r="BZ37" s="1284"/>
      <c r="CA37" s="1284"/>
      <c r="CB37" s="1284"/>
      <c r="CC37" s="1284"/>
      <c r="CD37" s="1284"/>
      <c r="CE37" s="1284"/>
      <c r="CF37" s="7954"/>
    </row>
    <row customHeight="1" ht="5.25" hidden="1">
      <c r="A38" s="1916"/>
      <c r="B38" s="1760"/>
      <c r="C38" s="1760"/>
      <c r="D38" s="2716"/>
      <c r="E38" s="1163"/>
      <c r="F38" s="1163"/>
      <c r="G38" s="1163"/>
      <c r="H38" s="1163"/>
      <c r="I38" s="1163"/>
      <c r="J38" s="1163"/>
      <c r="K38" s="1163"/>
      <c r="L38" s="1163"/>
      <c r="M38" s="1163"/>
      <c r="N38" s="1163"/>
      <c r="O38" s="1163"/>
      <c r="P38" s="1163"/>
      <c r="Q38" s="1164"/>
      <c r="R38" s="1165"/>
      <c r="S38" s="1166"/>
      <c r="T38" s="841" t="s">
        <v>748</v>
      </c>
      <c r="U38" s="2511">
        <v>1</v>
      </c>
      <c r="V38" s="2511" t="s">
        <v>693</v>
      </c>
      <c r="W38" s="1760"/>
      <c r="X38" s="1760"/>
      <c r="Y38" s="1760"/>
      <c r="Z38" s="1760"/>
      <c r="AA38" s="1760"/>
      <c r="AB38" s="1760"/>
      <c r="AC38" s="1161"/>
      <c r="AD38" s="1162"/>
      <c r="AE38" s="1760"/>
      <c r="AF38" s="1760"/>
      <c r="AG38" s="1760"/>
      <c r="AH38" s="1760"/>
      <c r="AI38" s="1760"/>
      <c r="AJ38" s="1760"/>
      <c r="AK38" s="1760"/>
      <c r="AL38" s="1760"/>
      <c r="AM38" s="1760"/>
      <c r="AN38" s="1760"/>
      <c r="AO38" s="1760"/>
      <c r="AP38" s="1760"/>
      <c r="AQ38" s="1760"/>
      <c r="AR38" s="1760"/>
      <c r="AS38" s="1760"/>
      <c r="AT38" s="1760"/>
      <c r="AU38" s="1760"/>
      <c r="AV38" s="1760"/>
      <c r="AW38" s="1760"/>
      <c r="AX38" s="1760"/>
      <c r="AY38" s="1760"/>
      <c r="AZ38" s="1760"/>
      <c r="BA38" s="1760"/>
      <c r="BB38" s="1760"/>
      <c r="BC38" s="1760"/>
      <c r="BD38" s="1760"/>
      <c r="BE38" s="1760"/>
      <c r="BF38" s="1760"/>
      <c r="BG38" s="1760"/>
      <c r="BH38" s="1760"/>
      <c r="BI38" s="1760"/>
      <c r="BJ38" s="1760"/>
      <c r="BK38" s="1760"/>
      <c r="BL38" s="1760"/>
      <c r="BM38" s="1760"/>
      <c r="BN38" s="1760"/>
      <c r="BO38" s="1760"/>
      <c r="BP38" s="1760"/>
      <c r="BQ38" s="1760"/>
      <c r="BR38" s="1760"/>
      <c r="BS38" s="1760"/>
      <c r="BT38" s="1760"/>
      <c r="BU38" s="1760"/>
      <c r="BV38" s="1760"/>
      <c r="BW38" s="1760"/>
      <c r="BX38" s="1760"/>
      <c r="BY38" s="1760"/>
      <c r="BZ38" s="1760"/>
      <c r="CA38" s="1760"/>
      <c r="CB38" s="1760"/>
      <c r="CC38" s="1760"/>
      <c r="CD38" s="1760"/>
      <c r="CE38" s="1760"/>
      <c r="CF38" s="7914"/>
    </row>
    <row customHeight="1" ht="5.25" hidden="1">
      <c r="A39" s="1916"/>
      <c r="B39" s="1760"/>
      <c r="C39" s="1760"/>
      <c r="D39" s="2716"/>
      <c r="E39" s="759"/>
      <c r="F39" s="759"/>
      <c r="G39" s="759"/>
      <c r="H39" s="759"/>
      <c r="I39" s="759"/>
      <c r="J39" s="759"/>
      <c r="K39" s="759"/>
      <c r="L39" s="759"/>
      <c r="M39" s="759"/>
      <c r="N39" s="759"/>
      <c r="O39" s="759"/>
      <c r="P39" s="759"/>
      <c r="Q39" s="759"/>
      <c r="R39" s="759"/>
      <c r="S39" s="760"/>
      <c r="T39" s="842"/>
      <c r="U39" s="2511"/>
      <c r="V39" s="2511"/>
      <c r="W39" s="1760"/>
      <c r="X39" s="1760"/>
      <c r="Y39" s="1760"/>
      <c r="Z39" s="1760"/>
      <c r="AA39" s="1760"/>
      <c r="AB39" s="1760"/>
      <c r="AC39" s="1161"/>
      <c r="AD39" s="1162"/>
      <c r="AE39" s="1760"/>
      <c r="AF39" s="1760"/>
      <c r="AG39" s="1760"/>
      <c r="AH39" s="1760"/>
      <c r="AI39" s="1760"/>
      <c r="AJ39" s="1760"/>
      <c r="AK39" s="1760"/>
      <c r="AL39" s="1760"/>
      <c r="AM39" s="1760"/>
      <c r="AN39" s="1760"/>
      <c r="AO39" s="1760"/>
      <c r="AP39" s="1760"/>
      <c r="AQ39" s="1760"/>
      <c r="AR39" s="1760"/>
      <c r="AS39" s="1760"/>
      <c r="AT39" s="1760"/>
      <c r="AU39" s="1760"/>
      <c r="AV39" s="1760"/>
      <c r="AW39" s="1760"/>
      <c r="AX39" s="1760"/>
      <c r="AY39" s="1760"/>
      <c r="AZ39" s="1760"/>
      <c r="BA39" s="1760"/>
      <c r="BB39" s="1760"/>
      <c r="BC39" s="1760"/>
      <c r="BD39" s="1760"/>
      <c r="BE39" s="1760"/>
      <c r="BF39" s="1760"/>
      <c r="BG39" s="1760"/>
      <c r="BH39" s="1760"/>
      <c r="BI39" s="1760"/>
      <c r="BJ39" s="1760"/>
      <c r="BK39" s="1760"/>
      <c r="BL39" s="1760"/>
      <c r="BM39" s="1760"/>
      <c r="BN39" s="1760"/>
      <c r="BO39" s="1760"/>
      <c r="BP39" s="1760"/>
      <c r="BQ39" s="1760"/>
      <c r="BR39" s="1760"/>
      <c r="BS39" s="1760"/>
      <c r="BT39" s="1760"/>
      <c r="BU39" s="1760"/>
      <c r="BV39" s="1760"/>
      <c r="BW39" s="1760"/>
      <c r="BX39" s="1760"/>
      <c r="BY39" s="1760"/>
      <c r="BZ39" s="1760"/>
      <c r="CA39" s="1760"/>
      <c r="CB39" s="1760"/>
      <c r="CC39" s="1760"/>
      <c r="CD39" s="1760"/>
      <c r="CE39" s="1760"/>
      <c r="CF39" s="7914"/>
    </row>
    <row customHeight="1" ht="5.25" hidden="1">
      <c r="A40" s="1916"/>
      <c r="B40" s="1760"/>
      <c r="C40" s="1760"/>
      <c r="D40" s="2717"/>
      <c r="E40" s="1167"/>
      <c r="F40" s="1168"/>
      <c r="G40" s="1168"/>
      <c r="H40" s="1169"/>
      <c r="I40" s="1169"/>
      <c r="J40" s="1169"/>
      <c r="K40" s="1169"/>
      <c r="L40" s="1169"/>
      <c r="M40" s="1169"/>
      <c r="N40" s="1169"/>
      <c r="O40" s="1169"/>
      <c r="P40" s="1169"/>
      <c r="Q40" s="1169"/>
      <c r="R40" s="1070"/>
      <c r="S40" s="1170"/>
      <c r="T40" s="842"/>
      <c r="U40" s="2511"/>
      <c r="V40" s="2511"/>
      <c r="W40" s="1760"/>
      <c r="X40" s="1760"/>
      <c r="Y40" s="1760"/>
      <c r="Z40" s="1760"/>
      <c r="AA40" s="1760"/>
      <c r="AB40" s="1760"/>
      <c r="AC40" s="1161"/>
      <c r="AD40" s="1162"/>
      <c r="AE40" s="1760"/>
      <c r="AF40" s="1760"/>
      <c r="AG40" s="1760"/>
      <c r="AH40" s="1760"/>
      <c r="AI40" s="1760"/>
      <c r="AJ40" s="1760"/>
      <c r="AK40" s="1760"/>
      <c r="AL40" s="1760"/>
      <c r="AM40" s="1760"/>
      <c r="AN40" s="1760"/>
      <c r="AO40" s="1760"/>
      <c r="AP40" s="1760"/>
      <c r="AQ40" s="1760"/>
      <c r="AR40" s="1760"/>
      <c r="AS40" s="1760"/>
      <c r="AT40" s="1760"/>
      <c r="AU40" s="1760"/>
      <c r="AV40" s="1760"/>
      <c r="AW40" s="1760"/>
      <c r="AX40" s="1760"/>
      <c r="AY40" s="1760"/>
      <c r="AZ40" s="1760"/>
      <c r="BA40" s="1760"/>
      <c r="BB40" s="1760"/>
      <c r="BC40" s="1760"/>
      <c r="BD40" s="1760"/>
      <c r="BE40" s="1760"/>
      <c r="BF40" s="1760"/>
      <c r="BG40" s="1760"/>
      <c r="BH40" s="1760"/>
      <c r="BI40" s="1760"/>
      <c r="BJ40" s="1760"/>
      <c r="BK40" s="1760"/>
      <c r="BL40" s="1760"/>
      <c r="BM40" s="1760"/>
      <c r="BN40" s="1760"/>
      <c r="BO40" s="1760"/>
      <c r="BP40" s="1760"/>
      <c r="BQ40" s="1760"/>
      <c r="BR40" s="1760"/>
      <c r="BS40" s="1760"/>
      <c r="BT40" s="1760"/>
      <c r="BU40" s="1760"/>
      <c r="BV40" s="1760"/>
      <c r="BW40" s="1760"/>
      <c r="BX40" s="1760"/>
      <c r="BY40" s="1760"/>
      <c r="BZ40" s="1760"/>
      <c r="CA40" s="1760"/>
      <c r="CB40" s="1760"/>
      <c r="CC40" s="1760"/>
      <c r="CD40" s="1760"/>
      <c r="CE40" s="1760"/>
      <c r="CF40" s="7914"/>
    </row>
    <row customHeight="1" ht="15" hidden="1">
      <c r="A41" s="747" t="s">
        <v>221</v>
      </c>
      <c r="B41" s="748"/>
      <c r="C41" s="748" t="s">
        <v>22</v>
      </c>
      <c r="D41" s="2715" t="s">
        <v>753</v>
      </c>
      <c r="E41" s="2514" t="s">
        <v>206</v>
      </c>
      <c r="F41" s="2515"/>
      <c r="G41" s="2516"/>
      <c r="H41" s="2520" t="str">
        <f>IF(A41="","",INDEX(DIFFERENTIATION_UNMERGE_VD,MATCH(A41,DIFFERENTIATION_ID_DIFF,0)))</f>
        <v>Производство тепловой энергии. Некомбинированная выработка</v>
      </c>
      <c r="I41" s="2520"/>
      <c r="J41" s="2520"/>
      <c r="K41" s="2520"/>
      <c r="L41" s="2520"/>
      <c r="M41" s="2520"/>
      <c r="N41" s="2520"/>
      <c r="O41" s="2520"/>
      <c r="P41" s="2520"/>
      <c r="Q41" s="2520"/>
      <c r="R41" s="2520"/>
      <c r="S41" s="843"/>
      <c r="T41" s="840"/>
      <c r="U41" s="749"/>
      <c r="V41" s="749"/>
      <c r="W41" s="750"/>
      <c r="X41" s="750"/>
      <c r="Y41" s="750"/>
      <c r="Z41" s="750"/>
      <c r="AA41" s="751"/>
      <c r="AB41" s="752"/>
      <c r="AC41" s="2512"/>
      <c r="AD41" s="753"/>
      <c r="AE41" s="754" t="s">
        <v>22</v>
      </c>
      <c r="AF41" s="754"/>
      <c r="AG41" s="755" t="s">
        <v>745</v>
      </c>
      <c r="AH41" s="756">
        <v>3</v>
      </c>
      <c r="AI41" s="749"/>
      <c r="AJ41" s="749"/>
      <c r="AK41" s="749"/>
      <c r="AL41" s="749"/>
      <c r="AM41" s="749"/>
      <c r="AN41" s="749"/>
      <c r="AO41" s="749"/>
      <c r="AP41" s="749"/>
      <c r="AQ41" s="749"/>
      <c r="AR41" s="749"/>
      <c r="AS41" s="749"/>
      <c r="AT41" s="749"/>
      <c r="AU41" s="749"/>
      <c r="AV41" s="749"/>
      <c r="AW41" s="749"/>
      <c r="AX41" s="749"/>
      <c r="AY41" s="749"/>
      <c r="AZ41" s="749"/>
      <c r="BA41" s="749"/>
      <c r="BB41" s="749"/>
      <c r="BC41" s="749"/>
      <c r="BD41" s="749"/>
      <c r="BE41" s="749"/>
      <c r="BF41" s="749"/>
      <c r="BG41" s="749"/>
      <c r="BH41" s="749"/>
      <c r="BI41" s="749"/>
      <c r="BJ41" s="749"/>
      <c r="BK41" s="749"/>
      <c r="BL41" s="749"/>
      <c r="BM41" s="749"/>
      <c r="BN41" s="749"/>
      <c r="BO41" s="749"/>
      <c r="BP41" s="749"/>
      <c r="BQ41" s="749"/>
      <c r="BR41" s="749"/>
      <c r="BS41" s="749"/>
      <c r="BT41" s="749"/>
      <c r="BU41" s="749"/>
      <c r="BV41" s="750"/>
      <c r="BW41" s="750"/>
      <c r="BX41" s="750"/>
      <c r="BY41" s="750"/>
      <c r="BZ41" s="750"/>
      <c r="CA41" s="750"/>
      <c r="CB41" s="750"/>
      <c r="CC41" s="750"/>
      <c r="CD41" s="750"/>
      <c r="CE41" s="750"/>
      <c r="CF41" s="7954"/>
    </row>
    <row customHeight="1" ht="15" hidden="1">
      <c r="A42" s="747"/>
      <c r="B42" s="748"/>
      <c r="C42" s="748"/>
      <c r="D42" s="2716"/>
      <c r="E42" s="2514" t="s">
        <v>676</v>
      </c>
      <c r="F42" s="2515"/>
      <c r="G42" s="2516"/>
      <c r="H42" s="2520" t="str">
        <f>IF(A41="","",INDEX(DIFFERENTIATION_UNMERGE_AREA,MATCH(A41,DIFFERENTIATION_ID_DIFF,0)))</f>
        <v>Территория 4</v>
      </c>
      <c r="I42" s="2520"/>
      <c r="J42" s="2520"/>
      <c r="K42" s="2520"/>
      <c r="L42" s="2520"/>
      <c r="M42" s="2520"/>
      <c r="N42" s="2520"/>
      <c r="O42" s="2520"/>
      <c r="P42" s="2520"/>
      <c r="Q42" s="2520"/>
      <c r="R42" s="2520"/>
      <c r="S42" s="843"/>
      <c r="T42" s="840"/>
      <c r="U42" s="749"/>
      <c r="V42" s="749"/>
      <c r="W42" s="750"/>
      <c r="X42" s="750"/>
      <c r="Y42" s="750"/>
      <c r="Z42" s="750"/>
      <c r="AA42" s="751"/>
      <c r="AB42" s="752"/>
      <c r="AC42" s="2512"/>
      <c r="AD42" s="753"/>
      <c r="AE42" s="754"/>
      <c r="AF42" s="754"/>
      <c r="AG42" s="755"/>
      <c r="AH42" s="756"/>
      <c r="AI42" s="749"/>
      <c r="AJ42" s="749"/>
      <c r="AK42" s="749"/>
      <c r="AL42" s="749"/>
      <c r="AM42" s="749"/>
      <c r="AN42" s="749"/>
      <c r="AO42" s="749"/>
      <c r="AP42" s="749"/>
      <c r="AQ42" s="749"/>
      <c r="AR42" s="749"/>
      <c r="AS42" s="749"/>
      <c r="AT42" s="749"/>
      <c r="AU42" s="749"/>
      <c r="AV42" s="749"/>
      <c r="AW42" s="749"/>
      <c r="AX42" s="749"/>
      <c r="AY42" s="749"/>
      <c r="AZ42" s="749"/>
      <c r="BA42" s="749"/>
      <c r="BB42" s="749"/>
      <c r="BC42" s="749"/>
      <c r="BD42" s="749"/>
      <c r="BE42" s="749"/>
      <c r="BF42" s="749"/>
      <c r="BG42" s="749"/>
      <c r="BH42" s="749"/>
      <c r="BI42" s="749"/>
      <c r="BJ42" s="749"/>
      <c r="BK42" s="749"/>
      <c r="BL42" s="749"/>
      <c r="BM42" s="749"/>
      <c r="BN42" s="749"/>
      <c r="BO42" s="749"/>
      <c r="BP42" s="749"/>
      <c r="BQ42" s="749"/>
      <c r="BR42" s="749"/>
      <c r="BS42" s="749"/>
      <c r="BT42" s="749"/>
      <c r="BU42" s="749"/>
      <c r="BV42" s="750"/>
      <c r="BW42" s="750"/>
      <c r="BX42" s="750"/>
      <c r="BY42" s="750"/>
      <c r="BZ42" s="750"/>
      <c r="CA42" s="750"/>
      <c r="CB42" s="750"/>
      <c r="CC42" s="750"/>
      <c r="CD42" s="750"/>
      <c r="CE42" s="750"/>
      <c r="CF42" s="7954"/>
    </row>
    <row customHeight="1" ht="15" hidden="1">
      <c r="A43" s="747"/>
      <c r="B43" s="748"/>
      <c r="C43" s="748"/>
      <c r="D43" s="2716"/>
      <c r="E43" s="2514" t="s">
        <v>677</v>
      </c>
      <c r="F43" s="2515"/>
      <c r="G43" s="2516"/>
      <c r="H43" s="2520" t="str">
        <f>IF(A41="","",INDEX(DIFFERENTIATION_UNMERGE_SYSTEM,MATCH(A41,DIFFERENTIATION_ID_DIFF,0)))</f>
        <v>без дифференциации</v>
      </c>
      <c r="I43" s="2520"/>
      <c r="J43" s="2520"/>
      <c r="K43" s="2520"/>
      <c r="L43" s="2520"/>
      <c r="M43" s="2520"/>
      <c r="N43" s="2520"/>
      <c r="O43" s="2520"/>
      <c r="P43" s="2520"/>
      <c r="Q43" s="2520"/>
      <c r="R43" s="2520"/>
      <c r="S43" s="843"/>
      <c r="T43" s="840"/>
      <c r="U43" s="749"/>
      <c r="V43" s="749"/>
      <c r="W43" s="750"/>
      <c r="X43" s="750"/>
      <c r="Y43" s="750"/>
      <c r="Z43" s="750"/>
      <c r="AA43" s="751"/>
      <c r="AB43" s="752"/>
      <c r="AC43" s="2512"/>
      <c r="AD43" s="753"/>
      <c r="AE43" s="754"/>
      <c r="AF43" s="754"/>
      <c r="AG43" s="755"/>
      <c r="AH43" s="756"/>
      <c r="AI43" s="749"/>
      <c r="AJ43" s="749"/>
      <c r="AK43" s="749"/>
      <c r="AL43" s="749"/>
      <c r="AM43" s="749"/>
      <c r="AN43" s="749"/>
      <c r="AO43" s="749"/>
      <c r="AP43" s="749"/>
      <c r="AQ43" s="749"/>
      <c r="AR43" s="749"/>
      <c r="AS43" s="749"/>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49"/>
      <c r="BR43" s="749"/>
      <c r="BS43" s="749"/>
      <c r="BT43" s="749"/>
      <c r="BU43" s="749"/>
      <c r="BV43" s="750"/>
      <c r="BW43" s="750"/>
      <c r="BX43" s="750"/>
      <c r="BY43" s="750"/>
      <c r="BZ43" s="750"/>
      <c r="CA43" s="750"/>
      <c r="CB43" s="750"/>
      <c r="CC43" s="750"/>
      <c r="CD43" s="750"/>
      <c r="CE43" s="750"/>
      <c r="CF43" s="7954"/>
    </row>
    <row customHeight="1" ht="24.75" hidden="1">
      <c r="A44" s="1929"/>
      <c r="B44" s="1284"/>
      <c r="C44" s="536"/>
      <c r="D44" s="2716"/>
      <c r="E44" s="2513" t="s">
        <v>746</v>
      </c>
      <c r="F44" s="2513"/>
      <c r="G44" s="2513"/>
      <c r="H44" s="2513"/>
      <c r="I44" s="2513"/>
      <c r="J44" s="2513"/>
      <c r="K44" s="2513"/>
      <c r="L44" s="2513"/>
      <c r="M44" s="2513"/>
      <c r="N44" s="2513"/>
      <c r="O44" s="2513"/>
      <c r="P44" s="2513"/>
      <c r="Q44" s="682">
        <f>SUMIF(T45:T46,"i",Q45:Q46)</f>
        <v>0</v>
      </c>
      <c r="R44" s="1141"/>
      <c r="S44" s="1921" t="s">
        <v>747</v>
      </c>
      <c r="T44" s="841" t="s">
        <v>748</v>
      </c>
      <c r="U44" s="2511">
        <v>1</v>
      </c>
      <c r="V44" s="2511" t="str">
        <f>INDEX(B_FHD_FLAG_INDEX_1,1,MATCH(A41,B_FHD_FLAG_DIFFERENTIATION,0))</f>
        <v>отсутствует</v>
      </c>
      <c r="W44" s="1284"/>
      <c r="X44" s="1284"/>
      <c r="Y44" s="1284"/>
      <c r="Z44" s="1284"/>
      <c r="AA44" s="1760"/>
      <c r="AB44" s="1284"/>
      <c r="AC44" s="2512"/>
      <c r="AD44" s="753"/>
      <c r="AE44" s="1284"/>
      <c r="AF44" s="1284"/>
      <c r="AG44" s="1760"/>
      <c r="AH44" s="1760"/>
      <c r="AI44" s="1760"/>
      <c r="AJ44" s="1760"/>
      <c r="AK44" s="1760"/>
      <c r="AL44" s="1760"/>
      <c r="AM44" s="1760"/>
      <c r="AN44" s="1760"/>
      <c r="AO44" s="1760"/>
      <c r="AP44" s="1760"/>
      <c r="AQ44" s="1760"/>
      <c r="AR44" s="1760"/>
      <c r="AS44" s="1760"/>
      <c r="AT44" s="1760"/>
      <c r="AU44" s="1760"/>
      <c r="AV44" s="1760"/>
      <c r="AW44" s="1760"/>
      <c r="AX44" s="1760"/>
      <c r="AY44" s="1760"/>
      <c r="AZ44" s="1760"/>
      <c r="BA44" s="1760"/>
      <c r="BB44" s="1760"/>
      <c r="BC44" s="1760"/>
      <c r="BD44" s="1760"/>
      <c r="BE44" s="1760"/>
      <c r="BF44" s="1760"/>
      <c r="BG44" s="1760"/>
      <c r="BH44" s="1760"/>
      <c r="BI44" s="1760"/>
      <c r="BJ44" s="1760"/>
      <c r="BK44" s="1760"/>
      <c r="BL44" s="1760"/>
      <c r="BM44" s="1760"/>
      <c r="BN44" s="1760"/>
      <c r="BO44" s="1760"/>
      <c r="BP44" s="1760"/>
      <c r="BQ44" s="1760"/>
      <c r="BR44" s="1760"/>
      <c r="BS44" s="1760"/>
      <c r="BT44" s="1760"/>
      <c r="BU44" s="1760"/>
      <c r="BV44" s="1284"/>
      <c r="BW44" s="1284"/>
      <c r="BX44" s="1284"/>
      <c r="BY44" s="1284"/>
      <c r="BZ44" s="1284"/>
      <c r="CA44" s="1284"/>
      <c r="CB44" s="1284"/>
      <c r="CC44" s="1284"/>
      <c r="CD44" s="1284"/>
      <c r="CE44" s="1284"/>
      <c r="CF44" s="7954"/>
    </row>
    <row customHeight="1" ht="11.25" hidden="1">
      <c r="A45" s="1916"/>
      <c r="B45" s="1760"/>
      <c r="C45" s="1760"/>
      <c r="D45" s="2716"/>
      <c r="E45" s="759"/>
      <c r="F45" s="759">
        <v>0</v>
      </c>
      <c r="G45" s="759"/>
      <c r="H45" s="759"/>
      <c r="I45" s="759"/>
      <c r="J45" s="759"/>
      <c r="K45" s="759"/>
      <c r="L45" s="759"/>
      <c r="M45" s="759"/>
      <c r="N45" s="759"/>
      <c r="O45" s="759"/>
      <c r="P45" s="759"/>
      <c r="Q45" s="759"/>
      <c r="R45" s="759"/>
      <c r="S45" s="760"/>
      <c r="T45" s="842"/>
      <c r="U45" s="2511"/>
      <c r="V45" s="2511"/>
      <c r="W45" s="1760"/>
      <c r="X45" s="1760"/>
      <c r="Y45" s="1760"/>
      <c r="Z45" s="1760"/>
      <c r="AA45" s="1760"/>
      <c r="AB45" s="1284"/>
      <c r="AC45" s="2512"/>
      <c r="AD45" s="753"/>
      <c r="AE45" s="1284"/>
      <c r="AF45" s="1284"/>
      <c r="AG45" s="1760"/>
      <c r="AH45" s="1760"/>
      <c r="AI45" s="1760"/>
      <c r="AJ45" s="1760"/>
      <c r="AK45" s="1760"/>
      <c r="AL45" s="1760"/>
      <c r="AM45" s="1760"/>
      <c r="AN45" s="1760"/>
      <c r="AO45" s="1760"/>
      <c r="AP45" s="1760"/>
      <c r="AQ45" s="1760"/>
      <c r="AR45" s="1760"/>
      <c r="AS45" s="1760"/>
      <c r="AT45" s="1760"/>
      <c r="AU45" s="1760"/>
      <c r="AV45" s="1760"/>
      <c r="AW45" s="1760"/>
      <c r="AX45" s="1760"/>
      <c r="AY45" s="1760"/>
      <c r="AZ45" s="1760"/>
      <c r="BA45" s="1760"/>
      <c r="BB45" s="1760"/>
      <c r="BC45" s="1760"/>
      <c r="BD45" s="1760"/>
      <c r="BE45" s="1760"/>
      <c r="BF45" s="1760"/>
      <c r="BG45" s="1760"/>
      <c r="BH45" s="1760"/>
      <c r="BI45" s="1760"/>
      <c r="BJ45" s="1760"/>
      <c r="BK45" s="1760"/>
      <c r="BL45" s="1760"/>
      <c r="BM45" s="1760"/>
      <c r="BN45" s="1760"/>
      <c r="BO45" s="1760"/>
      <c r="BP45" s="1760"/>
      <c r="BQ45" s="1760"/>
      <c r="BR45" s="1760"/>
      <c r="BS45" s="1760"/>
      <c r="BT45" s="1760"/>
      <c r="BU45" s="1760"/>
      <c r="BV45" s="1760"/>
      <c r="BW45" s="1760"/>
      <c r="BX45" s="1760"/>
      <c r="BY45" s="1760"/>
      <c r="BZ45" s="1760"/>
      <c r="CA45" s="1760"/>
      <c r="CB45" s="1760"/>
      <c r="CC45" s="1760"/>
      <c r="CD45" s="1760"/>
      <c r="CE45" s="1760"/>
      <c r="CF45" s="7954"/>
    </row>
    <row customHeight="1" ht="11.25" hidden="1">
      <c r="A46" s="1929"/>
      <c r="B46" s="1284"/>
      <c r="C46" s="536"/>
      <c r="D46" s="2716"/>
      <c r="E46" s="773" t="s">
        <v>22</v>
      </c>
      <c r="F46" s="1292" t="s">
        <v>22</v>
      </c>
      <c r="G46" s="1292" t="s">
        <v>751</v>
      </c>
      <c r="H46" s="775" t="s">
        <v>22</v>
      </c>
      <c r="I46" s="775"/>
      <c r="J46" s="775"/>
      <c r="K46" s="775"/>
      <c r="L46" s="775"/>
      <c r="M46" s="775"/>
      <c r="N46" s="775"/>
      <c r="O46" s="775"/>
      <c r="P46" s="775"/>
      <c r="Q46" s="775"/>
      <c r="R46" s="776"/>
      <c r="S46" s="777"/>
      <c r="T46" s="842"/>
      <c r="U46" s="2511"/>
      <c r="V46" s="2511"/>
      <c r="W46" s="1284"/>
      <c r="X46" s="1284"/>
      <c r="Y46" s="1284"/>
      <c r="Z46" s="1284"/>
      <c r="AA46" s="1760"/>
      <c r="AB46" s="1284"/>
      <c r="AC46" s="2512"/>
      <c r="AD46" s="753"/>
      <c r="AE46" s="1284"/>
      <c r="AF46" s="1284"/>
      <c r="AG46" s="1760"/>
      <c r="AH46" s="1760"/>
      <c r="AI46" s="1760"/>
      <c r="AJ46" s="1760"/>
      <c r="AK46" s="1760"/>
      <c r="AL46" s="1760"/>
      <c r="AM46" s="1760"/>
      <c r="AN46" s="1760"/>
      <c r="AO46" s="1760"/>
      <c r="AP46" s="1760"/>
      <c r="AQ46" s="1760"/>
      <c r="AR46" s="1760"/>
      <c r="AS46" s="1760"/>
      <c r="AT46" s="1760"/>
      <c r="AU46" s="1760"/>
      <c r="AV46" s="1760"/>
      <c r="AW46" s="1760"/>
      <c r="AX46" s="1760"/>
      <c r="AY46" s="1760"/>
      <c r="AZ46" s="1760"/>
      <c r="BA46" s="1760"/>
      <c r="BB46" s="1760"/>
      <c r="BC46" s="1760"/>
      <c r="BD46" s="1760"/>
      <c r="BE46" s="1760"/>
      <c r="BF46" s="1760"/>
      <c r="BG46" s="1760"/>
      <c r="BH46" s="1760"/>
      <c r="BI46" s="1760"/>
      <c r="BJ46" s="1760"/>
      <c r="BK46" s="1760"/>
      <c r="BL46" s="1760"/>
      <c r="BM46" s="1760"/>
      <c r="BN46" s="1760"/>
      <c r="BO46" s="1760"/>
      <c r="BP46" s="1760"/>
      <c r="BQ46" s="1760"/>
      <c r="BR46" s="1760"/>
      <c r="BS46" s="1760"/>
      <c r="BT46" s="1760"/>
      <c r="BU46" s="1760"/>
      <c r="BV46" s="1284"/>
      <c r="BW46" s="1284"/>
      <c r="BX46" s="1284"/>
      <c r="BY46" s="1284"/>
      <c r="BZ46" s="1284"/>
      <c r="CA46" s="1284"/>
      <c r="CB46" s="1284"/>
      <c r="CC46" s="1284"/>
      <c r="CD46" s="1284"/>
      <c r="CE46" s="1284"/>
      <c r="CF46" s="7954"/>
    </row>
    <row customHeight="1" ht="5.25" hidden="1">
      <c r="A47" s="1916"/>
      <c r="B47" s="1760"/>
      <c r="C47" s="1760"/>
      <c r="D47" s="2716"/>
      <c r="E47" s="1163"/>
      <c r="F47" s="1163"/>
      <c r="G47" s="1163"/>
      <c r="H47" s="1163"/>
      <c r="I47" s="1163"/>
      <c r="J47" s="1163"/>
      <c r="K47" s="1163"/>
      <c r="L47" s="1163"/>
      <c r="M47" s="1163"/>
      <c r="N47" s="1163"/>
      <c r="O47" s="1163"/>
      <c r="P47" s="1163"/>
      <c r="Q47" s="1164"/>
      <c r="R47" s="1165"/>
      <c r="S47" s="1166"/>
      <c r="T47" s="841" t="s">
        <v>748</v>
      </c>
      <c r="U47" s="2511">
        <v>1</v>
      </c>
      <c r="V47" s="2511" t="s">
        <v>693</v>
      </c>
      <c r="W47" s="1760"/>
      <c r="X47" s="1760"/>
      <c r="Y47" s="1760"/>
      <c r="Z47" s="1760"/>
      <c r="AA47" s="1760"/>
      <c r="AB47" s="1760"/>
      <c r="AC47" s="1161"/>
      <c r="AD47" s="1162"/>
      <c r="AE47" s="1760"/>
      <c r="AF47" s="1760"/>
      <c r="AG47" s="1760"/>
      <c r="AH47" s="1760"/>
      <c r="AI47" s="1760"/>
      <c r="AJ47" s="1760"/>
      <c r="AK47" s="1760"/>
      <c r="AL47" s="1760"/>
      <c r="AM47" s="1760"/>
      <c r="AN47" s="1760"/>
      <c r="AO47" s="1760"/>
      <c r="AP47" s="1760"/>
      <c r="AQ47" s="1760"/>
      <c r="AR47" s="1760"/>
      <c r="AS47" s="1760"/>
      <c r="AT47" s="1760"/>
      <c r="AU47" s="1760"/>
      <c r="AV47" s="1760"/>
      <c r="AW47" s="1760"/>
      <c r="AX47" s="1760"/>
      <c r="AY47" s="1760"/>
      <c r="AZ47" s="1760"/>
      <c r="BA47" s="1760"/>
      <c r="BB47" s="1760"/>
      <c r="BC47" s="1760"/>
      <c r="BD47" s="1760"/>
      <c r="BE47" s="1760"/>
      <c r="BF47" s="1760"/>
      <c r="BG47" s="1760"/>
      <c r="BH47" s="1760"/>
      <c r="BI47" s="1760"/>
      <c r="BJ47" s="1760"/>
      <c r="BK47" s="1760"/>
      <c r="BL47" s="1760"/>
      <c r="BM47" s="1760"/>
      <c r="BN47" s="1760"/>
      <c r="BO47" s="1760"/>
      <c r="BP47" s="1760"/>
      <c r="BQ47" s="1760"/>
      <c r="BR47" s="1760"/>
      <c r="BS47" s="1760"/>
      <c r="BT47" s="1760"/>
      <c r="BU47" s="1760"/>
      <c r="BV47" s="1760"/>
      <c r="BW47" s="1760"/>
      <c r="BX47" s="1760"/>
      <c r="BY47" s="1760"/>
      <c r="BZ47" s="1760"/>
      <c r="CA47" s="1760"/>
      <c r="CB47" s="1760"/>
      <c r="CC47" s="1760"/>
      <c r="CD47" s="1760"/>
      <c r="CE47" s="1760"/>
      <c r="CF47" s="7914"/>
    </row>
    <row customHeight="1" ht="5.25" hidden="1">
      <c r="A48" s="1916"/>
      <c r="B48" s="1760"/>
      <c r="C48" s="1760"/>
      <c r="D48" s="2716"/>
      <c r="E48" s="759"/>
      <c r="F48" s="759"/>
      <c r="G48" s="759"/>
      <c r="H48" s="759"/>
      <c r="I48" s="759"/>
      <c r="J48" s="759"/>
      <c r="K48" s="759"/>
      <c r="L48" s="759"/>
      <c r="M48" s="759"/>
      <c r="N48" s="759"/>
      <c r="O48" s="759"/>
      <c r="P48" s="759"/>
      <c r="Q48" s="759"/>
      <c r="R48" s="759"/>
      <c r="S48" s="760"/>
      <c r="T48" s="842"/>
      <c r="U48" s="2511"/>
      <c r="V48" s="2511"/>
      <c r="W48" s="1760"/>
      <c r="X48" s="1760"/>
      <c r="Y48" s="1760"/>
      <c r="Z48" s="1760"/>
      <c r="AA48" s="1760"/>
      <c r="AB48" s="1760"/>
      <c r="AC48" s="1161"/>
      <c r="AD48" s="1162"/>
      <c r="AE48" s="1760"/>
      <c r="AF48" s="1760"/>
      <c r="AG48" s="1760"/>
      <c r="AH48" s="1760"/>
      <c r="AI48" s="1760"/>
      <c r="AJ48" s="1760"/>
      <c r="AK48" s="1760"/>
      <c r="AL48" s="1760"/>
      <c r="AM48" s="1760"/>
      <c r="AN48" s="1760"/>
      <c r="AO48" s="1760"/>
      <c r="AP48" s="1760"/>
      <c r="AQ48" s="1760"/>
      <c r="AR48" s="1760"/>
      <c r="AS48" s="1760"/>
      <c r="AT48" s="1760"/>
      <c r="AU48" s="1760"/>
      <c r="AV48" s="1760"/>
      <c r="AW48" s="1760"/>
      <c r="AX48" s="1760"/>
      <c r="AY48" s="1760"/>
      <c r="AZ48" s="1760"/>
      <c r="BA48" s="1760"/>
      <c r="BB48" s="1760"/>
      <c r="BC48" s="1760"/>
      <c r="BD48" s="1760"/>
      <c r="BE48" s="1760"/>
      <c r="BF48" s="1760"/>
      <c r="BG48" s="1760"/>
      <c r="BH48" s="1760"/>
      <c r="BI48" s="1760"/>
      <c r="BJ48" s="1760"/>
      <c r="BK48" s="1760"/>
      <c r="BL48" s="1760"/>
      <c r="BM48" s="1760"/>
      <c r="BN48" s="1760"/>
      <c r="BO48" s="1760"/>
      <c r="BP48" s="1760"/>
      <c r="BQ48" s="1760"/>
      <c r="BR48" s="1760"/>
      <c r="BS48" s="1760"/>
      <c r="BT48" s="1760"/>
      <c r="BU48" s="1760"/>
      <c r="BV48" s="1760"/>
      <c r="BW48" s="1760"/>
      <c r="BX48" s="1760"/>
      <c r="BY48" s="1760"/>
      <c r="BZ48" s="1760"/>
      <c r="CA48" s="1760"/>
      <c r="CB48" s="1760"/>
      <c r="CC48" s="1760"/>
      <c r="CD48" s="1760"/>
      <c r="CE48" s="1760"/>
      <c r="CF48" s="7914"/>
    </row>
    <row customHeight="1" ht="5.25" hidden="1">
      <c r="A49" s="1916"/>
      <c r="B49" s="1760"/>
      <c r="C49" s="1760"/>
      <c r="D49" s="2717"/>
      <c r="E49" s="1167"/>
      <c r="F49" s="1168"/>
      <c r="G49" s="1168"/>
      <c r="H49" s="1169"/>
      <c r="I49" s="1169"/>
      <c r="J49" s="1169"/>
      <c r="K49" s="1169"/>
      <c r="L49" s="1169"/>
      <c r="M49" s="1169"/>
      <c r="N49" s="1169"/>
      <c r="O49" s="1169"/>
      <c r="P49" s="1169"/>
      <c r="Q49" s="1169"/>
      <c r="R49" s="1070"/>
      <c r="S49" s="1170"/>
      <c r="T49" s="842"/>
      <c r="U49" s="2511"/>
      <c r="V49" s="2511"/>
      <c r="W49" s="1760"/>
      <c r="X49" s="1760"/>
      <c r="Y49" s="1760"/>
      <c r="Z49" s="1760"/>
      <c r="AA49" s="1760"/>
      <c r="AB49" s="1760"/>
      <c r="AC49" s="1161"/>
      <c r="AD49" s="1162"/>
      <c r="AE49" s="1760"/>
      <c r="AF49" s="1760"/>
      <c r="AG49" s="1760"/>
      <c r="AH49" s="1760"/>
      <c r="AI49" s="1760"/>
      <c r="AJ49" s="1760"/>
      <c r="AK49" s="1760"/>
      <c r="AL49" s="1760"/>
      <c r="AM49" s="1760"/>
      <c r="AN49" s="1760"/>
      <c r="AO49" s="1760"/>
      <c r="AP49" s="1760"/>
      <c r="AQ49" s="1760"/>
      <c r="AR49" s="1760"/>
      <c r="AS49" s="1760"/>
      <c r="AT49" s="1760"/>
      <c r="AU49" s="1760"/>
      <c r="AV49" s="1760"/>
      <c r="AW49" s="1760"/>
      <c r="AX49" s="1760"/>
      <c r="AY49" s="1760"/>
      <c r="AZ49" s="1760"/>
      <c r="BA49" s="1760"/>
      <c r="BB49" s="1760"/>
      <c r="BC49" s="1760"/>
      <c r="BD49" s="1760"/>
      <c r="BE49" s="1760"/>
      <c r="BF49" s="1760"/>
      <c r="BG49" s="1760"/>
      <c r="BH49" s="1760"/>
      <c r="BI49" s="1760"/>
      <c r="BJ49" s="1760"/>
      <c r="BK49" s="1760"/>
      <c r="BL49" s="1760"/>
      <c r="BM49" s="1760"/>
      <c r="BN49" s="1760"/>
      <c r="BO49" s="1760"/>
      <c r="BP49" s="1760"/>
      <c r="BQ49" s="1760"/>
      <c r="BR49" s="1760"/>
      <c r="BS49" s="1760"/>
      <c r="BT49" s="1760"/>
      <c r="BU49" s="1760"/>
      <c r="BV49" s="1760"/>
      <c r="BW49" s="1760"/>
      <c r="BX49" s="1760"/>
      <c r="BY49" s="1760"/>
      <c r="BZ49" s="1760"/>
      <c r="CA49" s="1760"/>
      <c r="CB49" s="1760"/>
      <c r="CC49" s="1760"/>
      <c r="CD49" s="1760"/>
      <c r="CE49" s="1760"/>
      <c r="CF49" s="7914"/>
    </row>
    <row customHeight="1" ht="15" hidden="1">
      <c r="A50" s="747" t="s">
        <v>222</v>
      </c>
      <c r="B50" s="748"/>
      <c r="C50" s="748" t="s">
        <v>22</v>
      </c>
      <c r="D50" s="2715" t="s">
        <v>754</v>
      </c>
      <c r="E50" s="2514" t="s">
        <v>206</v>
      </c>
      <c r="F50" s="2515"/>
      <c r="G50" s="2516"/>
      <c r="H50" s="2520" t="str">
        <f>IF(A50="","",INDEX(DIFFERENTIATION_UNMERGE_VD,MATCH(A50,DIFFERENTIATION_ID_DIFF,0)))</f>
        <v>Производство тепловой энергии. Некомбинированная выработка</v>
      </c>
      <c r="I50" s="2520"/>
      <c r="J50" s="2520"/>
      <c r="K50" s="2520"/>
      <c r="L50" s="2520"/>
      <c r="M50" s="2520"/>
      <c r="N50" s="2520"/>
      <c r="O50" s="2520"/>
      <c r="P50" s="2520"/>
      <c r="Q50" s="2520"/>
      <c r="R50" s="2520"/>
      <c r="S50" s="843"/>
      <c r="T50" s="840"/>
      <c r="U50" s="749"/>
      <c r="V50" s="749"/>
      <c r="W50" s="750"/>
      <c r="X50" s="750"/>
      <c r="Y50" s="750"/>
      <c r="Z50" s="750"/>
      <c r="AA50" s="751"/>
      <c r="AB50" s="752"/>
      <c r="AC50" s="2512"/>
      <c r="AD50" s="753"/>
      <c r="AE50" s="754" t="s">
        <v>22</v>
      </c>
      <c r="AF50" s="754"/>
      <c r="AG50" s="755" t="s">
        <v>745</v>
      </c>
      <c r="AH50" s="756">
        <v>3</v>
      </c>
      <c r="AI50" s="749"/>
      <c r="AJ50" s="749"/>
      <c r="AK50" s="749"/>
      <c r="AL50" s="749"/>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50"/>
      <c r="BW50" s="750"/>
      <c r="BX50" s="750"/>
      <c r="BY50" s="750"/>
      <c r="BZ50" s="750"/>
      <c r="CA50" s="750"/>
      <c r="CB50" s="750"/>
      <c r="CC50" s="750"/>
      <c r="CD50" s="750"/>
      <c r="CE50" s="750"/>
      <c r="CF50" s="7954"/>
    </row>
    <row customHeight="1" ht="15" hidden="1">
      <c r="A51" s="747"/>
      <c r="B51" s="748"/>
      <c r="C51" s="748"/>
      <c r="D51" s="2716"/>
      <c r="E51" s="2514" t="s">
        <v>676</v>
      </c>
      <c r="F51" s="2515"/>
      <c r="G51" s="2516"/>
      <c r="H51" s="2520" t="str">
        <f>IF(A50="","",INDEX(DIFFERENTIATION_UNMERGE_AREA,MATCH(A50,DIFFERENTIATION_ID_DIFF,0)))</f>
        <v>Территория 5</v>
      </c>
      <c r="I51" s="2520"/>
      <c r="J51" s="2520"/>
      <c r="K51" s="2520"/>
      <c r="L51" s="2520"/>
      <c r="M51" s="2520"/>
      <c r="N51" s="2520"/>
      <c r="O51" s="2520"/>
      <c r="P51" s="2520"/>
      <c r="Q51" s="2520"/>
      <c r="R51" s="2520"/>
      <c r="S51" s="843"/>
      <c r="T51" s="840"/>
      <c r="U51" s="749"/>
      <c r="V51" s="749"/>
      <c r="W51" s="750"/>
      <c r="X51" s="750"/>
      <c r="Y51" s="750"/>
      <c r="Z51" s="750"/>
      <c r="AA51" s="751"/>
      <c r="AB51" s="752"/>
      <c r="AC51" s="2512"/>
      <c r="AD51" s="753"/>
      <c r="AE51" s="754"/>
      <c r="AF51" s="754"/>
      <c r="AG51" s="755"/>
      <c r="AH51" s="756"/>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50"/>
      <c r="BW51" s="750"/>
      <c r="BX51" s="750"/>
      <c r="BY51" s="750"/>
      <c r="BZ51" s="750"/>
      <c r="CA51" s="750"/>
      <c r="CB51" s="750"/>
      <c r="CC51" s="750"/>
      <c r="CD51" s="750"/>
      <c r="CE51" s="750"/>
      <c r="CF51" s="7954"/>
    </row>
    <row customHeight="1" ht="15" hidden="1">
      <c r="A52" s="747"/>
      <c r="B52" s="748"/>
      <c r="C52" s="748"/>
      <c r="D52" s="2716"/>
      <c r="E52" s="2514" t="s">
        <v>677</v>
      </c>
      <c r="F52" s="2515"/>
      <c r="G52" s="2516"/>
      <c r="H52" s="2520" t="str">
        <f>IF(A50="","",INDEX(DIFFERENTIATION_UNMERGE_SYSTEM,MATCH(A50,DIFFERENTIATION_ID_DIFF,0)))</f>
        <v>без дифференциации</v>
      </c>
      <c r="I52" s="2520"/>
      <c r="J52" s="2520"/>
      <c r="K52" s="2520"/>
      <c r="L52" s="2520"/>
      <c r="M52" s="2520"/>
      <c r="N52" s="2520"/>
      <c r="O52" s="2520"/>
      <c r="P52" s="2520"/>
      <c r="Q52" s="2520"/>
      <c r="R52" s="2520"/>
      <c r="S52" s="843"/>
      <c r="T52" s="840"/>
      <c r="U52" s="749"/>
      <c r="V52" s="749"/>
      <c r="W52" s="750"/>
      <c r="X52" s="750"/>
      <c r="Y52" s="750"/>
      <c r="Z52" s="750"/>
      <c r="AA52" s="751"/>
      <c r="AB52" s="752"/>
      <c r="AC52" s="2512"/>
      <c r="AD52" s="753"/>
      <c r="AE52" s="754"/>
      <c r="AF52" s="754"/>
      <c r="AG52" s="755"/>
      <c r="AH52" s="756"/>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50"/>
      <c r="BW52" s="750"/>
      <c r="BX52" s="750"/>
      <c r="BY52" s="750"/>
      <c r="BZ52" s="750"/>
      <c r="CA52" s="750"/>
      <c r="CB52" s="750"/>
      <c r="CC52" s="750"/>
      <c r="CD52" s="750"/>
      <c r="CE52" s="750"/>
      <c r="CF52" s="7954"/>
    </row>
    <row customHeight="1" ht="24.75" hidden="1">
      <c r="A53" s="1929"/>
      <c r="B53" s="1284"/>
      <c r="C53" s="536"/>
      <c r="D53" s="2716"/>
      <c r="E53" s="2513" t="s">
        <v>746</v>
      </c>
      <c r="F53" s="2513"/>
      <c r="G53" s="2513"/>
      <c r="H53" s="2513"/>
      <c r="I53" s="2513"/>
      <c r="J53" s="2513"/>
      <c r="K53" s="2513"/>
      <c r="L53" s="2513"/>
      <c r="M53" s="2513"/>
      <c r="N53" s="2513"/>
      <c r="O53" s="2513"/>
      <c r="P53" s="2513"/>
      <c r="Q53" s="682">
        <f>SUMIF(T54:T55,"i",Q54:Q55)</f>
        <v>0</v>
      </c>
      <c r="R53" s="1141"/>
      <c r="S53" s="1921" t="s">
        <v>747</v>
      </c>
      <c r="T53" s="841" t="s">
        <v>748</v>
      </c>
      <c r="U53" s="2511">
        <v>1</v>
      </c>
      <c r="V53" s="2511" t="str">
        <f>INDEX(B_FHD_FLAG_INDEX_1,1,MATCH(A50,B_FHD_FLAG_DIFFERENTIATION,0))</f>
        <v>отсутствует</v>
      </c>
      <c r="W53" s="1284"/>
      <c r="X53" s="1284"/>
      <c r="Y53" s="1284"/>
      <c r="Z53" s="1284"/>
      <c r="AA53" s="1760"/>
      <c r="AB53" s="1284"/>
      <c r="AC53" s="2512"/>
      <c r="AD53" s="753"/>
      <c r="AE53" s="1284"/>
      <c r="AF53" s="1284"/>
      <c r="AG53" s="1760"/>
      <c r="AH53" s="1760"/>
      <c r="AI53" s="1760"/>
      <c r="AJ53" s="1760"/>
      <c r="AK53" s="1760"/>
      <c r="AL53" s="1760"/>
      <c r="AM53" s="1760"/>
      <c r="AN53" s="1760"/>
      <c r="AO53" s="1760"/>
      <c r="AP53" s="1760"/>
      <c r="AQ53" s="1760"/>
      <c r="AR53" s="1760"/>
      <c r="AS53" s="1760"/>
      <c r="AT53" s="1760"/>
      <c r="AU53" s="1760"/>
      <c r="AV53" s="1760"/>
      <c r="AW53" s="1760"/>
      <c r="AX53" s="1760"/>
      <c r="AY53" s="1760"/>
      <c r="AZ53" s="1760"/>
      <c r="BA53" s="1760"/>
      <c r="BB53" s="1760"/>
      <c r="BC53" s="1760"/>
      <c r="BD53" s="1760"/>
      <c r="BE53" s="1760"/>
      <c r="BF53" s="1760"/>
      <c r="BG53" s="1760"/>
      <c r="BH53" s="1760"/>
      <c r="BI53" s="1760"/>
      <c r="BJ53" s="1760"/>
      <c r="BK53" s="1760"/>
      <c r="BL53" s="1760"/>
      <c r="BM53" s="1760"/>
      <c r="BN53" s="1760"/>
      <c r="BO53" s="1760"/>
      <c r="BP53" s="1760"/>
      <c r="BQ53" s="1760"/>
      <c r="BR53" s="1760"/>
      <c r="BS53" s="1760"/>
      <c r="BT53" s="1760"/>
      <c r="BU53" s="1760"/>
      <c r="BV53" s="1284"/>
      <c r="BW53" s="1284"/>
      <c r="BX53" s="1284"/>
      <c r="BY53" s="1284"/>
      <c r="BZ53" s="1284"/>
      <c r="CA53" s="1284"/>
      <c r="CB53" s="1284"/>
      <c r="CC53" s="1284"/>
      <c r="CD53" s="1284"/>
      <c r="CE53" s="1284"/>
      <c r="CF53" s="7954"/>
    </row>
    <row customHeight="1" ht="11.25" hidden="1">
      <c r="A54" s="1916"/>
      <c r="B54" s="1760"/>
      <c r="C54" s="1760"/>
      <c r="D54" s="2716"/>
      <c r="E54" s="759"/>
      <c r="F54" s="759">
        <v>0</v>
      </c>
      <c r="G54" s="759"/>
      <c r="H54" s="759"/>
      <c r="I54" s="759"/>
      <c r="J54" s="759"/>
      <c r="K54" s="759"/>
      <c r="L54" s="759"/>
      <c r="M54" s="759"/>
      <c r="N54" s="759"/>
      <c r="O54" s="759"/>
      <c r="P54" s="759"/>
      <c r="Q54" s="759"/>
      <c r="R54" s="759"/>
      <c r="S54" s="760"/>
      <c r="T54" s="842"/>
      <c r="U54" s="2511"/>
      <c r="V54" s="2511"/>
      <c r="W54" s="1760"/>
      <c r="X54" s="1760"/>
      <c r="Y54" s="1760"/>
      <c r="Z54" s="1760"/>
      <c r="AA54" s="1760"/>
      <c r="AB54" s="1284"/>
      <c r="AC54" s="2512"/>
      <c r="AD54" s="753"/>
      <c r="AE54" s="1284"/>
      <c r="AF54" s="1284"/>
      <c r="AG54" s="1760"/>
      <c r="AH54" s="1760"/>
      <c r="AI54" s="1760"/>
      <c r="AJ54" s="1760"/>
      <c r="AK54" s="1760"/>
      <c r="AL54" s="1760"/>
      <c r="AM54" s="1760"/>
      <c r="AN54" s="1760"/>
      <c r="AO54" s="1760"/>
      <c r="AP54" s="1760"/>
      <c r="AQ54" s="1760"/>
      <c r="AR54" s="1760"/>
      <c r="AS54" s="1760"/>
      <c r="AT54" s="1760"/>
      <c r="AU54" s="1760"/>
      <c r="AV54" s="1760"/>
      <c r="AW54" s="1760"/>
      <c r="AX54" s="1760"/>
      <c r="AY54" s="1760"/>
      <c r="AZ54" s="1760"/>
      <c r="BA54" s="1760"/>
      <c r="BB54" s="1760"/>
      <c r="BC54" s="1760"/>
      <c r="BD54" s="1760"/>
      <c r="BE54" s="1760"/>
      <c r="BF54" s="1760"/>
      <c r="BG54" s="1760"/>
      <c r="BH54" s="1760"/>
      <c r="BI54" s="1760"/>
      <c r="BJ54" s="1760"/>
      <c r="BK54" s="1760"/>
      <c r="BL54" s="1760"/>
      <c r="BM54" s="1760"/>
      <c r="BN54" s="1760"/>
      <c r="BO54" s="1760"/>
      <c r="BP54" s="1760"/>
      <c r="BQ54" s="1760"/>
      <c r="BR54" s="1760"/>
      <c r="BS54" s="1760"/>
      <c r="BT54" s="1760"/>
      <c r="BU54" s="1760"/>
      <c r="BV54" s="1760"/>
      <c r="BW54" s="1760"/>
      <c r="BX54" s="1760"/>
      <c r="BY54" s="1760"/>
      <c r="BZ54" s="1760"/>
      <c r="CA54" s="1760"/>
      <c r="CB54" s="1760"/>
      <c r="CC54" s="1760"/>
      <c r="CD54" s="1760"/>
      <c r="CE54" s="1760"/>
      <c r="CF54" s="7954"/>
    </row>
    <row customHeight="1" ht="11.25" hidden="1">
      <c r="A55" s="1929"/>
      <c r="B55" s="1284"/>
      <c r="C55" s="536"/>
      <c r="D55" s="2716"/>
      <c r="E55" s="773" t="s">
        <v>22</v>
      </c>
      <c r="F55" s="1292" t="s">
        <v>22</v>
      </c>
      <c r="G55" s="1292" t="s">
        <v>751</v>
      </c>
      <c r="H55" s="775" t="s">
        <v>22</v>
      </c>
      <c r="I55" s="775"/>
      <c r="J55" s="775"/>
      <c r="K55" s="775"/>
      <c r="L55" s="775"/>
      <c r="M55" s="775"/>
      <c r="N55" s="775"/>
      <c r="O55" s="775"/>
      <c r="P55" s="775"/>
      <c r="Q55" s="775"/>
      <c r="R55" s="776"/>
      <c r="S55" s="777"/>
      <c r="T55" s="842"/>
      <c r="U55" s="2511"/>
      <c r="V55" s="2511"/>
      <c r="W55" s="1284"/>
      <c r="X55" s="1284"/>
      <c r="Y55" s="1284"/>
      <c r="Z55" s="1284"/>
      <c r="AA55" s="1760"/>
      <c r="AB55" s="1284"/>
      <c r="AC55" s="2512"/>
      <c r="AD55" s="753"/>
      <c r="AE55" s="1284"/>
      <c r="AF55" s="1284"/>
      <c r="AG55" s="1760"/>
      <c r="AH55" s="1760"/>
      <c r="AI55" s="1760"/>
      <c r="AJ55" s="1760"/>
      <c r="AK55" s="1760"/>
      <c r="AL55" s="1760"/>
      <c r="AM55" s="1760"/>
      <c r="AN55" s="1760"/>
      <c r="AO55" s="1760"/>
      <c r="AP55" s="1760"/>
      <c r="AQ55" s="1760"/>
      <c r="AR55" s="1760"/>
      <c r="AS55" s="1760"/>
      <c r="AT55" s="1760"/>
      <c r="AU55" s="1760"/>
      <c r="AV55" s="1760"/>
      <c r="AW55" s="1760"/>
      <c r="AX55" s="1760"/>
      <c r="AY55" s="1760"/>
      <c r="AZ55" s="1760"/>
      <c r="BA55" s="1760"/>
      <c r="BB55" s="1760"/>
      <c r="BC55" s="1760"/>
      <c r="BD55" s="1760"/>
      <c r="BE55" s="1760"/>
      <c r="BF55" s="1760"/>
      <c r="BG55" s="1760"/>
      <c r="BH55" s="1760"/>
      <c r="BI55" s="1760"/>
      <c r="BJ55" s="1760"/>
      <c r="BK55" s="1760"/>
      <c r="BL55" s="1760"/>
      <c r="BM55" s="1760"/>
      <c r="BN55" s="1760"/>
      <c r="BO55" s="1760"/>
      <c r="BP55" s="1760"/>
      <c r="BQ55" s="1760"/>
      <c r="BR55" s="1760"/>
      <c r="BS55" s="1760"/>
      <c r="BT55" s="1760"/>
      <c r="BU55" s="1760"/>
      <c r="BV55" s="1284"/>
      <c r="BW55" s="1284"/>
      <c r="BX55" s="1284"/>
      <c r="BY55" s="1284"/>
      <c r="BZ55" s="1284"/>
      <c r="CA55" s="1284"/>
      <c r="CB55" s="1284"/>
      <c r="CC55" s="1284"/>
      <c r="CD55" s="1284"/>
      <c r="CE55" s="1284"/>
      <c r="CF55" s="7954"/>
    </row>
    <row customHeight="1" ht="5.25" hidden="1">
      <c r="A56" s="1916"/>
      <c r="B56" s="1760"/>
      <c r="C56" s="1760"/>
      <c r="D56" s="2716"/>
      <c r="E56" s="1163"/>
      <c r="F56" s="1163"/>
      <c r="G56" s="1163"/>
      <c r="H56" s="1163"/>
      <c r="I56" s="1163"/>
      <c r="J56" s="1163"/>
      <c r="K56" s="1163"/>
      <c r="L56" s="1163"/>
      <c r="M56" s="1163"/>
      <c r="N56" s="1163"/>
      <c r="O56" s="1163"/>
      <c r="P56" s="1163"/>
      <c r="Q56" s="1164"/>
      <c r="R56" s="1165"/>
      <c r="S56" s="1166"/>
      <c r="T56" s="841" t="s">
        <v>748</v>
      </c>
      <c r="U56" s="2511">
        <v>1</v>
      </c>
      <c r="V56" s="2511" t="s">
        <v>693</v>
      </c>
      <c r="W56" s="1760"/>
      <c r="X56" s="1760"/>
      <c r="Y56" s="1760"/>
      <c r="Z56" s="1760"/>
      <c r="AA56" s="1760"/>
      <c r="AB56" s="1760"/>
      <c r="AC56" s="1161"/>
      <c r="AD56" s="1162"/>
      <c r="AE56" s="1760"/>
      <c r="AF56" s="1760"/>
      <c r="AG56" s="1760"/>
      <c r="AH56" s="1760"/>
      <c r="AI56" s="1760"/>
      <c r="AJ56" s="1760"/>
      <c r="AK56" s="1760"/>
      <c r="AL56" s="1760"/>
      <c r="AM56" s="1760"/>
      <c r="AN56" s="1760"/>
      <c r="AO56" s="1760"/>
      <c r="AP56" s="1760"/>
      <c r="AQ56" s="1760"/>
      <c r="AR56" s="1760"/>
      <c r="AS56" s="1760"/>
      <c r="AT56" s="1760"/>
      <c r="AU56" s="1760"/>
      <c r="AV56" s="1760"/>
      <c r="AW56" s="1760"/>
      <c r="AX56" s="1760"/>
      <c r="AY56" s="1760"/>
      <c r="AZ56" s="1760"/>
      <c r="BA56" s="1760"/>
      <c r="BB56" s="1760"/>
      <c r="BC56" s="1760"/>
      <c r="BD56" s="1760"/>
      <c r="BE56" s="1760"/>
      <c r="BF56" s="1760"/>
      <c r="BG56" s="1760"/>
      <c r="BH56" s="1760"/>
      <c r="BI56" s="1760"/>
      <c r="BJ56" s="1760"/>
      <c r="BK56" s="1760"/>
      <c r="BL56" s="1760"/>
      <c r="BM56" s="1760"/>
      <c r="BN56" s="1760"/>
      <c r="BO56" s="1760"/>
      <c r="BP56" s="1760"/>
      <c r="BQ56" s="1760"/>
      <c r="BR56" s="1760"/>
      <c r="BS56" s="1760"/>
      <c r="BT56" s="1760"/>
      <c r="BU56" s="1760"/>
      <c r="BV56" s="1760"/>
      <c r="BW56" s="1760"/>
      <c r="BX56" s="1760"/>
      <c r="BY56" s="1760"/>
      <c r="BZ56" s="1760"/>
      <c r="CA56" s="1760"/>
      <c r="CB56" s="1760"/>
      <c r="CC56" s="1760"/>
      <c r="CD56" s="1760"/>
      <c r="CE56" s="1760"/>
      <c r="CF56" s="7914"/>
    </row>
    <row customHeight="1" ht="5.25" hidden="1">
      <c r="A57" s="1916"/>
      <c r="B57" s="1760"/>
      <c r="C57" s="1760"/>
      <c r="D57" s="2716"/>
      <c r="E57" s="759"/>
      <c r="F57" s="759"/>
      <c r="G57" s="759"/>
      <c r="H57" s="759"/>
      <c r="I57" s="759"/>
      <c r="J57" s="759"/>
      <c r="K57" s="759"/>
      <c r="L57" s="759"/>
      <c r="M57" s="759"/>
      <c r="N57" s="759"/>
      <c r="O57" s="759"/>
      <c r="P57" s="759"/>
      <c r="Q57" s="759"/>
      <c r="R57" s="759"/>
      <c r="S57" s="760"/>
      <c r="T57" s="842"/>
      <c r="U57" s="2511"/>
      <c r="V57" s="2511"/>
      <c r="W57" s="1760"/>
      <c r="X57" s="1760"/>
      <c r="Y57" s="1760"/>
      <c r="Z57" s="1760"/>
      <c r="AA57" s="1760"/>
      <c r="AB57" s="1760"/>
      <c r="AC57" s="1161"/>
      <c r="AD57" s="1162"/>
      <c r="AE57" s="1760"/>
      <c r="AF57" s="1760"/>
      <c r="AG57" s="1760"/>
      <c r="AH57" s="1760"/>
      <c r="AI57" s="1760"/>
      <c r="AJ57" s="1760"/>
      <c r="AK57" s="1760"/>
      <c r="AL57" s="1760"/>
      <c r="AM57" s="1760"/>
      <c r="AN57" s="1760"/>
      <c r="AO57" s="1760"/>
      <c r="AP57" s="1760"/>
      <c r="AQ57" s="1760"/>
      <c r="AR57" s="1760"/>
      <c r="AS57" s="1760"/>
      <c r="AT57" s="1760"/>
      <c r="AU57" s="1760"/>
      <c r="AV57" s="1760"/>
      <c r="AW57" s="1760"/>
      <c r="AX57" s="1760"/>
      <c r="AY57" s="1760"/>
      <c r="AZ57" s="1760"/>
      <c r="BA57" s="1760"/>
      <c r="BB57" s="1760"/>
      <c r="BC57" s="1760"/>
      <c r="BD57" s="1760"/>
      <c r="BE57" s="1760"/>
      <c r="BF57" s="1760"/>
      <c r="BG57" s="1760"/>
      <c r="BH57" s="1760"/>
      <c r="BI57" s="1760"/>
      <c r="BJ57" s="1760"/>
      <c r="BK57" s="1760"/>
      <c r="BL57" s="1760"/>
      <c r="BM57" s="1760"/>
      <c r="BN57" s="1760"/>
      <c r="BO57" s="1760"/>
      <c r="BP57" s="1760"/>
      <c r="BQ57" s="1760"/>
      <c r="BR57" s="1760"/>
      <c r="BS57" s="1760"/>
      <c r="BT57" s="1760"/>
      <c r="BU57" s="1760"/>
      <c r="BV57" s="1760"/>
      <c r="BW57" s="1760"/>
      <c r="BX57" s="1760"/>
      <c r="BY57" s="1760"/>
      <c r="BZ57" s="1760"/>
      <c r="CA57" s="1760"/>
      <c r="CB57" s="1760"/>
      <c r="CC57" s="1760"/>
      <c r="CD57" s="1760"/>
      <c r="CE57" s="1760"/>
      <c r="CF57" s="7914"/>
    </row>
    <row customHeight="1" ht="5.25" hidden="1">
      <c r="A58" s="1916"/>
      <c r="B58" s="1760"/>
      <c r="C58" s="1760"/>
      <c r="D58" s="2717"/>
      <c r="E58" s="1167"/>
      <c r="F58" s="1168"/>
      <c r="G58" s="1168"/>
      <c r="H58" s="1169"/>
      <c r="I58" s="1169"/>
      <c r="J58" s="1169"/>
      <c r="K58" s="1169"/>
      <c r="L58" s="1169"/>
      <c r="M58" s="1169"/>
      <c r="N58" s="1169"/>
      <c r="O58" s="1169"/>
      <c r="P58" s="1169"/>
      <c r="Q58" s="1169"/>
      <c r="R58" s="1070"/>
      <c r="S58" s="1170"/>
      <c r="T58" s="842"/>
      <c r="U58" s="2511"/>
      <c r="V58" s="2511"/>
      <c r="W58" s="1760"/>
      <c r="X58" s="1760"/>
      <c r="Y58" s="1760"/>
      <c r="Z58" s="1760"/>
      <c r="AA58" s="1760"/>
      <c r="AB58" s="1760"/>
      <c r="AC58" s="1161"/>
      <c r="AD58" s="1162"/>
      <c r="AE58" s="1760"/>
      <c r="AF58" s="1760"/>
      <c r="AG58" s="1760"/>
      <c r="AH58" s="1760"/>
      <c r="AI58" s="1760"/>
      <c r="AJ58" s="1760"/>
      <c r="AK58" s="1760"/>
      <c r="AL58" s="1760"/>
      <c r="AM58" s="1760"/>
      <c r="AN58" s="1760"/>
      <c r="AO58" s="1760"/>
      <c r="AP58" s="1760"/>
      <c r="AQ58" s="1760"/>
      <c r="AR58" s="1760"/>
      <c r="AS58" s="1760"/>
      <c r="AT58" s="1760"/>
      <c r="AU58" s="1760"/>
      <c r="AV58" s="1760"/>
      <c r="AW58" s="1760"/>
      <c r="AX58" s="1760"/>
      <c r="AY58" s="1760"/>
      <c r="AZ58" s="1760"/>
      <c r="BA58" s="1760"/>
      <c r="BB58" s="1760"/>
      <c r="BC58" s="1760"/>
      <c r="BD58" s="1760"/>
      <c r="BE58" s="1760"/>
      <c r="BF58" s="1760"/>
      <c r="BG58" s="1760"/>
      <c r="BH58" s="1760"/>
      <c r="BI58" s="1760"/>
      <c r="BJ58" s="1760"/>
      <c r="BK58" s="1760"/>
      <c r="BL58" s="1760"/>
      <c r="BM58" s="1760"/>
      <c r="BN58" s="1760"/>
      <c r="BO58" s="1760"/>
      <c r="BP58" s="1760"/>
      <c r="BQ58" s="1760"/>
      <c r="BR58" s="1760"/>
      <c r="BS58" s="1760"/>
      <c r="BT58" s="1760"/>
      <c r="BU58" s="1760"/>
      <c r="BV58" s="1760"/>
      <c r="BW58" s="1760"/>
      <c r="BX58" s="1760"/>
      <c r="BY58" s="1760"/>
      <c r="BZ58" s="1760"/>
      <c r="CA58" s="1760"/>
      <c r="CB58" s="1760"/>
      <c r="CC58" s="1760"/>
      <c r="CD58" s="1760"/>
      <c r="CE58" s="1760"/>
      <c r="CF58" s="7914"/>
    </row>
    <row customHeight="1" ht="15" hidden="1">
      <c r="A59" s="747" t="s">
        <v>223</v>
      </c>
      <c r="B59" s="748"/>
      <c r="C59" s="748" t="s">
        <v>22</v>
      </c>
      <c r="D59" s="2715" t="s">
        <v>755</v>
      </c>
      <c r="E59" s="2514" t="s">
        <v>206</v>
      </c>
      <c r="F59" s="2515"/>
      <c r="G59" s="2516"/>
      <c r="H59" s="2520" t="str">
        <f>IF(A59="","",INDEX(DIFFERENTIATION_UNMERGE_VD,MATCH(A59,DIFFERENTIATION_ID_DIFF,0)))</f>
        <v>Производство тепловой энергии. Некомбинированная выработка</v>
      </c>
      <c r="I59" s="2520"/>
      <c r="J59" s="2520"/>
      <c r="K59" s="2520"/>
      <c r="L59" s="2520"/>
      <c r="M59" s="2520"/>
      <c r="N59" s="2520"/>
      <c r="O59" s="2520"/>
      <c r="P59" s="2520"/>
      <c r="Q59" s="2520"/>
      <c r="R59" s="2520"/>
      <c r="S59" s="843"/>
      <c r="T59" s="840"/>
      <c r="U59" s="749"/>
      <c r="V59" s="749"/>
      <c r="W59" s="750"/>
      <c r="X59" s="750"/>
      <c r="Y59" s="750"/>
      <c r="Z59" s="750"/>
      <c r="AA59" s="751"/>
      <c r="AB59" s="752"/>
      <c r="AC59" s="2512"/>
      <c r="AD59" s="753"/>
      <c r="AE59" s="754" t="s">
        <v>22</v>
      </c>
      <c r="AF59" s="754"/>
      <c r="AG59" s="755" t="s">
        <v>745</v>
      </c>
      <c r="AH59" s="756">
        <v>3</v>
      </c>
      <c r="AI59" s="749"/>
      <c r="AJ59" s="749"/>
      <c r="AK59" s="749"/>
      <c r="AL59" s="749"/>
      <c r="AM59" s="749"/>
      <c r="AN59" s="749"/>
      <c r="AO59" s="749"/>
      <c r="AP59" s="749"/>
      <c r="AQ59" s="749"/>
      <c r="AR59" s="749"/>
      <c r="AS59" s="749"/>
      <c r="AT59" s="749"/>
      <c r="AU59" s="749"/>
      <c r="AV59" s="749"/>
      <c r="AW59" s="749"/>
      <c r="AX59" s="749"/>
      <c r="AY59" s="749"/>
      <c r="AZ59" s="749"/>
      <c r="BA59" s="749"/>
      <c r="BB59" s="749"/>
      <c r="BC59" s="749"/>
      <c r="BD59" s="749"/>
      <c r="BE59" s="749"/>
      <c r="BF59" s="749"/>
      <c r="BG59" s="749"/>
      <c r="BH59" s="749"/>
      <c r="BI59" s="749"/>
      <c r="BJ59" s="749"/>
      <c r="BK59" s="749"/>
      <c r="BL59" s="749"/>
      <c r="BM59" s="749"/>
      <c r="BN59" s="749"/>
      <c r="BO59" s="749"/>
      <c r="BP59" s="749"/>
      <c r="BQ59" s="749"/>
      <c r="BR59" s="749"/>
      <c r="BS59" s="749"/>
      <c r="BT59" s="749"/>
      <c r="BU59" s="749"/>
      <c r="BV59" s="750"/>
      <c r="BW59" s="750"/>
      <c r="BX59" s="750"/>
      <c r="BY59" s="750"/>
      <c r="BZ59" s="750"/>
      <c r="CA59" s="750"/>
      <c r="CB59" s="750"/>
      <c r="CC59" s="750"/>
      <c r="CD59" s="750"/>
      <c r="CE59" s="750"/>
      <c r="CF59" s="7954"/>
    </row>
    <row customHeight="1" ht="15" hidden="1">
      <c r="A60" s="747"/>
      <c r="B60" s="748"/>
      <c r="C60" s="748"/>
      <c r="D60" s="2716"/>
      <c r="E60" s="2514" t="s">
        <v>676</v>
      </c>
      <c r="F60" s="2515"/>
      <c r="G60" s="2516"/>
      <c r="H60" s="2520" t="str">
        <f>IF(A59="","",INDEX(DIFFERENTIATION_UNMERGE_AREA,MATCH(A59,DIFFERENTIATION_ID_DIFF,0)))</f>
        <v>Территория 6</v>
      </c>
      <c r="I60" s="2520"/>
      <c r="J60" s="2520"/>
      <c r="K60" s="2520"/>
      <c r="L60" s="2520"/>
      <c r="M60" s="2520"/>
      <c r="N60" s="2520"/>
      <c r="O60" s="2520"/>
      <c r="P60" s="2520"/>
      <c r="Q60" s="2520"/>
      <c r="R60" s="2520"/>
      <c r="S60" s="843"/>
      <c r="T60" s="840"/>
      <c r="U60" s="749"/>
      <c r="V60" s="749"/>
      <c r="W60" s="750"/>
      <c r="X60" s="750"/>
      <c r="Y60" s="750"/>
      <c r="Z60" s="750"/>
      <c r="AA60" s="751"/>
      <c r="AB60" s="752"/>
      <c r="AC60" s="2512"/>
      <c r="AD60" s="753"/>
      <c r="AE60" s="754"/>
      <c r="AF60" s="754"/>
      <c r="AG60" s="755"/>
      <c r="AH60" s="756"/>
      <c r="AI60" s="749"/>
      <c r="AJ60" s="749"/>
      <c r="AK60" s="749"/>
      <c r="AL60" s="749"/>
      <c r="AM60" s="749"/>
      <c r="AN60" s="749"/>
      <c r="AO60" s="749"/>
      <c r="AP60" s="749"/>
      <c r="AQ60" s="749"/>
      <c r="AR60" s="749"/>
      <c r="AS60" s="749"/>
      <c r="AT60" s="749"/>
      <c r="AU60" s="749"/>
      <c r="AV60" s="749"/>
      <c r="AW60" s="749"/>
      <c r="AX60" s="749"/>
      <c r="AY60" s="749"/>
      <c r="AZ60" s="749"/>
      <c r="BA60" s="749"/>
      <c r="BB60" s="749"/>
      <c r="BC60" s="749"/>
      <c r="BD60" s="749"/>
      <c r="BE60" s="749"/>
      <c r="BF60" s="749"/>
      <c r="BG60" s="749"/>
      <c r="BH60" s="749"/>
      <c r="BI60" s="749"/>
      <c r="BJ60" s="749"/>
      <c r="BK60" s="749"/>
      <c r="BL60" s="749"/>
      <c r="BM60" s="749"/>
      <c r="BN60" s="749"/>
      <c r="BO60" s="749"/>
      <c r="BP60" s="749"/>
      <c r="BQ60" s="749"/>
      <c r="BR60" s="749"/>
      <c r="BS60" s="749"/>
      <c r="BT60" s="749"/>
      <c r="BU60" s="749"/>
      <c r="BV60" s="750"/>
      <c r="BW60" s="750"/>
      <c r="BX60" s="750"/>
      <c r="BY60" s="750"/>
      <c r="BZ60" s="750"/>
      <c r="CA60" s="750"/>
      <c r="CB60" s="750"/>
      <c r="CC60" s="750"/>
      <c r="CD60" s="750"/>
      <c r="CE60" s="750"/>
      <c r="CF60" s="7954"/>
    </row>
    <row customHeight="1" ht="15" hidden="1">
      <c r="A61" s="747"/>
      <c r="B61" s="748"/>
      <c r="C61" s="748"/>
      <c r="D61" s="2716"/>
      <c r="E61" s="2514" t="s">
        <v>677</v>
      </c>
      <c r="F61" s="2515"/>
      <c r="G61" s="2516"/>
      <c r="H61" s="2520" t="str">
        <f>IF(A59="","",INDEX(DIFFERENTIATION_UNMERGE_SYSTEM,MATCH(A59,DIFFERENTIATION_ID_DIFF,0)))</f>
        <v>без дифференциации</v>
      </c>
      <c r="I61" s="2520"/>
      <c r="J61" s="2520"/>
      <c r="K61" s="2520"/>
      <c r="L61" s="2520"/>
      <c r="M61" s="2520"/>
      <c r="N61" s="2520"/>
      <c r="O61" s="2520"/>
      <c r="P61" s="2520"/>
      <c r="Q61" s="2520"/>
      <c r="R61" s="2520"/>
      <c r="S61" s="843"/>
      <c r="T61" s="840"/>
      <c r="U61" s="749"/>
      <c r="V61" s="749"/>
      <c r="W61" s="750"/>
      <c r="X61" s="750"/>
      <c r="Y61" s="750"/>
      <c r="Z61" s="750"/>
      <c r="AA61" s="751"/>
      <c r="AB61" s="752"/>
      <c r="AC61" s="2512"/>
      <c r="AD61" s="753"/>
      <c r="AE61" s="754"/>
      <c r="AF61" s="754"/>
      <c r="AG61" s="755"/>
      <c r="AH61" s="756"/>
      <c r="AI61" s="749"/>
      <c r="AJ61" s="749"/>
      <c r="AK61" s="749"/>
      <c r="AL61" s="749"/>
      <c r="AM61" s="749"/>
      <c r="AN61" s="749"/>
      <c r="AO61" s="749"/>
      <c r="AP61" s="749"/>
      <c r="AQ61" s="749"/>
      <c r="AR61" s="749"/>
      <c r="AS61" s="749"/>
      <c r="AT61" s="749"/>
      <c r="AU61" s="749"/>
      <c r="AV61" s="749"/>
      <c r="AW61" s="749"/>
      <c r="AX61" s="749"/>
      <c r="AY61" s="749"/>
      <c r="AZ61" s="749"/>
      <c r="BA61" s="749"/>
      <c r="BB61" s="749"/>
      <c r="BC61" s="749"/>
      <c r="BD61" s="749"/>
      <c r="BE61" s="749"/>
      <c r="BF61" s="749"/>
      <c r="BG61" s="749"/>
      <c r="BH61" s="749"/>
      <c r="BI61" s="749"/>
      <c r="BJ61" s="749"/>
      <c r="BK61" s="749"/>
      <c r="BL61" s="749"/>
      <c r="BM61" s="749"/>
      <c r="BN61" s="749"/>
      <c r="BO61" s="749"/>
      <c r="BP61" s="749"/>
      <c r="BQ61" s="749"/>
      <c r="BR61" s="749"/>
      <c r="BS61" s="749"/>
      <c r="BT61" s="749"/>
      <c r="BU61" s="749"/>
      <c r="BV61" s="750"/>
      <c r="BW61" s="750"/>
      <c r="BX61" s="750"/>
      <c r="BY61" s="750"/>
      <c r="BZ61" s="750"/>
      <c r="CA61" s="750"/>
      <c r="CB61" s="750"/>
      <c r="CC61" s="750"/>
      <c r="CD61" s="750"/>
      <c r="CE61" s="750"/>
      <c r="CF61" s="7954"/>
    </row>
    <row customHeight="1" ht="24.75" hidden="1">
      <c r="A62" s="1929"/>
      <c r="B62" s="1284"/>
      <c r="C62" s="536"/>
      <c r="D62" s="2716"/>
      <c r="E62" s="2513" t="s">
        <v>746</v>
      </c>
      <c r="F62" s="2513"/>
      <c r="G62" s="2513"/>
      <c r="H62" s="2513"/>
      <c r="I62" s="2513"/>
      <c r="J62" s="2513"/>
      <c r="K62" s="2513"/>
      <c r="L62" s="2513"/>
      <c r="M62" s="2513"/>
      <c r="N62" s="2513"/>
      <c r="O62" s="2513"/>
      <c r="P62" s="2513"/>
      <c r="Q62" s="682">
        <f>SUMIF(T63:T64,"i",Q63:Q64)</f>
        <v>0</v>
      </c>
      <c r="R62" s="1141"/>
      <c r="S62" s="1921" t="s">
        <v>747</v>
      </c>
      <c r="T62" s="841" t="s">
        <v>748</v>
      </c>
      <c r="U62" s="2511">
        <v>1</v>
      </c>
      <c r="V62" s="2511" t="str">
        <f>INDEX(B_FHD_FLAG_INDEX_1,1,MATCH(A59,B_FHD_FLAG_DIFFERENTIATION,0))</f>
        <v>отсутствует</v>
      </c>
      <c r="W62" s="1284"/>
      <c r="X62" s="1284"/>
      <c r="Y62" s="1284"/>
      <c r="Z62" s="1284"/>
      <c r="AA62" s="1760"/>
      <c r="AB62" s="1284"/>
      <c r="AC62" s="2512"/>
      <c r="AD62" s="753"/>
      <c r="AE62" s="1284"/>
      <c r="AF62" s="1284"/>
      <c r="AG62" s="1760"/>
      <c r="AH62" s="1760"/>
      <c r="AI62" s="1760"/>
      <c r="AJ62" s="1760"/>
      <c r="AK62" s="1760"/>
      <c r="AL62" s="1760"/>
      <c r="AM62" s="1760"/>
      <c r="AN62" s="1760"/>
      <c r="AO62" s="1760"/>
      <c r="AP62" s="1760"/>
      <c r="AQ62" s="1760"/>
      <c r="AR62" s="1760"/>
      <c r="AS62" s="1760"/>
      <c r="AT62" s="1760"/>
      <c r="AU62" s="1760"/>
      <c r="AV62" s="1760"/>
      <c r="AW62" s="1760"/>
      <c r="AX62" s="1760"/>
      <c r="AY62" s="1760"/>
      <c r="AZ62" s="1760"/>
      <c r="BA62" s="1760"/>
      <c r="BB62" s="1760"/>
      <c r="BC62" s="1760"/>
      <c r="BD62" s="1760"/>
      <c r="BE62" s="1760"/>
      <c r="BF62" s="1760"/>
      <c r="BG62" s="1760"/>
      <c r="BH62" s="1760"/>
      <c r="BI62" s="1760"/>
      <c r="BJ62" s="1760"/>
      <c r="BK62" s="1760"/>
      <c r="BL62" s="1760"/>
      <c r="BM62" s="1760"/>
      <c r="BN62" s="1760"/>
      <c r="BO62" s="1760"/>
      <c r="BP62" s="1760"/>
      <c r="BQ62" s="1760"/>
      <c r="BR62" s="1760"/>
      <c r="BS62" s="1760"/>
      <c r="BT62" s="1760"/>
      <c r="BU62" s="1760"/>
      <c r="BV62" s="1284"/>
      <c r="BW62" s="1284"/>
      <c r="BX62" s="1284"/>
      <c r="BY62" s="1284"/>
      <c r="BZ62" s="1284"/>
      <c r="CA62" s="1284"/>
      <c r="CB62" s="1284"/>
      <c r="CC62" s="1284"/>
      <c r="CD62" s="1284"/>
      <c r="CE62" s="1284"/>
      <c r="CF62" s="7954"/>
    </row>
    <row customHeight="1" ht="11.25" hidden="1">
      <c r="A63" s="1916"/>
      <c r="B63" s="1760"/>
      <c r="C63" s="1760"/>
      <c r="D63" s="2716"/>
      <c r="E63" s="759"/>
      <c r="F63" s="759">
        <v>0</v>
      </c>
      <c r="G63" s="759"/>
      <c r="H63" s="759"/>
      <c r="I63" s="759"/>
      <c r="J63" s="759"/>
      <c r="K63" s="759"/>
      <c r="L63" s="759"/>
      <c r="M63" s="759"/>
      <c r="N63" s="759"/>
      <c r="O63" s="759"/>
      <c r="P63" s="759"/>
      <c r="Q63" s="759"/>
      <c r="R63" s="759"/>
      <c r="S63" s="760"/>
      <c r="T63" s="842"/>
      <c r="U63" s="2511"/>
      <c r="V63" s="2511"/>
      <c r="W63" s="1760"/>
      <c r="X63" s="1760"/>
      <c r="Y63" s="1760"/>
      <c r="Z63" s="1760"/>
      <c r="AA63" s="1760"/>
      <c r="AB63" s="1284"/>
      <c r="AC63" s="2512"/>
      <c r="AD63" s="753"/>
      <c r="AE63" s="1284"/>
      <c r="AF63" s="1284"/>
      <c r="AG63" s="1760"/>
      <c r="AH63" s="1760"/>
      <c r="AI63" s="1760"/>
      <c r="AJ63" s="1760"/>
      <c r="AK63" s="1760"/>
      <c r="AL63" s="1760"/>
      <c r="AM63" s="1760"/>
      <c r="AN63" s="1760"/>
      <c r="AO63" s="1760"/>
      <c r="AP63" s="1760"/>
      <c r="AQ63" s="1760"/>
      <c r="AR63" s="1760"/>
      <c r="AS63" s="1760"/>
      <c r="AT63" s="1760"/>
      <c r="AU63" s="1760"/>
      <c r="AV63" s="1760"/>
      <c r="AW63" s="1760"/>
      <c r="AX63" s="1760"/>
      <c r="AY63" s="1760"/>
      <c r="AZ63" s="1760"/>
      <c r="BA63" s="1760"/>
      <c r="BB63" s="1760"/>
      <c r="BC63" s="1760"/>
      <c r="BD63" s="1760"/>
      <c r="BE63" s="1760"/>
      <c r="BF63" s="1760"/>
      <c r="BG63" s="1760"/>
      <c r="BH63" s="1760"/>
      <c r="BI63" s="1760"/>
      <c r="BJ63" s="1760"/>
      <c r="BK63" s="1760"/>
      <c r="BL63" s="1760"/>
      <c r="BM63" s="1760"/>
      <c r="BN63" s="1760"/>
      <c r="BO63" s="1760"/>
      <c r="BP63" s="1760"/>
      <c r="BQ63" s="1760"/>
      <c r="BR63" s="1760"/>
      <c r="BS63" s="1760"/>
      <c r="BT63" s="1760"/>
      <c r="BU63" s="1760"/>
      <c r="BV63" s="1760"/>
      <c r="BW63" s="1760"/>
      <c r="BX63" s="1760"/>
      <c r="BY63" s="1760"/>
      <c r="BZ63" s="1760"/>
      <c r="CA63" s="1760"/>
      <c r="CB63" s="1760"/>
      <c r="CC63" s="1760"/>
      <c r="CD63" s="1760"/>
      <c r="CE63" s="1760"/>
      <c r="CF63" s="7954"/>
    </row>
    <row customHeight="1" ht="11.25" hidden="1">
      <c r="A64" s="1929"/>
      <c r="B64" s="1284"/>
      <c r="C64" s="536"/>
      <c r="D64" s="2716"/>
      <c r="E64" s="773" t="s">
        <v>22</v>
      </c>
      <c r="F64" s="1292" t="s">
        <v>22</v>
      </c>
      <c r="G64" s="1292" t="s">
        <v>751</v>
      </c>
      <c r="H64" s="775" t="s">
        <v>22</v>
      </c>
      <c r="I64" s="775"/>
      <c r="J64" s="775"/>
      <c r="K64" s="775"/>
      <c r="L64" s="775"/>
      <c r="M64" s="775"/>
      <c r="N64" s="775"/>
      <c r="O64" s="775"/>
      <c r="P64" s="775"/>
      <c r="Q64" s="775"/>
      <c r="R64" s="776"/>
      <c r="S64" s="777"/>
      <c r="T64" s="842"/>
      <c r="U64" s="2511"/>
      <c r="V64" s="2511"/>
      <c r="W64" s="1284"/>
      <c r="X64" s="1284"/>
      <c r="Y64" s="1284"/>
      <c r="Z64" s="1284"/>
      <c r="AA64" s="1760"/>
      <c r="AB64" s="1284"/>
      <c r="AC64" s="2512"/>
      <c r="AD64" s="753"/>
      <c r="AE64" s="1284"/>
      <c r="AF64" s="1284"/>
      <c r="AG64" s="1760"/>
      <c r="AH64" s="1760"/>
      <c r="AI64" s="1760"/>
      <c r="AJ64" s="1760"/>
      <c r="AK64" s="1760"/>
      <c r="AL64" s="1760"/>
      <c r="AM64" s="1760"/>
      <c r="AN64" s="1760"/>
      <c r="AO64" s="1760"/>
      <c r="AP64" s="1760"/>
      <c r="AQ64" s="1760"/>
      <c r="AR64" s="1760"/>
      <c r="AS64" s="1760"/>
      <c r="AT64" s="1760"/>
      <c r="AU64" s="1760"/>
      <c r="AV64" s="1760"/>
      <c r="AW64" s="1760"/>
      <c r="AX64" s="1760"/>
      <c r="AY64" s="1760"/>
      <c r="AZ64" s="1760"/>
      <c r="BA64" s="1760"/>
      <c r="BB64" s="1760"/>
      <c r="BC64" s="1760"/>
      <c r="BD64" s="1760"/>
      <c r="BE64" s="1760"/>
      <c r="BF64" s="1760"/>
      <c r="BG64" s="1760"/>
      <c r="BH64" s="1760"/>
      <c r="BI64" s="1760"/>
      <c r="BJ64" s="1760"/>
      <c r="BK64" s="1760"/>
      <c r="BL64" s="1760"/>
      <c r="BM64" s="1760"/>
      <c r="BN64" s="1760"/>
      <c r="BO64" s="1760"/>
      <c r="BP64" s="1760"/>
      <c r="BQ64" s="1760"/>
      <c r="BR64" s="1760"/>
      <c r="BS64" s="1760"/>
      <c r="BT64" s="1760"/>
      <c r="BU64" s="1760"/>
      <c r="BV64" s="1284"/>
      <c r="BW64" s="1284"/>
      <c r="BX64" s="1284"/>
      <c r="BY64" s="1284"/>
      <c r="BZ64" s="1284"/>
      <c r="CA64" s="1284"/>
      <c r="CB64" s="1284"/>
      <c r="CC64" s="1284"/>
      <c r="CD64" s="1284"/>
      <c r="CE64" s="1284"/>
      <c r="CF64" s="7954"/>
    </row>
    <row customHeight="1" ht="5.25" hidden="1">
      <c r="A65" s="1916"/>
      <c r="B65" s="1760"/>
      <c r="C65" s="1760"/>
      <c r="D65" s="2716"/>
      <c r="E65" s="1163"/>
      <c r="F65" s="1163"/>
      <c r="G65" s="1163"/>
      <c r="H65" s="1163"/>
      <c r="I65" s="1163"/>
      <c r="J65" s="1163"/>
      <c r="K65" s="1163"/>
      <c r="L65" s="1163"/>
      <c r="M65" s="1163"/>
      <c r="N65" s="1163"/>
      <c r="O65" s="1163"/>
      <c r="P65" s="1163"/>
      <c r="Q65" s="1164"/>
      <c r="R65" s="1165"/>
      <c r="S65" s="1166"/>
      <c r="T65" s="841" t="s">
        <v>748</v>
      </c>
      <c r="U65" s="2511">
        <v>1</v>
      </c>
      <c r="V65" s="2511" t="s">
        <v>693</v>
      </c>
      <c r="W65" s="1760"/>
      <c r="X65" s="1760"/>
      <c r="Y65" s="1760"/>
      <c r="Z65" s="1760"/>
      <c r="AA65" s="1760"/>
      <c r="AB65" s="1760"/>
      <c r="AC65" s="1161"/>
      <c r="AD65" s="1162"/>
      <c r="AE65" s="1760"/>
      <c r="AF65" s="1760"/>
      <c r="AG65" s="1760"/>
      <c r="AH65" s="1760"/>
      <c r="AI65" s="1760"/>
      <c r="AJ65" s="1760"/>
      <c r="AK65" s="1760"/>
      <c r="AL65" s="1760"/>
      <c r="AM65" s="1760"/>
      <c r="AN65" s="1760"/>
      <c r="AO65" s="1760"/>
      <c r="AP65" s="1760"/>
      <c r="AQ65" s="1760"/>
      <c r="AR65" s="1760"/>
      <c r="AS65" s="1760"/>
      <c r="AT65" s="1760"/>
      <c r="AU65" s="1760"/>
      <c r="AV65" s="1760"/>
      <c r="AW65" s="1760"/>
      <c r="AX65" s="1760"/>
      <c r="AY65" s="1760"/>
      <c r="AZ65" s="1760"/>
      <c r="BA65" s="1760"/>
      <c r="BB65" s="1760"/>
      <c r="BC65" s="1760"/>
      <c r="BD65" s="1760"/>
      <c r="BE65" s="1760"/>
      <c r="BF65" s="1760"/>
      <c r="BG65" s="1760"/>
      <c r="BH65" s="1760"/>
      <c r="BI65" s="1760"/>
      <c r="BJ65" s="1760"/>
      <c r="BK65" s="1760"/>
      <c r="BL65" s="1760"/>
      <c r="BM65" s="1760"/>
      <c r="BN65" s="1760"/>
      <c r="BO65" s="1760"/>
      <c r="BP65" s="1760"/>
      <c r="BQ65" s="1760"/>
      <c r="BR65" s="1760"/>
      <c r="BS65" s="1760"/>
      <c r="BT65" s="1760"/>
      <c r="BU65" s="1760"/>
      <c r="BV65" s="1760"/>
      <c r="BW65" s="1760"/>
      <c r="BX65" s="1760"/>
      <c r="BY65" s="1760"/>
      <c r="BZ65" s="1760"/>
      <c r="CA65" s="1760"/>
      <c r="CB65" s="1760"/>
      <c r="CC65" s="1760"/>
      <c r="CD65" s="1760"/>
      <c r="CE65" s="1760"/>
      <c r="CF65" s="7914"/>
    </row>
    <row customHeight="1" ht="5.25" hidden="1">
      <c r="A66" s="1916"/>
      <c r="B66" s="1760"/>
      <c r="C66" s="1760"/>
      <c r="D66" s="2716"/>
      <c r="E66" s="759"/>
      <c r="F66" s="759"/>
      <c r="G66" s="759"/>
      <c r="H66" s="759"/>
      <c r="I66" s="759"/>
      <c r="J66" s="759"/>
      <c r="K66" s="759"/>
      <c r="L66" s="759"/>
      <c r="M66" s="759"/>
      <c r="N66" s="759"/>
      <c r="O66" s="759"/>
      <c r="P66" s="759"/>
      <c r="Q66" s="759"/>
      <c r="R66" s="759"/>
      <c r="S66" s="760"/>
      <c r="T66" s="842"/>
      <c r="U66" s="2511"/>
      <c r="V66" s="2511"/>
      <c r="W66" s="1760"/>
      <c r="X66" s="1760"/>
      <c r="Y66" s="1760"/>
      <c r="Z66" s="1760"/>
      <c r="AA66" s="1760"/>
      <c r="AB66" s="1760"/>
      <c r="AC66" s="1161"/>
      <c r="AD66" s="1162"/>
      <c r="AE66" s="1760"/>
      <c r="AF66" s="1760"/>
      <c r="AG66" s="1760"/>
      <c r="AH66" s="1760"/>
      <c r="AI66" s="1760"/>
      <c r="AJ66" s="1760"/>
      <c r="AK66" s="1760"/>
      <c r="AL66" s="1760"/>
      <c r="AM66" s="1760"/>
      <c r="AN66" s="1760"/>
      <c r="AO66" s="1760"/>
      <c r="AP66" s="1760"/>
      <c r="AQ66" s="1760"/>
      <c r="AR66" s="1760"/>
      <c r="AS66" s="1760"/>
      <c r="AT66" s="1760"/>
      <c r="AU66" s="1760"/>
      <c r="AV66" s="1760"/>
      <c r="AW66" s="1760"/>
      <c r="AX66" s="1760"/>
      <c r="AY66" s="1760"/>
      <c r="AZ66" s="1760"/>
      <c r="BA66" s="1760"/>
      <c r="BB66" s="1760"/>
      <c r="BC66" s="1760"/>
      <c r="BD66" s="1760"/>
      <c r="BE66" s="1760"/>
      <c r="BF66" s="1760"/>
      <c r="BG66" s="1760"/>
      <c r="BH66" s="1760"/>
      <c r="BI66" s="1760"/>
      <c r="BJ66" s="1760"/>
      <c r="BK66" s="1760"/>
      <c r="BL66" s="1760"/>
      <c r="BM66" s="1760"/>
      <c r="BN66" s="1760"/>
      <c r="BO66" s="1760"/>
      <c r="BP66" s="1760"/>
      <c r="BQ66" s="1760"/>
      <c r="BR66" s="1760"/>
      <c r="BS66" s="1760"/>
      <c r="BT66" s="1760"/>
      <c r="BU66" s="1760"/>
      <c r="BV66" s="1760"/>
      <c r="BW66" s="1760"/>
      <c r="BX66" s="1760"/>
      <c r="BY66" s="1760"/>
      <c r="BZ66" s="1760"/>
      <c r="CA66" s="1760"/>
      <c r="CB66" s="1760"/>
      <c r="CC66" s="1760"/>
      <c r="CD66" s="1760"/>
      <c r="CE66" s="1760"/>
      <c r="CF66" s="7914"/>
    </row>
    <row customHeight="1" ht="5.25" hidden="1">
      <c r="A67" s="1916"/>
      <c r="B67" s="1760"/>
      <c r="C67" s="1760"/>
      <c r="D67" s="2717"/>
      <c r="E67" s="1167"/>
      <c r="F67" s="1168"/>
      <c r="G67" s="1168"/>
      <c r="H67" s="1169"/>
      <c r="I67" s="1169"/>
      <c r="J67" s="1169"/>
      <c r="K67" s="1169"/>
      <c r="L67" s="1169"/>
      <c r="M67" s="1169"/>
      <c r="N67" s="1169"/>
      <c r="O67" s="1169"/>
      <c r="P67" s="1169"/>
      <c r="Q67" s="1169"/>
      <c r="R67" s="1070"/>
      <c r="S67" s="1170"/>
      <c r="T67" s="842"/>
      <c r="U67" s="2511"/>
      <c r="V67" s="2511"/>
      <c r="W67" s="1760"/>
      <c r="X67" s="1760"/>
      <c r="Y67" s="1760"/>
      <c r="Z67" s="1760"/>
      <c r="AA67" s="1760"/>
      <c r="AB67" s="1760"/>
      <c r="AC67" s="1161"/>
      <c r="AD67" s="1162"/>
      <c r="AE67" s="1760"/>
      <c r="AF67" s="1760"/>
      <c r="AG67" s="1760"/>
      <c r="AH67" s="1760"/>
      <c r="AI67" s="1760"/>
      <c r="AJ67" s="1760"/>
      <c r="AK67" s="1760"/>
      <c r="AL67" s="1760"/>
      <c r="AM67" s="1760"/>
      <c r="AN67" s="1760"/>
      <c r="AO67" s="1760"/>
      <c r="AP67" s="1760"/>
      <c r="AQ67" s="1760"/>
      <c r="AR67" s="1760"/>
      <c r="AS67" s="1760"/>
      <c r="AT67" s="1760"/>
      <c r="AU67" s="1760"/>
      <c r="AV67" s="1760"/>
      <c r="AW67" s="1760"/>
      <c r="AX67" s="1760"/>
      <c r="AY67" s="1760"/>
      <c r="AZ67" s="1760"/>
      <c r="BA67" s="1760"/>
      <c r="BB67" s="1760"/>
      <c r="BC67" s="1760"/>
      <c r="BD67" s="1760"/>
      <c r="BE67" s="1760"/>
      <c r="BF67" s="1760"/>
      <c r="BG67" s="1760"/>
      <c r="BH67" s="1760"/>
      <c r="BI67" s="1760"/>
      <c r="BJ67" s="1760"/>
      <c r="BK67" s="1760"/>
      <c r="BL67" s="1760"/>
      <c r="BM67" s="1760"/>
      <c r="BN67" s="1760"/>
      <c r="BO67" s="1760"/>
      <c r="BP67" s="1760"/>
      <c r="BQ67" s="1760"/>
      <c r="BR67" s="1760"/>
      <c r="BS67" s="1760"/>
      <c r="BT67" s="1760"/>
      <c r="BU67" s="1760"/>
      <c r="BV67" s="1760"/>
      <c r="BW67" s="1760"/>
      <c r="BX67" s="1760"/>
      <c r="BY67" s="1760"/>
      <c r="BZ67" s="1760"/>
      <c r="CA67" s="1760"/>
      <c r="CB67" s="1760"/>
      <c r="CC67" s="1760"/>
      <c r="CD67" s="1760"/>
      <c r="CE67" s="1760"/>
      <c r="CF67" s="7914"/>
    </row>
    <row customHeight="1" ht="15" hidden="1">
      <c r="A68" s="747" t="s">
        <v>224</v>
      </c>
      <c r="B68" s="748"/>
      <c r="C68" s="748" t="s">
        <v>22</v>
      </c>
      <c r="D68" s="2715" t="s">
        <v>756</v>
      </c>
      <c r="E68" s="2514" t="s">
        <v>206</v>
      </c>
      <c r="F68" s="2515"/>
      <c r="G68" s="2516"/>
      <c r="H68" s="2520" t="str">
        <f>IF(A68="","",INDEX(DIFFERENTIATION_UNMERGE_VD,MATCH(A68,DIFFERENTIATION_ID_DIFF,0)))</f>
        <v>Производство тепловой энергии. Некомбинированная выработка</v>
      </c>
      <c r="I68" s="2520"/>
      <c r="J68" s="2520"/>
      <c r="K68" s="2520"/>
      <c r="L68" s="2520"/>
      <c r="M68" s="2520"/>
      <c r="N68" s="2520"/>
      <c r="O68" s="2520"/>
      <c r="P68" s="2520"/>
      <c r="Q68" s="2520"/>
      <c r="R68" s="2520"/>
      <c r="S68" s="843"/>
      <c r="T68" s="840"/>
      <c r="U68" s="749"/>
      <c r="V68" s="749"/>
      <c r="W68" s="750"/>
      <c r="X68" s="750"/>
      <c r="Y68" s="750"/>
      <c r="Z68" s="750"/>
      <c r="AA68" s="751"/>
      <c r="AB68" s="752"/>
      <c r="AC68" s="2512"/>
      <c r="AD68" s="753"/>
      <c r="AE68" s="754" t="s">
        <v>22</v>
      </c>
      <c r="AF68" s="754"/>
      <c r="AG68" s="755" t="s">
        <v>745</v>
      </c>
      <c r="AH68" s="756">
        <v>3</v>
      </c>
      <c r="AI68" s="749"/>
      <c r="AJ68" s="749"/>
      <c r="AK68" s="749"/>
      <c r="AL68" s="749"/>
      <c r="AM68" s="749"/>
      <c r="AN68" s="749"/>
      <c r="AO68" s="749"/>
      <c r="AP68" s="749"/>
      <c r="AQ68" s="749"/>
      <c r="AR68" s="749"/>
      <c r="AS68" s="749"/>
      <c r="AT68" s="749"/>
      <c r="AU68" s="749"/>
      <c r="AV68" s="749"/>
      <c r="AW68" s="749"/>
      <c r="AX68" s="749"/>
      <c r="AY68" s="749"/>
      <c r="AZ68" s="749"/>
      <c r="BA68" s="749"/>
      <c r="BB68" s="749"/>
      <c r="BC68" s="749"/>
      <c r="BD68" s="749"/>
      <c r="BE68" s="749"/>
      <c r="BF68" s="749"/>
      <c r="BG68" s="749"/>
      <c r="BH68" s="749"/>
      <c r="BI68" s="749"/>
      <c r="BJ68" s="749"/>
      <c r="BK68" s="749"/>
      <c r="BL68" s="749"/>
      <c r="BM68" s="749"/>
      <c r="BN68" s="749"/>
      <c r="BO68" s="749"/>
      <c r="BP68" s="749"/>
      <c r="BQ68" s="749"/>
      <c r="BR68" s="749"/>
      <c r="BS68" s="749"/>
      <c r="BT68" s="749"/>
      <c r="BU68" s="749"/>
      <c r="BV68" s="750"/>
      <c r="BW68" s="750"/>
      <c r="BX68" s="750"/>
      <c r="BY68" s="750"/>
      <c r="BZ68" s="750"/>
      <c r="CA68" s="750"/>
      <c r="CB68" s="750"/>
      <c r="CC68" s="750"/>
      <c r="CD68" s="750"/>
      <c r="CE68" s="750"/>
      <c r="CF68" s="7954"/>
    </row>
    <row customHeight="1" ht="15" hidden="1">
      <c r="A69" s="747"/>
      <c r="B69" s="748"/>
      <c r="C69" s="748"/>
      <c r="D69" s="2716"/>
      <c r="E69" s="2514" t="s">
        <v>676</v>
      </c>
      <c r="F69" s="2515"/>
      <c r="G69" s="2516"/>
      <c r="H69" s="2520" t="str">
        <f>IF(A68="","",INDEX(DIFFERENTIATION_UNMERGE_AREA,MATCH(A68,DIFFERENTIATION_ID_DIFF,0)))</f>
        <v>Территория 7</v>
      </c>
      <c r="I69" s="2520"/>
      <c r="J69" s="2520"/>
      <c r="K69" s="2520"/>
      <c r="L69" s="2520"/>
      <c r="M69" s="2520"/>
      <c r="N69" s="2520"/>
      <c r="O69" s="2520"/>
      <c r="P69" s="2520"/>
      <c r="Q69" s="2520"/>
      <c r="R69" s="2520"/>
      <c r="S69" s="843"/>
      <c r="T69" s="840"/>
      <c r="U69" s="749"/>
      <c r="V69" s="749"/>
      <c r="W69" s="750"/>
      <c r="X69" s="750"/>
      <c r="Y69" s="750"/>
      <c r="Z69" s="750"/>
      <c r="AA69" s="751"/>
      <c r="AB69" s="752"/>
      <c r="AC69" s="2512"/>
      <c r="AD69" s="753"/>
      <c r="AE69" s="754"/>
      <c r="AF69" s="754"/>
      <c r="AG69" s="755"/>
      <c r="AH69" s="756"/>
      <c r="AI69" s="749"/>
      <c r="AJ69" s="749"/>
      <c r="AK69" s="749"/>
      <c r="AL69" s="749"/>
      <c r="AM69" s="749"/>
      <c r="AN69" s="749"/>
      <c r="AO69" s="749"/>
      <c r="AP69" s="749"/>
      <c r="AQ69" s="749"/>
      <c r="AR69" s="749"/>
      <c r="AS69" s="749"/>
      <c r="AT69" s="749"/>
      <c r="AU69" s="749"/>
      <c r="AV69" s="749"/>
      <c r="AW69" s="749"/>
      <c r="AX69" s="749"/>
      <c r="AY69" s="749"/>
      <c r="AZ69" s="749"/>
      <c r="BA69" s="749"/>
      <c r="BB69" s="749"/>
      <c r="BC69" s="749"/>
      <c r="BD69" s="749"/>
      <c r="BE69" s="749"/>
      <c r="BF69" s="749"/>
      <c r="BG69" s="749"/>
      <c r="BH69" s="749"/>
      <c r="BI69" s="749"/>
      <c r="BJ69" s="749"/>
      <c r="BK69" s="749"/>
      <c r="BL69" s="749"/>
      <c r="BM69" s="749"/>
      <c r="BN69" s="749"/>
      <c r="BO69" s="749"/>
      <c r="BP69" s="749"/>
      <c r="BQ69" s="749"/>
      <c r="BR69" s="749"/>
      <c r="BS69" s="749"/>
      <c r="BT69" s="749"/>
      <c r="BU69" s="749"/>
      <c r="BV69" s="750"/>
      <c r="BW69" s="750"/>
      <c r="BX69" s="750"/>
      <c r="BY69" s="750"/>
      <c r="BZ69" s="750"/>
      <c r="CA69" s="750"/>
      <c r="CB69" s="750"/>
      <c r="CC69" s="750"/>
      <c r="CD69" s="750"/>
      <c r="CE69" s="750"/>
      <c r="CF69" s="7954"/>
    </row>
    <row customHeight="1" ht="15" hidden="1">
      <c r="A70" s="747"/>
      <c r="B70" s="748"/>
      <c r="C70" s="748"/>
      <c r="D70" s="2716"/>
      <c r="E70" s="2514" t="s">
        <v>677</v>
      </c>
      <c r="F70" s="2515"/>
      <c r="G70" s="2516"/>
      <c r="H70" s="2520" t="str">
        <f>IF(A68="","",INDEX(DIFFERENTIATION_UNMERGE_SYSTEM,MATCH(A68,DIFFERENTIATION_ID_DIFF,0)))</f>
        <v>без дифференциации</v>
      </c>
      <c r="I70" s="2520"/>
      <c r="J70" s="2520"/>
      <c r="K70" s="2520"/>
      <c r="L70" s="2520"/>
      <c r="M70" s="2520"/>
      <c r="N70" s="2520"/>
      <c r="O70" s="2520"/>
      <c r="P70" s="2520"/>
      <c r="Q70" s="2520"/>
      <c r="R70" s="2520"/>
      <c r="S70" s="843"/>
      <c r="T70" s="840"/>
      <c r="U70" s="749"/>
      <c r="V70" s="749"/>
      <c r="W70" s="750"/>
      <c r="X70" s="750"/>
      <c r="Y70" s="750"/>
      <c r="Z70" s="750"/>
      <c r="AA70" s="751"/>
      <c r="AB70" s="752"/>
      <c r="AC70" s="2512"/>
      <c r="AD70" s="753"/>
      <c r="AE70" s="754"/>
      <c r="AF70" s="754"/>
      <c r="AG70" s="755"/>
      <c r="AH70" s="756"/>
      <c r="AI70" s="749"/>
      <c r="AJ70" s="749"/>
      <c r="AK70" s="749"/>
      <c r="AL70" s="749"/>
      <c r="AM70" s="749"/>
      <c r="AN70" s="749"/>
      <c r="AO70" s="749"/>
      <c r="AP70" s="749"/>
      <c r="AQ70" s="749"/>
      <c r="AR70" s="749"/>
      <c r="AS70" s="749"/>
      <c r="AT70" s="749"/>
      <c r="AU70" s="749"/>
      <c r="AV70" s="749"/>
      <c r="AW70" s="749"/>
      <c r="AX70" s="749"/>
      <c r="AY70" s="749"/>
      <c r="AZ70" s="749"/>
      <c r="BA70" s="749"/>
      <c r="BB70" s="749"/>
      <c r="BC70" s="749"/>
      <c r="BD70" s="749"/>
      <c r="BE70" s="749"/>
      <c r="BF70" s="749"/>
      <c r="BG70" s="749"/>
      <c r="BH70" s="749"/>
      <c r="BI70" s="749"/>
      <c r="BJ70" s="749"/>
      <c r="BK70" s="749"/>
      <c r="BL70" s="749"/>
      <c r="BM70" s="749"/>
      <c r="BN70" s="749"/>
      <c r="BO70" s="749"/>
      <c r="BP70" s="749"/>
      <c r="BQ70" s="749"/>
      <c r="BR70" s="749"/>
      <c r="BS70" s="749"/>
      <c r="BT70" s="749"/>
      <c r="BU70" s="749"/>
      <c r="BV70" s="750"/>
      <c r="BW70" s="750"/>
      <c r="BX70" s="750"/>
      <c r="BY70" s="750"/>
      <c r="BZ70" s="750"/>
      <c r="CA70" s="750"/>
      <c r="CB70" s="750"/>
      <c r="CC70" s="750"/>
      <c r="CD70" s="750"/>
      <c r="CE70" s="750"/>
      <c r="CF70" s="7954"/>
    </row>
    <row customHeight="1" ht="24.75" hidden="1">
      <c r="A71" s="1929"/>
      <c r="B71" s="1284"/>
      <c r="C71" s="536"/>
      <c r="D71" s="2716"/>
      <c r="E71" s="2513" t="s">
        <v>746</v>
      </c>
      <c r="F71" s="2513"/>
      <c r="G71" s="2513"/>
      <c r="H71" s="2513"/>
      <c r="I71" s="2513"/>
      <c r="J71" s="2513"/>
      <c r="K71" s="2513"/>
      <c r="L71" s="2513"/>
      <c r="M71" s="2513"/>
      <c r="N71" s="2513"/>
      <c r="O71" s="2513"/>
      <c r="P71" s="2513"/>
      <c r="Q71" s="682">
        <f>SUMIF(T72:T73,"i",Q72:Q73)</f>
        <v>0</v>
      </c>
      <c r="R71" s="1141"/>
      <c r="S71" s="1921" t="s">
        <v>747</v>
      </c>
      <c r="T71" s="841" t="s">
        <v>748</v>
      </c>
      <c r="U71" s="2511">
        <v>1</v>
      </c>
      <c r="V71" s="2511" t="str">
        <f>INDEX(B_FHD_FLAG_INDEX_1,1,MATCH(A68,B_FHD_FLAG_DIFFERENTIATION,0))</f>
        <v>отсутствует</v>
      </c>
      <c r="W71" s="1284"/>
      <c r="X71" s="1284"/>
      <c r="Y71" s="1284"/>
      <c r="Z71" s="1284"/>
      <c r="AA71" s="1760"/>
      <c r="AB71" s="1284"/>
      <c r="AC71" s="2512"/>
      <c r="AD71" s="753"/>
      <c r="AE71" s="1284"/>
      <c r="AF71" s="1284"/>
      <c r="AG71" s="1760"/>
      <c r="AH71" s="1760"/>
      <c r="AI71" s="1760"/>
      <c r="AJ71" s="1760"/>
      <c r="AK71" s="1760"/>
      <c r="AL71" s="1760"/>
      <c r="AM71" s="1760"/>
      <c r="AN71" s="1760"/>
      <c r="AO71" s="1760"/>
      <c r="AP71" s="1760"/>
      <c r="AQ71" s="1760"/>
      <c r="AR71" s="1760"/>
      <c r="AS71" s="1760"/>
      <c r="AT71" s="1760"/>
      <c r="AU71" s="1760"/>
      <c r="AV71" s="1760"/>
      <c r="AW71" s="1760"/>
      <c r="AX71" s="1760"/>
      <c r="AY71" s="1760"/>
      <c r="AZ71" s="1760"/>
      <c r="BA71" s="1760"/>
      <c r="BB71" s="1760"/>
      <c r="BC71" s="1760"/>
      <c r="BD71" s="1760"/>
      <c r="BE71" s="1760"/>
      <c r="BF71" s="1760"/>
      <c r="BG71" s="1760"/>
      <c r="BH71" s="1760"/>
      <c r="BI71" s="1760"/>
      <c r="BJ71" s="1760"/>
      <c r="BK71" s="1760"/>
      <c r="BL71" s="1760"/>
      <c r="BM71" s="1760"/>
      <c r="BN71" s="1760"/>
      <c r="BO71" s="1760"/>
      <c r="BP71" s="1760"/>
      <c r="BQ71" s="1760"/>
      <c r="BR71" s="1760"/>
      <c r="BS71" s="1760"/>
      <c r="BT71" s="1760"/>
      <c r="BU71" s="1760"/>
      <c r="BV71" s="1284"/>
      <c r="BW71" s="1284"/>
      <c r="BX71" s="1284"/>
      <c r="BY71" s="1284"/>
      <c r="BZ71" s="1284"/>
      <c r="CA71" s="1284"/>
      <c r="CB71" s="1284"/>
      <c r="CC71" s="1284"/>
      <c r="CD71" s="1284"/>
      <c r="CE71" s="1284"/>
      <c r="CF71" s="7954"/>
    </row>
    <row customHeight="1" ht="11.25" hidden="1">
      <c r="A72" s="1916"/>
      <c r="B72" s="1760"/>
      <c r="C72" s="1760"/>
      <c r="D72" s="2716"/>
      <c r="E72" s="759"/>
      <c r="F72" s="759">
        <v>0</v>
      </c>
      <c r="G72" s="759"/>
      <c r="H72" s="759"/>
      <c r="I72" s="759"/>
      <c r="J72" s="759"/>
      <c r="K72" s="759"/>
      <c r="L72" s="759"/>
      <c r="M72" s="759"/>
      <c r="N72" s="759"/>
      <c r="O72" s="759"/>
      <c r="P72" s="759"/>
      <c r="Q72" s="759"/>
      <c r="R72" s="759"/>
      <c r="S72" s="760"/>
      <c r="T72" s="842"/>
      <c r="U72" s="2511"/>
      <c r="V72" s="2511"/>
      <c r="W72" s="1760"/>
      <c r="X72" s="1760"/>
      <c r="Y72" s="1760"/>
      <c r="Z72" s="1760"/>
      <c r="AA72" s="1760"/>
      <c r="AB72" s="1284"/>
      <c r="AC72" s="2512"/>
      <c r="AD72" s="753"/>
      <c r="AE72" s="1284"/>
      <c r="AF72" s="1284"/>
      <c r="AG72" s="1760"/>
      <c r="AH72" s="1760"/>
      <c r="AI72" s="1760"/>
      <c r="AJ72" s="1760"/>
      <c r="AK72" s="1760"/>
      <c r="AL72" s="1760"/>
      <c r="AM72" s="1760"/>
      <c r="AN72" s="1760"/>
      <c r="AO72" s="1760"/>
      <c r="AP72" s="1760"/>
      <c r="AQ72" s="1760"/>
      <c r="AR72" s="1760"/>
      <c r="AS72" s="1760"/>
      <c r="AT72" s="1760"/>
      <c r="AU72" s="1760"/>
      <c r="AV72" s="1760"/>
      <c r="AW72" s="1760"/>
      <c r="AX72" s="1760"/>
      <c r="AY72" s="1760"/>
      <c r="AZ72" s="1760"/>
      <c r="BA72" s="1760"/>
      <c r="BB72" s="1760"/>
      <c r="BC72" s="1760"/>
      <c r="BD72" s="1760"/>
      <c r="BE72" s="1760"/>
      <c r="BF72" s="1760"/>
      <c r="BG72" s="1760"/>
      <c r="BH72" s="1760"/>
      <c r="BI72" s="1760"/>
      <c r="BJ72" s="1760"/>
      <c r="BK72" s="1760"/>
      <c r="BL72" s="1760"/>
      <c r="BM72" s="1760"/>
      <c r="BN72" s="1760"/>
      <c r="BO72" s="1760"/>
      <c r="BP72" s="1760"/>
      <c r="BQ72" s="1760"/>
      <c r="BR72" s="1760"/>
      <c r="BS72" s="1760"/>
      <c r="BT72" s="1760"/>
      <c r="BU72" s="1760"/>
      <c r="BV72" s="1760"/>
      <c r="BW72" s="1760"/>
      <c r="BX72" s="1760"/>
      <c r="BY72" s="1760"/>
      <c r="BZ72" s="1760"/>
      <c r="CA72" s="1760"/>
      <c r="CB72" s="1760"/>
      <c r="CC72" s="1760"/>
      <c r="CD72" s="1760"/>
      <c r="CE72" s="1760"/>
      <c r="CF72" s="7954"/>
    </row>
    <row customHeight="1" ht="11.25" hidden="1">
      <c r="A73" s="1929"/>
      <c r="B73" s="1284"/>
      <c r="C73" s="536"/>
      <c r="D73" s="2716"/>
      <c r="E73" s="773" t="s">
        <v>22</v>
      </c>
      <c r="F73" s="1292" t="s">
        <v>22</v>
      </c>
      <c r="G73" s="1292" t="s">
        <v>751</v>
      </c>
      <c r="H73" s="775" t="s">
        <v>22</v>
      </c>
      <c r="I73" s="775"/>
      <c r="J73" s="775"/>
      <c r="K73" s="775"/>
      <c r="L73" s="775"/>
      <c r="M73" s="775"/>
      <c r="N73" s="775"/>
      <c r="O73" s="775"/>
      <c r="P73" s="775"/>
      <c r="Q73" s="775"/>
      <c r="R73" s="776"/>
      <c r="S73" s="777"/>
      <c r="T73" s="842"/>
      <c r="U73" s="2511"/>
      <c r="V73" s="2511"/>
      <c r="W73" s="1284"/>
      <c r="X73" s="1284"/>
      <c r="Y73" s="1284"/>
      <c r="Z73" s="1284"/>
      <c r="AA73" s="1760"/>
      <c r="AB73" s="1284"/>
      <c r="AC73" s="2512"/>
      <c r="AD73" s="753"/>
      <c r="AE73" s="1284"/>
      <c r="AF73" s="1284"/>
      <c r="AG73" s="1760"/>
      <c r="AH73" s="1760"/>
      <c r="AI73" s="1760"/>
      <c r="AJ73" s="1760"/>
      <c r="AK73" s="1760"/>
      <c r="AL73" s="1760"/>
      <c r="AM73" s="1760"/>
      <c r="AN73" s="1760"/>
      <c r="AO73" s="1760"/>
      <c r="AP73" s="1760"/>
      <c r="AQ73" s="1760"/>
      <c r="AR73" s="1760"/>
      <c r="AS73" s="1760"/>
      <c r="AT73" s="1760"/>
      <c r="AU73" s="1760"/>
      <c r="AV73" s="1760"/>
      <c r="AW73" s="1760"/>
      <c r="AX73" s="1760"/>
      <c r="AY73" s="1760"/>
      <c r="AZ73" s="1760"/>
      <c r="BA73" s="1760"/>
      <c r="BB73" s="1760"/>
      <c r="BC73" s="1760"/>
      <c r="BD73" s="1760"/>
      <c r="BE73" s="1760"/>
      <c r="BF73" s="1760"/>
      <c r="BG73" s="1760"/>
      <c r="BH73" s="1760"/>
      <c r="BI73" s="1760"/>
      <c r="BJ73" s="1760"/>
      <c r="BK73" s="1760"/>
      <c r="BL73" s="1760"/>
      <c r="BM73" s="1760"/>
      <c r="BN73" s="1760"/>
      <c r="BO73" s="1760"/>
      <c r="BP73" s="1760"/>
      <c r="BQ73" s="1760"/>
      <c r="BR73" s="1760"/>
      <c r="BS73" s="1760"/>
      <c r="BT73" s="1760"/>
      <c r="BU73" s="1760"/>
      <c r="BV73" s="1284"/>
      <c r="BW73" s="1284"/>
      <c r="BX73" s="1284"/>
      <c r="BY73" s="1284"/>
      <c r="BZ73" s="1284"/>
      <c r="CA73" s="1284"/>
      <c r="CB73" s="1284"/>
      <c r="CC73" s="1284"/>
      <c r="CD73" s="1284"/>
      <c r="CE73" s="1284"/>
      <c r="CF73" s="7954"/>
    </row>
    <row customHeight="1" ht="5.25" hidden="1">
      <c r="A74" s="1916"/>
      <c r="B74" s="1760"/>
      <c r="C74" s="1760"/>
      <c r="D74" s="2716"/>
      <c r="E74" s="1163"/>
      <c r="F74" s="1163"/>
      <c r="G74" s="1163"/>
      <c r="H74" s="1163"/>
      <c r="I74" s="1163"/>
      <c r="J74" s="1163"/>
      <c r="K74" s="1163"/>
      <c r="L74" s="1163"/>
      <c r="M74" s="1163"/>
      <c r="N74" s="1163"/>
      <c r="O74" s="1163"/>
      <c r="P74" s="1163"/>
      <c r="Q74" s="1164"/>
      <c r="R74" s="1165"/>
      <c r="S74" s="1166"/>
      <c r="T74" s="841" t="s">
        <v>748</v>
      </c>
      <c r="U74" s="2511">
        <v>1</v>
      </c>
      <c r="V74" s="2511" t="s">
        <v>693</v>
      </c>
      <c r="W74" s="1760"/>
      <c r="X74" s="1760"/>
      <c r="Y74" s="1760"/>
      <c r="Z74" s="1760"/>
      <c r="AA74" s="1760"/>
      <c r="AB74" s="1760"/>
      <c r="AC74" s="1161"/>
      <c r="AD74" s="1162"/>
      <c r="AE74" s="1760"/>
      <c r="AF74" s="1760"/>
      <c r="AG74" s="1760"/>
      <c r="AH74" s="1760"/>
      <c r="AI74" s="1760"/>
      <c r="AJ74" s="1760"/>
      <c r="AK74" s="1760"/>
      <c r="AL74" s="1760"/>
      <c r="AM74" s="1760"/>
      <c r="AN74" s="1760"/>
      <c r="AO74" s="1760"/>
      <c r="AP74" s="1760"/>
      <c r="AQ74" s="1760"/>
      <c r="AR74" s="1760"/>
      <c r="AS74" s="1760"/>
      <c r="AT74" s="1760"/>
      <c r="AU74" s="1760"/>
      <c r="AV74" s="1760"/>
      <c r="AW74" s="1760"/>
      <c r="AX74" s="1760"/>
      <c r="AY74" s="1760"/>
      <c r="AZ74" s="1760"/>
      <c r="BA74" s="1760"/>
      <c r="BB74" s="1760"/>
      <c r="BC74" s="1760"/>
      <c r="BD74" s="1760"/>
      <c r="BE74" s="1760"/>
      <c r="BF74" s="1760"/>
      <c r="BG74" s="1760"/>
      <c r="BH74" s="1760"/>
      <c r="BI74" s="1760"/>
      <c r="BJ74" s="1760"/>
      <c r="BK74" s="1760"/>
      <c r="BL74" s="1760"/>
      <c r="BM74" s="1760"/>
      <c r="BN74" s="1760"/>
      <c r="BO74" s="1760"/>
      <c r="BP74" s="1760"/>
      <c r="BQ74" s="1760"/>
      <c r="BR74" s="1760"/>
      <c r="BS74" s="1760"/>
      <c r="BT74" s="1760"/>
      <c r="BU74" s="1760"/>
      <c r="BV74" s="1760"/>
      <c r="BW74" s="1760"/>
      <c r="BX74" s="1760"/>
      <c r="BY74" s="1760"/>
      <c r="BZ74" s="1760"/>
      <c r="CA74" s="1760"/>
      <c r="CB74" s="1760"/>
      <c r="CC74" s="1760"/>
      <c r="CD74" s="1760"/>
      <c r="CE74" s="1760"/>
      <c r="CF74" s="7914"/>
    </row>
    <row customHeight="1" ht="5.25" hidden="1">
      <c r="A75" s="1916"/>
      <c r="B75" s="1760"/>
      <c r="C75" s="1760"/>
      <c r="D75" s="2716"/>
      <c r="E75" s="759"/>
      <c r="F75" s="759"/>
      <c r="G75" s="759"/>
      <c r="H75" s="759"/>
      <c r="I75" s="759"/>
      <c r="J75" s="759"/>
      <c r="K75" s="759"/>
      <c r="L75" s="759"/>
      <c r="M75" s="759"/>
      <c r="N75" s="759"/>
      <c r="O75" s="759"/>
      <c r="P75" s="759"/>
      <c r="Q75" s="759"/>
      <c r="R75" s="759"/>
      <c r="S75" s="760"/>
      <c r="T75" s="842"/>
      <c r="U75" s="2511"/>
      <c r="V75" s="2511"/>
      <c r="W75" s="1760"/>
      <c r="X75" s="1760"/>
      <c r="Y75" s="1760"/>
      <c r="Z75" s="1760"/>
      <c r="AA75" s="1760"/>
      <c r="AB75" s="1760"/>
      <c r="AC75" s="1161"/>
      <c r="AD75" s="1162"/>
      <c r="AE75" s="1760"/>
      <c r="AF75" s="1760"/>
      <c r="AG75" s="1760"/>
      <c r="AH75" s="1760"/>
      <c r="AI75" s="1760"/>
      <c r="AJ75" s="1760"/>
      <c r="AK75" s="1760"/>
      <c r="AL75" s="1760"/>
      <c r="AM75" s="1760"/>
      <c r="AN75" s="1760"/>
      <c r="AO75" s="1760"/>
      <c r="AP75" s="1760"/>
      <c r="AQ75" s="1760"/>
      <c r="AR75" s="1760"/>
      <c r="AS75" s="1760"/>
      <c r="AT75" s="1760"/>
      <c r="AU75" s="1760"/>
      <c r="AV75" s="1760"/>
      <c r="AW75" s="1760"/>
      <c r="AX75" s="1760"/>
      <c r="AY75" s="1760"/>
      <c r="AZ75" s="1760"/>
      <c r="BA75" s="1760"/>
      <c r="BB75" s="1760"/>
      <c r="BC75" s="1760"/>
      <c r="BD75" s="1760"/>
      <c r="BE75" s="1760"/>
      <c r="BF75" s="1760"/>
      <c r="BG75" s="1760"/>
      <c r="BH75" s="1760"/>
      <c r="BI75" s="1760"/>
      <c r="BJ75" s="1760"/>
      <c r="BK75" s="1760"/>
      <c r="BL75" s="1760"/>
      <c r="BM75" s="1760"/>
      <c r="BN75" s="1760"/>
      <c r="BO75" s="1760"/>
      <c r="BP75" s="1760"/>
      <c r="BQ75" s="1760"/>
      <c r="BR75" s="1760"/>
      <c r="BS75" s="1760"/>
      <c r="BT75" s="1760"/>
      <c r="BU75" s="1760"/>
      <c r="BV75" s="1760"/>
      <c r="BW75" s="1760"/>
      <c r="BX75" s="1760"/>
      <c r="BY75" s="1760"/>
      <c r="BZ75" s="1760"/>
      <c r="CA75" s="1760"/>
      <c r="CB75" s="1760"/>
      <c r="CC75" s="1760"/>
      <c r="CD75" s="1760"/>
      <c r="CE75" s="1760"/>
      <c r="CF75" s="7914"/>
    </row>
    <row customHeight="1" ht="5.25" hidden="1">
      <c r="A76" s="1916"/>
      <c r="B76" s="1760"/>
      <c r="C76" s="1760"/>
      <c r="D76" s="2717"/>
      <c r="E76" s="1167"/>
      <c r="F76" s="1168"/>
      <c r="G76" s="1168"/>
      <c r="H76" s="1169"/>
      <c r="I76" s="1169"/>
      <c r="J76" s="1169"/>
      <c r="K76" s="1169"/>
      <c r="L76" s="1169"/>
      <c r="M76" s="1169"/>
      <c r="N76" s="1169"/>
      <c r="O76" s="1169"/>
      <c r="P76" s="1169"/>
      <c r="Q76" s="1169"/>
      <c r="R76" s="1070"/>
      <c r="S76" s="1170"/>
      <c r="T76" s="842"/>
      <c r="U76" s="2511"/>
      <c r="V76" s="2511"/>
      <c r="W76" s="1760"/>
      <c r="X76" s="1760"/>
      <c r="Y76" s="1760"/>
      <c r="Z76" s="1760"/>
      <c r="AA76" s="1760"/>
      <c r="AB76" s="1760"/>
      <c r="AC76" s="1161"/>
      <c r="AD76" s="1162"/>
      <c r="AE76" s="1760"/>
      <c r="AF76" s="1760"/>
      <c r="AG76" s="1760"/>
      <c r="AH76" s="1760"/>
      <c r="AI76" s="1760"/>
      <c r="AJ76" s="1760"/>
      <c r="AK76" s="1760"/>
      <c r="AL76" s="1760"/>
      <c r="AM76" s="1760"/>
      <c r="AN76" s="1760"/>
      <c r="AO76" s="1760"/>
      <c r="AP76" s="1760"/>
      <c r="AQ76" s="1760"/>
      <c r="AR76" s="1760"/>
      <c r="AS76" s="1760"/>
      <c r="AT76" s="1760"/>
      <c r="AU76" s="1760"/>
      <c r="AV76" s="1760"/>
      <c r="AW76" s="1760"/>
      <c r="AX76" s="1760"/>
      <c r="AY76" s="1760"/>
      <c r="AZ76" s="1760"/>
      <c r="BA76" s="1760"/>
      <c r="BB76" s="1760"/>
      <c r="BC76" s="1760"/>
      <c r="BD76" s="1760"/>
      <c r="BE76" s="1760"/>
      <c r="BF76" s="1760"/>
      <c r="BG76" s="1760"/>
      <c r="BH76" s="1760"/>
      <c r="BI76" s="1760"/>
      <c r="BJ76" s="1760"/>
      <c r="BK76" s="1760"/>
      <c r="BL76" s="1760"/>
      <c r="BM76" s="1760"/>
      <c r="BN76" s="1760"/>
      <c r="BO76" s="1760"/>
      <c r="BP76" s="1760"/>
      <c r="BQ76" s="1760"/>
      <c r="BR76" s="1760"/>
      <c r="BS76" s="1760"/>
      <c r="BT76" s="1760"/>
      <c r="BU76" s="1760"/>
      <c r="BV76" s="1760"/>
      <c r="BW76" s="1760"/>
      <c r="BX76" s="1760"/>
      <c r="BY76" s="1760"/>
      <c r="BZ76" s="1760"/>
      <c r="CA76" s="1760"/>
      <c r="CB76" s="1760"/>
      <c r="CC76" s="1760"/>
      <c r="CD76" s="1760"/>
      <c r="CE76" s="1760"/>
      <c r="CF76" s="7914"/>
    </row>
    <row customHeight="1" ht="15" hidden="1">
      <c r="A77" s="747" t="s">
        <v>225</v>
      </c>
      <c r="B77" s="748"/>
      <c r="C77" s="748" t="s">
        <v>22</v>
      </c>
      <c r="D77" s="2715" t="s">
        <v>757</v>
      </c>
      <c r="E77" s="2514" t="s">
        <v>206</v>
      </c>
      <c r="F77" s="2515"/>
      <c r="G77" s="2516"/>
      <c r="H77" s="2520" t="str">
        <f>IF(A77="","",INDEX(DIFFERENTIATION_UNMERGE_VD,MATCH(A77,DIFFERENTIATION_ID_DIFF,0)))</f>
        <v>Производство тепловой энергии. Некомбинированная выработка</v>
      </c>
      <c r="I77" s="2520"/>
      <c r="J77" s="2520"/>
      <c r="K77" s="2520"/>
      <c r="L77" s="2520"/>
      <c r="M77" s="2520"/>
      <c r="N77" s="2520"/>
      <c r="O77" s="2520"/>
      <c r="P77" s="2520"/>
      <c r="Q77" s="2520"/>
      <c r="R77" s="2520"/>
      <c r="S77" s="843"/>
      <c r="T77" s="840"/>
      <c r="U77" s="749"/>
      <c r="V77" s="749"/>
      <c r="W77" s="750"/>
      <c r="X77" s="750"/>
      <c r="Y77" s="750"/>
      <c r="Z77" s="750"/>
      <c r="AA77" s="751"/>
      <c r="AB77" s="752"/>
      <c r="AC77" s="2512"/>
      <c r="AD77" s="753"/>
      <c r="AE77" s="754" t="s">
        <v>22</v>
      </c>
      <c r="AF77" s="754"/>
      <c r="AG77" s="755" t="s">
        <v>745</v>
      </c>
      <c r="AH77" s="756">
        <v>3</v>
      </c>
      <c r="AI77" s="749"/>
      <c r="AJ77" s="749"/>
      <c r="AK77" s="749"/>
      <c r="AL77" s="749"/>
      <c r="AM77" s="749"/>
      <c r="AN77" s="749"/>
      <c r="AO77" s="749"/>
      <c r="AP77" s="749"/>
      <c r="AQ77" s="749"/>
      <c r="AR77" s="749"/>
      <c r="AS77" s="749"/>
      <c r="AT77" s="749"/>
      <c r="AU77" s="749"/>
      <c r="AV77" s="749"/>
      <c r="AW77" s="749"/>
      <c r="AX77" s="749"/>
      <c r="AY77" s="749"/>
      <c r="AZ77" s="749"/>
      <c r="BA77" s="749"/>
      <c r="BB77" s="749"/>
      <c r="BC77" s="749"/>
      <c r="BD77" s="749"/>
      <c r="BE77" s="749"/>
      <c r="BF77" s="749"/>
      <c r="BG77" s="749"/>
      <c r="BH77" s="749"/>
      <c r="BI77" s="749"/>
      <c r="BJ77" s="749"/>
      <c r="BK77" s="749"/>
      <c r="BL77" s="749"/>
      <c r="BM77" s="749"/>
      <c r="BN77" s="749"/>
      <c r="BO77" s="749"/>
      <c r="BP77" s="749"/>
      <c r="BQ77" s="749"/>
      <c r="BR77" s="749"/>
      <c r="BS77" s="749"/>
      <c r="BT77" s="749"/>
      <c r="BU77" s="749"/>
      <c r="BV77" s="750"/>
      <c r="BW77" s="750"/>
      <c r="BX77" s="750"/>
      <c r="BY77" s="750"/>
      <c r="BZ77" s="750"/>
      <c r="CA77" s="750"/>
      <c r="CB77" s="750"/>
      <c r="CC77" s="750"/>
      <c r="CD77" s="750"/>
      <c r="CE77" s="750"/>
      <c r="CF77" s="7954"/>
    </row>
    <row customHeight="1" ht="15" hidden="1">
      <c r="A78" s="747"/>
      <c r="B78" s="748"/>
      <c r="C78" s="748"/>
      <c r="D78" s="2716"/>
      <c r="E78" s="2514" t="s">
        <v>676</v>
      </c>
      <c r="F78" s="2515"/>
      <c r="G78" s="2516"/>
      <c r="H78" s="2520" t="str">
        <f>IF(A77="","",INDEX(DIFFERENTIATION_UNMERGE_AREA,MATCH(A77,DIFFERENTIATION_ID_DIFF,0)))</f>
        <v>Территория 8</v>
      </c>
      <c r="I78" s="2520"/>
      <c r="J78" s="2520"/>
      <c r="K78" s="2520"/>
      <c r="L78" s="2520"/>
      <c r="M78" s="2520"/>
      <c r="N78" s="2520"/>
      <c r="O78" s="2520"/>
      <c r="P78" s="2520"/>
      <c r="Q78" s="2520"/>
      <c r="R78" s="2520"/>
      <c r="S78" s="843"/>
      <c r="T78" s="840"/>
      <c r="U78" s="749"/>
      <c r="V78" s="749"/>
      <c r="W78" s="750"/>
      <c r="X78" s="750"/>
      <c r="Y78" s="750"/>
      <c r="Z78" s="750"/>
      <c r="AA78" s="751"/>
      <c r="AB78" s="752"/>
      <c r="AC78" s="2512"/>
      <c r="AD78" s="753"/>
      <c r="AE78" s="754"/>
      <c r="AF78" s="754"/>
      <c r="AG78" s="755"/>
      <c r="AH78" s="756"/>
      <c r="AI78" s="749"/>
      <c r="AJ78" s="749"/>
      <c r="AK78" s="749"/>
      <c r="AL78" s="749"/>
      <c r="AM78" s="749"/>
      <c r="AN78" s="749"/>
      <c r="AO78" s="749"/>
      <c r="AP78" s="749"/>
      <c r="AQ78" s="749"/>
      <c r="AR78" s="749"/>
      <c r="AS78" s="749"/>
      <c r="AT78" s="749"/>
      <c r="AU78" s="749"/>
      <c r="AV78" s="749"/>
      <c r="AW78" s="749"/>
      <c r="AX78" s="749"/>
      <c r="AY78" s="749"/>
      <c r="AZ78" s="749"/>
      <c r="BA78" s="749"/>
      <c r="BB78" s="749"/>
      <c r="BC78" s="749"/>
      <c r="BD78" s="749"/>
      <c r="BE78" s="749"/>
      <c r="BF78" s="749"/>
      <c r="BG78" s="749"/>
      <c r="BH78" s="749"/>
      <c r="BI78" s="749"/>
      <c r="BJ78" s="749"/>
      <c r="BK78" s="749"/>
      <c r="BL78" s="749"/>
      <c r="BM78" s="749"/>
      <c r="BN78" s="749"/>
      <c r="BO78" s="749"/>
      <c r="BP78" s="749"/>
      <c r="BQ78" s="749"/>
      <c r="BR78" s="749"/>
      <c r="BS78" s="749"/>
      <c r="BT78" s="749"/>
      <c r="BU78" s="749"/>
      <c r="BV78" s="750"/>
      <c r="BW78" s="750"/>
      <c r="BX78" s="750"/>
      <c r="BY78" s="750"/>
      <c r="BZ78" s="750"/>
      <c r="CA78" s="750"/>
      <c r="CB78" s="750"/>
      <c r="CC78" s="750"/>
      <c r="CD78" s="750"/>
      <c r="CE78" s="750"/>
      <c r="CF78" s="7954"/>
    </row>
    <row customHeight="1" ht="15" hidden="1">
      <c r="A79" s="747"/>
      <c r="B79" s="748"/>
      <c r="C79" s="748"/>
      <c r="D79" s="2716"/>
      <c r="E79" s="2514" t="s">
        <v>677</v>
      </c>
      <c r="F79" s="2515"/>
      <c r="G79" s="2516"/>
      <c r="H79" s="2520" t="str">
        <f>IF(A77="","",INDEX(DIFFERENTIATION_UNMERGE_SYSTEM,MATCH(A77,DIFFERENTIATION_ID_DIFF,0)))</f>
        <v>без дифференциации</v>
      </c>
      <c r="I79" s="2520"/>
      <c r="J79" s="2520"/>
      <c r="K79" s="2520"/>
      <c r="L79" s="2520"/>
      <c r="M79" s="2520"/>
      <c r="N79" s="2520"/>
      <c r="O79" s="2520"/>
      <c r="P79" s="2520"/>
      <c r="Q79" s="2520"/>
      <c r="R79" s="2520"/>
      <c r="S79" s="843"/>
      <c r="T79" s="840"/>
      <c r="U79" s="749"/>
      <c r="V79" s="749"/>
      <c r="W79" s="750"/>
      <c r="X79" s="750"/>
      <c r="Y79" s="750"/>
      <c r="Z79" s="750"/>
      <c r="AA79" s="751"/>
      <c r="AB79" s="752"/>
      <c r="AC79" s="2512"/>
      <c r="AD79" s="753"/>
      <c r="AE79" s="754"/>
      <c r="AF79" s="754"/>
      <c r="AG79" s="755"/>
      <c r="AH79" s="756"/>
      <c r="AI79" s="749"/>
      <c r="AJ79" s="749"/>
      <c r="AK79" s="749"/>
      <c r="AL79" s="749"/>
      <c r="AM79" s="749"/>
      <c r="AN79" s="749"/>
      <c r="AO79" s="749"/>
      <c r="AP79" s="749"/>
      <c r="AQ79" s="749"/>
      <c r="AR79" s="749"/>
      <c r="AS79" s="749"/>
      <c r="AT79" s="749"/>
      <c r="AU79" s="749"/>
      <c r="AV79" s="749"/>
      <c r="AW79" s="749"/>
      <c r="AX79" s="749"/>
      <c r="AY79" s="749"/>
      <c r="AZ79" s="749"/>
      <c r="BA79" s="749"/>
      <c r="BB79" s="749"/>
      <c r="BC79" s="749"/>
      <c r="BD79" s="749"/>
      <c r="BE79" s="749"/>
      <c r="BF79" s="749"/>
      <c r="BG79" s="749"/>
      <c r="BH79" s="749"/>
      <c r="BI79" s="749"/>
      <c r="BJ79" s="749"/>
      <c r="BK79" s="749"/>
      <c r="BL79" s="749"/>
      <c r="BM79" s="749"/>
      <c r="BN79" s="749"/>
      <c r="BO79" s="749"/>
      <c r="BP79" s="749"/>
      <c r="BQ79" s="749"/>
      <c r="BR79" s="749"/>
      <c r="BS79" s="749"/>
      <c r="BT79" s="749"/>
      <c r="BU79" s="749"/>
      <c r="BV79" s="750"/>
      <c r="BW79" s="750"/>
      <c r="BX79" s="750"/>
      <c r="BY79" s="750"/>
      <c r="BZ79" s="750"/>
      <c r="CA79" s="750"/>
      <c r="CB79" s="750"/>
      <c r="CC79" s="750"/>
      <c r="CD79" s="750"/>
      <c r="CE79" s="750"/>
      <c r="CF79" s="7954"/>
    </row>
    <row customHeight="1" ht="24.75" hidden="1">
      <c r="A80" s="1929"/>
      <c r="B80" s="1284"/>
      <c r="C80" s="536"/>
      <c r="D80" s="2716"/>
      <c r="E80" s="2513" t="s">
        <v>746</v>
      </c>
      <c r="F80" s="2513"/>
      <c r="G80" s="2513"/>
      <c r="H80" s="2513"/>
      <c r="I80" s="2513"/>
      <c r="J80" s="2513"/>
      <c r="K80" s="2513"/>
      <c r="L80" s="2513"/>
      <c r="M80" s="2513"/>
      <c r="N80" s="2513"/>
      <c r="O80" s="2513"/>
      <c r="P80" s="2513"/>
      <c r="Q80" s="682">
        <f>SUMIF(T81:T82,"i",Q81:Q82)</f>
        <v>0</v>
      </c>
      <c r="R80" s="1141"/>
      <c r="S80" s="1921" t="s">
        <v>747</v>
      </c>
      <c r="T80" s="841" t="s">
        <v>748</v>
      </c>
      <c r="U80" s="2511">
        <v>1</v>
      </c>
      <c r="V80" s="2511" t="str">
        <f>INDEX(B_FHD_FLAG_INDEX_1,1,MATCH(A77,B_FHD_FLAG_DIFFERENTIATION,0))</f>
        <v>отсутствует</v>
      </c>
      <c r="W80" s="1284"/>
      <c r="X80" s="1284"/>
      <c r="Y80" s="1284"/>
      <c r="Z80" s="1284"/>
      <c r="AA80" s="1760"/>
      <c r="AB80" s="1284"/>
      <c r="AC80" s="2512"/>
      <c r="AD80" s="753"/>
      <c r="AE80" s="1284"/>
      <c r="AF80" s="1284"/>
      <c r="AG80" s="1760"/>
      <c r="AH80" s="1760"/>
      <c r="AI80" s="1760"/>
      <c r="AJ80" s="1760"/>
      <c r="AK80" s="1760"/>
      <c r="AL80" s="1760"/>
      <c r="AM80" s="1760"/>
      <c r="AN80" s="1760"/>
      <c r="AO80" s="1760"/>
      <c r="AP80" s="1760"/>
      <c r="AQ80" s="1760"/>
      <c r="AR80" s="1760"/>
      <c r="AS80" s="1760"/>
      <c r="AT80" s="1760"/>
      <c r="AU80" s="1760"/>
      <c r="AV80" s="1760"/>
      <c r="AW80" s="1760"/>
      <c r="AX80" s="1760"/>
      <c r="AY80" s="1760"/>
      <c r="AZ80" s="1760"/>
      <c r="BA80" s="1760"/>
      <c r="BB80" s="1760"/>
      <c r="BC80" s="1760"/>
      <c r="BD80" s="1760"/>
      <c r="BE80" s="1760"/>
      <c r="BF80" s="1760"/>
      <c r="BG80" s="1760"/>
      <c r="BH80" s="1760"/>
      <c r="BI80" s="1760"/>
      <c r="BJ80" s="1760"/>
      <c r="BK80" s="1760"/>
      <c r="BL80" s="1760"/>
      <c r="BM80" s="1760"/>
      <c r="BN80" s="1760"/>
      <c r="BO80" s="1760"/>
      <c r="BP80" s="1760"/>
      <c r="BQ80" s="1760"/>
      <c r="BR80" s="1760"/>
      <c r="BS80" s="1760"/>
      <c r="BT80" s="1760"/>
      <c r="BU80" s="1760"/>
      <c r="BV80" s="1284"/>
      <c r="BW80" s="1284"/>
      <c r="BX80" s="1284"/>
      <c r="BY80" s="1284"/>
      <c r="BZ80" s="1284"/>
      <c r="CA80" s="1284"/>
      <c r="CB80" s="1284"/>
      <c r="CC80" s="1284"/>
      <c r="CD80" s="1284"/>
      <c r="CE80" s="1284"/>
      <c r="CF80" s="7954"/>
    </row>
    <row customHeight="1" ht="11.25" hidden="1">
      <c r="A81" s="1916"/>
      <c r="B81" s="1760"/>
      <c r="C81" s="1760"/>
      <c r="D81" s="2716"/>
      <c r="E81" s="759"/>
      <c r="F81" s="759">
        <v>0</v>
      </c>
      <c r="G81" s="759"/>
      <c r="H81" s="759"/>
      <c r="I81" s="759"/>
      <c r="J81" s="759"/>
      <c r="K81" s="759"/>
      <c r="L81" s="759"/>
      <c r="M81" s="759"/>
      <c r="N81" s="759"/>
      <c r="O81" s="759"/>
      <c r="P81" s="759"/>
      <c r="Q81" s="759"/>
      <c r="R81" s="759"/>
      <c r="S81" s="760"/>
      <c r="T81" s="842"/>
      <c r="U81" s="2511"/>
      <c r="V81" s="2511"/>
      <c r="W81" s="1760"/>
      <c r="X81" s="1760"/>
      <c r="Y81" s="1760"/>
      <c r="Z81" s="1760"/>
      <c r="AA81" s="1760"/>
      <c r="AB81" s="1284"/>
      <c r="AC81" s="2512"/>
      <c r="AD81" s="753"/>
      <c r="AE81" s="1284"/>
      <c r="AF81" s="1284"/>
      <c r="AG81" s="1760"/>
      <c r="AH81" s="1760"/>
      <c r="AI81" s="1760"/>
      <c r="AJ81" s="1760"/>
      <c r="AK81" s="1760"/>
      <c r="AL81" s="1760"/>
      <c r="AM81" s="1760"/>
      <c r="AN81" s="1760"/>
      <c r="AO81" s="1760"/>
      <c r="AP81" s="1760"/>
      <c r="AQ81" s="1760"/>
      <c r="AR81" s="1760"/>
      <c r="AS81" s="1760"/>
      <c r="AT81" s="1760"/>
      <c r="AU81" s="1760"/>
      <c r="AV81" s="1760"/>
      <c r="AW81" s="1760"/>
      <c r="AX81" s="1760"/>
      <c r="AY81" s="1760"/>
      <c r="AZ81" s="1760"/>
      <c r="BA81" s="1760"/>
      <c r="BB81" s="1760"/>
      <c r="BC81" s="1760"/>
      <c r="BD81" s="1760"/>
      <c r="BE81" s="1760"/>
      <c r="BF81" s="1760"/>
      <c r="BG81" s="1760"/>
      <c r="BH81" s="1760"/>
      <c r="BI81" s="1760"/>
      <c r="BJ81" s="1760"/>
      <c r="BK81" s="1760"/>
      <c r="BL81" s="1760"/>
      <c r="BM81" s="1760"/>
      <c r="BN81" s="1760"/>
      <c r="BO81" s="1760"/>
      <c r="BP81" s="1760"/>
      <c r="BQ81" s="1760"/>
      <c r="BR81" s="1760"/>
      <c r="BS81" s="1760"/>
      <c r="BT81" s="1760"/>
      <c r="BU81" s="1760"/>
      <c r="BV81" s="1760"/>
      <c r="BW81" s="1760"/>
      <c r="BX81" s="1760"/>
      <c r="BY81" s="1760"/>
      <c r="BZ81" s="1760"/>
      <c r="CA81" s="1760"/>
      <c r="CB81" s="1760"/>
      <c r="CC81" s="1760"/>
      <c r="CD81" s="1760"/>
      <c r="CE81" s="1760"/>
      <c r="CF81" s="7954"/>
    </row>
    <row customHeight="1" ht="11.25" hidden="1">
      <c r="A82" s="1929"/>
      <c r="B82" s="1284"/>
      <c r="C82" s="536"/>
      <c r="D82" s="2716"/>
      <c r="E82" s="773" t="s">
        <v>22</v>
      </c>
      <c r="F82" s="1292" t="s">
        <v>22</v>
      </c>
      <c r="G82" s="1292" t="s">
        <v>751</v>
      </c>
      <c r="H82" s="775" t="s">
        <v>22</v>
      </c>
      <c r="I82" s="775"/>
      <c r="J82" s="775"/>
      <c r="K82" s="775"/>
      <c r="L82" s="775"/>
      <c r="M82" s="775"/>
      <c r="N82" s="775"/>
      <c r="O82" s="775"/>
      <c r="P82" s="775"/>
      <c r="Q82" s="775"/>
      <c r="R82" s="776"/>
      <c r="S82" s="777"/>
      <c r="T82" s="842"/>
      <c r="U82" s="2511"/>
      <c r="V82" s="2511"/>
      <c r="W82" s="1284"/>
      <c r="X82" s="1284"/>
      <c r="Y82" s="1284"/>
      <c r="Z82" s="1284"/>
      <c r="AA82" s="1760"/>
      <c r="AB82" s="1284"/>
      <c r="AC82" s="2512"/>
      <c r="AD82" s="753"/>
      <c r="AE82" s="1284"/>
      <c r="AF82" s="1284"/>
      <c r="AG82" s="1760"/>
      <c r="AH82" s="1760"/>
      <c r="AI82" s="1760"/>
      <c r="AJ82" s="1760"/>
      <c r="AK82" s="1760"/>
      <c r="AL82" s="1760"/>
      <c r="AM82" s="1760"/>
      <c r="AN82" s="1760"/>
      <c r="AO82" s="1760"/>
      <c r="AP82" s="1760"/>
      <c r="AQ82" s="1760"/>
      <c r="AR82" s="1760"/>
      <c r="AS82" s="1760"/>
      <c r="AT82" s="1760"/>
      <c r="AU82" s="1760"/>
      <c r="AV82" s="1760"/>
      <c r="AW82" s="1760"/>
      <c r="AX82" s="1760"/>
      <c r="AY82" s="1760"/>
      <c r="AZ82" s="1760"/>
      <c r="BA82" s="1760"/>
      <c r="BB82" s="1760"/>
      <c r="BC82" s="1760"/>
      <c r="BD82" s="1760"/>
      <c r="BE82" s="1760"/>
      <c r="BF82" s="1760"/>
      <c r="BG82" s="1760"/>
      <c r="BH82" s="1760"/>
      <c r="BI82" s="1760"/>
      <c r="BJ82" s="1760"/>
      <c r="BK82" s="1760"/>
      <c r="BL82" s="1760"/>
      <c r="BM82" s="1760"/>
      <c r="BN82" s="1760"/>
      <c r="BO82" s="1760"/>
      <c r="BP82" s="1760"/>
      <c r="BQ82" s="1760"/>
      <c r="BR82" s="1760"/>
      <c r="BS82" s="1760"/>
      <c r="BT82" s="1760"/>
      <c r="BU82" s="1760"/>
      <c r="BV82" s="1284"/>
      <c r="BW82" s="1284"/>
      <c r="BX82" s="1284"/>
      <c r="BY82" s="1284"/>
      <c r="BZ82" s="1284"/>
      <c r="CA82" s="1284"/>
      <c r="CB82" s="1284"/>
      <c r="CC82" s="1284"/>
      <c r="CD82" s="1284"/>
      <c r="CE82" s="1284"/>
      <c r="CF82" s="7954"/>
    </row>
    <row customHeight="1" ht="5.25" hidden="1">
      <c r="A83" s="1916"/>
      <c r="B83" s="1760"/>
      <c r="C83" s="1760"/>
      <c r="D83" s="2716"/>
      <c r="E83" s="1163"/>
      <c r="F83" s="1163"/>
      <c r="G83" s="1163"/>
      <c r="H83" s="1163"/>
      <c r="I83" s="1163"/>
      <c r="J83" s="1163"/>
      <c r="K83" s="1163"/>
      <c r="L83" s="1163"/>
      <c r="M83" s="1163"/>
      <c r="N83" s="1163"/>
      <c r="O83" s="1163"/>
      <c r="P83" s="1163"/>
      <c r="Q83" s="1164"/>
      <c r="R83" s="1165"/>
      <c r="S83" s="1166"/>
      <c r="T83" s="841" t="s">
        <v>748</v>
      </c>
      <c r="U83" s="2511">
        <v>1</v>
      </c>
      <c r="V83" s="2511" t="s">
        <v>693</v>
      </c>
      <c r="W83" s="1760"/>
      <c r="X83" s="1760"/>
      <c r="Y83" s="1760"/>
      <c r="Z83" s="1760"/>
      <c r="AA83" s="1760"/>
      <c r="AB83" s="1760"/>
      <c r="AC83" s="1161"/>
      <c r="AD83" s="1162"/>
      <c r="AE83" s="1760"/>
      <c r="AF83" s="1760"/>
      <c r="AG83" s="1760"/>
      <c r="AH83" s="1760"/>
      <c r="AI83" s="1760"/>
      <c r="AJ83" s="1760"/>
      <c r="AK83" s="1760"/>
      <c r="AL83" s="1760"/>
      <c r="AM83" s="1760"/>
      <c r="AN83" s="1760"/>
      <c r="AO83" s="1760"/>
      <c r="AP83" s="1760"/>
      <c r="AQ83" s="1760"/>
      <c r="AR83" s="1760"/>
      <c r="AS83" s="1760"/>
      <c r="AT83" s="1760"/>
      <c r="AU83" s="1760"/>
      <c r="AV83" s="1760"/>
      <c r="AW83" s="1760"/>
      <c r="AX83" s="1760"/>
      <c r="AY83" s="1760"/>
      <c r="AZ83" s="1760"/>
      <c r="BA83" s="1760"/>
      <c r="BB83" s="1760"/>
      <c r="BC83" s="1760"/>
      <c r="BD83" s="1760"/>
      <c r="BE83" s="1760"/>
      <c r="BF83" s="1760"/>
      <c r="BG83" s="1760"/>
      <c r="BH83" s="1760"/>
      <c r="BI83" s="1760"/>
      <c r="BJ83" s="1760"/>
      <c r="BK83" s="1760"/>
      <c r="BL83" s="1760"/>
      <c r="BM83" s="1760"/>
      <c r="BN83" s="1760"/>
      <c r="BO83" s="1760"/>
      <c r="BP83" s="1760"/>
      <c r="BQ83" s="1760"/>
      <c r="BR83" s="1760"/>
      <c r="BS83" s="1760"/>
      <c r="BT83" s="1760"/>
      <c r="BU83" s="1760"/>
      <c r="BV83" s="1760"/>
      <c r="BW83" s="1760"/>
      <c r="BX83" s="1760"/>
      <c r="BY83" s="1760"/>
      <c r="BZ83" s="1760"/>
      <c r="CA83" s="1760"/>
      <c r="CB83" s="1760"/>
      <c r="CC83" s="1760"/>
      <c r="CD83" s="1760"/>
      <c r="CE83" s="1760"/>
      <c r="CF83" s="7914"/>
    </row>
    <row customHeight="1" ht="5.25" hidden="1">
      <c r="A84" s="1916"/>
      <c r="B84" s="1760"/>
      <c r="C84" s="1760"/>
      <c r="D84" s="2716"/>
      <c r="E84" s="759"/>
      <c r="F84" s="759"/>
      <c r="G84" s="759"/>
      <c r="H84" s="759"/>
      <c r="I84" s="759"/>
      <c r="J84" s="759"/>
      <c r="K84" s="759"/>
      <c r="L84" s="759"/>
      <c r="M84" s="759"/>
      <c r="N84" s="759"/>
      <c r="O84" s="759"/>
      <c r="P84" s="759"/>
      <c r="Q84" s="759"/>
      <c r="R84" s="759"/>
      <c r="S84" s="760"/>
      <c r="T84" s="842"/>
      <c r="U84" s="2511"/>
      <c r="V84" s="2511"/>
      <c r="W84" s="1760"/>
      <c r="X84" s="1760"/>
      <c r="Y84" s="1760"/>
      <c r="Z84" s="1760"/>
      <c r="AA84" s="1760"/>
      <c r="AB84" s="1760"/>
      <c r="AC84" s="1161"/>
      <c r="AD84" s="1162"/>
      <c r="AE84" s="1760"/>
      <c r="AF84" s="1760"/>
      <c r="AG84" s="1760"/>
      <c r="AH84" s="1760"/>
      <c r="AI84" s="1760"/>
      <c r="AJ84" s="1760"/>
      <c r="AK84" s="1760"/>
      <c r="AL84" s="1760"/>
      <c r="AM84" s="1760"/>
      <c r="AN84" s="1760"/>
      <c r="AO84" s="1760"/>
      <c r="AP84" s="1760"/>
      <c r="AQ84" s="1760"/>
      <c r="AR84" s="1760"/>
      <c r="AS84" s="1760"/>
      <c r="AT84" s="1760"/>
      <c r="AU84" s="1760"/>
      <c r="AV84" s="1760"/>
      <c r="AW84" s="1760"/>
      <c r="AX84" s="1760"/>
      <c r="AY84" s="1760"/>
      <c r="AZ84" s="1760"/>
      <c r="BA84" s="1760"/>
      <c r="BB84" s="1760"/>
      <c r="BC84" s="1760"/>
      <c r="BD84" s="1760"/>
      <c r="BE84" s="1760"/>
      <c r="BF84" s="1760"/>
      <c r="BG84" s="1760"/>
      <c r="BH84" s="1760"/>
      <c r="BI84" s="1760"/>
      <c r="BJ84" s="1760"/>
      <c r="BK84" s="1760"/>
      <c r="BL84" s="1760"/>
      <c r="BM84" s="1760"/>
      <c r="BN84" s="1760"/>
      <c r="BO84" s="1760"/>
      <c r="BP84" s="1760"/>
      <c r="BQ84" s="1760"/>
      <c r="BR84" s="1760"/>
      <c r="BS84" s="1760"/>
      <c r="BT84" s="1760"/>
      <c r="BU84" s="1760"/>
      <c r="BV84" s="1760"/>
      <c r="BW84" s="1760"/>
      <c r="BX84" s="1760"/>
      <c r="BY84" s="1760"/>
      <c r="BZ84" s="1760"/>
      <c r="CA84" s="1760"/>
      <c r="CB84" s="1760"/>
      <c r="CC84" s="1760"/>
      <c r="CD84" s="1760"/>
      <c r="CE84" s="1760"/>
      <c r="CF84" s="7914"/>
    </row>
    <row customHeight="1" ht="5.25" hidden="1">
      <c r="A85" s="1916"/>
      <c r="B85" s="1760"/>
      <c r="C85" s="1760"/>
      <c r="D85" s="2717"/>
      <c r="E85" s="1167"/>
      <c r="F85" s="1168"/>
      <c r="G85" s="1168"/>
      <c r="H85" s="1169"/>
      <c r="I85" s="1169"/>
      <c r="J85" s="1169"/>
      <c r="K85" s="1169"/>
      <c r="L85" s="1169"/>
      <c r="M85" s="1169"/>
      <c r="N85" s="1169"/>
      <c r="O85" s="1169"/>
      <c r="P85" s="1169"/>
      <c r="Q85" s="1169"/>
      <c r="R85" s="1070"/>
      <c r="S85" s="1170"/>
      <c r="T85" s="842"/>
      <c r="U85" s="2511"/>
      <c r="V85" s="2511"/>
      <c r="W85" s="1760"/>
      <c r="X85" s="1760"/>
      <c r="Y85" s="1760"/>
      <c r="Z85" s="1760"/>
      <c r="AA85" s="1760"/>
      <c r="AB85" s="1760"/>
      <c r="AC85" s="1161"/>
      <c r="AD85" s="1162"/>
      <c r="AE85" s="1760"/>
      <c r="AF85" s="1760"/>
      <c r="AG85" s="1760"/>
      <c r="AH85" s="1760"/>
      <c r="AI85" s="1760"/>
      <c r="AJ85" s="1760"/>
      <c r="AK85" s="1760"/>
      <c r="AL85" s="1760"/>
      <c r="AM85" s="1760"/>
      <c r="AN85" s="1760"/>
      <c r="AO85" s="1760"/>
      <c r="AP85" s="1760"/>
      <c r="AQ85" s="1760"/>
      <c r="AR85" s="1760"/>
      <c r="AS85" s="1760"/>
      <c r="AT85" s="1760"/>
      <c r="AU85" s="1760"/>
      <c r="AV85" s="1760"/>
      <c r="AW85" s="1760"/>
      <c r="AX85" s="1760"/>
      <c r="AY85" s="1760"/>
      <c r="AZ85" s="1760"/>
      <c r="BA85" s="1760"/>
      <c r="BB85" s="1760"/>
      <c r="BC85" s="1760"/>
      <c r="BD85" s="1760"/>
      <c r="BE85" s="1760"/>
      <c r="BF85" s="1760"/>
      <c r="BG85" s="1760"/>
      <c r="BH85" s="1760"/>
      <c r="BI85" s="1760"/>
      <c r="BJ85" s="1760"/>
      <c r="BK85" s="1760"/>
      <c r="BL85" s="1760"/>
      <c r="BM85" s="1760"/>
      <c r="BN85" s="1760"/>
      <c r="BO85" s="1760"/>
      <c r="BP85" s="1760"/>
      <c r="BQ85" s="1760"/>
      <c r="BR85" s="1760"/>
      <c r="BS85" s="1760"/>
      <c r="BT85" s="1760"/>
      <c r="BU85" s="1760"/>
      <c r="BV85" s="1760"/>
      <c r="BW85" s="1760"/>
      <c r="BX85" s="1760"/>
      <c r="BY85" s="1760"/>
      <c r="BZ85" s="1760"/>
      <c r="CA85" s="1760"/>
      <c r="CB85" s="1760"/>
      <c r="CC85" s="1760"/>
      <c r="CD85" s="1760"/>
      <c r="CE85" s="1760"/>
      <c r="CF85" s="7914"/>
    </row>
    <row customHeight="1" ht="15" hidden="1">
      <c r="A86" s="747" t="s">
        <v>226</v>
      </c>
      <c r="B86" s="748"/>
      <c r="C86" s="748" t="s">
        <v>22</v>
      </c>
      <c r="D86" s="2715" t="s">
        <v>758</v>
      </c>
      <c r="E86" s="2514" t="s">
        <v>206</v>
      </c>
      <c r="F86" s="2515"/>
      <c r="G86" s="2516"/>
      <c r="H86" s="2520" t="str">
        <f>IF(A86="","",INDEX(DIFFERENTIATION_UNMERGE_VD,MATCH(A86,DIFFERENTIATION_ID_DIFF,0)))</f>
        <v>Производство тепловой энергии. Некомбинированная выработка</v>
      </c>
      <c r="I86" s="2520"/>
      <c r="J86" s="2520"/>
      <c r="K86" s="2520"/>
      <c r="L86" s="2520"/>
      <c r="M86" s="2520"/>
      <c r="N86" s="2520"/>
      <c r="O86" s="2520"/>
      <c r="P86" s="2520"/>
      <c r="Q86" s="2520"/>
      <c r="R86" s="2520"/>
      <c r="S86" s="843"/>
      <c r="T86" s="840"/>
      <c r="U86" s="749"/>
      <c r="V86" s="749"/>
      <c r="W86" s="750"/>
      <c r="X86" s="750"/>
      <c r="Y86" s="750"/>
      <c r="Z86" s="750"/>
      <c r="AA86" s="751"/>
      <c r="AB86" s="752"/>
      <c r="AC86" s="2512"/>
      <c r="AD86" s="753"/>
      <c r="AE86" s="754" t="s">
        <v>22</v>
      </c>
      <c r="AF86" s="754"/>
      <c r="AG86" s="755" t="s">
        <v>745</v>
      </c>
      <c r="AH86" s="756">
        <v>3</v>
      </c>
      <c r="AI86" s="749"/>
      <c r="AJ86" s="749"/>
      <c r="AK86" s="749"/>
      <c r="AL86" s="749"/>
      <c r="AM86" s="749"/>
      <c r="AN86" s="749"/>
      <c r="AO86" s="749"/>
      <c r="AP86" s="749"/>
      <c r="AQ86" s="749"/>
      <c r="AR86" s="749"/>
      <c r="AS86" s="749"/>
      <c r="AT86" s="749"/>
      <c r="AU86" s="749"/>
      <c r="AV86" s="749"/>
      <c r="AW86" s="749"/>
      <c r="AX86" s="749"/>
      <c r="AY86" s="749"/>
      <c r="AZ86" s="749"/>
      <c r="BA86" s="749"/>
      <c r="BB86" s="749"/>
      <c r="BC86" s="749"/>
      <c r="BD86" s="749"/>
      <c r="BE86" s="749"/>
      <c r="BF86" s="749"/>
      <c r="BG86" s="749"/>
      <c r="BH86" s="749"/>
      <c r="BI86" s="749"/>
      <c r="BJ86" s="749"/>
      <c r="BK86" s="749"/>
      <c r="BL86" s="749"/>
      <c r="BM86" s="749"/>
      <c r="BN86" s="749"/>
      <c r="BO86" s="749"/>
      <c r="BP86" s="749"/>
      <c r="BQ86" s="749"/>
      <c r="BR86" s="749"/>
      <c r="BS86" s="749"/>
      <c r="BT86" s="749"/>
      <c r="BU86" s="749"/>
      <c r="BV86" s="750"/>
      <c r="BW86" s="750"/>
      <c r="BX86" s="750"/>
      <c r="BY86" s="750"/>
      <c r="BZ86" s="750"/>
      <c r="CA86" s="750"/>
      <c r="CB86" s="750"/>
      <c r="CC86" s="750"/>
      <c r="CD86" s="750"/>
      <c r="CE86" s="750"/>
      <c r="CF86" s="7954"/>
    </row>
    <row customHeight="1" ht="15" hidden="1">
      <c r="A87" s="747"/>
      <c r="B87" s="748"/>
      <c r="C87" s="748"/>
      <c r="D87" s="2716"/>
      <c r="E87" s="2514" t="s">
        <v>676</v>
      </c>
      <c r="F87" s="2515"/>
      <c r="G87" s="2516"/>
      <c r="H87" s="2520" t="str">
        <f>IF(A86="","",INDEX(DIFFERENTIATION_UNMERGE_AREA,MATCH(A86,DIFFERENTIATION_ID_DIFF,0)))</f>
        <v>Территория 9</v>
      </c>
      <c r="I87" s="2520"/>
      <c r="J87" s="2520"/>
      <c r="K87" s="2520"/>
      <c r="L87" s="2520"/>
      <c r="M87" s="2520"/>
      <c r="N87" s="2520"/>
      <c r="O87" s="2520"/>
      <c r="P87" s="2520"/>
      <c r="Q87" s="2520"/>
      <c r="R87" s="2520"/>
      <c r="S87" s="843"/>
      <c r="T87" s="840"/>
      <c r="U87" s="749"/>
      <c r="V87" s="749"/>
      <c r="W87" s="750"/>
      <c r="X87" s="750"/>
      <c r="Y87" s="750"/>
      <c r="Z87" s="750"/>
      <c r="AA87" s="751"/>
      <c r="AB87" s="752"/>
      <c r="AC87" s="2512"/>
      <c r="AD87" s="753"/>
      <c r="AE87" s="754"/>
      <c r="AF87" s="754"/>
      <c r="AG87" s="755"/>
      <c r="AH87" s="756"/>
      <c r="AI87" s="749"/>
      <c r="AJ87" s="749"/>
      <c r="AK87" s="749"/>
      <c r="AL87" s="749"/>
      <c r="AM87" s="749"/>
      <c r="AN87" s="749"/>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49"/>
      <c r="BN87" s="749"/>
      <c r="BO87" s="749"/>
      <c r="BP87" s="749"/>
      <c r="BQ87" s="749"/>
      <c r="BR87" s="749"/>
      <c r="BS87" s="749"/>
      <c r="BT87" s="749"/>
      <c r="BU87" s="749"/>
      <c r="BV87" s="750"/>
      <c r="BW87" s="750"/>
      <c r="BX87" s="750"/>
      <c r="BY87" s="750"/>
      <c r="BZ87" s="750"/>
      <c r="CA87" s="750"/>
      <c r="CB87" s="750"/>
      <c r="CC87" s="750"/>
      <c r="CD87" s="750"/>
      <c r="CE87" s="750"/>
      <c r="CF87" s="7954"/>
    </row>
    <row customHeight="1" ht="15" hidden="1">
      <c r="A88" s="747"/>
      <c r="B88" s="748"/>
      <c r="C88" s="748"/>
      <c r="D88" s="2716"/>
      <c r="E88" s="2514" t="s">
        <v>677</v>
      </c>
      <c r="F88" s="2515"/>
      <c r="G88" s="2516"/>
      <c r="H88" s="2520" t="str">
        <f>IF(A86="","",INDEX(DIFFERENTIATION_UNMERGE_SYSTEM,MATCH(A86,DIFFERENTIATION_ID_DIFF,0)))</f>
        <v>без дифференциации</v>
      </c>
      <c r="I88" s="2520"/>
      <c r="J88" s="2520"/>
      <c r="K88" s="2520"/>
      <c r="L88" s="2520"/>
      <c r="M88" s="2520"/>
      <c r="N88" s="2520"/>
      <c r="O88" s="2520"/>
      <c r="P88" s="2520"/>
      <c r="Q88" s="2520"/>
      <c r="R88" s="2520"/>
      <c r="S88" s="843"/>
      <c r="T88" s="840"/>
      <c r="U88" s="749"/>
      <c r="V88" s="749"/>
      <c r="W88" s="750"/>
      <c r="X88" s="750"/>
      <c r="Y88" s="750"/>
      <c r="Z88" s="750"/>
      <c r="AA88" s="751"/>
      <c r="AB88" s="752"/>
      <c r="AC88" s="2512"/>
      <c r="AD88" s="753"/>
      <c r="AE88" s="754"/>
      <c r="AF88" s="754"/>
      <c r="AG88" s="755"/>
      <c r="AH88" s="756"/>
      <c r="AI88" s="749"/>
      <c r="AJ88" s="749"/>
      <c r="AK88" s="749"/>
      <c r="AL88" s="749"/>
      <c r="AM88" s="749"/>
      <c r="AN88" s="749"/>
      <c r="AO88" s="749"/>
      <c r="AP88" s="749"/>
      <c r="AQ88" s="749"/>
      <c r="AR88" s="749"/>
      <c r="AS88" s="749"/>
      <c r="AT88" s="749"/>
      <c r="AU88" s="749"/>
      <c r="AV88" s="749"/>
      <c r="AW88" s="749"/>
      <c r="AX88" s="749"/>
      <c r="AY88" s="749"/>
      <c r="AZ88" s="749"/>
      <c r="BA88" s="749"/>
      <c r="BB88" s="749"/>
      <c r="BC88" s="749"/>
      <c r="BD88" s="749"/>
      <c r="BE88" s="749"/>
      <c r="BF88" s="749"/>
      <c r="BG88" s="749"/>
      <c r="BH88" s="749"/>
      <c r="BI88" s="749"/>
      <c r="BJ88" s="749"/>
      <c r="BK88" s="749"/>
      <c r="BL88" s="749"/>
      <c r="BM88" s="749"/>
      <c r="BN88" s="749"/>
      <c r="BO88" s="749"/>
      <c r="BP88" s="749"/>
      <c r="BQ88" s="749"/>
      <c r="BR88" s="749"/>
      <c r="BS88" s="749"/>
      <c r="BT88" s="749"/>
      <c r="BU88" s="749"/>
      <c r="BV88" s="750"/>
      <c r="BW88" s="750"/>
      <c r="BX88" s="750"/>
      <c r="BY88" s="750"/>
      <c r="BZ88" s="750"/>
      <c r="CA88" s="750"/>
      <c r="CB88" s="750"/>
      <c r="CC88" s="750"/>
      <c r="CD88" s="750"/>
      <c r="CE88" s="750"/>
      <c r="CF88" s="7954"/>
    </row>
    <row customHeight="1" ht="24.75" hidden="1">
      <c r="A89" s="1929"/>
      <c r="B89" s="1284"/>
      <c r="C89" s="536"/>
      <c r="D89" s="2716"/>
      <c r="E89" s="2513" t="s">
        <v>746</v>
      </c>
      <c r="F89" s="2513"/>
      <c r="G89" s="2513"/>
      <c r="H89" s="2513"/>
      <c r="I89" s="2513"/>
      <c r="J89" s="2513"/>
      <c r="K89" s="2513"/>
      <c r="L89" s="2513"/>
      <c r="M89" s="2513"/>
      <c r="N89" s="2513"/>
      <c r="O89" s="2513"/>
      <c r="P89" s="2513"/>
      <c r="Q89" s="682">
        <f>SUMIF(T90:T91,"i",Q90:Q91)</f>
        <v>0</v>
      </c>
      <c r="R89" s="1141"/>
      <c r="S89" s="1921" t="s">
        <v>747</v>
      </c>
      <c r="T89" s="841" t="s">
        <v>748</v>
      </c>
      <c r="U89" s="2511">
        <v>1</v>
      </c>
      <c r="V89" s="2511" t="str">
        <f>INDEX(B_FHD_FLAG_INDEX_1,1,MATCH(A86,B_FHD_FLAG_DIFFERENTIATION,0))</f>
        <v>отсутствует</v>
      </c>
      <c r="W89" s="1284"/>
      <c r="X89" s="1284"/>
      <c r="Y89" s="1284"/>
      <c r="Z89" s="1284"/>
      <c r="AA89" s="1760"/>
      <c r="AB89" s="1284"/>
      <c r="AC89" s="2512"/>
      <c r="AD89" s="753"/>
      <c r="AE89" s="1284"/>
      <c r="AF89" s="1284"/>
      <c r="AG89" s="1760"/>
      <c r="AH89" s="1760"/>
      <c r="AI89" s="1760"/>
      <c r="AJ89" s="1760"/>
      <c r="AK89" s="1760"/>
      <c r="AL89" s="1760"/>
      <c r="AM89" s="1760"/>
      <c r="AN89" s="1760"/>
      <c r="AO89" s="1760"/>
      <c r="AP89" s="1760"/>
      <c r="AQ89" s="1760"/>
      <c r="AR89" s="1760"/>
      <c r="AS89" s="1760"/>
      <c r="AT89" s="1760"/>
      <c r="AU89" s="1760"/>
      <c r="AV89" s="1760"/>
      <c r="AW89" s="1760"/>
      <c r="AX89" s="1760"/>
      <c r="AY89" s="1760"/>
      <c r="AZ89" s="1760"/>
      <c r="BA89" s="1760"/>
      <c r="BB89" s="1760"/>
      <c r="BC89" s="1760"/>
      <c r="BD89" s="1760"/>
      <c r="BE89" s="1760"/>
      <c r="BF89" s="1760"/>
      <c r="BG89" s="1760"/>
      <c r="BH89" s="1760"/>
      <c r="BI89" s="1760"/>
      <c r="BJ89" s="1760"/>
      <c r="BK89" s="1760"/>
      <c r="BL89" s="1760"/>
      <c r="BM89" s="1760"/>
      <c r="BN89" s="1760"/>
      <c r="BO89" s="1760"/>
      <c r="BP89" s="1760"/>
      <c r="BQ89" s="1760"/>
      <c r="BR89" s="1760"/>
      <c r="BS89" s="1760"/>
      <c r="BT89" s="1760"/>
      <c r="BU89" s="1760"/>
      <c r="BV89" s="1284"/>
      <c r="BW89" s="1284"/>
      <c r="BX89" s="1284"/>
      <c r="BY89" s="1284"/>
      <c r="BZ89" s="1284"/>
      <c r="CA89" s="1284"/>
      <c r="CB89" s="1284"/>
      <c r="CC89" s="1284"/>
      <c r="CD89" s="1284"/>
      <c r="CE89" s="1284"/>
      <c r="CF89" s="7954"/>
    </row>
    <row customHeight="1" ht="11.25" hidden="1">
      <c r="A90" s="1916"/>
      <c r="B90" s="1760"/>
      <c r="C90" s="1760"/>
      <c r="D90" s="2716"/>
      <c r="E90" s="759"/>
      <c r="F90" s="759">
        <v>0</v>
      </c>
      <c r="G90" s="759"/>
      <c r="H90" s="759"/>
      <c r="I90" s="759"/>
      <c r="J90" s="759"/>
      <c r="K90" s="759"/>
      <c r="L90" s="759"/>
      <c r="M90" s="759"/>
      <c r="N90" s="759"/>
      <c r="O90" s="759"/>
      <c r="P90" s="759"/>
      <c r="Q90" s="759"/>
      <c r="R90" s="759"/>
      <c r="S90" s="760"/>
      <c r="T90" s="842"/>
      <c r="U90" s="2511"/>
      <c r="V90" s="2511"/>
      <c r="W90" s="1760"/>
      <c r="X90" s="1760"/>
      <c r="Y90" s="1760"/>
      <c r="Z90" s="1760"/>
      <c r="AA90" s="1760"/>
      <c r="AB90" s="1284"/>
      <c r="AC90" s="2512"/>
      <c r="AD90" s="753"/>
      <c r="AE90" s="1284"/>
      <c r="AF90" s="1284"/>
      <c r="AG90" s="1760"/>
      <c r="AH90" s="1760"/>
      <c r="AI90" s="1760"/>
      <c r="AJ90" s="1760"/>
      <c r="AK90" s="1760"/>
      <c r="AL90" s="1760"/>
      <c r="AM90" s="1760"/>
      <c r="AN90" s="1760"/>
      <c r="AO90" s="1760"/>
      <c r="AP90" s="1760"/>
      <c r="AQ90" s="1760"/>
      <c r="AR90" s="1760"/>
      <c r="AS90" s="1760"/>
      <c r="AT90" s="1760"/>
      <c r="AU90" s="1760"/>
      <c r="AV90" s="1760"/>
      <c r="AW90" s="1760"/>
      <c r="AX90" s="1760"/>
      <c r="AY90" s="1760"/>
      <c r="AZ90" s="1760"/>
      <c r="BA90" s="1760"/>
      <c r="BB90" s="1760"/>
      <c r="BC90" s="1760"/>
      <c r="BD90" s="1760"/>
      <c r="BE90" s="1760"/>
      <c r="BF90" s="1760"/>
      <c r="BG90" s="1760"/>
      <c r="BH90" s="1760"/>
      <c r="BI90" s="1760"/>
      <c r="BJ90" s="1760"/>
      <c r="BK90" s="1760"/>
      <c r="BL90" s="1760"/>
      <c r="BM90" s="1760"/>
      <c r="BN90" s="1760"/>
      <c r="BO90" s="1760"/>
      <c r="BP90" s="1760"/>
      <c r="BQ90" s="1760"/>
      <c r="BR90" s="1760"/>
      <c r="BS90" s="1760"/>
      <c r="BT90" s="1760"/>
      <c r="BU90" s="1760"/>
      <c r="BV90" s="1760"/>
      <c r="BW90" s="1760"/>
      <c r="BX90" s="1760"/>
      <c r="BY90" s="1760"/>
      <c r="BZ90" s="1760"/>
      <c r="CA90" s="1760"/>
      <c r="CB90" s="1760"/>
      <c r="CC90" s="1760"/>
      <c r="CD90" s="1760"/>
      <c r="CE90" s="1760"/>
      <c r="CF90" s="7954"/>
    </row>
    <row customHeight="1" ht="11.25" hidden="1">
      <c r="A91" s="1929"/>
      <c r="B91" s="1284"/>
      <c r="C91" s="536"/>
      <c r="D91" s="2716"/>
      <c r="E91" s="773" t="s">
        <v>22</v>
      </c>
      <c r="F91" s="1292" t="s">
        <v>22</v>
      </c>
      <c r="G91" s="1292" t="s">
        <v>751</v>
      </c>
      <c r="H91" s="775" t="s">
        <v>22</v>
      </c>
      <c r="I91" s="775"/>
      <c r="J91" s="775"/>
      <c r="K91" s="775"/>
      <c r="L91" s="775"/>
      <c r="M91" s="775"/>
      <c r="N91" s="775"/>
      <c r="O91" s="775"/>
      <c r="P91" s="775"/>
      <c r="Q91" s="775"/>
      <c r="R91" s="776"/>
      <c r="S91" s="777"/>
      <c r="T91" s="842"/>
      <c r="U91" s="2511"/>
      <c r="V91" s="2511"/>
      <c r="W91" s="1284"/>
      <c r="X91" s="1284"/>
      <c r="Y91" s="1284"/>
      <c r="Z91" s="1284"/>
      <c r="AA91" s="1760"/>
      <c r="AB91" s="1284"/>
      <c r="AC91" s="2512"/>
      <c r="AD91" s="753"/>
      <c r="AE91" s="1284"/>
      <c r="AF91" s="1284"/>
      <c r="AG91" s="1760"/>
      <c r="AH91" s="1760"/>
      <c r="AI91" s="1760"/>
      <c r="AJ91" s="1760"/>
      <c r="AK91" s="1760"/>
      <c r="AL91" s="1760"/>
      <c r="AM91" s="1760"/>
      <c r="AN91" s="1760"/>
      <c r="AO91" s="1760"/>
      <c r="AP91" s="1760"/>
      <c r="AQ91" s="1760"/>
      <c r="AR91" s="1760"/>
      <c r="AS91" s="1760"/>
      <c r="AT91" s="1760"/>
      <c r="AU91" s="1760"/>
      <c r="AV91" s="1760"/>
      <c r="AW91" s="1760"/>
      <c r="AX91" s="1760"/>
      <c r="AY91" s="1760"/>
      <c r="AZ91" s="1760"/>
      <c r="BA91" s="1760"/>
      <c r="BB91" s="1760"/>
      <c r="BC91" s="1760"/>
      <c r="BD91" s="1760"/>
      <c r="BE91" s="1760"/>
      <c r="BF91" s="1760"/>
      <c r="BG91" s="1760"/>
      <c r="BH91" s="1760"/>
      <c r="BI91" s="1760"/>
      <c r="BJ91" s="1760"/>
      <c r="BK91" s="1760"/>
      <c r="BL91" s="1760"/>
      <c r="BM91" s="1760"/>
      <c r="BN91" s="1760"/>
      <c r="BO91" s="1760"/>
      <c r="BP91" s="1760"/>
      <c r="BQ91" s="1760"/>
      <c r="BR91" s="1760"/>
      <c r="BS91" s="1760"/>
      <c r="BT91" s="1760"/>
      <c r="BU91" s="1760"/>
      <c r="BV91" s="1284"/>
      <c r="BW91" s="1284"/>
      <c r="BX91" s="1284"/>
      <c r="BY91" s="1284"/>
      <c r="BZ91" s="1284"/>
      <c r="CA91" s="1284"/>
      <c r="CB91" s="1284"/>
      <c r="CC91" s="1284"/>
      <c r="CD91" s="1284"/>
      <c r="CE91" s="1284"/>
      <c r="CF91" s="7954"/>
    </row>
    <row customHeight="1" ht="5.25" hidden="1">
      <c r="A92" s="1916"/>
      <c r="B92" s="1760"/>
      <c r="C92" s="1760"/>
      <c r="D92" s="2716"/>
      <c r="E92" s="1163"/>
      <c r="F92" s="1163"/>
      <c r="G92" s="1163"/>
      <c r="H92" s="1163"/>
      <c r="I92" s="1163"/>
      <c r="J92" s="1163"/>
      <c r="K92" s="1163"/>
      <c r="L92" s="1163"/>
      <c r="M92" s="1163"/>
      <c r="N92" s="1163"/>
      <c r="O92" s="1163"/>
      <c r="P92" s="1163"/>
      <c r="Q92" s="1164"/>
      <c r="R92" s="1165"/>
      <c r="S92" s="1166"/>
      <c r="T92" s="841" t="s">
        <v>748</v>
      </c>
      <c r="U92" s="2511">
        <v>1</v>
      </c>
      <c r="V92" s="2511" t="s">
        <v>693</v>
      </c>
      <c r="W92" s="1760"/>
      <c r="X92" s="1760"/>
      <c r="Y92" s="1760"/>
      <c r="Z92" s="1760"/>
      <c r="AA92" s="1760"/>
      <c r="AB92" s="1760"/>
      <c r="AC92" s="1161"/>
      <c r="AD92" s="1162"/>
      <c r="AE92" s="1760"/>
      <c r="AF92" s="1760"/>
      <c r="AG92" s="1760"/>
      <c r="AH92" s="1760"/>
      <c r="AI92" s="1760"/>
      <c r="AJ92" s="1760"/>
      <c r="AK92" s="1760"/>
      <c r="AL92" s="1760"/>
      <c r="AM92" s="1760"/>
      <c r="AN92" s="1760"/>
      <c r="AO92" s="1760"/>
      <c r="AP92" s="1760"/>
      <c r="AQ92" s="1760"/>
      <c r="AR92" s="1760"/>
      <c r="AS92" s="1760"/>
      <c r="AT92" s="1760"/>
      <c r="AU92" s="1760"/>
      <c r="AV92" s="1760"/>
      <c r="AW92" s="1760"/>
      <c r="AX92" s="1760"/>
      <c r="AY92" s="1760"/>
      <c r="AZ92" s="1760"/>
      <c r="BA92" s="1760"/>
      <c r="BB92" s="1760"/>
      <c r="BC92" s="1760"/>
      <c r="BD92" s="1760"/>
      <c r="BE92" s="1760"/>
      <c r="BF92" s="1760"/>
      <c r="BG92" s="1760"/>
      <c r="BH92" s="1760"/>
      <c r="BI92" s="1760"/>
      <c r="BJ92" s="1760"/>
      <c r="BK92" s="1760"/>
      <c r="BL92" s="1760"/>
      <c r="BM92" s="1760"/>
      <c r="BN92" s="1760"/>
      <c r="BO92" s="1760"/>
      <c r="BP92" s="1760"/>
      <c r="BQ92" s="1760"/>
      <c r="BR92" s="1760"/>
      <c r="BS92" s="1760"/>
      <c r="BT92" s="1760"/>
      <c r="BU92" s="1760"/>
      <c r="BV92" s="1760"/>
      <c r="BW92" s="1760"/>
      <c r="BX92" s="1760"/>
      <c r="BY92" s="1760"/>
      <c r="BZ92" s="1760"/>
      <c r="CA92" s="1760"/>
      <c r="CB92" s="1760"/>
      <c r="CC92" s="1760"/>
      <c r="CD92" s="1760"/>
      <c r="CE92" s="1760"/>
      <c r="CF92" s="7914"/>
    </row>
    <row customHeight="1" ht="5.25" hidden="1">
      <c r="A93" s="1916"/>
      <c r="B93" s="1760"/>
      <c r="C93" s="1760"/>
      <c r="D93" s="2716"/>
      <c r="E93" s="759"/>
      <c r="F93" s="759"/>
      <c r="G93" s="759"/>
      <c r="H93" s="759"/>
      <c r="I93" s="759"/>
      <c r="J93" s="759"/>
      <c r="K93" s="759"/>
      <c r="L93" s="759"/>
      <c r="M93" s="759"/>
      <c r="N93" s="759"/>
      <c r="O93" s="759"/>
      <c r="P93" s="759"/>
      <c r="Q93" s="759"/>
      <c r="R93" s="759"/>
      <c r="S93" s="760"/>
      <c r="T93" s="842"/>
      <c r="U93" s="2511"/>
      <c r="V93" s="2511"/>
      <c r="W93" s="1760"/>
      <c r="X93" s="1760"/>
      <c r="Y93" s="1760"/>
      <c r="Z93" s="1760"/>
      <c r="AA93" s="1760"/>
      <c r="AB93" s="1760"/>
      <c r="AC93" s="1161"/>
      <c r="AD93" s="1162"/>
      <c r="AE93" s="1760"/>
      <c r="AF93" s="1760"/>
      <c r="AG93" s="1760"/>
      <c r="AH93" s="1760"/>
      <c r="AI93" s="1760"/>
      <c r="AJ93" s="1760"/>
      <c r="AK93" s="1760"/>
      <c r="AL93" s="1760"/>
      <c r="AM93" s="1760"/>
      <c r="AN93" s="1760"/>
      <c r="AO93" s="1760"/>
      <c r="AP93" s="1760"/>
      <c r="AQ93" s="1760"/>
      <c r="AR93" s="1760"/>
      <c r="AS93" s="1760"/>
      <c r="AT93" s="1760"/>
      <c r="AU93" s="1760"/>
      <c r="AV93" s="1760"/>
      <c r="AW93" s="1760"/>
      <c r="AX93" s="1760"/>
      <c r="AY93" s="1760"/>
      <c r="AZ93" s="1760"/>
      <c r="BA93" s="1760"/>
      <c r="BB93" s="1760"/>
      <c r="BC93" s="1760"/>
      <c r="BD93" s="1760"/>
      <c r="BE93" s="1760"/>
      <c r="BF93" s="1760"/>
      <c r="BG93" s="1760"/>
      <c r="BH93" s="1760"/>
      <c r="BI93" s="1760"/>
      <c r="BJ93" s="1760"/>
      <c r="BK93" s="1760"/>
      <c r="BL93" s="1760"/>
      <c r="BM93" s="1760"/>
      <c r="BN93" s="1760"/>
      <c r="BO93" s="1760"/>
      <c r="BP93" s="1760"/>
      <c r="BQ93" s="1760"/>
      <c r="BR93" s="1760"/>
      <c r="BS93" s="1760"/>
      <c r="BT93" s="1760"/>
      <c r="BU93" s="1760"/>
      <c r="BV93" s="1760"/>
      <c r="BW93" s="1760"/>
      <c r="BX93" s="1760"/>
      <c r="BY93" s="1760"/>
      <c r="BZ93" s="1760"/>
      <c r="CA93" s="1760"/>
      <c r="CB93" s="1760"/>
      <c r="CC93" s="1760"/>
      <c r="CD93" s="1760"/>
      <c r="CE93" s="1760"/>
      <c r="CF93" s="7914"/>
    </row>
    <row customHeight="1" ht="5.25" hidden="1">
      <c r="A94" s="1916"/>
      <c r="B94" s="1760"/>
      <c r="C94" s="1760"/>
      <c r="D94" s="2717"/>
      <c r="E94" s="1167"/>
      <c r="F94" s="1168"/>
      <c r="G94" s="1168"/>
      <c r="H94" s="1169"/>
      <c r="I94" s="1169"/>
      <c r="J94" s="1169"/>
      <c r="K94" s="1169"/>
      <c r="L94" s="1169"/>
      <c r="M94" s="1169"/>
      <c r="N94" s="1169"/>
      <c r="O94" s="1169"/>
      <c r="P94" s="1169"/>
      <c r="Q94" s="1169"/>
      <c r="R94" s="1070"/>
      <c r="S94" s="1170"/>
      <c r="T94" s="842"/>
      <c r="U94" s="2511"/>
      <c r="V94" s="2511"/>
      <c r="W94" s="1760"/>
      <c r="X94" s="1760"/>
      <c r="Y94" s="1760"/>
      <c r="Z94" s="1760"/>
      <c r="AA94" s="1760"/>
      <c r="AB94" s="1760"/>
      <c r="AC94" s="1161"/>
      <c r="AD94" s="1162"/>
      <c r="AE94" s="1760"/>
      <c r="AF94" s="1760"/>
      <c r="AG94" s="1760"/>
      <c r="AH94" s="1760"/>
      <c r="AI94" s="1760"/>
      <c r="AJ94" s="1760"/>
      <c r="AK94" s="1760"/>
      <c r="AL94" s="1760"/>
      <c r="AM94" s="1760"/>
      <c r="AN94" s="1760"/>
      <c r="AO94" s="1760"/>
      <c r="AP94" s="1760"/>
      <c r="AQ94" s="1760"/>
      <c r="AR94" s="1760"/>
      <c r="AS94" s="1760"/>
      <c r="AT94" s="1760"/>
      <c r="AU94" s="1760"/>
      <c r="AV94" s="1760"/>
      <c r="AW94" s="1760"/>
      <c r="AX94" s="1760"/>
      <c r="AY94" s="1760"/>
      <c r="AZ94" s="1760"/>
      <c r="BA94" s="1760"/>
      <c r="BB94" s="1760"/>
      <c r="BC94" s="1760"/>
      <c r="BD94" s="1760"/>
      <c r="BE94" s="1760"/>
      <c r="BF94" s="1760"/>
      <c r="BG94" s="1760"/>
      <c r="BH94" s="1760"/>
      <c r="BI94" s="1760"/>
      <c r="BJ94" s="1760"/>
      <c r="BK94" s="1760"/>
      <c r="BL94" s="1760"/>
      <c r="BM94" s="1760"/>
      <c r="BN94" s="1760"/>
      <c r="BO94" s="1760"/>
      <c r="BP94" s="1760"/>
      <c r="BQ94" s="1760"/>
      <c r="BR94" s="1760"/>
      <c r="BS94" s="1760"/>
      <c r="BT94" s="1760"/>
      <c r="BU94" s="1760"/>
      <c r="BV94" s="1760"/>
      <c r="BW94" s="1760"/>
      <c r="BX94" s="1760"/>
      <c r="BY94" s="1760"/>
      <c r="BZ94" s="1760"/>
      <c r="CA94" s="1760"/>
      <c r="CB94" s="1760"/>
      <c r="CC94" s="1760"/>
      <c r="CD94" s="1760"/>
      <c r="CE94" s="1760"/>
      <c r="CF94" s="7914"/>
    </row>
    <row customHeight="1" ht="15" hidden="1">
      <c r="A95" s="747" t="s">
        <v>227</v>
      </c>
      <c r="B95" s="748"/>
      <c r="C95" s="748" t="s">
        <v>22</v>
      </c>
      <c r="D95" s="2715" t="s">
        <v>759</v>
      </c>
      <c r="E95" s="2514" t="s">
        <v>206</v>
      </c>
      <c r="F95" s="2515"/>
      <c r="G95" s="2516"/>
      <c r="H95" s="2520" t="str">
        <f>IF(A95="","",INDEX(DIFFERENTIATION_UNMERGE_VD,MATCH(A95,DIFFERENTIATION_ID_DIFF,0)))</f>
        <v>Производство тепловой энергии. Некомбинированная выработка</v>
      </c>
      <c r="I95" s="2520"/>
      <c r="J95" s="2520"/>
      <c r="K95" s="2520"/>
      <c r="L95" s="2520"/>
      <c r="M95" s="2520"/>
      <c r="N95" s="2520"/>
      <c r="O95" s="2520"/>
      <c r="P95" s="2520"/>
      <c r="Q95" s="2520"/>
      <c r="R95" s="2520"/>
      <c r="S95" s="843"/>
      <c r="T95" s="840"/>
      <c r="U95" s="749"/>
      <c r="V95" s="749"/>
      <c r="W95" s="750"/>
      <c r="X95" s="750"/>
      <c r="Y95" s="750"/>
      <c r="Z95" s="750"/>
      <c r="AA95" s="751"/>
      <c r="AB95" s="752"/>
      <c r="AC95" s="2512"/>
      <c r="AD95" s="753"/>
      <c r="AE95" s="754" t="s">
        <v>22</v>
      </c>
      <c r="AF95" s="754"/>
      <c r="AG95" s="755" t="s">
        <v>745</v>
      </c>
      <c r="AH95" s="756">
        <v>3</v>
      </c>
      <c r="AI95" s="749"/>
      <c r="AJ95" s="749"/>
      <c r="AK95" s="749"/>
      <c r="AL95" s="749"/>
      <c r="AM95" s="749"/>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49"/>
      <c r="BR95" s="749"/>
      <c r="BS95" s="749"/>
      <c r="BT95" s="749"/>
      <c r="BU95" s="749"/>
      <c r="BV95" s="750"/>
      <c r="BW95" s="750"/>
      <c r="BX95" s="750"/>
      <c r="BY95" s="750"/>
      <c r="BZ95" s="750"/>
      <c r="CA95" s="750"/>
      <c r="CB95" s="750"/>
      <c r="CC95" s="750"/>
      <c r="CD95" s="750"/>
      <c r="CE95" s="750"/>
      <c r="CF95" s="7954"/>
    </row>
    <row customHeight="1" ht="15" hidden="1">
      <c r="A96" s="747"/>
      <c r="B96" s="748"/>
      <c r="C96" s="748"/>
      <c r="D96" s="2716"/>
      <c r="E96" s="2514" t="s">
        <v>676</v>
      </c>
      <c r="F96" s="2515"/>
      <c r="G96" s="2516"/>
      <c r="H96" s="2520" t="str">
        <f>IF(A95="","",INDEX(DIFFERENTIATION_UNMERGE_AREA,MATCH(A95,DIFFERENTIATION_ID_DIFF,0)))</f>
        <v>Территория 10</v>
      </c>
      <c r="I96" s="2520"/>
      <c r="J96" s="2520"/>
      <c r="K96" s="2520"/>
      <c r="L96" s="2520"/>
      <c r="M96" s="2520"/>
      <c r="N96" s="2520"/>
      <c r="O96" s="2520"/>
      <c r="P96" s="2520"/>
      <c r="Q96" s="2520"/>
      <c r="R96" s="2520"/>
      <c r="S96" s="843"/>
      <c r="T96" s="840"/>
      <c r="U96" s="749"/>
      <c r="V96" s="749"/>
      <c r="W96" s="750"/>
      <c r="X96" s="750"/>
      <c r="Y96" s="750"/>
      <c r="Z96" s="750"/>
      <c r="AA96" s="751"/>
      <c r="AB96" s="752"/>
      <c r="AC96" s="2512"/>
      <c r="AD96" s="753"/>
      <c r="AE96" s="754"/>
      <c r="AF96" s="754"/>
      <c r="AG96" s="755"/>
      <c r="AH96" s="756"/>
      <c r="AI96" s="749"/>
      <c r="AJ96" s="749"/>
      <c r="AK96" s="749"/>
      <c r="AL96" s="749"/>
      <c r="AM96" s="749"/>
      <c r="AN96" s="749"/>
      <c r="AO96" s="749"/>
      <c r="AP96" s="749"/>
      <c r="AQ96" s="749"/>
      <c r="AR96" s="749"/>
      <c r="AS96" s="749"/>
      <c r="AT96" s="749"/>
      <c r="AU96" s="749"/>
      <c r="AV96" s="749"/>
      <c r="AW96" s="749"/>
      <c r="AX96" s="749"/>
      <c r="AY96" s="749"/>
      <c r="AZ96" s="749"/>
      <c r="BA96" s="749"/>
      <c r="BB96" s="749"/>
      <c r="BC96" s="749"/>
      <c r="BD96" s="749"/>
      <c r="BE96" s="749"/>
      <c r="BF96" s="749"/>
      <c r="BG96" s="749"/>
      <c r="BH96" s="749"/>
      <c r="BI96" s="749"/>
      <c r="BJ96" s="749"/>
      <c r="BK96" s="749"/>
      <c r="BL96" s="749"/>
      <c r="BM96" s="749"/>
      <c r="BN96" s="749"/>
      <c r="BO96" s="749"/>
      <c r="BP96" s="749"/>
      <c r="BQ96" s="749"/>
      <c r="BR96" s="749"/>
      <c r="BS96" s="749"/>
      <c r="BT96" s="749"/>
      <c r="BU96" s="749"/>
      <c r="BV96" s="750"/>
      <c r="BW96" s="750"/>
      <c r="BX96" s="750"/>
      <c r="BY96" s="750"/>
      <c r="BZ96" s="750"/>
      <c r="CA96" s="750"/>
      <c r="CB96" s="750"/>
      <c r="CC96" s="750"/>
      <c r="CD96" s="750"/>
      <c r="CE96" s="750"/>
      <c r="CF96" s="7954"/>
    </row>
    <row customHeight="1" ht="15" hidden="1">
      <c r="A97" s="747"/>
      <c r="B97" s="748"/>
      <c r="C97" s="748"/>
      <c r="D97" s="2716"/>
      <c r="E97" s="2514" t="s">
        <v>677</v>
      </c>
      <c r="F97" s="2515"/>
      <c r="G97" s="2516"/>
      <c r="H97" s="2520" t="str">
        <f>IF(A95="","",INDEX(DIFFERENTIATION_UNMERGE_SYSTEM,MATCH(A95,DIFFERENTIATION_ID_DIFF,0)))</f>
        <v>без дифференциации</v>
      </c>
      <c r="I97" s="2520"/>
      <c r="J97" s="2520"/>
      <c r="K97" s="2520"/>
      <c r="L97" s="2520"/>
      <c r="M97" s="2520"/>
      <c r="N97" s="2520"/>
      <c r="O97" s="2520"/>
      <c r="P97" s="2520"/>
      <c r="Q97" s="2520"/>
      <c r="R97" s="2520"/>
      <c r="S97" s="843"/>
      <c r="T97" s="840"/>
      <c r="U97" s="749"/>
      <c r="V97" s="749"/>
      <c r="W97" s="750"/>
      <c r="X97" s="750"/>
      <c r="Y97" s="750"/>
      <c r="Z97" s="750"/>
      <c r="AA97" s="751"/>
      <c r="AB97" s="752"/>
      <c r="AC97" s="2512"/>
      <c r="AD97" s="753"/>
      <c r="AE97" s="754"/>
      <c r="AF97" s="754"/>
      <c r="AG97" s="755"/>
      <c r="AH97" s="756"/>
      <c r="AI97" s="749"/>
      <c r="AJ97" s="749"/>
      <c r="AK97" s="749"/>
      <c r="AL97" s="749"/>
      <c r="AM97" s="749"/>
      <c r="AN97" s="749"/>
      <c r="AO97" s="749"/>
      <c r="AP97" s="749"/>
      <c r="AQ97" s="749"/>
      <c r="AR97" s="749"/>
      <c r="AS97" s="749"/>
      <c r="AT97" s="749"/>
      <c r="AU97" s="749"/>
      <c r="AV97" s="749"/>
      <c r="AW97" s="749"/>
      <c r="AX97" s="749"/>
      <c r="AY97" s="749"/>
      <c r="AZ97" s="749"/>
      <c r="BA97" s="749"/>
      <c r="BB97" s="749"/>
      <c r="BC97" s="749"/>
      <c r="BD97" s="749"/>
      <c r="BE97" s="749"/>
      <c r="BF97" s="749"/>
      <c r="BG97" s="749"/>
      <c r="BH97" s="749"/>
      <c r="BI97" s="749"/>
      <c r="BJ97" s="749"/>
      <c r="BK97" s="749"/>
      <c r="BL97" s="749"/>
      <c r="BM97" s="749"/>
      <c r="BN97" s="749"/>
      <c r="BO97" s="749"/>
      <c r="BP97" s="749"/>
      <c r="BQ97" s="749"/>
      <c r="BR97" s="749"/>
      <c r="BS97" s="749"/>
      <c r="BT97" s="749"/>
      <c r="BU97" s="749"/>
      <c r="BV97" s="750"/>
      <c r="BW97" s="750"/>
      <c r="BX97" s="750"/>
      <c r="BY97" s="750"/>
      <c r="BZ97" s="750"/>
      <c r="CA97" s="750"/>
      <c r="CB97" s="750"/>
      <c r="CC97" s="750"/>
      <c r="CD97" s="750"/>
      <c r="CE97" s="750"/>
      <c r="CF97" s="7954"/>
    </row>
    <row customHeight="1" ht="24.75" hidden="1">
      <c r="A98" s="1929"/>
      <c r="B98" s="1284"/>
      <c r="C98" s="536"/>
      <c r="D98" s="2716"/>
      <c r="E98" s="2513" t="s">
        <v>746</v>
      </c>
      <c r="F98" s="2513"/>
      <c r="G98" s="2513"/>
      <c r="H98" s="2513"/>
      <c r="I98" s="2513"/>
      <c r="J98" s="2513"/>
      <c r="K98" s="2513"/>
      <c r="L98" s="2513"/>
      <c r="M98" s="2513"/>
      <c r="N98" s="2513"/>
      <c r="O98" s="2513"/>
      <c r="P98" s="2513"/>
      <c r="Q98" s="682">
        <f>SUMIF(T99:T100,"i",Q99:Q100)</f>
        <v>0</v>
      </c>
      <c r="R98" s="1141"/>
      <c r="S98" s="1921" t="s">
        <v>747</v>
      </c>
      <c r="T98" s="841" t="s">
        <v>748</v>
      </c>
      <c r="U98" s="2511">
        <v>1</v>
      </c>
      <c r="V98" s="2511" t="str">
        <f>INDEX(B_FHD_FLAG_INDEX_1,1,MATCH(A95,B_FHD_FLAG_DIFFERENTIATION,0))</f>
        <v>отсутствует</v>
      </c>
      <c r="W98" s="1284"/>
      <c r="X98" s="1284"/>
      <c r="Y98" s="1284"/>
      <c r="Z98" s="1284"/>
      <c r="AA98" s="1760"/>
      <c r="AB98" s="1284"/>
      <c r="AC98" s="2512"/>
      <c r="AD98" s="753"/>
      <c r="AE98" s="1284"/>
      <c r="AF98" s="1284"/>
      <c r="AG98" s="1760"/>
      <c r="AH98" s="1760"/>
      <c r="AI98" s="1760"/>
      <c r="AJ98" s="1760"/>
      <c r="AK98" s="1760"/>
      <c r="AL98" s="1760"/>
      <c r="AM98" s="1760"/>
      <c r="AN98" s="1760"/>
      <c r="AO98" s="1760"/>
      <c r="AP98" s="1760"/>
      <c r="AQ98" s="1760"/>
      <c r="AR98" s="1760"/>
      <c r="AS98" s="1760"/>
      <c r="AT98" s="1760"/>
      <c r="AU98" s="1760"/>
      <c r="AV98" s="1760"/>
      <c r="AW98" s="1760"/>
      <c r="AX98" s="1760"/>
      <c r="AY98" s="1760"/>
      <c r="AZ98" s="1760"/>
      <c r="BA98" s="1760"/>
      <c r="BB98" s="1760"/>
      <c r="BC98" s="1760"/>
      <c r="BD98" s="1760"/>
      <c r="BE98" s="1760"/>
      <c r="BF98" s="1760"/>
      <c r="BG98" s="1760"/>
      <c r="BH98" s="1760"/>
      <c r="BI98" s="1760"/>
      <c r="BJ98" s="1760"/>
      <c r="BK98" s="1760"/>
      <c r="BL98" s="1760"/>
      <c r="BM98" s="1760"/>
      <c r="BN98" s="1760"/>
      <c r="BO98" s="1760"/>
      <c r="BP98" s="1760"/>
      <c r="BQ98" s="1760"/>
      <c r="BR98" s="1760"/>
      <c r="BS98" s="1760"/>
      <c r="BT98" s="1760"/>
      <c r="BU98" s="1760"/>
      <c r="BV98" s="1284"/>
      <c r="BW98" s="1284"/>
      <c r="BX98" s="1284"/>
      <c r="BY98" s="1284"/>
      <c r="BZ98" s="1284"/>
      <c r="CA98" s="1284"/>
      <c r="CB98" s="1284"/>
      <c r="CC98" s="1284"/>
      <c r="CD98" s="1284"/>
      <c r="CE98" s="1284"/>
      <c r="CF98" s="7954"/>
    </row>
    <row customHeight="1" ht="11.25" hidden="1">
      <c r="A99" s="1916"/>
      <c r="B99" s="1760"/>
      <c r="C99" s="1760"/>
      <c r="D99" s="2716"/>
      <c r="E99" s="759"/>
      <c r="F99" s="759">
        <v>0</v>
      </c>
      <c r="G99" s="759"/>
      <c r="H99" s="759"/>
      <c r="I99" s="759"/>
      <c r="J99" s="759"/>
      <c r="K99" s="759"/>
      <c r="L99" s="759"/>
      <c r="M99" s="759"/>
      <c r="N99" s="759"/>
      <c r="O99" s="759"/>
      <c r="P99" s="759"/>
      <c r="Q99" s="759"/>
      <c r="R99" s="759"/>
      <c r="S99" s="760"/>
      <c r="T99" s="842"/>
      <c r="U99" s="2511"/>
      <c r="V99" s="2511"/>
      <c r="W99" s="1760"/>
      <c r="X99" s="1760"/>
      <c r="Y99" s="1760"/>
      <c r="Z99" s="1760"/>
      <c r="AA99" s="1760"/>
      <c r="AB99" s="1284"/>
      <c r="AC99" s="2512"/>
      <c r="AD99" s="753"/>
      <c r="AE99" s="1284"/>
      <c r="AF99" s="1284"/>
      <c r="AG99" s="1760"/>
      <c r="AH99" s="1760"/>
      <c r="AI99" s="1760"/>
      <c r="AJ99" s="1760"/>
      <c r="AK99" s="1760"/>
      <c r="AL99" s="1760"/>
      <c r="AM99" s="1760"/>
      <c r="AN99" s="1760"/>
      <c r="AO99" s="1760"/>
      <c r="AP99" s="1760"/>
      <c r="AQ99" s="1760"/>
      <c r="AR99" s="1760"/>
      <c r="AS99" s="1760"/>
      <c r="AT99" s="1760"/>
      <c r="AU99" s="1760"/>
      <c r="AV99" s="1760"/>
      <c r="AW99" s="1760"/>
      <c r="AX99" s="1760"/>
      <c r="AY99" s="1760"/>
      <c r="AZ99" s="1760"/>
      <c r="BA99" s="1760"/>
      <c r="BB99" s="1760"/>
      <c r="BC99" s="1760"/>
      <c r="BD99" s="1760"/>
      <c r="BE99" s="1760"/>
      <c r="BF99" s="1760"/>
      <c r="BG99" s="1760"/>
      <c r="BH99" s="1760"/>
      <c r="BI99" s="1760"/>
      <c r="BJ99" s="1760"/>
      <c r="BK99" s="1760"/>
      <c r="BL99" s="1760"/>
      <c r="BM99" s="1760"/>
      <c r="BN99" s="1760"/>
      <c r="BO99" s="1760"/>
      <c r="BP99" s="1760"/>
      <c r="BQ99" s="1760"/>
      <c r="BR99" s="1760"/>
      <c r="BS99" s="1760"/>
      <c r="BT99" s="1760"/>
      <c r="BU99" s="1760"/>
      <c r="BV99" s="1760"/>
      <c r="BW99" s="1760"/>
      <c r="BX99" s="1760"/>
      <c r="BY99" s="1760"/>
      <c r="BZ99" s="1760"/>
      <c r="CA99" s="1760"/>
      <c r="CB99" s="1760"/>
      <c r="CC99" s="1760"/>
      <c r="CD99" s="1760"/>
      <c r="CE99" s="1760"/>
      <c r="CF99" s="7954"/>
    </row>
    <row customHeight="1" ht="11.25" hidden="1">
      <c r="A100" s="1929"/>
      <c r="B100" s="1284"/>
      <c r="C100" s="536"/>
      <c r="D100" s="2716"/>
      <c r="E100" s="773" t="s">
        <v>22</v>
      </c>
      <c r="F100" s="1292" t="s">
        <v>22</v>
      </c>
      <c r="G100" s="1292" t="s">
        <v>751</v>
      </c>
      <c r="H100" s="775" t="s">
        <v>22</v>
      </c>
      <c r="I100" s="775"/>
      <c r="J100" s="775"/>
      <c r="K100" s="775"/>
      <c r="L100" s="775"/>
      <c r="M100" s="775"/>
      <c r="N100" s="775"/>
      <c r="O100" s="775"/>
      <c r="P100" s="775"/>
      <c r="Q100" s="775"/>
      <c r="R100" s="776"/>
      <c r="S100" s="777"/>
      <c r="T100" s="842"/>
      <c r="U100" s="2511"/>
      <c r="V100" s="2511"/>
      <c r="W100" s="1284"/>
      <c r="X100" s="1284"/>
      <c r="Y100" s="1284"/>
      <c r="Z100" s="1284"/>
      <c r="AA100" s="1760"/>
      <c r="AB100" s="1284"/>
      <c r="AC100" s="2512"/>
      <c r="AD100" s="753"/>
      <c r="AE100" s="1284"/>
      <c r="AF100" s="1284"/>
      <c r="AG100" s="1760"/>
      <c r="AH100" s="1760"/>
      <c r="AI100" s="1760"/>
      <c r="AJ100" s="1760"/>
      <c r="AK100" s="1760"/>
      <c r="AL100" s="1760"/>
      <c r="AM100" s="1760"/>
      <c r="AN100" s="1760"/>
      <c r="AO100" s="1760"/>
      <c r="AP100" s="1760"/>
      <c r="AQ100" s="1760"/>
      <c r="AR100" s="1760"/>
      <c r="AS100" s="1760"/>
      <c r="AT100" s="1760"/>
      <c r="AU100" s="1760"/>
      <c r="AV100" s="1760"/>
      <c r="AW100" s="1760"/>
      <c r="AX100" s="1760"/>
      <c r="AY100" s="1760"/>
      <c r="AZ100" s="1760"/>
      <c r="BA100" s="1760"/>
      <c r="BB100" s="1760"/>
      <c r="BC100" s="1760"/>
      <c r="BD100" s="1760"/>
      <c r="BE100" s="1760"/>
      <c r="BF100" s="1760"/>
      <c r="BG100" s="1760"/>
      <c r="BH100" s="1760"/>
      <c r="BI100" s="1760"/>
      <c r="BJ100" s="1760"/>
      <c r="BK100" s="1760"/>
      <c r="BL100" s="1760"/>
      <c r="BM100" s="1760"/>
      <c r="BN100" s="1760"/>
      <c r="BO100" s="1760"/>
      <c r="BP100" s="1760"/>
      <c r="BQ100" s="1760"/>
      <c r="BR100" s="1760"/>
      <c r="BS100" s="1760"/>
      <c r="BT100" s="1760"/>
      <c r="BU100" s="1760"/>
      <c r="BV100" s="1284"/>
      <c r="BW100" s="1284"/>
      <c r="BX100" s="1284"/>
      <c r="BY100" s="1284"/>
      <c r="BZ100" s="1284"/>
      <c r="CA100" s="1284"/>
      <c r="CB100" s="1284"/>
      <c r="CC100" s="1284"/>
      <c r="CD100" s="1284"/>
      <c r="CE100" s="1284"/>
      <c r="CF100" s="7954"/>
    </row>
    <row customHeight="1" ht="5.25" hidden="1">
      <c r="A101" s="1916"/>
      <c r="B101" s="1760"/>
      <c r="C101" s="1760"/>
      <c r="D101" s="2716"/>
      <c r="E101" s="1163"/>
      <c r="F101" s="1163"/>
      <c r="G101" s="1163"/>
      <c r="H101" s="1163"/>
      <c r="I101" s="1163"/>
      <c r="J101" s="1163"/>
      <c r="K101" s="1163"/>
      <c r="L101" s="1163"/>
      <c r="M101" s="1163"/>
      <c r="N101" s="1163"/>
      <c r="O101" s="1163"/>
      <c r="P101" s="1163"/>
      <c r="Q101" s="1164"/>
      <c r="R101" s="1165"/>
      <c r="S101" s="1166"/>
      <c r="T101" s="841" t="s">
        <v>748</v>
      </c>
      <c r="U101" s="2511">
        <v>1</v>
      </c>
      <c r="V101" s="2511" t="s">
        <v>693</v>
      </c>
      <c r="W101" s="1760"/>
      <c r="X101" s="1760"/>
      <c r="Y101" s="1760"/>
      <c r="Z101" s="1760"/>
      <c r="AA101" s="1760"/>
      <c r="AB101" s="1760"/>
      <c r="AC101" s="1161"/>
      <c r="AD101" s="1162"/>
      <c r="AE101" s="1760"/>
      <c r="AF101" s="1760"/>
      <c r="AG101" s="1760"/>
      <c r="AH101" s="1760"/>
      <c r="AI101" s="1760"/>
      <c r="AJ101" s="1760"/>
      <c r="AK101" s="1760"/>
      <c r="AL101" s="1760"/>
      <c r="AM101" s="1760"/>
      <c r="AN101" s="1760"/>
      <c r="AO101" s="1760"/>
      <c r="AP101" s="1760"/>
      <c r="AQ101" s="1760"/>
      <c r="AR101" s="1760"/>
      <c r="AS101" s="1760"/>
      <c r="AT101" s="1760"/>
      <c r="AU101" s="1760"/>
      <c r="AV101" s="1760"/>
      <c r="AW101" s="1760"/>
      <c r="AX101" s="1760"/>
      <c r="AY101" s="1760"/>
      <c r="AZ101" s="1760"/>
      <c r="BA101" s="1760"/>
      <c r="BB101" s="1760"/>
      <c r="BC101" s="1760"/>
      <c r="BD101" s="1760"/>
      <c r="BE101" s="1760"/>
      <c r="BF101" s="1760"/>
      <c r="BG101" s="1760"/>
      <c r="BH101" s="1760"/>
      <c r="BI101" s="1760"/>
      <c r="BJ101" s="1760"/>
      <c r="BK101" s="1760"/>
      <c r="BL101" s="1760"/>
      <c r="BM101" s="1760"/>
      <c r="BN101" s="1760"/>
      <c r="BO101" s="1760"/>
      <c r="BP101" s="1760"/>
      <c r="BQ101" s="1760"/>
      <c r="BR101" s="1760"/>
      <c r="BS101" s="1760"/>
      <c r="BT101" s="1760"/>
      <c r="BU101" s="1760"/>
      <c r="BV101" s="1760"/>
      <c r="BW101" s="1760"/>
      <c r="BX101" s="1760"/>
      <c r="BY101" s="1760"/>
      <c r="BZ101" s="1760"/>
      <c r="CA101" s="1760"/>
      <c r="CB101" s="1760"/>
      <c r="CC101" s="1760"/>
      <c r="CD101" s="1760"/>
      <c r="CE101" s="1760"/>
      <c r="CF101" s="7914"/>
    </row>
    <row customHeight="1" ht="5.25" hidden="1">
      <c r="A102" s="1916"/>
      <c r="B102" s="1760"/>
      <c r="C102" s="1760"/>
      <c r="D102" s="2716"/>
      <c r="E102" s="759"/>
      <c r="F102" s="759"/>
      <c r="G102" s="759"/>
      <c r="H102" s="759"/>
      <c r="I102" s="759"/>
      <c r="J102" s="759"/>
      <c r="K102" s="759"/>
      <c r="L102" s="759"/>
      <c r="M102" s="759"/>
      <c r="N102" s="759"/>
      <c r="O102" s="759"/>
      <c r="P102" s="759"/>
      <c r="Q102" s="759"/>
      <c r="R102" s="759"/>
      <c r="S102" s="760"/>
      <c r="T102" s="842"/>
      <c r="U102" s="2511"/>
      <c r="V102" s="2511"/>
      <c r="W102" s="1760"/>
      <c r="X102" s="1760"/>
      <c r="Y102" s="1760"/>
      <c r="Z102" s="1760"/>
      <c r="AA102" s="1760"/>
      <c r="AB102" s="1760"/>
      <c r="AC102" s="1161"/>
      <c r="AD102" s="1162"/>
      <c r="AE102" s="1760"/>
      <c r="AF102" s="1760"/>
      <c r="AG102" s="1760"/>
      <c r="AH102" s="1760"/>
      <c r="AI102" s="1760"/>
      <c r="AJ102" s="1760"/>
      <c r="AK102" s="1760"/>
      <c r="AL102" s="1760"/>
      <c r="AM102" s="1760"/>
      <c r="AN102" s="1760"/>
      <c r="AO102" s="1760"/>
      <c r="AP102" s="1760"/>
      <c r="AQ102" s="1760"/>
      <c r="AR102" s="1760"/>
      <c r="AS102" s="1760"/>
      <c r="AT102" s="1760"/>
      <c r="AU102" s="1760"/>
      <c r="AV102" s="1760"/>
      <c r="AW102" s="1760"/>
      <c r="AX102" s="1760"/>
      <c r="AY102" s="1760"/>
      <c r="AZ102" s="1760"/>
      <c r="BA102" s="1760"/>
      <c r="BB102" s="1760"/>
      <c r="BC102" s="1760"/>
      <c r="BD102" s="1760"/>
      <c r="BE102" s="1760"/>
      <c r="BF102" s="1760"/>
      <c r="BG102" s="1760"/>
      <c r="BH102" s="1760"/>
      <c r="BI102" s="1760"/>
      <c r="BJ102" s="1760"/>
      <c r="BK102" s="1760"/>
      <c r="BL102" s="1760"/>
      <c r="BM102" s="1760"/>
      <c r="BN102" s="1760"/>
      <c r="BO102" s="1760"/>
      <c r="BP102" s="1760"/>
      <c r="BQ102" s="1760"/>
      <c r="BR102" s="1760"/>
      <c r="BS102" s="1760"/>
      <c r="BT102" s="1760"/>
      <c r="BU102" s="1760"/>
      <c r="BV102" s="1760"/>
      <c r="BW102" s="1760"/>
      <c r="BX102" s="1760"/>
      <c r="BY102" s="1760"/>
      <c r="BZ102" s="1760"/>
      <c r="CA102" s="1760"/>
      <c r="CB102" s="1760"/>
      <c r="CC102" s="1760"/>
      <c r="CD102" s="1760"/>
      <c r="CE102" s="1760"/>
      <c r="CF102" s="7914"/>
    </row>
    <row customHeight="1" ht="5.25" hidden="1">
      <c r="A103" s="1916"/>
      <c r="B103" s="1760"/>
      <c r="C103" s="1760"/>
      <c r="D103" s="2717"/>
      <c r="E103" s="1167"/>
      <c r="F103" s="1168"/>
      <c r="G103" s="1168"/>
      <c r="H103" s="1169"/>
      <c r="I103" s="1169"/>
      <c r="J103" s="1169"/>
      <c r="K103" s="1169"/>
      <c r="L103" s="1169"/>
      <c r="M103" s="1169"/>
      <c r="N103" s="1169"/>
      <c r="O103" s="1169"/>
      <c r="P103" s="1169"/>
      <c r="Q103" s="1169"/>
      <c r="R103" s="1070"/>
      <c r="S103" s="1170"/>
      <c r="T103" s="842"/>
      <c r="U103" s="2511"/>
      <c r="V103" s="2511"/>
      <c r="W103" s="1760"/>
      <c r="X103" s="1760"/>
      <c r="Y103" s="1760"/>
      <c r="Z103" s="1760"/>
      <c r="AA103" s="1760"/>
      <c r="AB103" s="1760"/>
      <c r="AC103" s="1161"/>
      <c r="AD103" s="1162"/>
      <c r="AE103" s="1760"/>
      <c r="AF103" s="1760"/>
      <c r="AG103" s="1760"/>
      <c r="AH103" s="1760"/>
      <c r="AI103" s="1760"/>
      <c r="AJ103" s="1760"/>
      <c r="AK103" s="1760"/>
      <c r="AL103" s="1760"/>
      <c r="AM103" s="1760"/>
      <c r="AN103" s="1760"/>
      <c r="AO103" s="1760"/>
      <c r="AP103" s="1760"/>
      <c r="AQ103" s="1760"/>
      <c r="AR103" s="1760"/>
      <c r="AS103" s="1760"/>
      <c r="AT103" s="1760"/>
      <c r="AU103" s="1760"/>
      <c r="AV103" s="1760"/>
      <c r="AW103" s="1760"/>
      <c r="AX103" s="1760"/>
      <c r="AY103" s="1760"/>
      <c r="AZ103" s="1760"/>
      <c r="BA103" s="1760"/>
      <c r="BB103" s="1760"/>
      <c r="BC103" s="1760"/>
      <c r="BD103" s="1760"/>
      <c r="BE103" s="1760"/>
      <c r="BF103" s="1760"/>
      <c r="BG103" s="1760"/>
      <c r="BH103" s="1760"/>
      <c r="BI103" s="1760"/>
      <c r="BJ103" s="1760"/>
      <c r="BK103" s="1760"/>
      <c r="BL103" s="1760"/>
      <c r="BM103" s="1760"/>
      <c r="BN103" s="1760"/>
      <c r="BO103" s="1760"/>
      <c r="BP103" s="1760"/>
      <c r="BQ103" s="1760"/>
      <c r="BR103" s="1760"/>
      <c r="BS103" s="1760"/>
      <c r="BT103" s="1760"/>
      <c r="BU103" s="1760"/>
      <c r="BV103" s="1760"/>
      <c r="BW103" s="1760"/>
      <c r="BX103" s="1760"/>
      <c r="BY103" s="1760"/>
      <c r="BZ103" s="1760"/>
      <c r="CA103" s="1760"/>
      <c r="CB103" s="1760"/>
      <c r="CC103" s="1760"/>
      <c r="CD103" s="1760"/>
      <c r="CE103" s="1760"/>
      <c r="CF103" s="7914"/>
    </row>
    <row customHeight="1" ht="15" hidden="1">
      <c r="A104" s="747" t="s">
        <v>228</v>
      </c>
      <c r="B104" s="748"/>
      <c r="C104" s="748" t="s">
        <v>22</v>
      </c>
      <c r="D104" s="2715" t="s">
        <v>760</v>
      </c>
      <c r="E104" s="2514" t="s">
        <v>206</v>
      </c>
      <c r="F104" s="2515"/>
      <c r="G104" s="2516"/>
      <c r="H104" s="2520" t="str">
        <f>IF(A104="","",INDEX(DIFFERENTIATION_UNMERGE_VD,MATCH(A104,DIFFERENTIATION_ID_DIFF,0)))</f>
        <v>Производство тепловой энергии. Некомбинированная выработка</v>
      </c>
      <c r="I104" s="2520"/>
      <c r="J104" s="2520"/>
      <c r="K104" s="2520"/>
      <c r="L104" s="2520"/>
      <c r="M104" s="2520"/>
      <c r="N104" s="2520"/>
      <c r="O104" s="2520"/>
      <c r="P104" s="2520"/>
      <c r="Q104" s="2520"/>
      <c r="R104" s="2520"/>
      <c r="S104" s="843"/>
      <c r="T104" s="840"/>
      <c r="U104" s="749"/>
      <c r="V104" s="749"/>
      <c r="W104" s="750"/>
      <c r="X104" s="750"/>
      <c r="Y104" s="750"/>
      <c r="Z104" s="750"/>
      <c r="AA104" s="751"/>
      <c r="AB104" s="752"/>
      <c r="AC104" s="2512"/>
      <c r="AD104" s="753"/>
      <c r="AE104" s="754" t="s">
        <v>22</v>
      </c>
      <c r="AF104" s="754"/>
      <c r="AG104" s="755" t="s">
        <v>745</v>
      </c>
      <c r="AH104" s="756">
        <v>3</v>
      </c>
      <c r="AI104" s="749"/>
      <c r="AJ104" s="749"/>
      <c r="AK104" s="749"/>
      <c r="AL104" s="749"/>
      <c r="AM104" s="749"/>
      <c r="AN104" s="749"/>
      <c r="AO104" s="749"/>
      <c r="AP104" s="749"/>
      <c r="AQ104" s="749"/>
      <c r="AR104" s="749"/>
      <c r="AS104" s="749"/>
      <c r="AT104" s="749"/>
      <c r="AU104" s="749"/>
      <c r="AV104" s="749"/>
      <c r="AW104" s="749"/>
      <c r="AX104" s="749"/>
      <c r="AY104" s="749"/>
      <c r="AZ104" s="749"/>
      <c r="BA104" s="749"/>
      <c r="BB104" s="749"/>
      <c r="BC104" s="749"/>
      <c r="BD104" s="749"/>
      <c r="BE104" s="749"/>
      <c r="BF104" s="749"/>
      <c r="BG104" s="749"/>
      <c r="BH104" s="749"/>
      <c r="BI104" s="749"/>
      <c r="BJ104" s="749"/>
      <c r="BK104" s="749"/>
      <c r="BL104" s="749"/>
      <c r="BM104" s="749"/>
      <c r="BN104" s="749"/>
      <c r="BO104" s="749"/>
      <c r="BP104" s="749"/>
      <c r="BQ104" s="749"/>
      <c r="BR104" s="749"/>
      <c r="BS104" s="749"/>
      <c r="BT104" s="749"/>
      <c r="BU104" s="749"/>
      <c r="BV104" s="750"/>
      <c r="BW104" s="750"/>
      <c r="BX104" s="750"/>
      <c r="BY104" s="750"/>
      <c r="BZ104" s="750"/>
      <c r="CA104" s="750"/>
      <c r="CB104" s="750"/>
      <c r="CC104" s="750"/>
      <c r="CD104" s="750"/>
      <c r="CE104" s="750"/>
      <c r="CF104" s="7954"/>
    </row>
    <row customHeight="1" ht="15" hidden="1">
      <c r="A105" s="747"/>
      <c r="B105" s="748"/>
      <c r="C105" s="748"/>
      <c r="D105" s="2716"/>
      <c r="E105" s="2514" t="s">
        <v>676</v>
      </c>
      <c r="F105" s="2515"/>
      <c r="G105" s="2516"/>
      <c r="H105" s="2520" t="str">
        <f>IF(A104="","",INDEX(DIFFERENTIATION_UNMERGE_AREA,MATCH(A104,DIFFERENTIATION_ID_DIFF,0)))</f>
        <v>Территория 11</v>
      </c>
      <c r="I105" s="2520"/>
      <c r="J105" s="2520"/>
      <c r="K105" s="2520"/>
      <c r="L105" s="2520"/>
      <c r="M105" s="2520"/>
      <c r="N105" s="2520"/>
      <c r="O105" s="2520"/>
      <c r="P105" s="2520"/>
      <c r="Q105" s="2520"/>
      <c r="R105" s="2520"/>
      <c r="S105" s="843"/>
      <c r="T105" s="840"/>
      <c r="U105" s="749"/>
      <c r="V105" s="749"/>
      <c r="W105" s="750"/>
      <c r="X105" s="750"/>
      <c r="Y105" s="750"/>
      <c r="Z105" s="750"/>
      <c r="AA105" s="751"/>
      <c r="AB105" s="752"/>
      <c r="AC105" s="2512"/>
      <c r="AD105" s="753"/>
      <c r="AE105" s="754"/>
      <c r="AF105" s="754"/>
      <c r="AG105" s="755"/>
      <c r="AH105" s="756"/>
      <c r="AI105" s="749"/>
      <c r="AJ105" s="749"/>
      <c r="AK105" s="749"/>
      <c r="AL105" s="749"/>
      <c r="AM105" s="749"/>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749"/>
      <c r="BN105" s="749"/>
      <c r="BO105" s="749"/>
      <c r="BP105" s="749"/>
      <c r="BQ105" s="749"/>
      <c r="BR105" s="749"/>
      <c r="BS105" s="749"/>
      <c r="BT105" s="749"/>
      <c r="BU105" s="749"/>
      <c r="BV105" s="750"/>
      <c r="BW105" s="750"/>
      <c r="BX105" s="750"/>
      <c r="BY105" s="750"/>
      <c r="BZ105" s="750"/>
      <c r="CA105" s="750"/>
      <c r="CB105" s="750"/>
      <c r="CC105" s="750"/>
      <c r="CD105" s="750"/>
      <c r="CE105" s="750"/>
      <c r="CF105" s="7954"/>
    </row>
    <row customHeight="1" ht="15" hidden="1">
      <c r="A106" s="747"/>
      <c r="B106" s="748"/>
      <c r="C106" s="748"/>
      <c r="D106" s="2716"/>
      <c r="E106" s="2514" t="s">
        <v>677</v>
      </c>
      <c r="F106" s="2515"/>
      <c r="G106" s="2516"/>
      <c r="H106" s="2520" t="str">
        <f>IF(A104="","",INDEX(DIFFERENTIATION_UNMERGE_SYSTEM,MATCH(A104,DIFFERENTIATION_ID_DIFF,0)))</f>
        <v>без дифференциации</v>
      </c>
      <c r="I106" s="2520"/>
      <c r="J106" s="2520"/>
      <c r="K106" s="2520"/>
      <c r="L106" s="2520"/>
      <c r="M106" s="2520"/>
      <c r="N106" s="2520"/>
      <c r="O106" s="2520"/>
      <c r="P106" s="2520"/>
      <c r="Q106" s="2520"/>
      <c r="R106" s="2520"/>
      <c r="S106" s="843"/>
      <c r="T106" s="840"/>
      <c r="U106" s="749"/>
      <c r="V106" s="749"/>
      <c r="W106" s="750"/>
      <c r="X106" s="750"/>
      <c r="Y106" s="750"/>
      <c r="Z106" s="750"/>
      <c r="AA106" s="751"/>
      <c r="AB106" s="752"/>
      <c r="AC106" s="2512"/>
      <c r="AD106" s="753"/>
      <c r="AE106" s="754"/>
      <c r="AF106" s="754"/>
      <c r="AG106" s="755"/>
      <c r="AH106" s="756"/>
      <c r="AI106" s="749"/>
      <c r="AJ106" s="749"/>
      <c r="AK106" s="749"/>
      <c r="AL106" s="749"/>
      <c r="AM106" s="749"/>
      <c r="AN106" s="749"/>
      <c r="AO106" s="749"/>
      <c r="AP106" s="749"/>
      <c r="AQ106" s="749"/>
      <c r="AR106" s="749"/>
      <c r="AS106" s="749"/>
      <c r="AT106" s="749"/>
      <c r="AU106" s="749"/>
      <c r="AV106" s="749"/>
      <c r="AW106" s="749"/>
      <c r="AX106" s="749"/>
      <c r="AY106" s="749"/>
      <c r="AZ106" s="749"/>
      <c r="BA106" s="749"/>
      <c r="BB106" s="749"/>
      <c r="BC106" s="749"/>
      <c r="BD106" s="749"/>
      <c r="BE106" s="749"/>
      <c r="BF106" s="749"/>
      <c r="BG106" s="749"/>
      <c r="BH106" s="749"/>
      <c r="BI106" s="749"/>
      <c r="BJ106" s="749"/>
      <c r="BK106" s="749"/>
      <c r="BL106" s="749"/>
      <c r="BM106" s="749"/>
      <c r="BN106" s="749"/>
      <c r="BO106" s="749"/>
      <c r="BP106" s="749"/>
      <c r="BQ106" s="749"/>
      <c r="BR106" s="749"/>
      <c r="BS106" s="749"/>
      <c r="BT106" s="749"/>
      <c r="BU106" s="749"/>
      <c r="BV106" s="750"/>
      <c r="BW106" s="750"/>
      <c r="BX106" s="750"/>
      <c r="BY106" s="750"/>
      <c r="BZ106" s="750"/>
      <c r="CA106" s="750"/>
      <c r="CB106" s="750"/>
      <c r="CC106" s="750"/>
      <c r="CD106" s="750"/>
      <c r="CE106" s="750"/>
      <c r="CF106" s="7954"/>
    </row>
    <row customHeight="1" ht="24.75" hidden="1">
      <c r="A107" s="1929"/>
      <c r="B107" s="1284"/>
      <c r="C107" s="536"/>
      <c r="D107" s="2716"/>
      <c r="E107" s="2513" t="s">
        <v>746</v>
      </c>
      <c r="F107" s="2513"/>
      <c r="G107" s="2513"/>
      <c r="H107" s="2513"/>
      <c r="I107" s="2513"/>
      <c r="J107" s="2513"/>
      <c r="K107" s="2513"/>
      <c r="L107" s="2513"/>
      <c r="M107" s="2513"/>
      <c r="N107" s="2513"/>
      <c r="O107" s="2513"/>
      <c r="P107" s="2513"/>
      <c r="Q107" s="682">
        <f>SUMIF(T108:T109,"i",Q108:Q109)</f>
        <v>0</v>
      </c>
      <c r="R107" s="1141"/>
      <c r="S107" s="1921" t="s">
        <v>747</v>
      </c>
      <c r="T107" s="841" t="s">
        <v>748</v>
      </c>
      <c r="U107" s="2511">
        <v>1</v>
      </c>
      <c r="V107" s="2511" t="str">
        <f>INDEX(B_FHD_FLAG_INDEX_1,1,MATCH(A104,B_FHD_FLAG_DIFFERENTIATION,0))</f>
        <v>отсутствует</v>
      </c>
      <c r="W107" s="1284"/>
      <c r="X107" s="1284"/>
      <c r="Y107" s="1284"/>
      <c r="Z107" s="1284"/>
      <c r="AA107" s="1760"/>
      <c r="AB107" s="1284"/>
      <c r="AC107" s="2512"/>
      <c r="AD107" s="753"/>
      <c r="AE107" s="1284"/>
      <c r="AF107" s="1284"/>
      <c r="AG107" s="1760"/>
      <c r="AH107" s="1760"/>
      <c r="AI107" s="1760"/>
      <c r="AJ107" s="1760"/>
      <c r="AK107" s="1760"/>
      <c r="AL107" s="1760"/>
      <c r="AM107" s="1760"/>
      <c r="AN107" s="1760"/>
      <c r="AO107" s="1760"/>
      <c r="AP107" s="1760"/>
      <c r="AQ107" s="1760"/>
      <c r="AR107" s="1760"/>
      <c r="AS107" s="1760"/>
      <c r="AT107" s="1760"/>
      <c r="AU107" s="1760"/>
      <c r="AV107" s="1760"/>
      <c r="AW107" s="1760"/>
      <c r="AX107" s="1760"/>
      <c r="AY107" s="1760"/>
      <c r="AZ107" s="1760"/>
      <c r="BA107" s="1760"/>
      <c r="BB107" s="1760"/>
      <c r="BC107" s="1760"/>
      <c r="BD107" s="1760"/>
      <c r="BE107" s="1760"/>
      <c r="BF107" s="1760"/>
      <c r="BG107" s="1760"/>
      <c r="BH107" s="1760"/>
      <c r="BI107" s="1760"/>
      <c r="BJ107" s="1760"/>
      <c r="BK107" s="1760"/>
      <c r="BL107" s="1760"/>
      <c r="BM107" s="1760"/>
      <c r="BN107" s="1760"/>
      <c r="BO107" s="1760"/>
      <c r="BP107" s="1760"/>
      <c r="BQ107" s="1760"/>
      <c r="BR107" s="1760"/>
      <c r="BS107" s="1760"/>
      <c r="BT107" s="1760"/>
      <c r="BU107" s="1760"/>
      <c r="BV107" s="1284"/>
      <c r="BW107" s="1284"/>
      <c r="BX107" s="1284"/>
      <c r="BY107" s="1284"/>
      <c r="BZ107" s="1284"/>
      <c r="CA107" s="1284"/>
      <c r="CB107" s="1284"/>
      <c r="CC107" s="1284"/>
      <c r="CD107" s="1284"/>
      <c r="CE107" s="1284"/>
      <c r="CF107" s="7954"/>
    </row>
    <row customHeight="1" ht="11.25" hidden="1">
      <c r="A108" s="1916"/>
      <c r="B108" s="1760"/>
      <c r="C108" s="1760"/>
      <c r="D108" s="2716"/>
      <c r="E108" s="759"/>
      <c r="F108" s="759">
        <v>0</v>
      </c>
      <c r="G108" s="759"/>
      <c r="H108" s="759"/>
      <c r="I108" s="759"/>
      <c r="J108" s="759"/>
      <c r="K108" s="759"/>
      <c r="L108" s="759"/>
      <c r="M108" s="759"/>
      <c r="N108" s="759"/>
      <c r="O108" s="759"/>
      <c r="P108" s="759"/>
      <c r="Q108" s="759"/>
      <c r="R108" s="759"/>
      <c r="S108" s="760"/>
      <c r="T108" s="842"/>
      <c r="U108" s="2511"/>
      <c r="V108" s="2511"/>
      <c r="W108" s="1760"/>
      <c r="X108" s="1760"/>
      <c r="Y108" s="1760"/>
      <c r="Z108" s="1760"/>
      <c r="AA108" s="1760"/>
      <c r="AB108" s="1284"/>
      <c r="AC108" s="2512"/>
      <c r="AD108" s="753"/>
      <c r="AE108" s="1284"/>
      <c r="AF108" s="1284"/>
      <c r="AG108" s="1760"/>
      <c r="AH108" s="1760"/>
      <c r="AI108" s="1760"/>
      <c r="AJ108" s="1760"/>
      <c r="AK108" s="1760"/>
      <c r="AL108" s="1760"/>
      <c r="AM108" s="1760"/>
      <c r="AN108" s="1760"/>
      <c r="AO108" s="1760"/>
      <c r="AP108" s="1760"/>
      <c r="AQ108" s="1760"/>
      <c r="AR108" s="1760"/>
      <c r="AS108" s="1760"/>
      <c r="AT108" s="1760"/>
      <c r="AU108" s="1760"/>
      <c r="AV108" s="1760"/>
      <c r="AW108" s="1760"/>
      <c r="AX108" s="1760"/>
      <c r="AY108" s="1760"/>
      <c r="AZ108" s="1760"/>
      <c r="BA108" s="1760"/>
      <c r="BB108" s="1760"/>
      <c r="BC108" s="1760"/>
      <c r="BD108" s="1760"/>
      <c r="BE108" s="1760"/>
      <c r="BF108" s="1760"/>
      <c r="BG108" s="1760"/>
      <c r="BH108" s="1760"/>
      <c r="BI108" s="1760"/>
      <c r="BJ108" s="1760"/>
      <c r="BK108" s="1760"/>
      <c r="BL108" s="1760"/>
      <c r="BM108" s="1760"/>
      <c r="BN108" s="1760"/>
      <c r="BO108" s="1760"/>
      <c r="BP108" s="1760"/>
      <c r="BQ108" s="1760"/>
      <c r="BR108" s="1760"/>
      <c r="BS108" s="1760"/>
      <c r="BT108" s="1760"/>
      <c r="BU108" s="1760"/>
      <c r="BV108" s="1760"/>
      <c r="BW108" s="1760"/>
      <c r="BX108" s="1760"/>
      <c r="BY108" s="1760"/>
      <c r="BZ108" s="1760"/>
      <c r="CA108" s="1760"/>
      <c r="CB108" s="1760"/>
      <c r="CC108" s="1760"/>
      <c r="CD108" s="1760"/>
      <c r="CE108" s="1760"/>
      <c r="CF108" s="7954"/>
    </row>
    <row customHeight="1" ht="11.25" hidden="1">
      <c r="A109" s="1929"/>
      <c r="B109" s="1284"/>
      <c r="C109" s="536"/>
      <c r="D109" s="2716"/>
      <c r="E109" s="773" t="s">
        <v>22</v>
      </c>
      <c r="F109" s="1292" t="s">
        <v>22</v>
      </c>
      <c r="G109" s="1292" t="s">
        <v>751</v>
      </c>
      <c r="H109" s="775" t="s">
        <v>22</v>
      </c>
      <c r="I109" s="775"/>
      <c r="J109" s="775"/>
      <c r="K109" s="775"/>
      <c r="L109" s="775"/>
      <c r="M109" s="775"/>
      <c r="N109" s="775"/>
      <c r="O109" s="775"/>
      <c r="P109" s="775"/>
      <c r="Q109" s="775"/>
      <c r="R109" s="776"/>
      <c r="S109" s="777"/>
      <c r="T109" s="842"/>
      <c r="U109" s="2511"/>
      <c r="V109" s="2511"/>
      <c r="W109" s="1284"/>
      <c r="X109" s="1284"/>
      <c r="Y109" s="1284"/>
      <c r="Z109" s="1284"/>
      <c r="AA109" s="1760"/>
      <c r="AB109" s="1284"/>
      <c r="AC109" s="2512"/>
      <c r="AD109" s="753"/>
      <c r="AE109" s="1284"/>
      <c r="AF109" s="1284"/>
      <c r="AG109" s="1760"/>
      <c r="AH109" s="1760"/>
      <c r="AI109" s="1760"/>
      <c r="AJ109" s="1760"/>
      <c r="AK109" s="1760"/>
      <c r="AL109" s="1760"/>
      <c r="AM109" s="1760"/>
      <c r="AN109" s="1760"/>
      <c r="AO109" s="1760"/>
      <c r="AP109" s="1760"/>
      <c r="AQ109" s="1760"/>
      <c r="AR109" s="1760"/>
      <c r="AS109" s="1760"/>
      <c r="AT109" s="1760"/>
      <c r="AU109" s="1760"/>
      <c r="AV109" s="1760"/>
      <c r="AW109" s="1760"/>
      <c r="AX109" s="1760"/>
      <c r="AY109" s="1760"/>
      <c r="AZ109" s="1760"/>
      <c r="BA109" s="1760"/>
      <c r="BB109" s="1760"/>
      <c r="BC109" s="1760"/>
      <c r="BD109" s="1760"/>
      <c r="BE109" s="1760"/>
      <c r="BF109" s="1760"/>
      <c r="BG109" s="1760"/>
      <c r="BH109" s="1760"/>
      <c r="BI109" s="1760"/>
      <c r="BJ109" s="1760"/>
      <c r="BK109" s="1760"/>
      <c r="BL109" s="1760"/>
      <c r="BM109" s="1760"/>
      <c r="BN109" s="1760"/>
      <c r="BO109" s="1760"/>
      <c r="BP109" s="1760"/>
      <c r="BQ109" s="1760"/>
      <c r="BR109" s="1760"/>
      <c r="BS109" s="1760"/>
      <c r="BT109" s="1760"/>
      <c r="BU109" s="1760"/>
      <c r="BV109" s="1284"/>
      <c r="BW109" s="1284"/>
      <c r="BX109" s="1284"/>
      <c r="BY109" s="1284"/>
      <c r="BZ109" s="1284"/>
      <c r="CA109" s="1284"/>
      <c r="CB109" s="1284"/>
      <c r="CC109" s="1284"/>
      <c r="CD109" s="1284"/>
      <c r="CE109" s="1284"/>
      <c r="CF109" s="7954"/>
    </row>
    <row customHeight="1" ht="5.25" hidden="1">
      <c r="A110" s="1916"/>
      <c r="B110" s="1760"/>
      <c r="C110" s="1760"/>
      <c r="D110" s="2716"/>
      <c r="E110" s="1163"/>
      <c r="F110" s="1163"/>
      <c r="G110" s="1163"/>
      <c r="H110" s="1163"/>
      <c r="I110" s="1163"/>
      <c r="J110" s="1163"/>
      <c r="K110" s="1163"/>
      <c r="L110" s="1163"/>
      <c r="M110" s="1163"/>
      <c r="N110" s="1163"/>
      <c r="O110" s="1163"/>
      <c r="P110" s="1163"/>
      <c r="Q110" s="1164"/>
      <c r="R110" s="1165"/>
      <c r="S110" s="1166"/>
      <c r="T110" s="841" t="s">
        <v>748</v>
      </c>
      <c r="U110" s="2511">
        <v>1</v>
      </c>
      <c r="V110" s="2511" t="s">
        <v>693</v>
      </c>
      <c r="W110" s="1760"/>
      <c r="X110" s="1760"/>
      <c r="Y110" s="1760"/>
      <c r="Z110" s="1760"/>
      <c r="AA110" s="1760"/>
      <c r="AB110" s="1760"/>
      <c r="AC110" s="1161"/>
      <c r="AD110" s="1162"/>
      <c r="AE110" s="1760"/>
      <c r="AF110" s="1760"/>
      <c r="AG110" s="1760"/>
      <c r="AH110" s="1760"/>
      <c r="AI110" s="1760"/>
      <c r="AJ110" s="1760"/>
      <c r="AK110" s="1760"/>
      <c r="AL110" s="1760"/>
      <c r="AM110" s="1760"/>
      <c r="AN110" s="1760"/>
      <c r="AO110" s="1760"/>
      <c r="AP110" s="1760"/>
      <c r="AQ110" s="1760"/>
      <c r="AR110" s="1760"/>
      <c r="AS110" s="1760"/>
      <c r="AT110" s="1760"/>
      <c r="AU110" s="1760"/>
      <c r="AV110" s="1760"/>
      <c r="AW110" s="1760"/>
      <c r="AX110" s="1760"/>
      <c r="AY110" s="1760"/>
      <c r="AZ110" s="1760"/>
      <c r="BA110" s="1760"/>
      <c r="BB110" s="1760"/>
      <c r="BC110" s="1760"/>
      <c r="BD110" s="1760"/>
      <c r="BE110" s="1760"/>
      <c r="BF110" s="1760"/>
      <c r="BG110" s="1760"/>
      <c r="BH110" s="1760"/>
      <c r="BI110" s="1760"/>
      <c r="BJ110" s="1760"/>
      <c r="BK110" s="1760"/>
      <c r="BL110" s="1760"/>
      <c r="BM110" s="1760"/>
      <c r="BN110" s="1760"/>
      <c r="BO110" s="1760"/>
      <c r="BP110" s="1760"/>
      <c r="BQ110" s="1760"/>
      <c r="BR110" s="1760"/>
      <c r="BS110" s="1760"/>
      <c r="BT110" s="1760"/>
      <c r="BU110" s="1760"/>
      <c r="BV110" s="1760"/>
      <c r="BW110" s="1760"/>
      <c r="BX110" s="1760"/>
      <c r="BY110" s="1760"/>
      <c r="BZ110" s="1760"/>
      <c r="CA110" s="1760"/>
      <c r="CB110" s="1760"/>
      <c r="CC110" s="1760"/>
      <c r="CD110" s="1760"/>
      <c r="CE110" s="1760"/>
      <c r="CF110" s="7914"/>
    </row>
    <row customHeight="1" ht="5.25" hidden="1">
      <c r="A111" s="1916"/>
      <c r="B111" s="1760"/>
      <c r="C111" s="1760"/>
      <c r="D111" s="2716"/>
      <c r="E111" s="759"/>
      <c r="F111" s="759"/>
      <c r="G111" s="759"/>
      <c r="H111" s="759"/>
      <c r="I111" s="759"/>
      <c r="J111" s="759"/>
      <c r="K111" s="759"/>
      <c r="L111" s="759"/>
      <c r="M111" s="759"/>
      <c r="N111" s="759"/>
      <c r="O111" s="759"/>
      <c r="P111" s="759"/>
      <c r="Q111" s="759"/>
      <c r="R111" s="759"/>
      <c r="S111" s="760"/>
      <c r="T111" s="842"/>
      <c r="U111" s="2511"/>
      <c r="V111" s="2511"/>
      <c r="W111" s="1760"/>
      <c r="X111" s="1760"/>
      <c r="Y111" s="1760"/>
      <c r="Z111" s="1760"/>
      <c r="AA111" s="1760"/>
      <c r="AB111" s="1760"/>
      <c r="AC111" s="1161"/>
      <c r="AD111" s="1162"/>
      <c r="AE111" s="1760"/>
      <c r="AF111" s="1760"/>
      <c r="AG111" s="1760"/>
      <c r="AH111" s="1760"/>
      <c r="AI111" s="1760"/>
      <c r="AJ111" s="1760"/>
      <c r="AK111" s="1760"/>
      <c r="AL111" s="1760"/>
      <c r="AM111" s="1760"/>
      <c r="AN111" s="1760"/>
      <c r="AO111" s="1760"/>
      <c r="AP111" s="1760"/>
      <c r="AQ111" s="1760"/>
      <c r="AR111" s="1760"/>
      <c r="AS111" s="1760"/>
      <c r="AT111" s="1760"/>
      <c r="AU111" s="1760"/>
      <c r="AV111" s="1760"/>
      <c r="AW111" s="1760"/>
      <c r="AX111" s="1760"/>
      <c r="AY111" s="1760"/>
      <c r="AZ111" s="1760"/>
      <c r="BA111" s="1760"/>
      <c r="BB111" s="1760"/>
      <c r="BC111" s="1760"/>
      <c r="BD111" s="1760"/>
      <c r="BE111" s="1760"/>
      <c r="BF111" s="1760"/>
      <c r="BG111" s="1760"/>
      <c r="BH111" s="1760"/>
      <c r="BI111" s="1760"/>
      <c r="BJ111" s="1760"/>
      <c r="BK111" s="1760"/>
      <c r="BL111" s="1760"/>
      <c r="BM111" s="1760"/>
      <c r="BN111" s="1760"/>
      <c r="BO111" s="1760"/>
      <c r="BP111" s="1760"/>
      <c r="BQ111" s="1760"/>
      <c r="BR111" s="1760"/>
      <c r="BS111" s="1760"/>
      <c r="BT111" s="1760"/>
      <c r="BU111" s="1760"/>
      <c r="BV111" s="1760"/>
      <c r="BW111" s="1760"/>
      <c r="BX111" s="1760"/>
      <c r="BY111" s="1760"/>
      <c r="BZ111" s="1760"/>
      <c r="CA111" s="1760"/>
      <c r="CB111" s="1760"/>
      <c r="CC111" s="1760"/>
      <c r="CD111" s="1760"/>
      <c r="CE111" s="1760"/>
      <c r="CF111" s="7914"/>
    </row>
    <row customHeight="1" ht="5.25" hidden="1">
      <c r="A112" s="1916"/>
      <c r="B112" s="1760"/>
      <c r="C112" s="1760"/>
      <c r="D112" s="2717"/>
      <c r="E112" s="1167"/>
      <c r="F112" s="1168"/>
      <c r="G112" s="1168"/>
      <c r="H112" s="1169"/>
      <c r="I112" s="1169"/>
      <c r="J112" s="1169"/>
      <c r="K112" s="1169"/>
      <c r="L112" s="1169"/>
      <c r="M112" s="1169"/>
      <c r="N112" s="1169"/>
      <c r="O112" s="1169"/>
      <c r="P112" s="1169"/>
      <c r="Q112" s="1169"/>
      <c r="R112" s="1070"/>
      <c r="S112" s="1170"/>
      <c r="T112" s="842"/>
      <c r="U112" s="2511"/>
      <c r="V112" s="2511"/>
      <c r="W112" s="1760"/>
      <c r="X112" s="1760"/>
      <c r="Y112" s="1760"/>
      <c r="Z112" s="1760"/>
      <c r="AA112" s="1760"/>
      <c r="AB112" s="1760"/>
      <c r="AC112" s="1161"/>
      <c r="AD112" s="1162"/>
      <c r="AE112" s="1760"/>
      <c r="AF112" s="1760"/>
      <c r="AG112" s="1760"/>
      <c r="AH112" s="1760"/>
      <c r="AI112" s="1760"/>
      <c r="AJ112" s="1760"/>
      <c r="AK112" s="1760"/>
      <c r="AL112" s="1760"/>
      <c r="AM112" s="1760"/>
      <c r="AN112" s="1760"/>
      <c r="AO112" s="1760"/>
      <c r="AP112" s="1760"/>
      <c r="AQ112" s="1760"/>
      <c r="AR112" s="1760"/>
      <c r="AS112" s="1760"/>
      <c r="AT112" s="1760"/>
      <c r="AU112" s="1760"/>
      <c r="AV112" s="1760"/>
      <c r="AW112" s="1760"/>
      <c r="AX112" s="1760"/>
      <c r="AY112" s="1760"/>
      <c r="AZ112" s="1760"/>
      <c r="BA112" s="1760"/>
      <c r="BB112" s="1760"/>
      <c r="BC112" s="1760"/>
      <c r="BD112" s="1760"/>
      <c r="BE112" s="1760"/>
      <c r="BF112" s="1760"/>
      <c r="BG112" s="1760"/>
      <c r="BH112" s="1760"/>
      <c r="BI112" s="1760"/>
      <c r="BJ112" s="1760"/>
      <c r="BK112" s="1760"/>
      <c r="BL112" s="1760"/>
      <c r="BM112" s="1760"/>
      <c r="BN112" s="1760"/>
      <c r="BO112" s="1760"/>
      <c r="BP112" s="1760"/>
      <c r="BQ112" s="1760"/>
      <c r="BR112" s="1760"/>
      <c r="BS112" s="1760"/>
      <c r="BT112" s="1760"/>
      <c r="BU112" s="1760"/>
      <c r="BV112" s="1760"/>
      <c r="BW112" s="1760"/>
      <c r="BX112" s="1760"/>
      <c r="BY112" s="1760"/>
      <c r="BZ112" s="1760"/>
      <c r="CA112" s="1760"/>
      <c r="CB112" s="1760"/>
      <c r="CC112" s="1760"/>
      <c r="CD112" s="1760"/>
      <c r="CE112" s="1760"/>
      <c r="CF112" s="7914"/>
    </row>
    <row customHeight="1" ht="15" hidden="1">
      <c r="A113" s="747" t="s">
        <v>229</v>
      </c>
      <c r="B113" s="748"/>
      <c r="C113" s="748" t="s">
        <v>22</v>
      </c>
      <c r="D113" s="2715" t="s">
        <v>761</v>
      </c>
      <c r="E113" s="2514" t="s">
        <v>206</v>
      </c>
      <c r="F113" s="2515"/>
      <c r="G113" s="2516"/>
      <c r="H113" s="2520" t="str">
        <f>IF(A113="","",INDEX(DIFFERENTIATION_UNMERGE_VD,MATCH(A113,DIFFERENTIATION_ID_DIFF,0)))</f>
        <v>Производство тепловой энергии. Некомбинированная выработка</v>
      </c>
      <c r="I113" s="2520"/>
      <c r="J113" s="2520"/>
      <c r="K113" s="2520"/>
      <c r="L113" s="2520"/>
      <c r="M113" s="2520"/>
      <c r="N113" s="2520"/>
      <c r="O113" s="2520"/>
      <c r="P113" s="2520"/>
      <c r="Q113" s="2520"/>
      <c r="R113" s="2520"/>
      <c r="S113" s="843"/>
      <c r="T113" s="840"/>
      <c r="U113" s="749"/>
      <c r="V113" s="749"/>
      <c r="W113" s="750"/>
      <c r="X113" s="750"/>
      <c r="Y113" s="750"/>
      <c r="Z113" s="750"/>
      <c r="AA113" s="751"/>
      <c r="AB113" s="752"/>
      <c r="AC113" s="2512"/>
      <c r="AD113" s="753"/>
      <c r="AE113" s="754" t="s">
        <v>22</v>
      </c>
      <c r="AF113" s="754"/>
      <c r="AG113" s="755" t="s">
        <v>745</v>
      </c>
      <c r="AH113" s="756">
        <v>3</v>
      </c>
      <c r="AI113" s="749"/>
      <c r="AJ113" s="749"/>
      <c r="AK113" s="749"/>
      <c r="AL113" s="749"/>
      <c r="AM113" s="749"/>
      <c r="AN113" s="749"/>
      <c r="AO113" s="749"/>
      <c r="AP113" s="749"/>
      <c r="AQ113" s="749"/>
      <c r="AR113" s="749"/>
      <c r="AS113" s="749"/>
      <c r="AT113" s="749"/>
      <c r="AU113" s="749"/>
      <c r="AV113" s="749"/>
      <c r="AW113" s="749"/>
      <c r="AX113" s="749"/>
      <c r="AY113" s="749"/>
      <c r="AZ113" s="749"/>
      <c r="BA113" s="749"/>
      <c r="BB113" s="749"/>
      <c r="BC113" s="749"/>
      <c r="BD113" s="749"/>
      <c r="BE113" s="749"/>
      <c r="BF113" s="749"/>
      <c r="BG113" s="749"/>
      <c r="BH113" s="749"/>
      <c r="BI113" s="749"/>
      <c r="BJ113" s="749"/>
      <c r="BK113" s="749"/>
      <c r="BL113" s="749"/>
      <c r="BM113" s="749"/>
      <c r="BN113" s="749"/>
      <c r="BO113" s="749"/>
      <c r="BP113" s="749"/>
      <c r="BQ113" s="749"/>
      <c r="BR113" s="749"/>
      <c r="BS113" s="749"/>
      <c r="BT113" s="749"/>
      <c r="BU113" s="749"/>
      <c r="BV113" s="750"/>
      <c r="BW113" s="750"/>
      <c r="BX113" s="750"/>
      <c r="BY113" s="750"/>
      <c r="BZ113" s="750"/>
      <c r="CA113" s="750"/>
      <c r="CB113" s="750"/>
      <c r="CC113" s="750"/>
      <c r="CD113" s="750"/>
      <c r="CE113" s="750"/>
      <c r="CF113" s="7954"/>
    </row>
    <row customHeight="1" ht="15" hidden="1">
      <c r="A114" s="747"/>
      <c r="B114" s="748"/>
      <c r="C114" s="748"/>
      <c r="D114" s="2716"/>
      <c r="E114" s="2514" t="s">
        <v>676</v>
      </c>
      <c r="F114" s="2515"/>
      <c r="G114" s="2516"/>
      <c r="H114" s="2520" t="str">
        <f>IF(A113="","",INDEX(DIFFERENTIATION_UNMERGE_AREA,MATCH(A113,DIFFERENTIATION_ID_DIFF,0)))</f>
        <v>Территория 12</v>
      </c>
      <c r="I114" s="2520"/>
      <c r="J114" s="2520"/>
      <c r="K114" s="2520"/>
      <c r="L114" s="2520"/>
      <c r="M114" s="2520"/>
      <c r="N114" s="2520"/>
      <c r="O114" s="2520"/>
      <c r="P114" s="2520"/>
      <c r="Q114" s="2520"/>
      <c r="R114" s="2520"/>
      <c r="S114" s="843"/>
      <c r="T114" s="840"/>
      <c r="U114" s="749"/>
      <c r="V114" s="749"/>
      <c r="W114" s="750"/>
      <c r="X114" s="750"/>
      <c r="Y114" s="750"/>
      <c r="Z114" s="750"/>
      <c r="AA114" s="751"/>
      <c r="AB114" s="752"/>
      <c r="AC114" s="2512"/>
      <c r="AD114" s="753"/>
      <c r="AE114" s="754"/>
      <c r="AF114" s="754"/>
      <c r="AG114" s="755"/>
      <c r="AH114" s="756"/>
      <c r="AI114" s="749"/>
      <c r="AJ114" s="749"/>
      <c r="AK114" s="749"/>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9"/>
      <c r="BM114" s="749"/>
      <c r="BN114" s="749"/>
      <c r="BO114" s="749"/>
      <c r="BP114" s="749"/>
      <c r="BQ114" s="749"/>
      <c r="BR114" s="749"/>
      <c r="BS114" s="749"/>
      <c r="BT114" s="749"/>
      <c r="BU114" s="749"/>
      <c r="BV114" s="750"/>
      <c r="BW114" s="750"/>
      <c r="BX114" s="750"/>
      <c r="BY114" s="750"/>
      <c r="BZ114" s="750"/>
      <c r="CA114" s="750"/>
      <c r="CB114" s="750"/>
      <c r="CC114" s="750"/>
      <c r="CD114" s="750"/>
      <c r="CE114" s="750"/>
      <c r="CF114" s="7954"/>
    </row>
    <row customHeight="1" ht="15" hidden="1">
      <c r="A115" s="747"/>
      <c r="B115" s="748"/>
      <c r="C115" s="748"/>
      <c r="D115" s="2716"/>
      <c r="E115" s="2514" t="s">
        <v>677</v>
      </c>
      <c r="F115" s="2515"/>
      <c r="G115" s="2516"/>
      <c r="H115" s="2520" t="str">
        <f>IF(A113="","",INDEX(DIFFERENTIATION_UNMERGE_SYSTEM,MATCH(A113,DIFFERENTIATION_ID_DIFF,0)))</f>
        <v>без дифференциации</v>
      </c>
      <c r="I115" s="2520"/>
      <c r="J115" s="2520"/>
      <c r="K115" s="2520"/>
      <c r="L115" s="2520"/>
      <c r="M115" s="2520"/>
      <c r="N115" s="2520"/>
      <c r="O115" s="2520"/>
      <c r="P115" s="2520"/>
      <c r="Q115" s="2520"/>
      <c r="R115" s="2520"/>
      <c r="S115" s="843"/>
      <c r="T115" s="840"/>
      <c r="U115" s="749"/>
      <c r="V115" s="749"/>
      <c r="W115" s="750"/>
      <c r="X115" s="750"/>
      <c r="Y115" s="750"/>
      <c r="Z115" s="750"/>
      <c r="AA115" s="751"/>
      <c r="AB115" s="752"/>
      <c r="AC115" s="2512"/>
      <c r="AD115" s="753"/>
      <c r="AE115" s="754"/>
      <c r="AF115" s="754"/>
      <c r="AG115" s="755"/>
      <c r="AH115" s="756"/>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50"/>
      <c r="BW115" s="750"/>
      <c r="BX115" s="750"/>
      <c r="BY115" s="750"/>
      <c r="BZ115" s="750"/>
      <c r="CA115" s="750"/>
      <c r="CB115" s="750"/>
      <c r="CC115" s="750"/>
      <c r="CD115" s="750"/>
      <c r="CE115" s="750"/>
      <c r="CF115" s="7954"/>
    </row>
    <row customHeight="1" ht="24.75" hidden="1">
      <c r="A116" s="1929"/>
      <c r="B116" s="1284"/>
      <c r="C116" s="536"/>
      <c r="D116" s="2716"/>
      <c r="E116" s="2513" t="s">
        <v>746</v>
      </c>
      <c r="F116" s="2513"/>
      <c r="G116" s="2513"/>
      <c r="H116" s="2513"/>
      <c r="I116" s="2513"/>
      <c r="J116" s="2513"/>
      <c r="K116" s="2513"/>
      <c r="L116" s="2513"/>
      <c r="M116" s="2513"/>
      <c r="N116" s="2513"/>
      <c r="O116" s="2513"/>
      <c r="P116" s="2513"/>
      <c r="Q116" s="682">
        <f>SUMIF(T117:T118,"i",Q117:Q118)</f>
        <v>0</v>
      </c>
      <c r="R116" s="1141"/>
      <c r="S116" s="1921" t="s">
        <v>747</v>
      </c>
      <c r="T116" s="841" t="s">
        <v>748</v>
      </c>
      <c r="U116" s="2511">
        <v>1</v>
      </c>
      <c r="V116" s="2511" t="str">
        <f>INDEX(B_FHD_FLAG_INDEX_1,1,MATCH(A113,B_FHD_FLAG_DIFFERENTIATION,0))</f>
        <v>отсутствует</v>
      </c>
      <c r="W116" s="1284"/>
      <c r="X116" s="1284"/>
      <c r="Y116" s="1284"/>
      <c r="Z116" s="1284"/>
      <c r="AA116" s="1760"/>
      <c r="AB116" s="1284"/>
      <c r="AC116" s="2512"/>
      <c r="AD116" s="753"/>
      <c r="AE116" s="1284"/>
      <c r="AF116" s="1284"/>
      <c r="AG116" s="1760"/>
      <c r="AH116" s="1760"/>
      <c r="AI116" s="1760"/>
      <c r="AJ116" s="1760"/>
      <c r="AK116" s="1760"/>
      <c r="AL116" s="1760"/>
      <c r="AM116" s="1760"/>
      <c r="AN116" s="1760"/>
      <c r="AO116" s="1760"/>
      <c r="AP116" s="1760"/>
      <c r="AQ116" s="1760"/>
      <c r="AR116" s="1760"/>
      <c r="AS116" s="1760"/>
      <c r="AT116" s="1760"/>
      <c r="AU116" s="1760"/>
      <c r="AV116" s="1760"/>
      <c r="AW116" s="1760"/>
      <c r="AX116" s="1760"/>
      <c r="AY116" s="1760"/>
      <c r="AZ116" s="1760"/>
      <c r="BA116" s="1760"/>
      <c r="BB116" s="1760"/>
      <c r="BC116" s="1760"/>
      <c r="BD116" s="1760"/>
      <c r="BE116" s="1760"/>
      <c r="BF116" s="1760"/>
      <c r="BG116" s="1760"/>
      <c r="BH116" s="1760"/>
      <c r="BI116" s="1760"/>
      <c r="BJ116" s="1760"/>
      <c r="BK116" s="1760"/>
      <c r="BL116" s="1760"/>
      <c r="BM116" s="1760"/>
      <c r="BN116" s="1760"/>
      <c r="BO116" s="1760"/>
      <c r="BP116" s="1760"/>
      <c r="BQ116" s="1760"/>
      <c r="BR116" s="1760"/>
      <c r="BS116" s="1760"/>
      <c r="BT116" s="1760"/>
      <c r="BU116" s="1760"/>
      <c r="BV116" s="1284"/>
      <c r="BW116" s="1284"/>
      <c r="BX116" s="1284"/>
      <c r="BY116" s="1284"/>
      <c r="BZ116" s="1284"/>
      <c r="CA116" s="1284"/>
      <c r="CB116" s="1284"/>
      <c r="CC116" s="1284"/>
      <c r="CD116" s="1284"/>
      <c r="CE116" s="1284"/>
      <c r="CF116" s="7954"/>
    </row>
    <row customHeight="1" ht="11.25" hidden="1">
      <c r="A117" s="1916"/>
      <c r="B117" s="1760"/>
      <c r="C117" s="1760"/>
      <c r="D117" s="2716"/>
      <c r="E117" s="759"/>
      <c r="F117" s="759">
        <v>0</v>
      </c>
      <c r="G117" s="759"/>
      <c r="H117" s="759"/>
      <c r="I117" s="759"/>
      <c r="J117" s="759"/>
      <c r="K117" s="759"/>
      <c r="L117" s="759"/>
      <c r="M117" s="759"/>
      <c r="N117" s="759"/>
      <c r="O117" s="759"/>
      <c r="P117" s="759"/>
      <c r="Q117" s="759"/>
      <c r="R117" s="759"/>
      <c r="S117" s="760"/>
      <c r="T117" s="842"/>
      <c r="U117" s="2511"/>
      <c r="V117" s="2511"/>
      <c r="W117" s="1760"/>
      <c r="X117" s="1760"/>
      <c r="Y117" s="1760"/>
      <c r="Z117" s="1760"/>
      <c r="AA117" s="1760"/>
      <c r="AB117" s="1284"/>
      <c r="AC117" s="2512"/>
      <c r="AD117" s="753"/>
      <c r="AE117" s="1284"/>
      <c r="AF117" s="1284"/>
      <c r="AG117" s="1760"/>
      <c r="AH117" s="1760"/>
      <c r="AI117" s="1760"/>
      <c r="AJ117" s="1760"/>
      <c r="AK117" s="1760"/>
      <c r="AL117" s="1760"/>
      <c r="AM117" s="1760"/>
      <c r="AN117" s="1760"/>
      <c r="AO117" s="1760"/>
      <c r="AP117" s="1760"/>
      <c r="AQ117" s="1760"/>
      <c r="AR117" s="1760"/>
      <c r="AS117" s="1760"/>
      <c r="AT117" s="1760"/>
      <c r="AU117" s="1760"/>
      <c r="AV117" s="1760"/>
      <c r="AW117" s="1760"/>
      <c r="AX117" s="1760"/>
      <c r="AY117" s="1760"/>
      <c r="AZ117" s="1760"/>
      <c r="BA117" s="1760"/>
      <c r="BB117" s="1760"/>
      <c r="BC117" s="1760"/>
      <c r="BD117" s="1760"/>
      <c r="BE117" s="1760"/>
      <c r="BF117" s="1760"/>
      <c r="BG117" s="1760"/>
      <c r="BH117" s="1760"/>
      <c r="BI117" s="1760"/>
      <c r="BJ117" s="1760"/>
      <c r="BK117" s="1760"/>
      <c r="BL117" s="1760"/>
      <c r="BM117" s="1760"/>
      <c r="BN117" s="1760"/>
      <c r="BO117" s="1760"/>
      <c r="BP117" s="1760"/>
      <c r="BQ117" s="1760"/>
      <c r="BR117" s="1760"/>
      <c r="BS117" s="1760"/>
      <c r="BT117" s="1760"/>
      <c r="BU117" s="1760"/>
      <c r="BV117" s="1760"/>
      <c r="BW117" s="1760"/>
      <c r="BX117" s="1760"/>
      <c r="BY117" s="1760"/>
      <c r="BZ117" s="1760"/>
      <c r="CA117" s="1760"/>
      <c r="CB117" s="1760"/>
      <c r="CC117" s="1760"/>
      <c r="CD117" s="1760"/>
      <c r="CE117" s="1760"/>
      <c r="CF117" s="7954"/>
    </row>
    <row customHeight="1" ht="11.25" hidden="1">
      <c r="A118" s="1929"/>
      <c r="B118" s="1284"/>
      <c r="C118" s="536"/>
      <c r="D118" s="2716"/>
      <c r="E118" s="773" t="s">
        <v>22</v>
      </c>
      <c r="F118" s="1292" t="s">
        <v>22</v>
      </c>
      <c r="G118" s="1292" t="s">
        <v>751</v>
      </c>
      <c r="H118" s="775" t="s">
        <v>22</v>
      </c>
      <c r="I118" s="775"/>
      <c r="J118" s="775"/>
      <c r="K118" s="775"/>
      <c r="L118" s="775"/>
      <c r="M118" s="775"/>
      <c r="N118" s="775"/>
      <c r="O118" s="775"/>
      <c r="P118" s="775"/>
      <c r="Q118" s="775"/>
      <c r="R118" s="776"/>
      <c r="S118" s="777"/>
      <c r="T118" s="842"/>
      <c r="U118" s="2511"/>
      <c r="V118" s="2511"/>
      <c r="W118" s="1284"/>
      <c r="X118" s="1284"/>
      <c r="Y118" s="1284"/>
      <c r="Z118" s="1284"/>
      <c r="AA118" s="1760"/>
      <c r="AB118" s="1284"/>
      <c r="AC118" s="2512"/>
      <c r="AD118" s="753"/>
      <c r="AE118" s="1284"/>
      <c r="AF118" s="1284"/>
      <c r="AG118" s="1760"/>
      <c r="AH118" s="1760"/>
      <c r="AI118" s="1760"/>
      <c r="AJ118" s="1760"/>
      <c r="AK118" s="1760"/>
      <c r="AL118" s="1760"/>
      <c r="AM118" s="1760"/>
      <c r="AN118" s="1760"/>
      <c r="AO118" s="1760"/>
      <c r="AP118" s="1760"/>
      <c r="AQ118" s="1760"/>
      <c r="AR118" s="1760"/>
      <c r="AS118" s="1760"/>
      <c r="AT118" s="1760"/>
      <c r="AU118" s="1760"/>
      <c r="AV118" s="1760"/>
      <c r="AW118" s="1760"/>
      <c r="AX118" s="1760"/>
      <c r="AY118" s="1760"/>
      <c r="AZ118" s="1760"/>
      <c r="BA118" s="1760"/>
      <c r="BB118" s="1760"/>
      <c r="BC118" s="1760"/>
      <c r="BD118" s="1760"/>
      <c r="BE118" s="1760"/>
      <c r="BF118" s="1760"/>
      <c r="BG118" s="1760"/>
      <c r="BH118" s="1760"/>
      <c r="BI118" s="1760"/>
      <c r="BJ118" s="1760"/>
      <c r="BK118" s="1760"/>
      <c r="BL118" s="1760"/>
      <c r="BM118" s="1760"/>
      <c r="BN118" s="1760"/>
      <c r="BO118" s="1760"/>
      <c r="BP118" s="1760"/>
      <c r="BQ118" s="1760"/>
      <c r="BR118" s="1760"/>
      <c r="BS118" s="1760"/>
      <c r="BT118" s="1760"/>
      <c r="BU118" s="1760"/>
      <c r="BV118" s="1284"/>
      <c r="BW118" s="1284"/>
      <c r="BX118" s="1284"/>
      <c r="BY118" s="1284"/>
      <c r="BZ118" s="1284"/>
      <c r="CA118" s="1284"/>
      <c r="CB118" s="1284"/>
      <c r="CC118" s="1284"/>
      <c r="CD118" s="1284"/>
      <c r="CE118" s="1284"/>
      <c r="CF118" s="7954"/>
    </row>
    <row customHeight="1" ht="5.25" hidden="1">
      <c r="A119" s="1916"/>
      <c r="B119" s="1760"/>
      <c r="C119" s="1760"/>
      <c r="D119" s="2716"/>
      <c r="E119" s="1163"/>
      <c r="F119" s="1163"/>
      <c r="G119" s="1163"/>
      <c r="H119" s="1163"/>
      <c r="I119" s="1163"/>
      <c r="J119" s="1163"/>
      <c r="K119" s="1163"/>
      <c r="L119" s="1163"/>
      <c r="M119" s="1163"/>
      <c r="N119" s="1163"/>
      <c r="O119" s="1163"/>
      <c r="P119" s="1163"/>
      <c r="Q119" s="1164"/>
      <c r="R119" s="1165"/>
      <c r="S119" s="1166"/>
      <c r="T119" s="841" t="s">
        <v>748</v>
      </c>
      <c r="U119" s="2511">
        <v>1</v>
      </c>
      <c r="V119" s="2511" t="s">
        <v>693</v>
      </c>
      <c r="W119" s="1760"/>
      <c r="X119" s="1760"/>
      <c r="Y119" s="1760"/>
      <c r="Z119" s="1760"/>
      <c r="AA119" s="1760"/>
      <c r="AB119" s="1760"/>
      <c r="AC119" s="1161"/>
      <c r="AD119" s="1162"/>
      <c r="AE119" s="1760"/>
      <c r="AF119" s="1760"/>
      <c r="AG119" s="1760"/>
      <c r="AH119" s="1760"/>
      <c r="AI119" s="1760"/>
      <c r="AJ119" s="1760"/>
      <c r="AK119" s="1760"/>
      <c r="AL119" s="1760"/>
      <c r="AM119" s="1760"/>
      <c r="AN119" s="1760"/>
      <c r="AO119" s="1760"/>
      <c r="AP119" s="1760"/>
      <c r="AQ119" s="1760"/>
      <c r="AR119" s="1760"/>
      <c r="AS119" s="1760"/>
      <c r="AT119" s="1760"/>
      <c r="AU119" s="1760"/>
      <c r="AV119" s="1760"/>
      <c r="AW119" s="1760"/>
      <c r="AX119" s="1760"/>
      <c r="AY119" s="1760"/>
      <c r="AZ119" s="1760"/>
      <c r="BA119" s="1760"/>
      <c r="BB119" s="1760"/>
      <c r="BC119" s="1760"/>
      <c r="BD119" s="1760"/>
      <c r="BE119" s="1760"/>
      <c r="BF119" s="1760"/>
      <c r="BG119" s="1760"/>
      <c r="BH119" s="1760"/>
      <c r="BI119" s="1760"/>
      <c r="BJ119" s="1760"/>
      <c r="BK119" s="1760"/>
      <c r="BL119" s="1760"/>
      <c r="BM119" s="1760"/>
      <c r="BN119" s="1760"/>
      <c r="BO119" s="1760"/>
      <c r="BP119" s="1760"/>
      <c r="BQ119" s="1760"/>
      <c r="BR119" s="1760"/>
      <c r="BS119" s="1760"/>
      <c r="BT119" s="1760"/>
      <c r="BU119" s="1760"/>
      <c r="BV119" s="1760"/>
      <c r="BW119" s="1760"/>
      <c r="BX119" s="1760"/>
      <c r="BY119" s="1760"/>
      <c r="BZ119" s="1760"/>
      <c r="CA119" s="1760"/>
      <c r="CB119" s="1760"/>
      <c r="CC119" s="1760"/>
      <c r="CD119" s="1760"/>
      <c r="CE119" s="1760"/>
      <c r="CF119" s="7914"/>
    </row>
    <row customHeight="1" ht="5.25" hidden="1">
      <c r="A120" s="1916"/>
      <c r="B120" s="1760"/>
      <c r="C120" s="1760"/>
      <c r="D120" s="2716"/>
      <c r="E120" s="759"/>
      <c r="F120" s="759"/>
      <c r="G120" s="759"/>
      <c r="H120" s="759"/>
      <c r="I120" s="759"/>
      <c r="J120" s="759"/>
      <c r="K120" s="759"/>
      <c r="L120" s="759"/>
      <c r="M120" s="759"/>
      <c r="N120" s="759"/>
      <c r="O120" s="759"/>
      <c r="P120" s="759"/>
      <c r="Q120" s="759"/>
      <c r="R120" s="759"/>
      <c r="S120" s="760"/>
      <c r="T120" s="842"/>
      <c r="U120" s="2511"/>
      <c r="V120" s="2511"/>
      <c r="W120" s="1760"/>
      <c r="X120" s="1760"/>
      <c r="Y120" s="1760"/>
      <c r="Z120" s="1760"/>
      <c r="AA120" s="1760"/>
      <c r="AB120" s="1760"/>
      <c r="AC120" s="1161"/>
      <c r="AD120" s="1162"/>
      <c r="AE120" s="1760"/>
      <c r="AF120" s="1760"/>
      <c r="AG120" s="1760"/>
      <c r="AH120" s="1760"/>
      <c r="AI120" s="1760"/>
      <c r="AJ120" s="1760"/>
      <c r="AK120" s="1760"/>
      <c r="AL120" s="1760"/>
      <c r="AM120" s="1760"/>
      <c r="AN120" s="1760"/>
      <c r="AO120" s="1760"/>
      <c r="AP120" s="1760"/>
      <c r="AQ120" s="1760"/>
      <c r="AR120" s="1760"/>
      <c r="AS120" s="1760"/>
      <c r="AT120" s="1760"/>
      <c r="AU120" s="1760"/>
      <c r="AV120" s="1760"/>
      <c r="AW120" s="1760"/>
      <c r="AX120" s="1760"/>
      <c r="AY120" s="1760"/>
      <c r="AZ120" s="1760"/>
      <c r="BA120" s="1760"/>
      <c r="BB120" s="1760"/>
      <c r="BC120" s="1760"/>
      <c r="BD120" s="1760"/>
      <c r="BE120" s="1760"/>
      <c r="BF120" s="1760"/>
      <c r="BG120" s="1760"/>
      <c r="BH120" s="1760"/>
      <c r="BI120" s="1760"/>
      <c r="BJ120" s="1760"/>
      <c r="BK120" s="1760"/>
      <c r="BL120" s="1760"/>
      <c r="BM120" s="1760"/>
      <c r="BN120" s="1760"/>
      <c r="BO120" s="1760"/>
      <c r="BP120" s="1760"/>
      <c r="BQ120" s="1760"/>
      <c r="BR120" s="1760"/>
      <c r="BS120" s="1760"/>
      <c r="BT120" s="1760"/>
      <c r="BU120" s="1760"/>
      <c r="BV120" s="1760"/>
      <c r="BW120" s="1760"/>
      <c r="BX120" s="1760"/>
      <c r="BY120" s="1760"/>
      <c r="BZ120" s="1760"/>
      <c r="CA120" s="1760"/>
      <c r="CB120" s="1760"/>
      <c r="CC120" s="1760"/>
      <c r="CD120" s="1760"/>
      <c r="CE120" s="1760"/>
      <c r="CF120" s="7914"/>
    </row>
    <row customHeight="1" ht="5.25" hidden="1">
      <c r="A121" s="1916"/>
      <c r="B121" s="1760"/>
      <c r="C121" s="1760"/>
      <c r="D121" s="2717"/>
      <c r="E121" s="1167"/>
      <c r="F121" s="1168"/>
      <c r="G121" s="1168"/>
      <c r="H121" s="1169"/>
      <c r="I121" s="1169"/>
      <c r="J121" s="1169"/>
      <c r="K121" s="1169"/>
      <c r="L121" s="1169"/>
      <c r="M121" s="1169"/>
      <c r="N121" s="1169"/>
      <c r="O121" s="1169"/>
      <c r="P121" s="1169"/>
      <c r="Q121" s="1169"/>
      <c r="R121" s="1070"/>
      <c r="S121" s="1170"/>
      <c r="T121" s="842"/>
      <c r="U121" s="2511"/>
      <c r="V121" s="2511"/>
      <c r="W121" s="1760"/>
      <c r="X121" s="1760"/>
      <c r="Y121" s="1760"/>
      <c r="Z121" s="1760"/>
      <c r="AA121" s="1760"/>
      <c r="AB121" s="1760"/>
      <c r="AC121" s="1161"/>
      <c r="AD121" s="1162"/>
      <c r="AE121" s="1760"/>
      <c r="AF121" s="1760"/>
      <c r="AG121" s="1760"/>
      <c r="AH121" s="1760"/>
      <c r="AI121" s="1760"/>
      <c r="AJ121" s="1760"/>
      <c r="AK121" s="1760"/>
      <c r="AL121" s="1760"/>
      <c r="AM121" s="1760"/>
      <c r="AN121" s="1760"/>
      <c r="AO121" s="1760"/>
      <c r="AP121" s="1760"/>
      <c r="AQ121" s="1760"/>
      <c r="AR121" s="1760"/>
      <c r="AS121" s="1760"/>
      <c r="AT121" s="1760"/>
      <c r="AU121" s="1760"/>
      <c r="AV121" s="1760"/>
      <c r="AW121" s="1760"/>
      <c r="AX121" s="1760"/>
      <c r="AY121" s="1760"/>
      <c r="AZ121" s="1760"/>
      <c r="BA121" s="1760"/>
      <c r="BB121" s="1760"/>
      <c r="BC121" s="1760"/>
      <c r="BD121" s="1760"/>
      <c r="BE121" s="1760"/>
      <c r="BF121" s="1760"/>
      <c r="BG121" s="1760"/>
      <c r="BH121" s="1760"/>
      <c r="BI121" s="1760"/>
      <c r="BJ121" s="1760"/>
      <c r="BK121" s="1760"/>
      <c r="BL121" s="1760"/>
      <c r="BM121" s="1760"/>
      <c r="BN121" s="1760"/>
      <c r="BO121" s="1760"/>
      <c r="BP121" s="1760"/>
      <c r="BQ121" s="1760"/>
      <c r="BR121" s="1760"/>
      <c r="BS121" s="1760"/>
      <c r="BT121" s="1760"/>
      <c r="BU121" s="1760"/>
      <c r="BV121" s="1760"/>
      <c r="BW121" s="1760"/>
      <c r="BX121" s="1760"/>
      <c r="BY121" s="1760"/>
      <c r="BZ121" s="1760"/>
      <c r="CA121" s="1760"/>
      <c r="CB121" s="1760"/>
      <c r="CC121" s="1760"/>
      <c r="CD121" s="1760"/>
      <c r="CE121" s="1760"/>
      <c r="CF121" s="7914"/>
    </row>
    <row customHeight="1" ht="15" hidden="1">
      <c r="A122" s="747" t="s">
        <v>230</v>
      </c>
      <c r="B122" s="748"/>
      <c r="C122" s="748" t="s">
        <v>22</v>
      </c>
      <c r="D122" s="2715" t="s">
        <v>762</v>
      </c>
      <c r="E122" s="2514" t="s">
        <v>206</v>
      </c>
      <c r="F122" s="2515"/>
      <c r="G122" s="2516"/>
      <c r="H122" s="2520" t="str">
        <f>IF(A122="","",INDEX(DIFFERENTIATION_UNMERGE_VD,MATCH(A122,DIFFERENTIATION_ID_DIFF,0)))</f>
        <v>Производство тепловой энергии. Некомбинированная выработка</v>
      </c>
      <c r="I122" s="2520"/>
      <c r="J122" s="2520"/>
      <c r="K122" s="2520"/>
      <c r="L122" s="2520"/>
      <c r="M122" s="2520"/>
      <c r="N122" s="2520"/>
      <c r="O122" s="2520"/>
      <c r="P122" s="2520"/>
      <c r="Q122" s="2520"/>
      <c r="R122" s="2520"/>
      <c r="S122" s="843"/>
      <c r="T122" s="840"/>
      <c r="U122" s="749"/>
      <c r="V122" s="749"/>
      <c r="W122" s="750"/>
      <c r="X122" s="750"/>
      <c r="Y122" s="750"/>
      <c r="Z122" s="750"/>
      <c r="AA122" s="751"/>
      <c r="AB122" s="752"/>
      <c r="AC122" s="2512"/>
      <c r="AD122" s="753"/>
      <c r="AE122" s="754" t="s">
        <v>22</v>
      </c>
      <c r="AF122" s="754"/>
      <c r="AG122" s="755" t="s">
        <v>745</v>
      </c>
      <c r="AH122" s="756">
        <v>3</v>
      </c>
      <c r="AI122" s="749"/>
      <c r="AJ122" s="749"/>
      <c r="AK122" s="749"/>
      <c r="AL122" s="749"/>
      <c r="AM122" s="749"/>
      <c r="AN122" s="749"/>
      <c r="AO122" s="749"/>
      <c r="AP122" s="749"/>
      <c r="AQ122" s="749"/>
      <c r="AR122" s="749"/>
      <c r="AS122" s="749"/>
      <c r="AT122" s="749"/>
      <c r="AU122" s="749"/>
      <c r="AV122" s="749"/>
      <c r="AW122" s="749"/>
      <c r="AX122" s="749"/>
      <c r="AY122" s="749"/>
      <c r="AZ122" s="749"/>
      <c r="BA122" s="749"/>
      <c r="BB122" s="749"/>
      <c r="BC122" s="749"/>
      <c r="BD122" s="749"/>
      <c r="BE122" s="749"/>
      <c r="BF122" s="749"/>
      <c r="BG122" s="749"/>
      <c r="BH122" s="749"/>
      <c r="BI122" s="749"/>
      <c r="BJ122" s="749"/>
      <c r="BK122" s="749"/>
      <c r="BL122" s="749"/>
      <c r="BM122" s="749"/>
      <c r="BN122" s="749"/>
      <c r="BO122" s="749"/>
      <c r="BP122" s="749"/>
      <c r="BQ122" s="749"/>
      <c r="BR122" s="749"/>
      <c r="BS122" s="749"/>
      <c r="BT122" s="749"/>
      <c r="BU122" s="749"/>
      <c r="BV122" s="750"/>
      <c r="BW122" s="750"/>
      <c r="BX122" s="750"/>
      <c r="BY122" s="750"/>
      <c r="BZ122" s="750"/>
      <c r="CA122" s="750"/>
      <c r="CB122" s="750"/>
      <c r="CC122" s="750"/>
      <c r="CD122" s="750"/>
      <c r="CE122" s="750"/>
      <c r="CF122" s="7954"/>
    </row>
    <row customHeight="1" ht="15" hidden="1">
      <c r="A123" s="747"/>
      <c r="B123" s="748"/>
      <c r="C123" s="748"/>
      <c r="D123" s="2716"/>
      <c r="E123" s="2514" t="s">
        <v>676</v>
      </c>
      <c r="F123" s="2515"/>
      <c r="G123" s="2516"/>
      <c r="H123" s="2520" t="str">
        <f>IF(A122="","",INDEX(DIFFERENTIATION_UNMERGE_AREA,MATCH(A122,DIFFERENTIATION_ID_DIFF,0)))</f>
        <v>Территория 13</v>
      </c>
      <c r="I123" s="2520"/>
      <c r="J123" s="2520"/>
      <c r="K123" s="2520"/>
      <c r="L123" s="2520"/>
      <c r="M123" s="2520"/>
      <c r="N123" s="2520"/>
      <c r="O123" s="2520"/>
      <c r="P123" s="2520"/>
      <c r="Q123" s="2520"/>
      <c r="R123" s="2520"/>
      <c r="S123" s="843"/>
      <c r="T123" s="840"/>
      <c r="U123" s="749"/>
      <c r="V123" s="749"/>
      <c r="W123" s="750"/>
      <c r="X123" s="750"/>
      <c r="Y123" s="750"/>
      <c r="Z123" s="750"/>
      <c r="AA123" s="751"/>
      <c r="AB123" s="752"/>
      <c r="AC123" s="2512"/>
      <c r="AD123" s="753"/>
      <c r="AE123" s="754"/>
      <c r="AF123" s="754"/>
      <c r="AG123" s="755"/>
      <c r="AH123" s="756"/>
      <c r="AI123" s="749"/>
      <c r="AJ123" s="749"/>
      <c r="AK123" s="749"/>
      <c r="AL123" s="749"/>
      <c r="AM123" s="749"/>
      <c r="AN123" s="749"/>
      <c r="AO123" s="749"/>
      <c r="AP123" s="749"/>
      <c r="AQ123" s="749"/>
      <c r="AR123" s="749"/>
      <c r="AS123" s="749"/>
      <c r="AT123" s="749"/>
      <c r="AU123" s="749"/>
      <c r="AV123" s="749"/>
      <c r="AW123" s="749"/>
      <c r="AX123" s="749"/>
      <c r="AY123" s="749"/>
      <c r="AZ123" s="749"/>
      <c r="BA123" s="749"/>
      <c r="BB123" s="749"/>
      <c r="BC123" s="749"/>
      <c r="BD123" s="749"/>
      <c r="BE123" s="749"/>
      <c r="BF123" s="749"/>
      <c r="BG123" s="749"/>
      <c r="BH123" s="749"/>
      <c r="BI123" s="749"/>
      <c r="BJ123" s="749"/>
      <c r="BK123" s="749"/>
      <c r="BL123" s="749"/>
      <c r="BM123" s="749"/>
      <c r="BN123" s="749"/>
      <c r="BO123" s="749"/>
      <c r="BP123" s="749"/>
      <c r="BQ123" s="749"/>
      <c r="BR123" s="749"/>
      <c r="BS123" s="749"/>
      <c r="BT123" s="749"/>
      <c r="BU123" s="749"/>
      <c r="BV123" s="750"/>
      <c r="BW123" s="750"/>
      <c r="BX123" s="750"/>
      <c r="BY123" s="750"/>
      <c r="BZ123" s="750"/>
      <c r="CA123" s="750"/>
      <c r="CB123" s="750"/>
      <c r="CC123" s="750"/>
      <c r="CD123" s="750"/>
      <c r="CE123" s="750"/>
      <c r="CF123" s="7954"/>
    </row>
    <row customHeight="1" ht="15" hidden="1">
      <c r="A124" s="747"/>
      <c r="B124" s="748"/>
      <c r="C124" s="748"/>
      <c r="D124" s="2716"/>
      <c r="E124" s="2514" t="s">
        <v>677</v>
      </c>
      <c r="F124" s="2515"/>
      <c r="G124" s="2516"/>
      <c r="H124" s="2520" t="str">
        <f>IF(A122="","",INDEX(DIFFERENTIATION_UNMERGE_SYSTEM,MATCH(A122,DIFFERENTIATION_ID_DIFF,0)))</f>
        <v>без дифференциации</v>
      </c>
      <c r="I124" s="2520"/>
      <c r="J124" s="2520"/>
      <c r="K124" s="2520"/>
      <c r="L124" s="2520"/>
      <c r="M124" s="2520"/>
      <c r="N124" s="2520"/>
      <c r="O124" s="2520"/>
      <c r="P124" s="2520"/>
      <c r="Q124" s="2520"/>
      <c r="R124" s="2520"/>
      <c r="S124" s="843"/>
      <c r="T124" s="840"/>
      <c r="U124" s="749"/>
      <c r="V124" s="749"/>
      <c r="W124" s="750"/>
      <c r="X124" s="750"/>
      <c r="Y124" s="750"/>
      <c r="Z124" s="750"/>
      <c r="AA124" s="751"/>
      <c r="AB124" s="752"/>
      <c r="AC124" s="2512"/>
      <c r="AD124" s="753"/>
      <c r="AE124" s="754"/>
      <c r="AF124" s="754"/>
      <c r="AG124" s="755"/>
      <c r="AH124" s="756"/>
      <c r="AI124" s="749"/>
      <c r="AJ124" s="749"/>
      <c r="AK124" s="749"/>
      <c r="AL124" s="749"/>
      <c r="AM124" s="749"/>
      <c r="AN124" s="749"/>
      <c r="AO124" s="749"/>
      <c r="AP124" s="749"/>
      <c r="AQ124" s="749"/>
      <c r="AR124" s="749"/>
      <c r="AS124" s="749"/>
      <c r="AT124" s="749"/>
      <c r="AU124" s="749"/>
      <c r="AV124" s="749"/>
      <c r="AW124" s="749"/>
      <c r="AX124" s="749"/>
      <c r="AY124" s="749"/>
      <c r="AZ124" s="749"/>
      <c r="BA124" s="749"/>
      <c r="BB124" s="749"/>
      <c r="BC124" s="749"/>
      <c r="BD124" s="749"/>
      <c r="BE124" s="749"/>
      <c r="BF124" s="749"/>
      <c r="BG124" s="749"/>
      <c r="BH124" s="749"/>
      <c r="BI124" s="749"/>
      <c r="BJ124" s="749"/>
      <c r="BK124" s="749"/>
      <c r="BL124" s="749"/>
      <c r="BM124" s="749"/>
      <c r="BN124" s="749"/>
      <c r="BO124" s="749"/>
      <c r="BP124" s="749"/>
      <c r="BQ124" s="749"/>
      <c r="BR124" s="749"/>
      <c r="BS124" s="749"/>
      <c r="BT124" s="749"/>
      <c r="BU124" s="749"/>
      <c r="BV124" s="750"/>
      <c r="BW124" s="750"/>
      <c r="BX124" s="750"/>
      <c r="BY124" s="750"/>
      <c r="BZ124" s="750"/>
      <c r="CA124" s="750"/>
      <c r="CB124" s="750"/>
      <c r="CC124" s="750"/>
      <c r="CD124" s="750"/>
      <c r="CE124" s="750"/>
      <c r="CF124" s="7954"/>
    </row>
    <row customHeight="1" ht="24.75" hidden="1">
      <c r="A125" s="1929"/>
      <c r="B125" s="1284"/>
      <c r="C125" s="536"/>
      <c r="D125" s="2716"/>
      <c r="E125" s="2513" t="s">
        <v>746</v>
      </c>
      <c r="F125" s="2513"/>
      <c r="G125" s="2513"/>
      <c r="H125" s="2513"/>
      <c r="I125" s="2513"/>
      <c r="J125" s="2513"/>
      <c r="K125" s="2513"/>
      <c r="L125" s="2513"/>
      <c r="M125" s="2513"/>
      <c r="N125" s="2513"/>
      <c r="O125" s="2513"/>
      <c r="P125" s="2513"/>
      <c r="Q125" s="682">
        <f>SUMIF(T126:T127,"i",Q126:Q127)</f>
        <v>0</v>
      </c>
      <c r="R125" s="1141"/>
      <c r="S125" s="1921" t="s">
        <v>747</v>
      </c>
      <c r="T125" s="841" t="s">
        <v>748</v>
      </c>
      <c r="U125" s="2511">
        <v>1</v>
      </c>
      <c r="V125" s="2511" t="str">
        <f>INDEX(B_FHD_FLAG_INDEX_1,1,MATCH(A122,B_FHD_FLAG_DIFFERENTIATION,0))</f>
        <v>отсутствует</v>
      </c>
      <c r="W125" s="1284"/>
      <c r="X125" s="1284"/>
      <c r="Y125" s="1284"/>
      <c r="Z125" s="1284"/>
      <c r="AA125" s="1760"/>
      <c r="AB125" s="1284"/>
      <c r="AC125" s="2512"/>
      <c r="AD125" s="753"/>
      <c r="AE125" s="1284"/>
      <c r="AF125" s="1284"/>
      <c r="AG125" s="1760"/>
      <c r="AH125" s="1760"/>
      <c r="AI125" s="1760"/>
      <c r="AJ125" s="1760"/>
      <c r="AK125" s="1760"/>
      <c r="AL125" s="1760"/>
      <c r="AM125" s="1760"/>
      <c r="AN125" s="1760"/>
      <c r="AO125" s="1760"/>
      <c r="AP125" s="1760"/>
      <c r="AQ125" s="1760"/>
      <c r="AR125" s="1760"/>
      <c r="AS125" s="1760"/>
      <c r="AT125" s="1760"/>
      <c r="AU125" s="1760"/>
      <c r="AV125" s="1760"/>
      <c r="AW125" s="1760"/>
      <c r="AX125" s="1760"/>
      <c r="AY125" s="1760"/>
      <c r="AZ125" s="1760"/>
      <c r="BA125" s="1760"/>
      <c r="BB125" s="1760"/>
      <c r="BC125" s="1760"/>
      <c r="BD125" s="1760"/>
      <c r="BE125" s="1760"/>
      <c r="BF125" s="1760"/>
      <c r="BG125" s="1760"/>
      <c r="BH125" s="1760"/>
      <c r="BI125" s="1760"/>
      <c r="BJ125" s="1760"/>
      <c r="BK125" s="1760"/>
      <c r="BL125" s="1760"/>
      <c r="BM125" s="1760"/>
      <c r="BN125" s="1760"/>
      <c r="BO125" s="1760"/>
      <c r="BP125" s="1760"/>
      <c r="BQ125" s="1760"/>
      <c r="BR125" s="1760"/>
      <c r="BS125" s="1760"/>
      <c r="BT125" s="1760"/>
      <c r="BU125" s="1760"/>
      <c r="BV125" s="1284"/>
      <c r="BW125" s="1284"/>
      <c r="BX125" s="1284"/>
      <c r="BY125" s="1284"/>
      <c r="BZ125" s="1284"/>
      <c r="CA125" s="1284"/>
      <c r="CB125" s="1284"/>
      <c r="CC125" s="1284"/>
      <c r="CD125" s="1284"/>
      <c r="CE125" s="1284"/>
      <c r="CF125" s="7954"/>
    </row>
    <row customHeight="1" ht="11.25" hidden="1">
      <c r="A126" s="1916"/>
      <c r="B126" s="1760"/>
      <c r="C126" s="1760"/>
      <c r="D126" s="2716"/>
      <c r="E126" s="759"/>
      <c r="F126" s="759">
        <v>0</v>
      </c>
      <c r="G126" s="759"/>
      <c r="H126" s="759"/>
      <c r="I126" s="759"/>
      <c r="J126" s="759"/>
      <c r="K126" s="759"/>
      <c r="L126" s="759"/>
      <c r="M126" s="759"/>
      <c r="N126" s="759"/>
      <c r="O126" s="759"/>
      <c r="P126" s="759"/>
      <c r="Q126" s="759"/>
      <c r="R126" s="759"/>
      <c r="S126" s="760"/>
      <c r="T126" s="842"/>
      <c r="U126" s="2511"/>
      <c r="V126" s="2511"/>
      <c r="W126" s="1760"/>
      <c r="X126" s="1760"/>
      <c r="Y126" s="1760"/>
      <c r="Z126" s="1760"/>
      <c r="AA126" s="1760"/>
      <c r="AB126" s="1284"/>
      <c r="AC126" s="2512"/>
      <c r="AD126" s="753"/>
      <c r="AE126" s="1284"/>
      <c r="AF126" s="1284"/>
      <c r="AG126" s="1760"/>
      <c r="AH126" s="1760"/>
      <c r="AI126" s="1760"/>
      <c r="AJ126" s="1760"/>
      <c r="AK126" s="1760"/>
      <c r="AL126" s="1760"/>
      <c r="AM126" s="1760"/>
      <c r="AN126" s="1760"/>
      <c r="AO126" s="1760"/>
      <c r="AP126" s="1760"/>
      <c r="AQ126" s="1760"/>
      <c r="AR126" s="1760"/>
      <c r="AS126" s="1760"/>
      <c r="AT126" s="1760"/>
      <c r="AU126" s="1760"/>
      <c r="AV126" s="1760"/>
      <c r="AW126" s="1760"/>
      <c r="AX126" s="1760"/>
      <c r="AY126" s="1760"/>
      <c r="AZ126" s="1760"/>
      <c r="BA126" s="1760"/>
      <c r="BB126" s="1760"/>
      <c r="BC126" s="1760"/>
      <c r="BD126" s="1760"/>
      <c r="BE126" s="1760"/>
      <c r="BF126" s="1760"/>
      <c r="BG126" s="1760"/>
      <c r="BH126" s="1760"/>
      <c r="BI126" s="1760"/>
      <c r="BJ126" s="1760"/>
      <c r="BK126" s="1760"/>
      <c r="BL126" s="1760"/>
      <c r="BM126" s="1760"/>
      <c r="BN126" s="1760"/>
      <c r="BO126" s="1760"/>
      <c r="BP126" s="1760"/>
      <c r="BQ126" s="1760"/>
      <c r="BR126" s="1760"/>
      <c r="BS126" s="1760"/>
      <c r="BT126" s="1760"/>
      <c r="BU126" s="1760"/>
      <c r="BV126" s="1760"/>
      <c r="BW126" s="1760"/>
      <c r="BX126" s="1760"/>
      <c r="BY126" s="1760"/>
      <c r="BZ126" s="1760"/>
      <c r="CA126" s="1760"/>
      <c r="CB126" s="1760"/>
      <c r="CC126" s="1760"/>
      <c r="CD126" s="1760"/>
      <c r="CE126" s="1760"/>
      <c r="CF126" s="7954"/>
    </row>
    <row customHeight="1" ht="11.25" hidden="1">
      <c r="A127" s="1929"/>
      <c r="B127" s="1284"/>
      <c r="C127" s="536"/>
      <c r="D127" s="2716"/>
      <c r="E127" s="773" t="s">
        <v>22</v>
      </c>
      <c r="F127" s="1292" t="s">
        <v>22</v>
      </c>
      <c r="G127" s="1292" t="s">
        <v>751</v>
      </c>
      <c r="H127" s="775" t="s">
        <v>22</v>
      </c>
      <c r="I127" s="775"/>
      <c r="J127" s="775"/>
      <c r="K127" s="775"/>
      <c r="L127" s="775"/>
      <c r="M127" s="775"/>
      <c r="N127" s="775"/>
      <c r="O127" s="775"/>
      <c r="P127" s="775"/>
      <c r="Q127" s="775"/>
      <c r="R127" s="776"/>
      <c r="S127" s="777"/>
      <c r="T127" s="842"/>
      <c r="U127" s="2511"/>
      <c r="V127" s="2511"/>
      <c r="W127" s="1284"/>
      <c r="X127" s="1284"/>
      <c r="Y127" s="1284"/>
      <c r="Z127" s="1284"/>
      <c r="AA127" s="1760"/>
      <c r="AB127" s="1284"/>
      <c r="AC127" s="2512"/>
      <c r="AD127" s="753"/>
      <c r="AE127" s="1284"/>
      <c r="AF127" s="1284"/>
      <c r="AG127" s="1760"/>
      <c r="AH127" s="1760"/>
      <c r="AI127" s="1760"/>
      <c r="AJ127" s="1760"/>
      <c r="AK127" s="1760"/>
      <c r="AL127" s="1760"/>
      <c r="AM127" s="1760"/>
      <c r="AN127" s="1760"/>
      <c r="AO127" s="1760"/>
      <c r="AP127" s="1760"/>
      <c r="AQ127" s="1760"/>
      <c r="AR127" s="1760"/>
      <c r="AS127" s="1760"/>
      <c r="AT127" s="1760"/>
      <c r="AU127" s="1760"/>
      <c r="AV127" s="1760"/>
      <c r="AW127" s="1760"/>
      <c r="AX127" s="1760"/>
      <c r="AY127" s="1760"/>
      <c r="AZ127" s="1760"/>
      <c r="BA127" s="1760"/>
      <c r="BB127" s="1760"/>
      <c r="BC127" s="1760"/>
      <c r="BD127" s="1760"/>
      <c r="BE127" s="1760"/>
      <c r="BF127" s="1760"/>
      <c r="BG127" s="1760"/>
      <c r="BH127" s="1760"/>
      <c r="BI127" s="1760"/>
      <c r="BJ127" s="1760"/>
      <c r="BK127" s="1760"/>
      <c r="BL127" s="1760"/>
      <c r="BM127" s="1760"/>
      <c r="BN127" s="1760"/>
      <c r="BO127" s="1760"/>
      <c r="BP127" s="1760"/>
      <c r="BQ127" s="1760"/>
      <c r="BR127" s="1760"/>
      <c r="BS127" s="1760"/>
      <c r="BT127" s="1760"/>
      <c r="BU127" s="1760"/>
      <c r="BV127" s="1284"/>
      <c r="BW127" s="1284"/>
      <c r="BX127" s="1284"/>
      <c r="BY127" s="1284"/>
      <c r="BZ127" s="1284"/>
      <c r="CA127" s="1284"/>
      <c r="CB127" s="1284"/>
      <c r="CC127" s="1284"/>
      <c r="CD127" s="1284"/>
      <c r="CE127" s="1284"/>
      <c r="CF127" s="7954"/>
    </row>
    <row customHeight="1" ht="5.25" hidden="1">
      <c r="A128" s="1916"/>
      <c r="B128" s="1760"/>
      <c r="C128" s="1760"/>
      <c r="D128" s="2716"/>
      <c r="E128" s="1163"/>
      <c r="F128" s="1163"/>
      <c r="G128" s="1163"/>
      <c r="H128" s="1163"/>
      <c r="I128" s="1163"/>
      <c r="J128" s="1163"/>
      <c r="K128" s="1163"/>
      <c r="L128" s="1163"/>
      <c r="M128" s="1163"/>
      <c r="N128" s="1163"/>
      <c r="O128" s="1163"/>
      <c r="P128" s="1163"/>
      <c r="Q128" s="1164"/>
      <c r="R128" s="1165"/>
      <c r="S128" s="1166"/>
      <c r="T128" s="841" t="s">
        <v>748</v>
      </c>
      <c r="U128" s="2511">
        <v>1</v>
      </c>
      <c r="V128" s="2511" t="s">
        <v>693</v>
      </c>
      <c r="W128" s="1760"/>
      <c r="X128" s="1760"/>
      <c r="Y128" s="1760"/>
      <c r="Z128" s="1760"/>
      <c r="AA128" s="1760"/>
      <c r="AB128" s="1760"/>
      <c r="AC128" s="1161"/>
      <c r="AD128" s="1162"/>
      <c r="AE128" s="1760"/>
      <c r="AF128" s="1760"/>
      <c r="AG128" s="1760"/>
      <c r="AH128" s="1760"/>
      <c r="AI128" s="1760"/>
      <c r="AJ128" s="1760"/>
      <c r="AK128" s="1760"/>
      <c r="AL128" s="1760"/>
      <c r="AM128" s="1760"/>
      <c r="AN128" s="1760"/>
      <c r="AO128" s="1760"/>
      <c r="AP128" s="1760"/>
      <c r="AQ128" s="1760"/>
      <c r="AR128" s="1760"/>
      <c r="AS128" s="1760"/>
      <c r="AT128" s="1760"/>
      <c r="AU128" s="1760"/>
      <c r="AV128" s="1760"/>
      <c r="AW128" s="1760"/>
      <c r="AX128" s="1760"/>
      <c r="AY128" s="1760"/>
      <c r="AZ128" s="1760"/>
      <c r="BA128" s="1760"/>
      <c r="BB128" s="1760"/>
      <c r="BC128" s="1760"/>
      <c r="BD128" s="1760"/>
      <c r="BE128" s="1760"/>
      <c r="BF128" s="1760"/>
      <c r="BG128" s="1760"/>
      <c r="BH128" s="1760"/>
      <c r="BI128" s="1760"/>
      <c r="BJ128" s="1760"/>
      <c r="BK128" s="1760"/>
      <c r="BL128" s="1760"/>
      <c r="BM128" s="1760"/>
      <c r="BN128" s="1760"/>
      <c r="BO128" s="1760"/>
      <c r="BP128" s="1760"/>
      <c r="BQ128" s="1760"/>
      <c r="BR128" s="1760"/>
      <c r="BS128" s="1760"/>
      <c r="BT128" s="1760"/>
      <c r="BU128" s="1760"/>
      <c r="BV128" s="1760"/>
      <c r="BW128" s="1760"/>
      <c r="BX128" s="1760"/>
      <c r="BY128" s="1760"/>
      <c r="BZ128" s="1760"/>
      <c r="CA128" s="1760"/>
      <c r="CB128" s="1760"/>
      <c r="CC128" s="1760"/>
      <c r="CD128" s="1760"/>
      <c r="CE128" s="1760"/>
      <c r="CF128" s="7914"/>
    </row>
    <row customHeight="1" ht="5.25" hidden="1">
      <c r="A129" s="1916"/>
      <c r="B129" s="1760"/>
      <c r="C129" s="1760"/>
      <c r="D129" s="2716"/>
      <c r="E129" s="759"/>
      <c r="F129" s="759"/>
      <c r="G129" s="759"/>
      <c r="H129" s="759"/>
      <c r="I129" s="759"/>
      <c r="J129" s="759"/>
      <c r="K129" s="759"/>
      <c r="L129" s="759"/>
      <c r="M129" s="759"/>
      <c r="N129" s="759"/>
      <c r="O129" s="759"/>
      <c r="P129" s="759"/>
      <c r="Q129" s="759"/>
      <c r="R129" s="759"/>
      <c r="S129" s="760"/>
      <c r="T129" s="842"/>
      <c r="U129" s="2511"/>
      <c r="V129" s="2511"/>
      <c r="W129" s="1760"/>
      <c r="X129" s="1760"/>
      <c r="Y129" s="1760"/>
      <c r="Z129" s="1760"/>
      <c r="AA129" s="1760"/>
      <c r="AB129" s="1760"/>
      <c r="AC129" s="1161"/>
      <c r="AD129" s="1162"/>
      <c r="AE129" s="1760"/>
      <c r="AF129" s="1760"/>
      <c r="AG129" s="1760"/>
      <c r="AH129" s="1760"/>
      <c r="AI129" s="1760"/>
      <c r="AJ129" s="1760"/>
      <c r="AK129" s="1760"/>
      <c r="AL129" s="1760"/>
      <c r="AM129" s="1760"/>
      <c r="AN129" s="1760"/>
      <c r="AO129" s="1760"/>
      <c r="AP129" s="1760"/>
      <c r="AQ129" s="1760"/>
      <c r="AR129" s="1760"/>
      <c r="AS129" s="1760"/>
      <c r="AT129" s="1760"/>
      <c r="AU129" s="1760"/>
      <c r="AV129" s="1760"/>
      <c r="AW129" s="1760"/>
      <c r="AX129" s="1760"/>
      <c r="AY129" s="1760"/>
      <c r="AZ129" s="1760"/>
      <c r="BA129" s="1760"/>
      <c r="BB129" s="1760"/>
      <c r="BC129" s="1760"/>
      <c r="BD129" s="1760"/>
      <c r="BE129" s="1760"/>
      <c r="BF129" s="1760"/>
      <c r="BG129" s="1760"/>
      <c r="BH129" s="1760"/>
      <c r="BI129" s="1760"/>
      <c r="BJ129" s="1760"/>
      <c r="BK129" s="1760"/>
      <c r="BL129" s="1760"/>
      <c r="BM129" s="1760"/>
      <c r="BN129" s="1760"/>
      <c r="BO129" s="1760"/>
      <c r="BP129" s="1760"/>
      <c r="BQ129" s="1760"/>
      <c r="BR129" s="1760"/>
      <c r="BS129" s="1760"/>
      <c r="BT129" s="1760"/>
      <c r="BU129" s="1760"/>
      <c r="BV129" s="1760"/>
      <c r="BW129" s="1760"/>
      <c r="BX129" s="1760"/>
      <c r="BY129" s="1760"/>
      <c r="BZ129" s="1760"/>
      <c r="CA129" s="1760"/>
      <c r="CB129" s="1760"/>
      <c r="CC129" s="1760"/>
      <c r="CD129" s="1760"/>
      <c r="CE129" s="1760"/>
      <c r="CF129" s="7914"/>
    </row>
    <row customHeight="1" ht="5.25" hidden="1">
      <c r="A130" s="1916"/>
      <c r="B130" s="1760"/>
      <c r="C130" s="1760"/>
      <c r="D130" s="2717"/>
      <c r="E130" s="1167"/>
      <c r="F130" s="1168"/>
      <c r="G130" s="1168"/>
      <c r="H130" s="1169"/>
      <c r="I130" s="1169"/>
      <c r="J130" s="1169"/>
      <c r="K130" s="1169"/>
      <c r="L130" s="1169"/>
      <c r="M130" s="1169"/>
      <c r="N130" s="1169"/>
      <c r="O130" s="1169"/>
      <c r="P130" s="1169"/>
      <c r="Q130" s="1169"/>
      <c r="R130" s="1070"/>
      <c r="S130" s="1170"/>
      <c r="T130" s="842"/>
      <c r="U130" s="2511"/>
      <c r="V130" s="2511"/>
      <c r="W130" s="1760"/>
      <c r="X130" s="1760"/>
      <c r="Y130" s="1760"/>
      <c r="Z130" s="1760"/>
      <c r="AA130" s="1760"/>
      <c r="AB130" s="1760"/>
      <c r="AC130" s="1161"/>
      <c r="AD130" s="1162"/>
      <c r="AE130" s="1760"/>
      <c r="AF130" s="1760"/>
      <c r="AG130" s="1760"/>
      <c r="AH130" s="1760"/>
      <c r="AI130" s="1760"/>
      <c r="AJ130" s="1760"/>
      <c r="AK130" s="1760"/>
      <c r="AL130" s="1760"/>
      <c r="AM130" s="1760"/>
      <c r="AN130" s="1760"/>
      <c r="AO130" s="1760"/>
      <c r="AP130" s="1760"/>
      <c r="AQ130" s="1760"/>
      <c r="AR130" s="1760"/>
      <c r="AS130" s="1760"/>
      <c r="AT130" s="1760"/>
      <c r="AU130" s="1760"/>
      <c r="AV130" s="1760"/>
      <c r="AW130" s="1760"/>
      <c r="AX130" s="1760"/>
      <c r="AY130" s="1760"/>
      <c r="AZ130" s="1760"/>
      <c r="BA130" s="1760"/>
      <c r="BB130" s="1760"/>
      <c r="BC130" s="1760"/>
      <c r="BD130" s="1760"/>
      <c r="BE130" s="1760"/>
      <c r="BF130" s="1760"/>
      <c r="BG130" s="1760"/>
      <c r="BH130" s="1760"/>
      <c r="BI130" s="1760"/>
      <c r="BJ130" s="1760"/>
      <c r="BK130" s="1760"/>
      <c r="BL130" s="1760"/>
      <c r="BM130" s="1760"/>
      <c r="BN130" s="1760"/>
      <c r="BO130" s="1760"/>
      <c r="BP130" s="1760"/>
      <c r="BQ130" s="1760"/>
      <c r="BR130" s="1760"/>
      <c r="BS130" s="1760"/>
      <c r="BT130" s="1760"/>
      <c r="BU130" s="1760"/>
      <c r="BV130" s="1760"/>
      <c r="BW130" s="1760"/>
      <c r="BX130" s="1760"/>
      <c r="BY130" s="1760"/>
      <c r="BZ130" s="1760"/>
      <c r="CA130" s="1760"/>
      <c r="CB130" s="1760"/>
      <c r="CC130" s="1760"/>
      <c r="CD130" s="1760"/>
      <c r="CE130" s="1760"/>
      <c r="CF130" s="7914"/>
    </row>
    <row customHeight="1" ht="15" hidden="1">
      <c r="A131" s="747" t="s">
        <v>231</v>
      </c>
      <c r="B131" s="748"/>
      <c r="C131" s="748" t="s">
        <v>22</v>
      </c>
      <c r="D131" s="2715" t="s">
        <v>763</v>
      </c>
      <c r="E131" s="2514" t="s">
        <v>206</v>
      </c>
      <c r="F131" s="2515"/>
      <c r="G131" s="2516"/>
      <c r="H131" s="2520" t="str">
        <f>IF(A131="","",INDEX(DIFFERENTIATION_UNMERGE_VD,MATCH(A131,DIFFERENTIATION_ID_DIFF,0)))</f>
        <v>Производство тепловой энергии. Некомбинированная выработка</v>
      </c>
      <c r="I131" s="2520"/>
      <c r="J131" s="2520"/>
      <c r="K131" s="2520"/>
      <c r="L131" s="2520"/>
      <c r="M131" s="2520"/>
      <c r="N131" s="2520"/>
      <c r="O131" s="2520"/>
      <c r="P131" s="2520"/>
      <c r="Q131" s="2520"/>
      <c r="R131" s="2520"/>
      <c r="S131" s="843"/>
      <c r="T131" s="840"/>
      <c r="U131" s="749"/>
      <c r="V131" s="749"/>
      <c r="W131" s="750"/>
      <c r="X131" s="750"/>
      <c r="Y131" s="750"/>
      <c r="Z131" s="750"/>
      <c r="AA131" s="751"/>
      <c r="AB131" s="752"/>
      <c r="AC131" s="2512"/>
      <c r="AD131" s="753"/>
      <c r="AE131" s="754" t="s">
        <v>22</v>
      </c>
      <c r="AF131" s="754"/>
      <c r="AG131" s="755" t="s">
        <v>745</v>
      </c>
      <c r="AH131" s="756">
        <v>3</v>
      </c>
      <c r="AI131" s="749"/>
      <c r="AJ131" s="749"/>
      <c r="AK131" s="749"/>
      <c r="AL131" s="749"/>
      <c r="AM131" s="749"/>
      <c r="AN131" s="749"/>
      <c r="AO131" s="749"/>
      <c r="AP131" s="749"/>
      <c r="AQ131" s="749"/>
      <c r="AR131" s="749"/>
      <c r="AS131" s="749"/>
      <c r="AT131" s="749"/>
      <c r="AU131" s="749"/>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49"/>
      <c r="BR131" s="749"/>
      <c r="BS131" s="749"/>
      <c r="BT131" s="749"/>
      <c r="BU131" s="749"/>
      <c r="BV131" s="750"/>
      <c r="BW131" s="750"/>
      <c r="BX131" s="750"/>
      <c r="BY131" s="750"/>
      <c r="BZ131" s="750"/>
      <c r="CA131" s="750"/>
      <c r="CB131" s="750"/>
      <c r="CC131" s="750"/>
      <c r="CD131" s="750"/>
      <c r="CE131" s="750"/>
      <c r="CF131" s="7954"/>
    </row>
    <row customHeight="1" ht="15" hidden="1">
      <c r="A132" s="747"/>
      <c r="B132" s="748"/>
      <c r="C132" s="748"/>
      <c r="D132" s="2716"/>
      <c r="E132" s="2514" t="s">
        <v>676</v>
      </c>
      <c r="F132" s="2515"/>
      <c r="G132" s="2516"/>
      <c r="H132" s="2520" t="str">
        <f>IF(A131="","",INDEX(DIFFERENTIATION_UNMERGE_AREA,MATCH(A131,DIFFERENTIATION_ID_DIFF,0)))</f>
        <v>Территория 14</v>
      </c>
      <c r="I132" s="2520"/>
      <c r="J132" s="2520"/>
      <c r="K132" s="2520"/>
      <c r="L132" s="2520"/>
      <c r="M132" s="2520"/>
      <c r="N132" s="2520"/>
      <c r="O132" s="2520"/>
      <c r="P132" s="2520"/>
      <c r="Q132" s="2520"/>
      <c r="R132" s="2520"/>
      <c r="S132" s="843"/>
      <c r="T132" s="840"/>
      <c r="U132" s="749"/>
      <c r="V132" s="749"/>
      <c r="W132" s="750"/>
      <c r="X132" s="750"/>
      <c r="Y132" s="750"/>
      <c r="Z132" s="750"/>
      <c r="AA132" s="751"/>
      <c r="AB132" s="752"/>
      <c r="AC132" s="2512"/>
      <c r="AD132" s="753"/>
      <c r="AE132" s="754"/>
      <c r="AF132" s="754"/>
      <c r="AG132" s="755"/>
      <c r="AH132" s="756"/>
      <c r="AI132" s="749"/>
      <c r="AJ132" s="749"/>
      <c r="AK132" s="749"/>
      <c r="AL132" s="749"/>
      <c r="AM132" s="749"/>
      <c r="AN132" s="749"/>
      <c r="AO132" s="749"/>
      <c r="AP132" s="749"/>
      <c r="AQ132" s="749"/>
      <c r="AR132" s="749"/>
      <c r="AS132" s="749"/>
      <c r="AT132" s="749"/>
      <c r="AU132" s="749"/>
      <c r="AV132" s="749"/>
      <c r="AW132" s="749"/>
      <c r="AX132" s="749"/>
      <c r="AY132" s="749"/>
      <c r="AZ132" s="749"/>
      <c r="BA132" s="749"/>
      <c r="BB132" s="749"/>
      <c r="BC132" s="749"/>
      <c r="BD132" s="749"/>
      <c r="BE132" s="749"/>
      <c r="BF132" s="749"/>
      <c r="BG132" s="749"/>
      <c r="BH132" s="749"/>
      <c r="BI132" s="749"/>
      <c r="BJ132" s="749"/>
      <c r="BK132" s="749"/>
      <c r="BL132" s="749"/>
      <c r="BM132" s="749"/>
      <c r="BN132" s="749"/>
      <c r="BO132" s="749"/>
      <c r="BP132" s="749"/>
      <c r="BQ132" s="749"/>
      <c r="BR132" s="749"/>
      <c r="BS132" s="749"/>
      <c r="BT132" s="749"/>
      <c r="BU132" s="749"/>
      <c r="BV132" s="750"/>
      <c r="BW132" s="750"/>
      <c r="BX132" s="750"/>
      <c r="BY132" s="750"/>
      <c r="BZ132" s="750"/>
      <c r="CA132" s="750"/>
      <c r="CB132" s="750"/>
      <c r="CC132" s="750"/>
      <c r="CD132" s="750"/>
      <c r="CE132" s="750"/>
      <c r="CF132" s="7954"/>
    </row>
    <row customHeight="1" ht="15" hidden="1">
      <c r="A133" s="747"/>
      <c r="B133" s="748"/>
      <c r="C133" s="748"/>
      <c r="D133" s="2716"/>
      <c r="E133" s="2514" t="s">
        <v>677</v>
      </c>
      <c r="F133" s="2515"/>
      <c r="G133" s="2516"/>
      <c r="H133" s="2520" t="str">
        <f>IF(A131="","",INDEX(DIFFERENTIATION_UNMERGE_SYSTEM,MATCH(A131,DIFFERENTIATION_ID_DIFF,0)))</f>
        <v>без дифференциации</v>
      </c>
      <c r="I133" s="2520"/>
      <c r="J133" s="2520"/>
      <c r="K133" s="2520"/>
      <c r="L133" s="2520"/>
      <c r="M133" s="2520"/>
      <c r="N133" s="2520"/>
      <c r="O133" s="2520"/>
      <c r="P133" s="2520"/>
      <c r="Q133" s="2520"/>
      <c r="R133" s="2520"/>
      <c r="S133" s="843"/>
      <c r="T133" s="840"/>
      <c r="U133" s="749"/>
      <c r="V133" s="749"/>
      <c r="W133" s="750"/>
      <c r="X133" s="750"/>
      <c r="Y133" s="750"/>
      <c r="Z133" s="750"/>
      <c r="AA133" s="751"/>
      <c r="AB133" s="752"/>
      <c r="AC133" s="2512"/>
      <c r="AD133" s="753"/>
      <c r="AE133" s="754"/>
      <c r="AF133" s="754"/>
      <c r="AG133" s="755"/>
      <c r="AH133" s="756"/>
      <c r="AI133" s="749"/>
      <c r="AJ133" s="749"/>
      <c r="AK133" s="749"/>
      <c r="AL133" s="749"/>
      <c r="AM133" s="749"/>
      <c r="AN133" s="749"/>
      <c r="AO133" s="749"/>
      <c r="AP133" s="749"/>
      <c r="AQ133" s="749"/>
      <c r="AR133" s="749"/>
      <c r="AS133" s="749"/>
      <c r="AT133" s="749"/>
      <c r="AU133" s="749"/>
      <c r="AV133" s="749"/>
      <c r="AW133" s="749"/>
      <c r="AX133" s="749"/>
      <c r="AY133" s="749"/>
      <c r="AZ133" s="749"/>
      <c r="BA133" s="749"/>
      <c r="BB133" s="749"/>
      <c r="BC133" s="749"/>
      <c r="BD133" s="749"/>
      <c r="BE133" s="749"/>
      <c r="BF133" s="749"/>
      <c r="BG133" s="749"/>
      <c r="BH133" s="749"/>
      <c r="BI133" s="749"/>
      <c r="BJ133" s="749"/>
      <c r="BK133" s="749"/>
      <c r="BL133" s="749"/>
      <c r="BM133" s="749"/>
      <c r="BN133" s="749"/>
      <c r="BO133" s="749"/>
      <c r="BP133" s="749"/>
      <c r="BQ133" s="749"/>
      <c r="BR133" s="749"/>
      <c r="BS133" s="749"/>
      <c r="BT133" s="749"/>
      <c r="BU133" s="749"/>
      <c r="BV133" s="750"/>
      <c r="BW133" s="750"/>
      <c r="BX133" s="750"/>
      <c r="BY133" s="750"/>
      <c r="BZ133" s="750"/>
      <c r="CA133" s="750"/>
      <c r="CB133" s="750"/>
      <c r="CC133" s="750"/>
      <c r="CD133" s="750"/>
      <c r="CE133" s="750"/>
      <c r="CF133" s="7954"/>
    </row>
    <row customHeight="1" ht="24.75" hidden="1">
      <c r="A134" s="1929"/>
      <c r="B134" s="1284"/>
      <c r="C134" s="536"/>
      <c r="D134" s="2716"/>
      <c r="E134" s="2513" t="s">
        <v>746</v>
      </c>
      <c r="F134" s="2513"/>
      <c r="G134" s="2513"/>
      <c r="H134" s="2513"/>
      <c r="I134" s="2513"/>
      <c r="J134" s="2513"/>
      <c r="K134" s="2513"/>
      <c r="L134" s="2513"/>
      <c r="M134" s="2513"/>
      <c r="N134" s="2513"/>
      <c r="O134" s="2513"/>
      <c r="P134" s="2513"/>
      <c r="Q134" s="682">
        <f>SUMIF(T135:T136,"i",Q135:Q136)</f>
        <v>0</v>
      </c>
      <c r="R134" s="1141"/>
      <c r="S134" s="1921" t="s">
        <v>747</v>
      </c>
      <c r="T134" s="841" t="s">
        <v>748</v>
      </c>
      <c r="U134" s="2511">
        <v>1</v>
      </c>
      <c r="V134" s="2511" t="str">
        <f>INDEX(B_FHD_FLAG_INDEX_1,1,MATCH(A131,B_FHD_FLAG_DIFFERENTIATION,0))</f>
        <v>отсутствует</v>
      </c>
      <c r="W134" s="1284"/>
      <c r="X134" s="1284"/>
      <c r="Y134" s="1284"/>
      <c r="Z134" s="1284"/>
      <c r="AA134" s="1760"/>
      <c r="AB134" s="1284"/>
      <c r="AC134" s="2512"/>
      <c r="AD134" s="753"/>
      <c r="AE134" s="1284"/>
      <c r="AF134" s="1284"/>
      <c r="AG134" s="1760"/>
      <c r="AH134" s="1760"/>
      <c r="AI134" s="1760"/>
      <c r="AJ134" s="1760"/>
      <c r="AK134" s="1760"/>
      <c r="AL134" s="1760"/>
      <c r="AM134" s="1760"/>
      <c r="AN134" s="1760"/>
      <c r="AO134" s="1760"/>
      <c r="AP134" s="1760"/>
      <c r="AQ134" s="1760"/>
      <c r="AR134" s="1760"/>
      <c r="AS134" s="1760"/>
      <c r="AT134" s="1760"/>
      <c r="AU134" s="1760"/>
      <c r="AV134" s="1760"/>
      <c r="AW134" s="1760"/>
      <c r="AX134" s="1760"/>
      <c r="AY134" s="1760"/>
      <c r="AZ134" s="1760"/>
      <c r="BA134" s="1760"/>
      <c r="BB134" s="1760"/>
      <c r="BC134" s="1760"/>
      <c r="BD134" s="1760"/>
      <c r="BE134" s="1760"/>
      <c r="BF134" s="1760"/>
      <c r="BG134" s="1760"/>
      <c r="BH134" s="1760"/>
      <c r="BI134" s="1760"/>
      <c r="BJ134" s="1760"/>
      <c r="BK134" s="1760"/>
      <c r="BL134" s="1760"/>
      <c r="BM134" s="1760"/>
      <c r="BN134" s="1760"/>
      <c r="BO134" s="1760"/>
      <c r="BP134" s="1760"/>
      <c r="BQ134" s="1760"/>
      <c r="BR134" s="1760"/>
      <c r="BS134" s="1760"/>
      <c r="BT134" s="1760"/>
      <c r="BU134" s="1760"/>
      <c r="BV134" s="1284"/>
      <c r="BW134" s="1284"/>
      <c r="BX134" s="1284"/>
      <c r="BY134" s="1284"/>
      <c r="BZ134" s="1284"/>
      <c r="CA134" s="1284"/>
      <c r="CB134" s="1284"/>
      <c r="CC134" s="1284"/>
      <c r="CD134" s="1284"/>
      <c r="CE134" s="1284"/>
      <c r="CF134" s="7954"/>
    </row>
    <row customHeight="1" ht="11.25" hidden="1">
      <c r="A135" s="1916"/>
      <c r="B135" s="1760"/>
      <c r="C135" s="1760"/>
      <c r="D135" s="2716"/>
      <c r="E135" s="759"/>
      <c r="F135" s="759">
        <v>0</v>
      </c>
      <c r="G135" s="759"/>
      <c r="H135" s="759"/>
      <c r="I135" s="759"/>
      <c r="J135" s="759"/>
      <c r="K135" s="759"/>
      <c r="L135" s="759"/>
      <c r="M135" s="759"/>
      <c r="N135" s="759"/>
      <c r="O135" s="759"/>
      <c r="P135" s="759"/>
      <c r="Q135" s="759"/>
      <c r="R135" s="759"/>
      <c r="S135" s="760"/>
      <c r="T135" s="842"/>
      <c r="U135" s="2511"/>
      <c r="V135" s="2511"/>
      <c r="W135" s="1760"/>
      <c r="X135" s="1760"/>
      <c r="Y135" s="1760"/>
      <c r="Z135" s="1760"/>
      <c r="AA135" s="1760"/>
      <c r="AB135" s="1284"/>
      <c r="AC135" s="2512"/>
      <c r="AD135" s="753"/>
      <c r="AE135" s="1284"/>
      <c r="AF135" s="1284"/>
      <c r="AG135" s="1760"/>
      <c r="AH135" s="1760"/>
      <c r="AI135" s="1760"/>
      <c r="AJ135" s="1760"/>
      <c r="AK135" s="1760"/>
      <c r="AL135" s="1760"/>
      <c r="AM135" s="1760"/>
      <c r="AN135" s="1760"/>
      <c r="AO135" s="1760"/>
      <c r="AP135" s="1760"/>
      <c r="AQ135" s="1760"/>
      <c r="AR135" s="1760"/>
      <c r="AS135" s="1760"/>
      <c r="AT135" s="1760"/>
      <c r="AU135" s="1760"/>
      <c r="AV135" s="1760"/>
      <c r="AW135" s="1760"/>
      <c r="AX135" s="1760"/>
      <c r="AY135" s="1760"/>
      <c r="AZ135" s="1760"/>
      <c r="BA135" s="1760"/>
      <c r="BB135" s="1760"/>
      <c r="BC135" s="1760"/>
      <c r="BD135" s="1760"/>
      <c r="BE135" s="1760"/>
      <c r="BF135" s="1760"/>
      <c r="BG135" s="1760"/>
      <c r="BH135" s="1760"/>
      <c r="BI135" s="1760"/>
      <c r="BJ135" s="1760"/>
      <c r="BK135" s="1760"/>
      <c r="BL135" s="1760"/>
      <c r="BM135" s="1760"/>
      <c r="BN135" s="1760"/>
      <c r="BO135" s="1760"/>
      <c r="BP135" s="1760"/>
      <c r="BQ135" s="1760"/>
      <c r="BR135" s="1760"/>
      <c r="BS135" s="1760"/>
      <c r="BT135" s="1760"/>
      <c r="BU135" s="1760"/>
      <c r="BV135" s="1760"/>
      <c r="BW135" s="1760"/>
      <c r="BX135" s="1760"/>
      <c r="BY135" s="1760"/>
      <c r="BZ135" s="1760"/>
      <c r="CA135" s="1760"/>
      <c r="CB135" s="1760"/>
      <c r="CC135" s="1760"/>
      <c r="CD135" s="1760"/>
      <c r="CE135" s="1760"/>
      <c r="CF135" s="7954"/>
    </row>
    <row customHeight="1" ht="11.25" hidden="1">
      <c r="A136" s="1929"/>
      <c r="B136" s="1284"/>
      <c r="C136" s="536"/>
      <c r="D136" s="2716"/>
      <c r="E136" s="773" t="s">
        <v>22</v>
      </c>
      <c r="F136" s="1292" t="s">
        <v>22</v>
      </c>
      <c r="G136" s="1292" t="s">
        <v>751</v>
      </c>
      <c r="H136" s="775" t="s">
        <v>22</v>
      </c>
      <c r="I136" s="775"/>
      <c r="J136" s="775"/>
      <c r="K136" s="775"/>
      <c r="L136" s="775"/>
      <c r="M136" s="775"/>
      <c r="N136" s="775"/>
      <c r="O136" s="775"/>
      <c r="P136" s="775"/>
      <c r="Q136" s="775"/>
      <c r="R136" s="776"/>
      <c r="S136" s="777"/>
      <c r="T136" s="842"/>
      <c r="U136" s="2511"/>
      <c r="V136" s="2511"/>
      <c r="W136" s="1284"/>
      <c r="X136" s="1284"/>
      <c r="Y136" s="1284"/>
      <c r="Z136" s="1284"/>
      <c r="AA136" s="1760"/>
      <c r="AB136" s="1284"/>
      <c r="AC136" s="2512"/>
      <c r="AD136" s="753"/>
      <c r="AE136" s="1284"/>
      <c r="AF136" s="1284"/>
      <c r="AG136" s="1760"/>
      <c r="AH136" s="1760"/>
      <c r="AI136" s="1760"/>
      <c r="AJ136" s="1760"/>
      <c r="AK136" s="1760"/>
      <c r="AL136" s="1760"/>
      <c r="AM136" s="1760"/>
      <c r="AN136" s="1760"/>
      <c r="AO136" s="1760"/>
      <c r="AP136" s="1760"/>
      <c r="AQ136" s="1760"/>
      <c r="AR136" s="1760"/>
      <c r="AS136" s="1760"/>
      <c r="AT136" s="1760"/>
      <c r="AU136" s="1760"/>
      <c r="AV136" s="1760"/>
      <c r="AW136" s="1760"/>
      <c r="AX136" s="1760"/>
      <c r="AY136" s="1760"/>
      <c r="AZ136" s="1760"/>
      <c r="BA136" s="1760"/>
      <c r="BB136" s="1760"/>
      <c r="BC136" s="1760"/>
      <c r="BD136" s="1760"/>
      <c r="BE136" s="1760"/>
      <c r="BF136" s="1760"/>
      <c r="BG136" s="1760"/>
      <c r="BH136" s="1760"/>
      <c r="BI136" s="1760"/>
      <c r="BJ136" s="1760"/>
      <c r="BK136" s="1760"/>
      <c r="BL136" s="1760"/>
      <c r="BM136" s="1760"/>
      <c r="BN136" s="1760"/>
      <c r="BO136" s="1760"/>
      <c r="BP136" s="1760"/>
      <c r="BQ136" s="1760"/>
      <c r="BR136" s="1760"/>
      <c r="BS136" s="1760"/>
      <c r="BT136" s="1760"/>
      <c r="BU136" s="1760"/>
      <c r="BV136" s="1284"/>
      <c r="BW136" s="1284"/>
      <c r="BX136" s="1284"/>
      <c r="BY136" s="1284"/>
      <c r="BZ136" s="1284"/>
      <c r="CA136" s="1284"/>
      <c r="CB136" s="1284"/>
      <c r="CC136" s="1284"/>
      <c r="CD136" s="1284"/>
      <c r="CE136" s="1284"/>
      <c r="CF136" s="7954"/>
    </row>
    <row customHeight="1" ht="5.25" hidden="1">
      <c r="A137" s="1916"/>
      <c r="B137" s="1760"/>
      <c r="C137" s="1760"/>
      <c r="D137" s="2716"/>
      <c r="E137" s="1163"/>
      <c r="F137" s="1163"/>
      <c r="G137" s="1163"/>
      <c r="H137" s="1163"/>
      <c r="I137" s="1163"/>
      <c r="J137" s="1163"/>
      <c r="K137" s="1163"/>
      <c r="L137" s="1163"/>
      <c r="M137" s="1163"/>
      <c r="N137" s="1163"/>
      <c r="O137" s="1163"/>
      <c r="P137" s="1163"/>
      <c r="Q137" s="1164"/>
      <c r="R137" s="1165"/>
      <c r="S137" s="1166"/>
      <c r="T137" s="841" t="s">
        <v>748</v>
      </c>
      <c r="U137" s="2511">
        <v>1</v>
      </c>
      <c r="V137" s="2511" t="s">
        <v>693</v>
      </c>
      <c r="W137" s="1760"/>
      <c r="X137" s="1760"/>
      <c r="Y137" s="1760"/>
      <c r="Z137" s="1760"/>
      <c r="AA137" s="1760"/>
      <c r="AB137" s="1760"/>
      <c r="AC137" s="1161"/>
      <c r="AD137" s="1162"/>
      <c r="AE137" s="1760"/>
      <c r="AF137" s="1760"/>
      <c r="AG137" s="1760"/>
      <c r="AH137" s="1760"/>
      <c r="AI137" s="1760"/>
      <c r="AJ137" s="1760"/>
      <c r="AK137" s="1760"/>
      <c r="AL137" s="1760"/>
      <c r="AM137" s="1760"/>
      <c r="AN137" s="1760"/>
      <c r="AO137" s="1760"/>
      <c r="AP137" s="1760"/>
      <c r="AQ137" s="1760"/>
      <c r="AR137" s="1760"/>
      <c r="AS137" s="1760"/>
      <c r="AT137" s="1760"/>
      <c r="AU137" s="1760"/>
      <c r="AV137" s="1760"/>
      <c r="AW137" s="1760"/>
      <c r="AX137" s="1760"/>
      <c r="AY137" s="1760"/>
      <c r="AZ137" s="1760"/>
      <c r="BA137" s="1760"/>
      <c r="BB137" s="1760"/>
      <c r="BC137" s="1760"/>
      <c r="BD137" s="1760"/>
      <c r="BE137" s="1760"/>
      <c r="BF137" s="1760"/>
      <c r="BG137" s="1760"/>
      <c r="BH137" s="1760"/>
      <c r="BI137" s="1760"/>
      <c r="BJ137" s="1760"/>
      <c r="BK137" s="1760"/>
      <c r="BL137" s="1760"/>
      <c r="BM137" s="1760"/>
      <c r="BN137" s="1760"/>
      <c r="BO137" s="1760"/>
      <c r="BP137" s="1760"/>
      <c r="BQ137" s="1760"/>
      <c r="BR137" s="1760"/>
      <c r="BS137" s="1760"/>
      <c r="BT137" s="1760"/>
      <c r="BU137" s="1760"/>
      <c r="BV137" s="1760"/>
      <c r="BW137" s="1760"/>
      <c r="BX137" s="1760"/>
      <c r="BY137" s="1760"/>
      <c r="BZ137" s="1760"/>
      <c r="CA137" s="1760"/>
      <c r="CB137" s="1760"/>
      <c r="CC137" s="1760"/>
      <c r="CD137" s="1760"/>
      <c r="CE137" s="1760"/>
      <c r="CF137" s="7914"/>
    </row>
    <row customHeight="1" ht="5.25" hidden="1">
      <c r="A138" s="1916"/>
      <c r="B138" s="1760"/>
      <c r="C138" s="1760"/>
      <c r="D138" s="2716"/>
      <c r="E138" s="759"/>
      <c r="F138" s="759"/>
      <c r="G138" s="759"/>
      <c r="H138" s="759"/>
      <c r="I138" s="759"/>
      <c r="J138" s="759"/>
      <c r="K138" s="759"/>
      <c r="L138" s="759"/>
      <c r="M138" s="759"/>
      <c r="N138" s="759"/>
      <c r="O138" s="759"/>
      <c r="P138" s="759"/>
      <c r="Q138" s="759"/>
      <c r="R138" s="759"/>
      <c r="S138" s="760"/>
      <c r="T138" s="842"/>
      <c r="U138" s="2511"/>
      <c r="V138" s="2511"/>
      <c r="W138" s="1760"/>
      <c r="X138" s="1760"/>
      <c r="Y138" s="1760"/>
      <c r="Z138" s="1760"/>
      <c r="AA138" s="1760"/>
      <c r="AB138" s="1760"/>
      <c r="AC138" s="1161"/>
      <c r="AD138" s="1162"/>
      <c r="AE138" s="1760"/>
      <c r="AF138" s="1760"/>
      <c r="AG138" s="1760"/>
      <c r="AH138" s="1760"/>
      <c r="AI138" s="1760"/>
      <c r="AJ138" s="1760"/>
      <c r="AK138" s="1760"/>
      <c r="AL138" s="1760"/>
      <c r="AM138" s="1760"/>
      <c r="AN138" s="1760"/>
      <c r="AO138" s="1760"/>
      <c r="AP138" s="1760"/>
      <c r="AQ138" s="1760"/>
      <c r="AR138" s="1760"/>
      <c r="AS138" s="1760"/>
      <c r="AT138" s="1760"/>
      <c r="AU138" s="1760"/>
      <c r="AV138" s="1760"/>
      <c r="AW138" s="1760"/>
      <c r="AX138" s="1760"/>
      <c r="AY138" s="1760"/>
      <c r="AZ138" s="1760"/>
      <c r="BA138" s="1760"/>
      <c r="BB138" s="1760"/>
      <c r="BC138" s="1760"/>
      <c r="BD138" s="1760"/>
      <c r="BE138" s="1760"/>
      <c r="BF138" s="1760"/>
      <c r="BG138" s="1760"/>
      <c r="BH138" s="1760"/>
      <c r="BI138" s="1760"/>
      <c r="BJ138" s="1760"/>
      <c r="BK138" s="1760"/>
      <c r="BL138" s="1760"/>
      <c r="BM138" s="1760"/>
      <c r="BN138" s="1760"/>
      <c r="BO138" s="1760"/>
      <c r="BP138" s="1760"/>
      <c r="BQ138" s="1760"/>
      <c r="BR138" s="1760"/>
      <c r="BS138" s="1760"/>
      <c r="BT138" s="1760"/>
      <c r="BU138" s="1760"/>
      <c r="BV138" s="1760"/>
      <c r="BW138" s="1760"/>
      <c r="BX138" s="1760"/>
      <c r="BY138" s="1760"/>
      <c r="BZ138" s="1760"/>
      <c r="CA138" s="1760"/>
      <c r="CB138" s="1760"/>
      <c r="CC138" s="1760"/>
      <c r="CD138" s="1760"/>
      <c r="CE138" s="1760"/>
      <c r="CF138" s="7914"/>
    </row>
    <row customHeight="1" ht="5.25" hidden="1">
      <c r="A139" s="1916"/>
      <c r="B139" s="1760"/>
      <c r="C139" s="1760"/>
      <c r="D139" s="2717"/>
      <c r="E139" s="1167"/>
      <c r="F139" s="1168"/>
      <c r="G139" s="1168"/>
      <c r="H139" s="1169"/>
      <c r="I139" s="1169"/>
      <c r="J139" s="1169"/>
      <c r="K139" s="1169"/>
      <c r="L139" s="1169"/>
      <c r="M139" s="1169"/>
      <c r="N139" s="1169"/>
      <c r="O139" s="1169"/>
      <c r="P139" s="1169"/>
      <c r="Q139" s="1169"/>
      <c r="R139" s="1070"/>
      <c r="S139" s="1170"/>
      <c r="T139" s="842"/>
      <c r="U139" s="2511"/>
      <c r="V139" s="2511"/>
      <c r="W139" s="1760"/>
      <c r="X139" s="1760"/>
      <c r="Y139" s="1760"/>
      <c r="Z139" s="1760"/>
      <c r="AA139" s="1760"/>
      <c r="AB139" s="1760"/>
      <c r="AC139" s="1161"/>
      <c r="AD139" s="1162"/>
      <c r="AE139" s="1760"/>
      <c r="AF139" s="1760"/>
      <c r="AG139" s="1760"/>
      <c r="AH139" s="1760"/>
      <c r="AI139" s="1760"/>
      <c r="AJ139" s="1760"/>
      <c r="AK139" s="1760"/>
      <c r="AL139" s="1760"/>
      <c r="AM139" s="1760"/>
      <c r="AN139" s="1760"/>
      <c r="AO139" s="1760"/>
      <c r="AP139" s="1760"/>
      <c r="AQ139" s="1760"/>
      <c r="AR139" s="1760"/>
      <c r="AS139" s="1760"/>
      <c r="AT139" s="1760"/>
      <c r="AU139" s="1760"/>
      <c r="AV139" s="1760"/>
      <c r="AW139" s="1760"/>
      <c r="AX139" s="1760"/>
      <c r="AY139" s="1760"/>
      <c r="AZ139" s="1760"/>
      <c r="BA139" s="1760"/>
      <c r="BB139" s="1760"/>
      <c r="BC139" s="1760"/>
      <c r="BD139" s="1760"/>
      <c r="BE139" s="1760"/>
      <c r="BF139" s="1760"/>
      <c r="BG139" s="1760"/>
      <c r="BH139" s="1760"/>
      <c r="BI139" s="1760"/>
      <c r="BJ139" s="1760"/>
      <c r="BK139" s="1760"/>
      <c r="BL139" s="1760"/>
      <c r="BM139" s="1760"/>
      <c r="BN139" s="1760"/>
      <c r="BO139" s="1760"/>
      <c r="BP139" s="1760"/>
      <c r="BQ139" s="1760"/>
      <c r="BR139" s="1760"/>
      <c r="BS139" s="1760"/>
      <c r="BT139" s="1760"/>
      <c r="BU139" s="1760"/>
      <c r="BV139" s="1760"/>
      <c r="BW139" s="1760"/>
      <c r="BX139" s="1760"/>
      <c r="BY139" s="1760"/>
      <c r="BZ139" s="1760"/>
      <c r="CA139" s="1760"/>
      <c r="CB139" s="1760"/>
      <c r="CC139" s="1760"/>
      <c r="CD139" s="1760"/>
      <c r="CE139" s="1760"/>
      <c r="CF139" s="7914"/>
    </row>
    <row customHeight="1" ht="15" hidden="1">
      <c r="A140" s="747" t="s">
        <v>232</v>
      </c>
      <c r="B140" s="748"/>
      <c r="C140" s="748" t="s">
        <v>22</v>
      </c>
      <c r="D140" s="2715" t="s">
        <v>764</v>
      </c>
      <c r="E140" s="2514" t="s">
        <v>206</v>
      </c>
      <c r="F140" s="2515"/>
      <c r="G140" s="2516"/>
      <c r="H140" s="2520" t="str">
        <f>IF(A140="","",INDEX(DIFFERENTIATION_UNMERGE_VD,MATCH(A140,DIFFERENTIATION_ID_DIFF,0)))</f>
        <v>Производство тепловой энергии. Некомбинированная выработка</v>
      </c>
      <c r="I140" s="2520"/>
      <c r="J140" s="2520"/>
      <c r="K140" s="2520"/>
      <c r="L140" s="2520"/>
      <c r="M140" s="2520"/>
      <c r="N140" s="2520"/>
      <c r="O140" s="2520"/>
      <c r="P140" s="2520"/>
      <c r="Q140" s="2520"/>
      <c r="R140" s="2520"/>
      <c r="S140" s="843"/>
      <c r="T140" s="840"/>
      <c r="U140" s="749"/>
      <c r="V140" s="749"/>
      <c r="W140" s="750"/>
      <c r="X140" s="750"/>
      <c r="Y140" s="750"/>
      <c r="Z140" s="750"/>
      <c r="AA140" s="751"/>
      <c r="AB140" s="752"/>
      <c r="AC140" s="2512"/>
      <c r="AD140" s="753"/>
      <c r="AE140" s="754" t="s">
        <v>22</v>
      </c>
      <c r="AF140" s="754"/>
      <c r="AG140" s="755" t="s">
        <v>745</v>
      </c>
      <c r="AH140" s="756">
        <v>3</v>
      </c>
      <c r="AI140" s="749"/>
      <c r="AJ140" s="749"/>
      <c r="AK140" s="749"/>
      <c r="AL140" s="749"/>
      <c r="AM140" s="749"/>
      <c r="AN140" s="749"/>
      <c r="AO140" s="749"/>
      <c r="AP140" s="749"/>
      <c r="AQ140" s="749"/>
      <c r="AR140" s="749"/>
      <c r="AS140" s="749"/>
      <c r="AT140" s="749"/>
      <c r="AU140" s="749"/>
      <c r="AV140" s="749"/>
      <c r="AW140" s="749"/>
      <c r="AX140" s="749"/>
      <c r="AY140" s="749"/>
      <c r="AZ140" s="749"/>
      <c r="BA140" s="749"/>
      <c r="BB140" s="749"/>
      <c r="BC140" s="749"/>
      <c r="BD140" s="749"/>
      <c r="BE140" s="749"/>
      <c r="BF140" s="749"/>
      <c r="BG140" s="749"/>
      <c r="BH140" s="749"/>
      <c r="BI140" s="749"/>
      <c r="BJ140" s="749"/>
      <c r="BK140" s="749"/>
      <c r="BL140" s="749"/>
      <c r="BM140" s="749"/>
      <c r="BN140" s="749"/>
      <c r="BO140" s="749"/>
      <c r="BP140" s="749"/>
      <c r="BQ140" s="749"/>
      <c r="BR140" s="749"/>
      <c r="BS140" s="749"/>
      <c r="BT140" s="749"/>
      <c r="BU140" s="749"/>
      <c r="BV140" s="750"/>
      <c r="BW140" s="750"/>
      <c r="BX140" s="750"/>
      <c r="BY140" s="750"/>
      <c r="BZ140" s="750"/>
      <c r="CA140" s="750"/>
      <c r="CB140" s="750"/>
      <c r="CC140" s="750"/>
      <c r="CD140" s="750"/>
      <c r="CE140" s="750"/>
      <c r="CF140" s="7954"/>
    </row>
    <row customHeight="1" ht="15" hidden="1">
      <c r="A141" s="747"/>
      <c r="B141" s="748"/>
      <c r="C141" s="748"/>
      <c r="D141" s="2716"/>
      <c r="E141" s="2514" t="s">
        <v>676</v>
      </c>
      <c r="F141" s="2515"/>
      <c r="G141" s="2516"/>
      <c r="H141" s="2520" t="str">
        <f>IF(A140="","",INDEX(DIFFERENTIATION_UNMERGE_AREA,MATCH(A140,DIFFERENTIATION_ID_DIFF,0)))</f>
        <v>Территория 15</v>
      </c>
      <c r="I141" s="2520"/>
      <c r="J141" s="2520"/>
      <c r="K141" s="2520"/>
      <c r="L141" s="2520"/>
      <c r="M141" s="2520"/>
      <c r="N141" s="2520"/>
      <c r="O141" s="2520"/>
      <c r="P141" s="2520"/>
      <c r="Q141" s="2520"/>
      <c r="R141" s="2520"/>
      <c r="S141" s="843"/>
      <c r="T141" s="840"/>
      <c r="U141" s="749"/>
      <c r="V141" s="749"/>
      <c r="W141" s="750"/>
      <c r="X141" s="750"/>
      <c r="Y141" s="750"/>
      <c r="Z141" s="750"/>
      <c r="AA141" s="751"/>
      <c r="AB141" s="752"/>
      <c r="AC141" s="2512"/>
      <c r="AD141" s="753"/>
      <c r="AE141" s="754"/>
      <c r="AF141" s="754"/>
      <c r="AG141" s="755"/>
      <c r="AH141" s="756"/>
      <c r="AI141" s="749"/>
      <c r="AJ141" s="749"/>
      <c r="AK141" s="749"/>
      <c r="AL141" s="749"/>
      <c r="AM141" s="749"/>
      <c r="AN141" s="749"/>
      <c r="AO141" s="749"/>
      <c r="AP141" s="749"/>
      <c r="AQ141" s="749"/>
      <c r="AR141" s="749"/>
      <c r="AS141" s="749"/>
      <c r="AT141" s="749"/>
      <c r="AU141" s="749"/>
      <c r="AV141" s="749"/>
      <c r="AW141" s="749"/>
      <c r="AX141" s="749"/>
      <c r="AY141" s="749"/>
      <c r="AZ141" s="749"/>
      <c r="BA141" s="749"/>
      <c r="BB141" s="749"/>
      <c r="BC141" s="749"/>
      <c r="BD141" s="749"/>
      <c r="BE141" s="749"/>
      <c r="BF141" s="749"/>
      <c r="BG141" s="749"/>
      <c r="BH141" s="749"/>
      <c r="BI141" s="749"/>
      <c r="BJ141" s="749"/>
      <c r="BK141" s="749"/>
      <c r="BL141" s="749"/>
      <c r="BM141" s="749"/>
      <c r="BN141" s="749"/>
      <c r="BO141" s="749"/>
      <c r="BP141" s="749"/>
      <c r="BQ141" s="749"/>
      <c r="BR141" s="749"/>
      <c r="BS141" s="749"/>
      <c r="BT141" s="749"/>
      <c r="BU141" s="749"/>
      <c r="BV141" s="750"/>
      <c r="BW141" s="750"/>
      <c r="BX141" s="750"/>
      <c r="BY141" s="750"/>
      <c r="BZ141" s="750"/>
      <c r="CA141" s="750"/>
      <c r="CB141" s="750"/>
      <c r="CC141" s="750"/>
      <c r="CD141" s="750"/>
      <c r="CE141" s="750"/>
      <c r="CF141" s="7954"/>
    </row>
    <row customHeight="1" ht="15" hidden="1">
      <c r="A142" s="747"/>
      <c r="B142" s="748"/>
      <c r="C142" s="748"/>
      <c r="D142" s="2716"/>
      <c r="E142" s="2514" t="s">
        <v>677</v>
      </c>
      <c r="F142" s="2515"/>
      <c r="G142" s="2516"/>
      <c r="H142" s="2520" t="str">
        <f>IF(A140="","",INDEX(DIFFERENTIATION_UNMERGE_SYSTEM,MATCH(A140,DIFFERENTIATION_ID_DIFF,0)))</f>
        <v>без дифференциации</v>
      </c>
      <c r="I142" s="2520"/>
      <c r="J142" s="2520"/>
      <c r="K142" s="2520"/>
      <c r="L142" s="2520"/>
      <c r="M142" s="2520"/>
      <c r="N142" s="2520"/>
      <c r="O142" s="2520"/>
      <c r="P142" s="2520"/>
      <c r="Q142" s="2520"/>
      <c r="R142" s="2520"/>
      <c r="S142" s="843"/>
      <c r="T142" s="840"/>
      <c r="U142" s="749"/>
      <c r="V142" s="749"/>
      <c r="W142" s="750"/>
      <c r="X142" s="750"/>
      <c r="Y142" s="750"/>
      <c r="Z142" s="750"/>
      <c r="AA142" s="751"/>
      <c r="AB142" s="752"/>
      <c r="AC142" s="2512"/>
      <c r="AD142" s="753"/>
      <c r="AE142" s="754"/>
      <c r="AF142" s="754"/>
      <c r="AG142" s="755"/>
      <c r="AH142" s="756"/>
      <c r="AI142" s="749"/>
      <c r="AJ142" s="749"/>
      <c r="AK142" s="749"/>
      <c r="AL142" s="749"/>
      <c r="AM142" s="749"/>
      <c r="AN142" s="749"/>
      <c r="AO142" s="749"/>
      <c r="AP142" s="749"/>
      <c r="AQ142" s="749"/>
      <c r="AR142" s="749"/>
      <c r="AS142" s="749"/>
      <c r="AT142" s="749"/>
      <c r="AU142" s="749"/>
      <c r="AV142" s="749"/>
      <c r="AW142" s="749"/>
      <c r="AX142" s="749"/>
      <c r="AY142" s="749"/>
      <c r="AZ142" s="749"/>
      <c r="BA142" s="749"/>
      <c r="BB142" s="749"/>
      <c r="BC142" s="749"/>
      <c r="BD142" s="749"/>
      <c r="BE142" s="749"/>
      <c r="BF142" s="749"/>
      <c r="BG142" s="749"/>
      <c r="BH142" s="749"/>
      <c r="BI142" s="749"/>
      <c r="BJ142" s="749"/>
      <c r="BK142" s="749"/>
      <c r="BL142" s="749"/>
      <c r="BM142" s="749"/>
      <c r="BN142" s="749"/>
      <c r="BO142" s="749"/>
      <c r="BP142" s="749"/>
      <c r="BQ142" s="749"/>
      <c r="BR142" s="749"/>
      <c r="BS142" s="749"/>
      <c r="BT142" s="749"/>
      <c r="BU142" s="749"/>
      <c r="BV142" s="750"/>
      <c r="BW142" s="750"/>
      <c r="BX142" s="750"/>
      <c r="BY142" s="750"/>
      <c r="BZ142" s="750"/>
      <c r="CA142" s="750"/>
      <c r="CB142" s="750"/>
      <c r="CC142" s="750"/>
      <c r="CD142" s="750"/>
      <c r="CE142" s="750"/>
      <c r="CF142" s="7954"/>
    </row>
    <row customHeight="1" ht="24.75" hidden="1">
      <c r="A143" s="1929"/>
      <c r="B143" s="1284"/>
      <c r="C143" s="536"/>
      <c r="D143" s="2716"/>
      <c r="E143" s="2513" t="s">
        <v>746</v>
      </c>
      <c r="F143" s="2513"/>
      <c r="G143" s="2513"/>
      <c r="H143" s="2513"/>
      <c r="I143" s="2513"/>
      <c r="J143" s="2513"/>
      <c r="K143" s="2513"/>
      <c r="L143" s="2513"/>
      <c r="M143" s="2513"/>
      <c r="N143" s="2513"/>
      <c r="O143" s="2513"/>
      <c r="P143" s="2513"/>
      <c r="Q143" s="682">
        <f>SUMIF(T144:T145,"i",Q144:Q145)</f>
        <v>0</v>
      </c>
      <c r="R143" s="1141"/>
      <c r="S143" s="1921" t="s">
        <v>747</v>
      </c>
      <c r="T143" s="841" t="s">
        <v>748</v>
      </c>
      <c r="U143" s="2511">
        <v>1</v>
      </c>
      <c r="V143" s="2511" t="str">
        <f>INDEX(B_FHD_FLAG_INDEX_1,1,MATCH(A140,B_FHD_FLAG_DIFFERENTIATION,0))</f>
        <v>отсутствует</v>
      </c>
      <c r="W143" s="1284"/>
      <c r="X143" s="1284"/>
      <c r="Y143" s="1284"/>
      <c r="Z143" s="1284"/>
      <c r="AA143" s="1760"/>
      <c r="AB143" s="1284"/>
      <c r="AC143" s="2512"/>
      <c r="AD143" s="753"/>
      <c r="AE143" s="1284"/>
      <c r="AF143" s="1284"/>
      <c r="AG143" s="1760"/>
      <c r="AH143" s="1760"/>
      <c r="AI143" s="1760"/>
      <c r="AJ143" s="1760"/>
      <c r="AK143" s="1760"/>
      <c r="AL143" s="1760"/>
      <c r="AM143" s="1760"/>
      <c r="AN143" s="1760"/>
      <c r="AO143" s="1760"/>
      <c r="AP143" s="1760"/>
      <c r="AQ143" s="1760"/>
      <c r="AR143" s="1760"/>
      <c r="AS143" s="1760"/>
      <c r="AT143" s="1760"/>
      <c r="AU143" s="1760"/>
      <c r="AV143" s="1760"/>
      <c r="AW143" s="1760"/>
      <c r="AX143" s="1760"/>
      <c r="AY143" s="1760"/>
      <c r="AZ143" s="1760"/>
      <c r="BA143" s="1760"/>
      <c r="BB143" s="1760"/>
      <c r="BC143" s="1760"/>
      <c r="BD143" s="1760"/>
      <c r="BE143" s="1760"/>
      <c r="BF143" s="1760"/>
      <c r="BG143" s="1760"/>
      <c r="BH143" s="1760"/>
      <c r="BI143" s="1760"/>
      <c r="BJ143" s="1760"/>
      <c r="BK143" s="1760"/>
      <c r="BL143" s="1760"/>
      <c r="BM143" s="1760"/>
      <c r="BN143" s="1760"/>
      <c r="BO143" s="1760"/>
      <c r="BP143" s="1760"/>
      <c r="BQ143" s="1760"/>
      <c r="BR143" s="1760"/>
      <c r="BS143" s="1760"/>
      <c r="BT143" s="1760"/>
      <c r="BU143" s="1760"/>
      <c r="BV143" s="1284"/>
      <c r="BW143" s="1284"/>
      <c r="BX143" s="1284"/>
      <c r="BY143" s="1284"/>
      <c r="BZ143" s="1284"/>
      <c r="CA143" s="1284"/>
      <c r="CB143" s="1284"/>
      <c r="CC143" s="1284"/>
      <c r="CD143" s="1284"/>
      <c r="CE143" s="1284"/>
      <c r="CF143" s="7954"/>
    </row>
    <row customHeight="1" ht="11.25" hidden="1">
      <c r="A144" s="1916"/>
      <c r="B144" s="1760"/>
      <c r="C144" s="1760"/>
      <c r="D144" s="2716"/>
      <c r="E144" s="759"/>
      <c r="F144" s="759">
        <v>0</v>
      </c>
      <c r="G144" s="759"/>
      <c r="H144" s="759"/>
      <c r="I144" s="759"/>
      <c r="J144" s="759"/>
      <c r="K144" s="759"/>
      <c r="L144" s="759"/>
      <c r="M144" s="759"/>
      <c r="N144" s="759"/>
      <c r="O144" s="759"/>
      <c r="P144" s="759"/>
      <c r="Q144" s="759"/>
      <c r="R144" s="759"/>
      <c r="S144" s="760"/>
      <c r="T144" s="842"/>
      <c r="U144" s="2511"/>
      <c r="V144" s="2511"/>
      <c r="W144" s="1760"/>
      <c r="X144" s="1760"/>
      <c r="Y144" s="1760"/>
      <c r="Z144" s="1760"/>
      <c r="AA144" s="1760"/>
      <c r="AB144" s="1284"/>
      <c r="AC144" s="2512"/>
      <c r="AD144" s="753"/>
      <c r="AE144" s="1284"/>
      <c r="AF144" s="1284"/>
      <c r="AG144" s="1760"/>
      <c r="AH144" s="1760"/>
      <c r="AI144" s="1760"/>
      <c r="AJ144" s="1760"/>
      <c r="AK144" s="1760"/>
      <c r="AL144" s="1760"/>
      <c r="AM144" s="1760"/>
      <c r="AN144" s="1760"/>
      <c r="AO144" s="1760"/>
      <c r="AP144" s="1760"/>
      <c r="AQ144" s="1760"/>
      <c r="AR144" s="1760"/>
      <c r="AS144" s="1760"/>
      <c r="AT144" s="1760"/>
      <c r="AU144" s="1760"/>
      <c r="AV144" s="1760"/>
      <c r="AW144" s="1760"/>
      <c r="AX144" s="1760"/>
      <c r="AY144" s="1760"/>
      <c r="AZ144" s="1760"/>
      <c r="BA144" s="1760"/>
      <c r="BB144" s="1760"/>
      <c r="BC144" s="1760"/>
      <c r="BD144" s="1760"/>
      <c r="BE144" s="1760"/>
      <c r="BF144" s="1760"/>
      <c r="BG144" s="1760"/>
      <c r="BH144" s="1760"/>
      <c r="BI144" s="1760"/>
      <c r="BJ144" s="1760"/>
      <c r="BK144" s="1760"/>
      <c r="BL144" s="1760"/>
      <c r="BM144" s="1760"/>
      <c r="BN144" s="1760"/>
      <c r="BO144" s="1760"/>
      <c r="BP144" s="1760"/>
      <c r="BQ144" s="1760"/>
      <c r="BR144" s="1760"/>
      <c r="BS144" s="1760"/>
      <c r="BT144" s="1760"/>
      <c r="BU144" s="1760"/>
      <c r="BV144" s="1760"/>
      <c r="BW144" s="1760"/>
      <c r="BX144" s="1760"/>
      <c r="BY144" s="1760"/>
      <c r="BZ144" s="1760"/>
      <c r="CA144" s="1760"/>
      <c r="CB144" s="1760"/>
      <c r="CC144" s="1760"/>
      <c r="CD144" s="1760"/>
      <c r="CE144" s="1760"/>
      <c r="CF144" s="7954"/>
    </row>
    <row customHeight="1" ht="11.25" hidden="1">
      <c r="A145" s="1929"/>
      <c r="B145" s="1284"/>
      <c r="C145" s="536"/>
      <c r="D145" s="2716"/>
      <c r="E145" s="773" t="s">
        <v>22</v>
      </c>
      <c r="F145" s="1292" t="s">
        <v>22</v>
      </c>
      <c r="G145" s="1292" t="s">
        <v>751</v>
      </c>
      <c r="H145" s="775" t="s">
        <v>22</v>
      </c>
      <c r="I145" s="775"/>
      <c r="J145" s="775"/>
      <c r="K145" s="775"/>
      <c r="L145" s="775"/>
      <c r="M145" s="775"/>
      <c r="N145" s="775"/>
      <c r="O145" s="775"/>
      <c r="P145" s="775"/>
      <c r="Q145" s="775"/>
      <c r="R145" s="776"/>
      <c r="S145" s="777"/>
      <c r="T145" s="842"/>
      <c r="U145" s="2511"/>
      <c r="V145" s="2511"/>
      <c r="W145" s="1284"/>
      <c r="X145" s="1284"/>
      <c r="Y145" s="1284"/>
      <c r="Z145" s="1284"/>
      <c r="AA145" s="1760"/>
      <c r="AB145" s="1284"/>
      <c r="AC145" s="2512"/>
      <c r="AD145" s="753"/>
      <c r="AE145" s="1284"/>
      <c r="AF145" s="1284"/>
      <c r="AG145" s="1760"/>
      <c r="AH145" s="1760"/>
      <c r="AI145" s="1760"/>
      <c r="AJ145" s="1760"/>
      <c r="AK145" s="1760"/>
      <c r="AL145" s="1760"/>
      <c r="AM145" s="1760"/>
      <c r="AN145" s="1760"/>
      <c r="AO145" s="1760"/>
      <c r="AP145" s="1760"/>
      <c r="AQ145" s="1760"/>
      <c r="AR145" s="1760"/>
      <c r="AS145" s="1760"/>
      <c r="AT145" s="1760"/>
      <c r="AU145" s="1760"/>
      <c r="AV145" s="1760"/>
      <c r="AW145" s="1760"/>
      <c r="AX145" s="1760"/>
      <c r="AY145" s="1760"/>
      <c r="AZ145" s="1760"/>
      <c r="BA145" s="1760"/>
      <c r="BB145" s="1760"/>
      <c r="BC145" s="1760"/>
      <c r="BD145" s="1760"/>
      <c r="BE145" s="1760"/>
      <c r="BF145" s="1760"/>
      <c r="BG145" s="1760"/>
      <c r="BH145" s="1760"/>
      <c r="BI145" s="1760"/>
      <c r="BJ145" s="1760"/>
      <c r="BK145" s="1760"/>
      <c r="BL145" s="1760"/>
      <c r="BM145" s="1760"/>
      <c r="BN145" s="1760"/>
      <c r="BO145" s="1760"/>
      <c r="BP145" s="1760"/>
      <c r="BQ145" s="1760"/>
      <c r="BR145" s="1760"/>
      <c r="BS145" s="1760"/>
      <c r="BT145" s="1760"/>
      <c r="BU145" s="1760"/>
      <c r="BV145" s="1284"/>
      <c r="BW145" s="1284"/>
      <c r="BX145" s="1284"/>
      <c r="BY145" s="1284"/>
      <c r="BZ145" s="1284"/>
      <c r="CA145" s="1284"/>
      <c r="CB145" s="1284"/>
      <c r="CC145" s="1284"/>
      <c r="CD145" s="1284"/>
      <c r="CE145" s="1284"/>
      <c r="CF145" s="7954"/>
    </row>
    <row customHeight="1" ht="5.25" hidden="1">
      <c r="A146" s="1916"/>
      <c r="B146" s="1760"/>
      <c r="C146" s="1760"/>
      <c r="D146" s="2716"/>
      <c r="E146" s="1163"/>
      <c r="F146" s="1163"/>
      <c r="G146" s="1163"/>
      <c r="H146" s="1163"/>
      <c r="I146" s="1163"/>
      <c r="J146" s="1163"/>
      <c r="K146" s="1163"/>
      <c r="L146" s="1163"/>
      <c r="M146" s="1163"/>
      <c r="N146" s="1163"/>
      <c r="O146" s="1163"/>
      <c r="P146" s="1163"/>
      <c r="Q146" s="1164"/>
      <c r="R146" s="1165"/>
      <c r="S146" s="1166"/>
      <c r="T146" s="841" t="s">
        <v>748</v>
      </c>
      <c r="U146" s="2511">
        <v>1</v>
      </c>
      <c r="V146" s="2511" t="s">
        <v>693</v>
      </c>
      <c r="W146" s="1760"/>
      <c r="X146" s="1760"/>
      <c r="Y146" s="1760"/>
      <c r="Z146" s="1760"/>
      <c r="AA146" s="1760"/>
      <c r="AB146" s="1760"/>
      <c r="AC146" s="1161"/>
      <c r="AD146" s="1162"/>
      <c r="AE146" s="1760"/>
      <c r="AF146" s="1760"/>
      <c r="AG146" s="1760"/>
      <c r="AH146" s="1760"/>
      <c r="AI146" s="1760"/>
      <c r="AJ146" s="1760"/>
      <c r="AK146" s="1760"/>
      <c r="AL146" s="1760"/>
      <c r="AM146" s="1760"/>
      <c r="AN146" s="1760"/>
      <c r="AO146" s="1760"/>
      <c r="AP146" s="1760"/>
      <c r="AQ146" s="1760"/>
      <c r="AR146" s="1760"/>
      <c r="AS146" s="1760"/>
      <c r="AT146" s="1760"/>
      <c r="AU146" s="1760"/>
      <c r="AV146" s="1760"/>
      <c r="AW146" s="1760"/>
      <c r="AX146" s="1760"/>
      <c r="AY146" s="1760"/>
      <c r="AZ146" s="1760"/>
      <c r="BA146" s="1760"/>
      <c r="BB146" s="1760"/>
      <c r="BC146" s="1760"/>
      <c r="BD146" s="1760"/>
      <c r="BE146" s="1760"/>
      <c r="BF146" s="1760"/>
      <c r="BG146" s="1760"/>
      <c r="BH146" s="1760"/>
      <c r="BI146" s="1760"/>
      <c r="BJ146" s="1760"/>
      <c r="BK146" s="1760"/>
      <c r="BL146" s="1760"/>
      <c r="BM146" s="1760"/>
      <c r="BN146" s="1760"/>
      <c r="BO146" s="1760"/>
      <c r="BP146" s="1760"/>
      <c r="BQ146" s="1760"/>
      <c r="BR146" s="1760"/>
      <c r="BS146" s="1760"/>
      <c r="BT146" s="1760"/>
      <c r="BU146" s="1760"/>
      <c r="BV146" s="1760"/>
      <c r="BW146" s="1760"/>
      <c r="BX146" s="1760"/>
      <c r="BY146" s="1760"/>
      <c r="BZ146" s="1760"/>
      <c r="CA146" s="1760"/>
      <c r="CB146" s="1760"/>
      <c r="CC146" s="1760"/>
      <c r="CD146" s="1760"/>
      <c r="CE146" s="1760"/>
      <c r="CF146" s="7914"/>
    </row>
    <row customHeight="1" ht="5.25" hidden="1">
      <c r="A147" s="1916"/>
      <c r="B147" s="1760"/>
      <c r="C147" s="1760"/>
      <c r="D147" s="2716"/>
      <c r="E147" s="759"/>
      <c r="F147" s="759"/>
      <c r="G147" s="759"/>
      <c r="H147" s="759"/>
      <c r="I147" s="759"/>
      <c r="J147" s="759"/>
      <c r="K147" s="759"/>
      <c r="L147" s="759"/>
      <c r="M147" s="759"/>
      <c r="N147" s="759"/>
      <c r="O147" s="759"/>
      <c r="P147" s="759"/>
      <c r="Q147" s="759"/>
      <c r="R147" s="759"/>
      <c r="S147" s="760"/>
      <c r="T147" s="842"/>
      <c r="U147" s="2511"/>
      <c r="V147" s="2511"/>
      <c r="W147" s="1760"/>
      <c r="X147" s="1760"/>
      <c r="Y147" s="1760"/>
      <c r="Z147" s="1760"/>
      <c r="AA147" s="1760"/>
      <c r="AB147" s="1760"/>
      <c r="AC147" s="1161"/>
      <c r="AD147" s="1162"/>
      <c r="AE147" s="1760"/>
      <c r="AF147" s="1760"/>
      <c r="AG147" s="1760"/>
      <c r="AH147" s="1760"/>
      <c r="AI147" s="1760"/>
      <c r="AJ147" s="1760"/>
      <c r="AK147" s="1760"/>
      <c r="AL147" s="1760"/>
      <c r="AM147" s="1760"/>
      <c r="AN147" s="1760"/>
      <c r="AO147" s="1760"/>
      <c r="AP147" s="1760"/>
      <c r="AQ147" s="1760"/>
      <c r="AR147" s="1760"/>
      <c r="AS147" s="1760"/>
      <c r="AT147" s="1760"/>
      <c r="AU147" s="1760"/>
      <c r="AV147" s="1760"/>
      <c r="AW147" s="1760"/>
      <c r="AX147" s="1760"/>
      <c r="AY147" s="1760"/>
      <c r="AZ147" s="1760"/>
      <c r="BA147" s="1760"/>
      <c r="BB147" s="1760"/>
      <c r="BC147" s="1760"/>
      <c r="BD147" s="1760"/>
      <c r="BE147" s="1760"/>
      <c r="BF147" s="1760"/>
      <c r="BG147" s="1760"/>
      <c r="BH147" s="1760"/>
      <c r="BI147" s="1760"/>
      <c r="BJ147" s="1760"/>
      <c r="BK147" s="1760"/>
      <c r="BL147" s="1760"/>
      <c r="BM147" s="1760"/>
      <c r="BN147" s="1760"/>
      <c r="BO147" s="1760"/>
      <c r="BP147" s="1760"/>
      <c r="BQ147" s="1760"/>
      <c r="BR147" s="1760"/>
      <c r="BS147" s="1760"/>
      <c r="BT147" s="1760"/>
      <c r="BU147" s="1760"/>
      <c r="BV147" s="1760"/>
      <c r="BW147" s="1760"/>
      <c r="BX147" s="1760"/>
      <c r="BY147" s="1760"/>
      <c r="BZ147" s="1760"/>
      <c r="CA147" s="1760"/>
      <c r="CB147" s="1760"/>
      <c r="CC147" s="1760"/>
      <c r="CD147" s="1760"/>
      <c r="CE147" s="1760"/>
      <c r="CF147" s="7914"/>
    </row>
    <row customHeight="1" ht="5.25" hidden="1">
      <c r="A148" s="1916"/>
      <c r="B148" s="1760"/>
      <c r="C148" s="1760"/>
      <c r="D148" s="2717"/>
      <c r="E148" s="1167"/>
      <c r="F148" s="1168"/>
      <c r="G148" s="1168"/>
      <c r="H148" s="1169"/>
      <c r="I148" s="1169"/>
      <c r="J148" s="1169"/>
      <c r="K148" s="1169"/>
      <c r="L148" s="1169"/>
      <c r="M148" s="1169"/>
      <c r="N148" s="1169"/>
      <c r="O148" s="1169"/>
      <c r="P148" s="1169"/>
      <c r="Q148" s="1169"/>
      <c r="R148" s="1070"/>
      <c r="S148" s="1170"/>
      <c r="T148" s="842"/>
      <c r="U148" s="2511"/>
      <c r="V148" s="2511"/>
      <c r="W148" s="1760"/>
      <c r="X148" s="1760"/>
      <c r="Y148" s="1760"/>
      <c r="Z148" s="1760"/>
      <c r="AA148" s="1760"/>
      <c r="AB148" s="1760"/>
      <c r="AC148" s="1161"/>
      <c r="AD148" s="1162"/>
      <c r="AE148" s="1760"/>
      <c r="AF148" s="1760"/>
      <c r="AG148" s="1760"/>
      <c r="AH148" s="1760"/>
      <c r="AI148" s="1760"/>
      <c r="AJ148" s="1760"/>
      <c r="AK148" s="1760"/>
      <c r="AL148" s="1760"/>
      <c r="AM148" s="1760"/>
      <c r="AN148" s="1760"/>
      <c r="AO148" s="1760"/>
      <c r="AP148" s="1760"/>
      <c r="AQ148" s="1760"/>
      <c r="AR148" s="1760"/>
      <c r="AS148" s="1760"/>
      <c r="AT148" s="1760"/>
      <c r="AU148" s="1760"/>
      <c r="AV148" s="1760"/>
      <c r="AW148" s="1760"/>
      <c r="AX148" s="1760"/>
      <c r="AY148" s="1760"/>
      <c r="AZ148" s="1760"/>
      <c r="BA148" s="1760"/>
      <c r="BB148" s="1760"/>
      <c r="BC148" s="1760"/>
      <c r="BD148" s="1760"/>
      <c r="BE148" s="1760"/>
      <c r="BF148" s="1760"/>
      <c r="BG148" s="1760"/>
      <c r="BH148" s="1760"/>
      <c r="BI148" s="1760"/>
      <c r="BJ148" s="1760"/>
      <c r="BK148" s="1760"/>
      <c r="BL148" s="1760"/>
      <c r="BM148" s="1760"/>
      <c r="BN148" s="1760"/>
      <c r="BO148" s="1760"/>
      <c r="BP148" s="1760"/>
      <c r="BQ148" s="1760"/>
      <c r="BR148" s="1760"/>
      <c r="BS148" s="1760"/>
      <c r="BT148" s="1760"/>
      <c r="BU148" s="1760"/>
      <c r="BV148" s="1760"/>
      <c r="BW148" s="1760"/>
      <c r="BX148" s="1760"/>
      <c r="BY148" s="1760"/>
      <c r="BZ148" s="1760"/>
      <c r="CA148" s="1760"/>
      <c r="CB148" s="1760"/>
      <c r="CC148" s="1760"/>
      <c r="CD148" s="1760"/>
      <c r="CE148" s="1760"/>
      <c r="CF148" s="7914"/>
    </row>
    <row customHeight="1" ht="15" hidden="1">
      <c r="A149" s="747" t="s">
        <v>233</v>
      </c>
      <c r="B149" s="748"/>
      <c r="C149" s="748" t="s">
        <v>22</v>
      </c>
      <c r="D149" s="2715" t="s">
        <v>765</v>
      </c>
      <c r="E149" s="2514" t="s">
        <v>206</v>
      </c>
      <c r="F149" s="2515"/>
      <c r="G149" s="2516"/>
      <c r="H149" s="2520" t="str">
        <f>IF(A149="","",INDEX(DIFFERENTIATION_UNMERGE_VD,MATCH(A149,DIFFERENTIATION_ID_DIFF,0)))</f>
        <v>Производство тепловой энергии. Некомбинированная выработка</v>
      </c>
      <c r="I149" s="2520"/>
      <c r="J149" s="2520"/>
      <c r="K149" s="2520"/>
      <c r="L149" s="2520"/>
      <c r="M149" s="2520"/>
      <c r="N149" s="2520"/>
      <c r="O149" s="2520"/>
      <c r="P149" s="2520"/>
      <c r="Q149" s="2520"/>
      <c r="R149" s="2520"/>
      <c r="S149" s="843"/>
      <c r="T149" s="840"/>
      <c r="U149" s="749"/>
      <c r="V149" s="749"/>
      <c r="W149" s="750"/>
      <c r="X149" s="750"/>
      <c r="Y149" s="750"/>
      <c r="Z149" s="750"/>
      <c r="AA149" s="751"/>
      <c r="AB149" s="752"/>
      <c r="AC149" s="2512"/>
      <c r="AD149" s="753"/>
      <c r="AE149" s="754" t="s">
        <v>22</v>
      </c>
      <c r="AF149" s="754"/>
      <c r="AG149" s="755" t="s">
        <v>745</v>
      </c>
      <c r="AH149" s="756">
        <v>3</v>
      </c>
      <c r="AI149" s="749"/>
      <c r="AJ149" s="749"/>
      <c r="AK149" s="749"/>
      <c r="AL149" s="749"/>
      <c r="AM149" s="749"/>
      <c r="AN149" s="749"/>
      <c r="AO149" s="749"/>
      <c r="AP149" s="749"/>
      <c r="AQ149" s="749"/>
      <c r="AR149" s="749"/>
      <c r="AS149" s="749"/>
      <c r="AT149" s="749"/>
      <c r="AU149" s="749"/>
      <c r="AV149" s="749"/>
      <c r="AW149" s="749"/>
      <c r="AX149" s="749"/>
      <c r="AY149" s="749"/>
      <c r="AZ149" s="749"/>
      <c r="BA149" s="749"/>
      <c r="BB149" s="749"/>
      <c r="BC149" s="749"/>
      <c r="BD149" s="749"/>
      <c r="BE149" s="749"/>
      <c r="BF149" s="749"/>
      <c r="BG149" s="749"/>
      <c r="BH149" s="749"/>
      <c r="BI149" s="749"/>
      <c r="BJ149" s="749"/>
      <c r="BK149" s="749"/>
      <c r="BL149" s="749"/>
      <c r="BM149" s="749"/>
      <c r="BN149" s="749"/>
      <c r="BO149" s="749"/>
      <c r="BP149" s="749"/>
      <c r="BQ149" s="749"/>
      <c r="BR149" s="749"/>
      <c r="BS149" s="749"/>
      <c r="BT149" s="749"/>
      <c r="BU149" s="749"/>
      <c r="BV149" s="750"/>
      <c r="BW149" s="750"/>
      <c r="BX149" s="750"/>
      <c r="BY149" s="750"/>
      <c r="BZ149" s="750"/>
      <c r="CA149" s="750"/>
      <c r="CB149" s="750"/>
      <c r="CC149" s="750"/>
      <c r="CD149" s="750"/>
      <c r="CE149" s="750"/>
      <c r="CF149" s="7954"/>
    </row>
    <row customHeight="1" ht="15" hidden="1">
      <c r="A150" s="747"/>
      <c r="B150" s="748"/>
      <c r="C150" s="748"/>
      <c r="D150" s="2716"/>
      <c r="E150" s="2514" t="s">
        <v>676</v>
      </c>
      <c r="F150" s="2515"/>
      <c r="G150" s="2516"/>
      <c r="H150" s="2520" t="str">
        <f>IF(A149="","",INDEX(DIFFERENTIATION_UNMERGE_AREA,MATCH(A149,DIFFERENTIATION_ID_DIFF,0)))</f>
        <v>Территория 16</v>
      </c>
      <c r="I150" s="2520"/>
      <c r="J150" s="2520"/>
      <c r="K150" s="2520"/>
      <c r="L150" s="2520"/>
      <c r="M150" s="2520"/>
      <c r="N150" s="2520"/>
      <c r="O150" s="2520"/>
      <c r="P150" s="2520"/>
      <c r="Q150" s="2520"/>
      <c r="R150" s="2520"/>
      <c r="S150" s="843"/>
      <c r="T150" s="840"/>
      <c r="U150" s="749"/>
      <c r="V150" s="749"/>
      <c r="W150" s="750"/>
      <c r="X150" s="750"/>
      <c r="Y150" s="750"/>
      <c r="Z150" s="750"/>
      <c r="AA150" s="751"/>
      <c r="AB150" s="752"/>
      <c r="AC150" s="2512"/>
      <c r="AD150" s="753"/>
      <c r="AE150" s="754"/>
      <c r="AF150" s="754"/>
      <c r="AG150" s="755"/>
      <c r="AH150" s="756"/>
      <c r="AI150" s="749"/>
      <c r="AJ150" s="749"/>
      <c r="AK150" s="749"/>
      <c r="AL150" s="749"/>
      <c r="AM150" s="749"/>
      <c r="AN150" s="749"/>
      <c r="AO150" s="749"/>
      <c r="AP150" s="749"/>
      <c r="AQ150" s="749"/>
      <c r="AR150" s="749"/>
      <c r="AS150" s="749"/>
      <c r="AT150" s="749"/>
      <c r="AU150" s="749"/>
      <c r="AV150" s="749"/>
      <c r="AW150" s="749"/>
      <c r="AX150" s="749"/>
      <c r="AY150" s="749"/>
      <c r="AZ150" s="749"/>
      <c r="BA150" s="749"/>
      <c r="BB150" s="749"/>
      <c r="BC150" s="749"/>
      <c r="BD150" s="749"/>
      <c r="BE150" s="749"/>
      <c r="BF150" s="749"/>
      <c r="BG150" s="749"/>
      <c r="BH150" s="749"/>
      <c r="BI150" s="749"/>
      <c r="BJ150" s="749"/>
      <c r="BK150" s="749"/>
      <c r="BL150" s="749"/>
      <c r="BM150" s="749"/>
      <c r="BN150" s="749"/>
      <c r="BO150" s="749"/>
      <c r="BP150" s="749"/>
      <c r="BQ150" s="749"/>
      <c r="BR150" s="749"/>
      <c r="BS150" s="749"/>
      <c r="BT150" s="749"/>
      <c r="BU150" s="749"/>
      <c r="BV150" s="750"/>
      <c r="BW150" s="750"/>
      <c r="BX150" s="750"/>
      <c r="BY150" s="750"/>
      <c r="BZ150" s="750"/>
      <c r="CA150" s="750"/>
      <c r="CB150" s="750"/>
      <c r="CC150" s="750"/>
      <c r="CD150" s="750"/>
      <c r="CE150" s="750"/>
      <c r="CF150" s="7954"/>
    </row>
    <row customHeight="1" ht="15" hidden="1">
      <c r="A151" s="747"/>
      <c r="B151" s="748"/>
      <c r="C151" s="748"/>
      <c r="D151" s="2716"/>
      <c r="E151" s="2514" t="s">
        <v>677</v>
      </c>
      <c r="F151" s="2515"/>
      <c r="G151" s="2516"/>
      <c r="H151" s="2520" t="str">
        <f>IF(A149="","",INDEX(DIFFERENTIATION_UNMERGE_SYSTEM,MATCH(A149,DIFFERENTIATION_ID_DIFF,0)))</f>
        <v>без дифференциации</v>
      </c>
      <c r="I151" s="2520"/>
      <c r="J151" s="2520"/>
      <c r="K151" s="2520"/>
      <c r="L151" s="2520"/>
      <c r="M151" s="2520"/>
      <c r="N151" s="2520"/>
      <c r="O151" s="2520"/>
      <c r="P151" s="2520"/>
      <c r="Q151" s="2520"/>
      <c r="R151" s="2520"/>
      <c r="S151" s="843"/>
      <c r="T151" s="840"/>
      <c r="U151" s="749"/>
      <c r="V151" s="749"/>
      <c r="W151" s="750"/>
      <c r="X151" s="750"/>
      <c r="Y151" s="750"/>
      <c r="Z151" s="750"/>
      <c r="AA151" s="751"/>
      <c r="AB151" s="752"/>
      <c r="AC151" s="2512"/>
      <c r="AD151" s="753"/>
      <c r="AE151" s="754"/>
      <c r="AF151" s="754"/>
      <c r="AG151" s="755"/>
      <c r="AH151" s="756"/>
      <c r="AI151" s="749"/>
      <c r="AJ151" s="749"/>
      <c r="AK151" s="749"/>
      <c r="AL151" s="749"/>
      <c r="AM151" s="749"/>
      <c r="AN151" s="749"/>
      <c r="AO151" s="749"/>
      <c r="AP151" s="749"/>
      <c r="AQ151" s="749"/>
      <c r="AR151" s="749"/>
      <c r="AS151" s="749"/>
      <c r="AT151" s="749"/>
      <c r="AU151" s="749"/>
      <c r="AV151" s="749"/>
      <c r="AW151" s="749"/>
      <c r="AX151" s="749"/>
      <c r="AY151" s="749"/>
      <c r="AZ151" s="749"/>
      <c r="BA151" s="749"/>
      <c r="BB151" s="749"/>
      <c r="BC151" s="749"/>
      <c r="BD151" s="749"/>
      <c r="BE151" s="749"/>
      <c r="BF151" s="749"/>
      <c r="BG151" s="749"/>
      <c r="BH151" s="749"/>
      <c r="BI151" s="749"/>
      <c r="BJ151" s="749"/>
      <c r="BK151" s="749"/>
      <c r="BL151" s="749"/>
      <c r="BM151" s="749"/>
      <c r="BN151" s="749"/>
      <c r="BO151" s="749"/>
      <c r="BP151" s="749"/>
      <c r="BQ151" s="749"/>
      <c r="BR151" s="749"/>
      <c r="BS151" s="749"/>
      <c r="BT151" s="749"/>
      <c r="BU151" s="749"/>
      <c r="BV151" s="750"/>
      <c r="BW151" s="750"/>
      <c r="BX151" s="750"/>
      <c r="BY151" s="750"/>
      <c r="BZ151" s="750"/>
      <c r="CA151" s="750"/>
      <c r="CB151" s="750"/>
      <c r="CC151" s="750"/>
      <c r="CD151" s="750"/>
      <c r="CE151" s="750"/>
      <c r="CF151" s="7954"/>
    </row>
    <row customHeight="1" ht="24.75" hidden="1">
      <c r="A152" s="1929"/>
      <c r="B152" s="1284"/>
      <c r="C152" s="536"/>
      <c r="D152" s="2716"/>
      <c r="E152" s="2513" t="s">
        <v>746</v>
      </c>
      <c r="F152" s="2513"/>
      <c r="G152" s="2513"/>
      <c r="H152" s="2513"/>
      <c r="I152" s="2513"/>
      <c r="J152" s="2513"/>
      <c r="K152" s="2513"/>
      <c r="L152" s="2513"/>
      <c r="M152" s="2513"/>
      <c r="N152" s="2513"/>
      <c r="O152" s="2513"/>
      <c r="P152" s="2513"/>
      <c r="Q152" s="682">
        <f>SUMIF(T153:T154,"i",Q153:Q154)</f>
        <v>0</v>
      </c>
      <c r="R152" s="1141"/>
      <c r="S152" s="1921" t="s">
        <v>747</v>
      </c>
      <c r="T152" s="841" t="s">
        <v>748</v>
      </c>
      <c r="U152" s="2511">
        <v>1</v>
      </c>
      <c r="V152" s="2511" t="str">
        <f>INDEX(B_FHD_FLAG_INDEX_1,1,MATCH(A149,B_FHD_FLAG_DIFFERENTIATION,0))</f>
        <v>отсутствует</v>
      </c>
      <c r="W152" s="1284"/>
      <c r="X152" s="1284"/>
      <c r="Y152" s="1284"/>
      <c r="Z152" s="1284"/>
      <c r="AA152" s="1760"/>
      <c r="AB152" s="1284"/>
      <c r="AC152" s="2512"/>
      <c r="AD152" s="753"/>
      <c r="AE152" s="1284"/>
      <c r="AF152" s="1284"/>
      <c r="AG152" s="1760"/>
      <c r="AH152" s="1760"/>
      <c r="AI152" s="1760"/>
      <c r="AJ152" s="1760"/>
      <c r="AK152" s="1760"/>
      <c r="AL152" s="1760"/>
      <c r="AM152" s="1760"/>
      <c r="AN152" s="1760"/>
      <c r="AO152" s="1760"/>
      <c r="AP152" s="1760"/>
      <c r="AQ152" s="1760"/>
      <c r="AR152" s="1760"/>
      <c r="AS152" s="1760"/>
      <c r="AT152" s="1760"/>
      <c r="AU152" s="1760"/>
      <c r="AV152" s="1760"/>
      <c r="AW152" s="1760"/>
      <c r="AX152" s="1760"/>
      <c r="AY152" s="1760"/>
      <c r="AZ152" s="1760"/>
      <c r="BA152" s="1760"/>
      <c r="BB152" s="1760"/>
      <c r="BC152" s="1760"/>
      <c r="BD152" s="1760"/>
      <c r="BE152" s="1760"/>
      <c r="BF152" s="1760"/>
      <c r="BG152" s="1760"/>
      <c r="BH152" s="1760"/>
      <c r="BI152" s="1760"/>
      <c r="BJ152" s="1760"/>
      <c r="BK152" s="1760"/>
      <c r="BL152" s="1760"/>
      <c r="BM152" s="1760"/>
      <c r="BN152" s="1760"/>
      <c r="BO152" s="1760"/>
      <c r="BP152" s="1760"/>
      <c r="BQ152" s="1760"/>
      <c r="BR152" s="1760"/>
      <c r="BS152" s="1760"/>
      <c r="BT152" s="1760"/>
      <c r="BU152" s="1760"/>
      <c r="BV152" s="1284"/>
      <c r="BW152" s="1284"/>
      <c r="BX152" s="1284"/>
      <c r="BY152" s="1284"/>
      <c r="BZ152" s="1284"/>
      <c r="CA152" s="1284"/>
      <c r="CB152" s="1284"/>
      <c r="CC152" s="1284"/>
      <c r="CD152" s="1284"/>
      <c r="CE152" s="1284"/>
      <c r="CF152" s="7954"/>
    </row>
    <row customHeight="1" ht="11.25" hidden="1">
      <c r="A153" s="1916"/>
      <c r="B153" s="1760"/>
      <c r="C153" s="1760"/>
      <c r="D153" s="2716"/>
      <c r="E153" s="759"/>
      <c r="F153" s="759">
        <v>0</v>
      </c>
      <c r="G153" s="759"/>
      <c r="H153" s="759"/>
      <c r="I153" s="759"/>
      <c r="J153" s="759"/>
      <c r="K153" s="759"/>
      <c r="L153" s="759"/>
      <c r="M153" s="759"/>
      <c r="N153" s="759"/>
      <c r="O153" s="759"/>
      <c r="P153" s="759"/>
      <c r="Q153" s="759"/>
      <c r="R153" s="759"/>
      <c r="S153" s="760"/>
      <c r="T153" s="842"/>
      <c r="U153" s="2511"/>
      <c r="V153" s="2511"/>
      <c r="W153" s="1760"/>
      <c r="X153" s="1760"/>
      <c r="Y153" s="1760"/>
      <c r="Z153" s="1760"/>
      <c r="AA153" s="1760"/>
      <c r="AB153" s="1284"/>
      <c r="AC153" s="2512"/>
      <c r="AD153" s="753"/>
      <c r="AE153" s="1284"/>
      <c r="AF153" s="1284"/>
      <c r="AG153" s="1760"/>
      <c r="AH153" s="1760"/>
      <c r="AI153" s="1760"/>
      <c r="AJ153" s="1760"/>
      <c r="AK153" s="1760"/>
      <c r="AL153" s="1760"/>
      <c r="AM153" s="1760"/>
      <c r="AN153" s="1760"/>
      <c r="AO153" s="1760"/>
      <c r="AP153" s="1760"/>
      <c r="AQ153" s="1760"/>
      <c r="AR153" s="1760"/>
      <c r="AS153" s="1760"/>
      <c r="AT153" s="1760"/>
      <c r="AU153" s="1760"/>
      <c r="AV153" s="1760"/>
      <c r="AW153" s="1760"/>
      <c r="AX153" s="1760"/>
      <c r="AY153" s="1760"/>
      <c r="AZ153" s="1760"/>
      <c r="BA153" s="1760"/>
      <c r="BB153" s="1760"/>
      <c r="BC153" s="1760"/>
      <c r="BD153" s="1760"/>
      <c r="BE153" s="1760"/>
      <c r="BF153" s="1760"/>
      <c r="BG153" s="1760"/>
      <c r="BH153" s="1760"/>
      <c r="BI153" s="1760"/>
      <c r="BJ153" s="1760"/>
      <c r="BK153" s="1760"/>
      <c r="BL153" s="1760"/>
      <c r="BM153" s="1760"/>
      <c r="BN153" s="1760"/>
      <c r="BO153" s="1760"/>
      <c r="BP153" s="1760"/>
      <c r="BQ153" s="1760"/>
      <c r="BR153" s="1760"/>
      <c r="BS153" s="1760"/>
      <c r="BT153" s="1760"/>
      <c r="BU153" s="1760"/>
      <c r="BV153" s="1760"/>
      <c r="BW153" s="1760"/>
      <c r="BX153" s="1760"/>
      <c r="BY153" s="1760"/>
      <c r="BZ153" s="1760"/>
      <c r="CA153" s="1760"/>
      <c r="CB153" s="1760"/>
      <c r="CC153" s="1760"/>
      <c r="CD153" s="1760"/>
      <c r="CE153" s="1760"/>
      <c r="CF153" s="7954"/>
    </row>
    <row customHeight="1" ht="11.25" hidden="1">
      <c r="A154" s="1929"/>
      <c r="B154" s="1284"/>
      <c r="C154" s="536"/>
      <c r="D154" s="2716"/>
      <c r="E154" s="773" t="s">
        <v>22</v>
      </c>
      <c r="F154" s="1292" t="s">
        <v>22</v>
      </c>
      <c r="G154" s="1292" t="s">
        <v>751</v>
      </c>
      <c r="H154" s="775" t="s">
        <v>22</v>
      </c>
      <c r="I154" s="775"/>
      <c r="J154" s="775"/>
      <c r="K154" s="775"/>
      <c r="L154" s="775"/>
      <c r="M154" s="775"/>
      <c r="N154" s="775"/>
      <c r="O154" s="775"/>
      <c r="P154" s="775"/>
      <c r="Q154" s="775"/>
      <c r="R154" s="776"/>
      <c r="S154" s="777"/>
      <c r="T154" s="842"/>
      <c r="U154" s="2511"/>
      <c r="V154" s="2511"/>
      <c r="W154" s="1284"/>
      <c r="X154" s="1284"/>
      <c r="Y154" s="1284"/>
      <c r="Z154" s="1284"/>
      <c r="AA154" s="1760"/>
      <c r="AB154" s="1284"/>
      <c r="AC154" s="2512"/>
      <c r="AD154" s="753"/>
      <c r="AE154" s="1284"/>
      <c r="AF154" s="1284"/>
      <c r="AG154" s="1760"/>
      <c r="AH154" s="1760"/>
      <c r="AI154" s="1760"/>
      <c r="AJ154" s="1760"/>
      <c r="AK154" s="1760"/>
      <c r="AL154" s="1760"/>
      <c r="AM154" s="1760"/>
      <c r="AN154" s="1760"/>
      <c r="AO154" s="1760"/>
      <c r="AP154" s="1760"/>
      <c r="AQ154" s="1760"/>
      <c r="AR154" s="1760"/>
      <c r="AS154" s="1760"/>
      <c r="AT154" s="1760"/>
      <c r="AU154" s="1760"/>
      <c r="AV154" s="1760"/>
      <c r="AW154" s="1760"/>
      <c r="AX154" s="1760"/>
      <c r="AY154" s="1760"/>
      <c r="AZ154" s="1760"/>
      <c r="BA154" s="1760"/>
      <c r="BB154" s="1760"/>
      <c r="BC154" s="1760"/>
      <c r="BD154" s="1760"/>
      <c r="BE154" s="1760"/>
      <c r="BF154" s="1760"/>
      <c r="BG154" s="1760"/>
      <c r="BH154" s="1760"/>
      <c r="BI154" s="1760"/>
      <c r="BJ154" s="1760"/>
      <c r="BK154" s="1760"/>
      <c r="BL154" s="1760"/>
      <c r="BM154" s="1760"/>
      <c r="BN154" s="1760"/>
      <c r="BO154" s="1760"/>
      <c r="BP154" s="1760"/>
      <c r="BQ154" s="1760"/>
      <c r="BR154" s="1760"/>
      <c r="BS154" s="1760"/>
      <c r="BT154" s="1760"/>
      <c r="BU154" s="1760"/>
      <c r="BV154" s="1284"/>
      <c r="BW154" s="1284"/>
      <c r="BX154" s="1284"/>
      <c r="BY154" s="1284"/>
      <c r="BZ154" s="1284"/>
      <c r="CA154" s="1284"/>
      <c r="CB154" s="1284"/>
      <c r="CC154" s="1284"/>
      <c r="CD154" s="1284"/>
      <c r="CE154" s="1284"/>
      <c r="CF154" s="7954"/>
    </row>
    <row customHeight="1" ht="5.25" hidden="1">
      <c r="A155" s="1916"/>
      <c r="B155" s="1760"/>
      <c r="C155" s="1760"/>
      <c r="D155" s="2716"/>
      <c r="E155" s="1163"/>
      <c r="F155" s="1163"/>
      <c r="G155" s="1163"/>
      <c r="H155" s="1163"/>
      <c r="I155" s="1163"/>
      <c r="J155" s="1163"/>
      <c r="K155" s="1163"/>
      <c r="L155" s="1163"/>
      <c r="M155" s="1163"/>
      <c r="N155" s="1163"/>
      <c r="O155" s="1163"/>
      <c r="P155" s="1163"/>
      <c r="Q155" s="1164"/>
      <c r="R155" s="1165"/>
      <c r="S155" s="1166"/>
      <c r="T155" s="841" t="s">
        <v>748</v>
      </c>
      <c r="U155" s="2511">
        <v>1</v>
      </c>
      <c r="V155" s="2511" t="s">
        <v>693</v>
      </c>
      <c r="W155" s="1760"/>
      <c r="X155" s="1760"/>
      <c r="Y155" s="1760"/>
      <c r="Z155" s="1760"/>
      <c r="AA155" s="1760"/>
      <c r="AB155" s="1760"/>
      <c r="AC155" s="1161"/>
      <c r="AD155" s="1162"/>
      <c r="AE155" s="1760"/>
      <c r="AF155" s="1760"/>
      <c r="AG155" s="1760"/>
      <c r="AH155" s="1760"/>
      <c r="AI155" s="1760"/>
      <c r="AJ155" s="1760"/>
      <c r="AK155" s="1760"/>
      <c r="AL155" s="1760"/>
      <c r="AM155" s="1760"/>
      <c r="AN155" s="1760"/>
      <c r="AO155" s="1760"/>
      <c r="AP155" s="1760"/>
      <c r="AQ155" s="1760"/>
      <c r="AR155" s="1760"/>
      <c r="AS155" s="1760"/>
      <c r="AT155" s="1760"/>
      <c r="AU155" s="1760"/>
      <c r="AV155" s="1760"/>
      <c r="AW155" s="1760"/>
      <c r="AX155" s="1760"/>
      <c r="AY155" s="1760"/>
      <c r="AZ155" s="1760"/>
      <c r="BA155" s="1760"/>
      <c r="BB155" s="1760"/>
      <c r="BC155" s="1760"/>
      <c r="BD155" s="1760"/>
      <c r="BE155" s="1760"/>
      <c r="BF155" s="1760"/>
      <c r="BG155" s="1760"/>
      <c r="BH155" s="1760"/>
      <c r="BI155" s="1760"/>
      <c r="BJ155" s="1760"/>
      <c r="BK155" s="1760"/>
      <c r="BL155" s="1760"/>
      <c r="BM155" s="1760"/>
      <c r="BN155" s="1760"/>
      <c r="BO155" s="1760"/>
      <c r="BP155" s="1760"/>
      <c r="BQ155" s="1760"/>
      <c r="BR155" s="1760"/>
      <c r="BS155" s="1760"/>
      <c r="BT155" s="1760"/>
      <c r="BU155" s="1760"/>
      <c r="BV155" s="1760"/>
      <c r="BW155" s="1760"/>
      <c r="BX155" s="1760"/>
      <c r="BY155" s="1760"/>
      <c r="BZ155" s="1760"/>
      <c r="CA155" s="1760"/>
      <c r="CB155" s="1760"/>
      <c r="CC155" s="1760"/>
      <c r="CD155" s="1760"/>
      <c r="CE155" s="1760"/>
      <c r="CF155" s="7914"/>
    </row>
    <row customHeight="1" ht="5.25" hidden="1">
      <c r="A156" s="1916"/>
      <c r="B156" s="1760"/>
      <c r="C156" s="1760"/>
      <c r="D156" s="2716"/>
      <c r="E156" s="759"/>
      <c r="F156" s="759"/>
      <c r="G156" s="759"/>
      <c r="H156" s="759"/>
      <c r="I156" s="759"/>
      <c r="J156" s="759"/>
      <c r="K156" s="759"/>
      <c r="L156" s="759"/>
      <c r="M156" s="759"/>
      <c r="N156" s="759"/>
      <c r="O156" s="759"/>
      <c r="P156" s="759"/>
      <c r="Q156" s="759"/>
      <c r="R156" s="759"/>
      <c r="S156" s="760"/>
      <c r="T156" s="842"/>
      <c r="U156" s="2511"/>
      <c r="V156" s="2511"/>
      <c r="W156" s="1760"/>
      <c r="X156" s="1760"/>
      <c r="Y156" s="1760"/>
      <c r="Z156" s="1760"/>
      <c r="AA156" s="1760"/>
      <c r="AB156" s="1760"/>
      <c r="AC156" s="1161"/>
      <c r="AD156" s="1162"/>
      <c r="AE156" s="1760"/>
      <c r="AF156" s="1760"/>
      <c r="AG156" s="1760"/>
      <c r="AH156" s="1760"/>
      <c r="AI156" s="1760"/>
      <c r="AJ156" s="1760"/>
      <c r="AK156" s="1760"/>
      <c r="AL156" s="1760"/>
      <c r="AM156" s="1760"/>
      <c r="AN156" s="1760"/>
      <c r="AO156" s="1760"/>
      <c r="AP156" s="1760"/>
      <c r="AQ156" s="1760"/>
      <c r="AR156" s="1760"/>
      <c r="AS156" s="1760"/>
      <c r="AT156" s="1760"/>
      <c r="AU156" s="1760"/>
      <c r="AV156" s="1760"/>
      <c r="AW156" s="1760"/>
      <c r="AX156" s="1760"/>
      <c r="AY156" s="1760"/>
      <c r="AZ156" s="1760"/>
      <c r="BA156" s="1760"/>
      <c r="BB156" s="1760"/>
      <c r="BC156" s="1760"/>
      <c r="BD156" s="1760"/>
      <c r="BE156" s="1760"/>
      <c r="BF156" s="1760"/>
      <c r="BG156" s="1760"/>
      <c r="BH156" s="1760"/>
      <c r="BI156" s="1760"/>
      <c r="BJ156" s="1760"/>
      <c r="BK156" s="1760"/>
      <c r="BL156" s="1760"/>
      <c r="BM156" s="1760"/>
      <c r="BN156" s="1760"/>
      <c r="BO156" s="1760"/>
      <c r="BP156" s="1760"/>
      <c r="BQ156" s="1760"/>
      <c r="BR156" s="1760"/>
      <c r="BS156" s="1760"/>
      <c r="BT156" s="1760"/>
      <c r="BU156" s="1760"/>
      <c r="BV156" s="1760"/>
      <c r="BW156" s="1760"/>
      <c r="BX156" s="1760"/>
      <c r="BY156" s="1760"/>
      <c r="BZ156" s="1760"/>
      <c r="CA156" s="1760"/>
      <c r="CB156" s="1760"/>
      <c r="CC156" s="1760"/>
      <c r="CD156" s="1760"/>
      <c r="CE156" s="1760"/>
      <c r="CF156" s="7914"/>
    </row>
    <row customHeight="1" ht="5.25" hidden="1">
      <c r="A157" s="1916"/>
      <c r="B157" s="1760"/>
      <c r="C157" s="1760"/>
      <c r="D157" s="2717"/>
      <c r="E157" s="1167"/>
      <c r="F157" s="1168"/>
      <c r="G157" s="1168"/>
      <c r="H157" s="1169"/>
      <c r="I157" s="1169"/>
      <c r="J157" s="1169"/>
      <c r="K157" s="1169"/>
      <c r="L157" s="1169"/>
      <c r="M157" s="1169"/>
      <c r="N157" s="1169"/>
      <c r="O157" s="1169"/>
      <c r="P157" s="1169"/>
      <c r="Q157" s="1169"/>
      <c r="R157" s="1070"/>
      <c r="S157" s="1170"/>
      <c r="T157" s="842"/>
      <c r="U157" s="2511"/>
      <c r="V157" s="2511"/>
      <c r="W157" s="1760"/>
      <c r="X157" s="1760"/>
      <c r="Y157" s="1760"/>
      <c r="Z157" s="1760"/>
      <c r="AA157" s="1760"/>
      <c r="AB157" s="1760"/>
      <c r="AC157" s="1161"/>
      <c r="AD157" s="1162"/>
      <c r="AE157" s="1760"/>
      <c r="AF157" s="1760"/>
      <c r="AG157" s="1760"/>
      <c r="AH157" s="1760"/>
      <c r="AI157" s="1760"/>
      <c r="AJ157" s="1760"/>
      <c r="AK157" s="1760"/>
      <c r="AL157" s="1760"/>
      <c r="AM157" s="1760"/>
      <c r="AN157" s="1760"/>
      <c r="AO157" s="1760"/>
      <c r="AP157" s="1760"/>
      <c r="AQ157" s="1760"/>
      <c r="AR157" s="1760"/>
      <c r="AS157" s="1760"/>
      <c r="AT157" s="1760"/>
      <c r="AU157" s="1760"/>
      <c r="AV157" s="1760"/>
      <c r="AW157" s="1760"/>
      <c r="AX157" s="1760"/>
      <c r="AY157" s="1760"/>
      <c r="AZ157" s="1760"/>
      <c r="BA157" s="1760"/>
      <c r="BB157" s="1760"/>
      <c r="BC157" s="1760"/>
      <c r="BD157" s="1760"/>
      <c r="BE157" s="1760"/>
      <c r="BF157" s="1760"/>
      <c r="BG157" s="1760"/>
      <c r="BH157" s="1760"/>
      <c r="BI157" s="1760"/>
      <c r="BJ157" s="1760"/>
      <c r="BK157" s="1760"/>
      <c r="BL157" s="1760"/>
      <c r="BM157" s="1760"/>
      <c r="BN157" s="1760"/>
      <c r="BO157" s="1760"/>
      <c r="BP157" s="1760"/>
      <c r="BQ157" s="1760"/>
      <c r="BR157" s="1760"/>
      <c r="BS157" s="1760"/>
      <c r="BT157" s="1760"/>
      <c r="BU157" s="1760"/>
      <c r="BV157" s="1760"/>
      <c r="BW157" s="1760"/>
      <c r="BX157" s="1760"/>
      <c r="BY157" s="1760"/>
      <c r="BZ157" s="1760"/>
      <c r="CA157" s="1760"/>
      <c r="CB157" s="1760"/>
      <c r="CC157" s="1760"/>
      <c r="CD157" s="1760"/>
      <c r="CE157" s="1760"/>
      <c r="CF157" s="7914"/>
    </row>
    <row customHeight="1" ht="15" hidden="1">
      <c r="A158" s="747" t="s">
        <v>234</v>
      </c>
      <c r="B158" s="748"/>
      <c r="C158" s="748" t="s">
        <v>22</v>
      </c>
      <c r="D158" s="2715" t="s">
        <v>766</v>
      </c>
      <c r="E158" s="2514" t="s">
        <v>206</v>
      </c>
      <c r="F158" s="2515"/>
      <c r="G158" s="2516"/>
      <c r="H158" s="2520" t="str">
        <f>IF(A158="","",INDEX(DIFFERENTIATION_UNMERGE_VD,MATCH(A158,DIFFERENTIATION_ID_DIFF,0)))</f>
        <v>Производство тепловой энергии. Некомбинированная выработка</v>
      </c>
      <c r="I158" s="2520"/>
      <c r="J158" s="2520"/>
      <c r="K158" s="2520"/>
      <c r="L158" s="2520"/>
      <c r="M158" s="2520"/>
      <c r="N158" s="2520"/>
      <c r="O158" s="2520"/>
      <c r="P158" s="2520"/>
      <c r="Q158" s="2520"/>
      <c r="R158" s="2520"/>
      <c r="S158" s="843"/>
      <c r="T158" s="840"/>
      <c r="U158" s="749"/>
      <c r="V158" s="749"/>
      <c r="W158" s="750"/>
      <c r="X158" s="750"/>
      <c r="Y158" s="750"/>
      <c r="Z158" s="750"/>
      <c r="AA158" s="751"/>
      <c r="AB158" s="752"/>
      <c r="AC158" s="2512"/>
      <c r="AD158" s="753"/>
      <c r="AE158" s="754" t="s">
        <v>22</v>
      </c>
      <c r="AF158" s="754"/>
      <c r="AG158" s="755" t="s">
        <v>745</v>
      </c>
      <c r="AH158" s="756">
        <v>3</v>
      </c>
      <c r="AI158" s="749"/>
      <c r="AJ158" s="749"/>
      <c r="AK158" s="749"/>
      <c r="AL158" s="749"/>
      <c r="AM158" s="749"/>
      <c r="AN158" s="749"/>
      <c r="AO158" s="749"/>
      <c r="AP158" s="749"/>
      <c r="AQ158" s="749"/>
      <c r="AR158" s="749"/>
      <c r="AS158" s="749"/>
      <c r="AT158" s="749"/>
      <c r="AU158" s="749"/>
      <c r="AV158" s="749"/>
      <c r="AW158" s="749"/>
      <c r="AX158" s="749"/>
      <c r="AY158" s="749"/>
      <c r="AZ158" s="749"/>
      <c r="BA158" s="749"/>
      <c r="BB158" s="749"/>
      <c r="BC158" s="749"/>
      <c r="BD158" s="749"/>
      <c r="BE158" s="749"/>
      <c r="BF158" s="749"/>
      <c r="BG158" s="749"/>
      <c r="BH158" s="749"/>
      <c r="BI158" s="749"/>
      <c r="BJ158" s="749"/>
      <c r="BK158" s="749"/>
      <c r="BL158" s="749"/>
      <c r="BM158" s="749"/>
      <c r="BN158" s="749"/>
      <c r="BO158" s="749"/>
      <c r="BP158" s="749"/>
      <c r="BQ158" s="749"/>
      <c r="BR158" s="749"/>
      <c r="BS158" s="749"/>
      <c r="BT158" s="749"/>
      <c r="BU158" s="749"/>
      <c r="BV158" s="750"/>
      <c r="BW158" s="750"/>
      <c r="BX158" s="750"/>
      <c r="BY158" s="750"/>
      <c r="BZ158" s="750"/>
      <c r="CA158" s="750"/>
      <c r="CB158" s="750"/>
      <c r="CC158" s="750"/>
      <c r="CD158" s="750"/>
      <c r="CE158" s="750"/>
      <c r="CF158" s="7954"/>
    </row>
    <row customHeight="1" ht="15" hidden="1">
      <c r="A159" s="747"/>
      <c r="B159" s="748"/>
      <c r="C159" s="748"/>
      <c r="D159" s="2716"/>
      <c r="E159" s="2514" t="s">
        <v>676</v>
      </c>
      <c r="F159" s="2515"/>
      <c r="G159" s="2516"/>
      <c r="H159" s="2520" t="str">
        <f>IF(A158="","",INDEX(DIFFERENTIATION_UNMERGE_AREA,MATCH(A158,DIFFERENTIATION_ID_DIFF,0)))</f>
        <v>Территория 17</v>
      </c>
      <c r="I159" s="2520"/>
      <c r="J159" s="2520"/>
      <c r="K159" s="2520"/>
      <c r="L159" s="2520"/>
      <c r="M159" s="2520"/>
      <c r="N159" s="2520"/>
      <c r="O159" s="2520"/>
      <c r="P159" s="2520"/>
      <c r="Q159" s="2520"/>
      <c r="R159" s="2520"/>
      <c r="S159" s="843"/>
      <c r="T159" s="840"/>
      <c r="U159" s="749"/>
      <c r="V159" s="749"/>
      <c r="W159" s="750"/>
      <c r="X159" s="750"/>
      <c r="Y159" s="750"/>
      <c r="Z159" s="750"/>
      <c r="AA159" s="751"/>
      <c r="AB159" s="752"/>
      <c r="AC159" s="2512"/>
      <c r="AD159" s="753"/>
      <c r="AE159" s="754"/>
      <c r="AF159" s="754"/>
      <c r="AG159" s="755"/>
      <c r="AH159" s="756"/>
      <c r="AI159" s="749"/>
      <c r="AJ159" s="749"/>
      <c r="AK159" s="749"/>
      <c r="AL159" s="749"/>
      <c r="AM159" s="749"/>
      <c r="AN159" s="749"/>
      <c r="AO159" s="749"/>
      <c r="AP159" s="749"/>
      <c r="AQ159" s="749"/>
      <c r="AR159" s="749"/>
      <c r="AS159" s="749"/>
      <c r="AT159" s="749"/>
      <c r="AU159" s="749"/>
      <c r="AV159" s="749"/>
      <c r="AW159" s="749"/>
      <c r="AX159" s="749"/>
      <c r="AY159" s="749"/>
      <c r="AZ159" s="749"/>
      <c r="BA159" s="749"/>
      <c r="BB159" s="749"/>
      <c r="BC159" s="749"/>
      <c r="BD159" s="749"/>
      <c r="BE159" s="749"/>
      <c r="BF159" s="749"/>
      <c r="BG159" s="749"/>
      <c r="BH159" s="749"/>
      <c r="BI159" s="749"/>
      <c r="BJ159" s="749"/>
      <c r="BK159" s="749"/>
      <c r="BL159" s="749"/>
      <c r="BM159" s="749"/>
      <c r="BN159" s="749"/>
      <c r="BO159" s="749"/>
      <c r="BP159" s="749"/>
      <c r="BQ159" s="749"/>
      <c r="BR159" s="749"/>
      <c r="BS159" s="749"/>
      <c r="BT159" s="749"/>
      <c r="BU159" s="749"/>
      <c r="BV159" s="750"/>
      <c r="BW159" s="750"/>
      <c r="BX159" s="750"/>
      <c r="BY159" s="750"/>
      <c r="BZ159" s="750"/>
      <c r="CA159" s="750"/>
      <c r="CB159" s="750"/>
      <c r="CC159" s="750"/>
      <c r="CD159" s="750"/>
      <c r="CE159" s="750"/>
      <c r="CF159" s="7954"/>
    </row>
    <row customHeight="1" ht="15" hidden="1">
      <c r="A160" s="747"/>
      <c r="B160" s="748"/>
      <c r="C160" s="748"/>
      <c r="D160" s="2716"/>
      <c r="E160" s="2514" t="s">
        <v>677</v>
      </c>
      <c r="F160" s="2515"/>
      <c r="G160" s="2516"/>
      <c r="H160" s="2520" t="str">
        <f>IF(A158="","",INDEX(DIFFERENTIATION_UNMERGE_SYSTEM,MATCH(A158,DIFFERENTIATION_ID_DIFF,0)))</f>
        <v>без дифференциации</v>
      </c>
      <c r="I160" s="2520"/>
      <c r="J160" s="2520"/>
      <c r="K160" s="2520"/>
      <c r="L160" s="2520"/>
      <c r="M160" s="2520"/>
      <c r="N160" s="2520"/>
      <c r="O160" s="2520"/>
      <c r="P160" s="2520"/>
      <c r="Q160" s="2520"/>
      <c r="R160" s="2520"/>
      <c r="S160" s="843"/>
      <c r="T160" s="840"/>
      <c r="U160" s="749"/>
      <c r="V160" s="749"/>
      <c r="W160" s="750"/>
      <c r="X160" s="750"/>
      <c r="Y160" s="750"/>
      <c r="Z160" s="750"/>
      <c r="AA160" s="751"/>
      <c r="AB160" s="752"/>
      <c r="AC160" s="2512"/>
      <c r="AD160" s="753"/>
      <c r="AE160" s="754"/>
      <c r="AF160" s="754"/>
      <c r="AG160" s="755"/>
      <c r="AH160" s="756"/>
      <c r="AI160" s="749"/>
      <c r="AJ160" s="749"/>
      <c r="AK160" s="749"/>
      <c r="AL160" s="749"/>
      <c r="AM160" s="749"/>
      <c r="AN160" s="749"/>
      <c r="AO160" s="749"/>
      <c r="AP160" s="749"/>
      <c r="AQ160" s="749"/>
      <c r="AR160" s="749"/>
      <c r="AS160" s="749"/>
      <c r="AT160" s="749"/>
      <c r="AU160" s="749"/>
      <c r="AV160" s="749"/>
      <c r="AW160" s="749"/>
      <c r="AX160" s="749"/>
      <c r="AY160" s="749"/>
      <c r="AZ160" s="749"/>
      <c r="BA160" s="749"/>
      <c r="BB160" s="749"/>
      <c r="BC160" s="749"/>
      <c r="BD160" s="749"/>
      <c r="BE160" s="749"/>
      <c r="BF160" s="749"/>
      <c r="BG160" s="749"/>
      <c r="BH160" s="749"/>
      <c r="BI160" s="749"/>
      <c r="BJ160" s="749"/>
      <c r="BK160" s="749"/>
      <c r="BL160" s="749"/>
      <c r="BM160" s="749"/>
      <c r="BN160" s="749"/>
      <c r="BO160" s="749"/>
      <c r="BP160" s="749"/>
      <c r="BQ160" s="749"/>
      <c r="BR160" s="749"/>
      <c r="BS160" s="749"/>
      <c r="BT160" s="749"/>
      <c r="BU160" s="749"/>
      <c r="BV160" s="750"/>
      <c r="BW160" s="750"/>
      <c r="BX160" s="750"/>
      <c r="BY160" s="750"/>
      <c r="BZ160" s="750"/>
      <c r="CA160" s="750"/>
      <c r="CB160" s="750"/>
      <c r="CC160" s="750"/>
      <c r="CD160" s="750"/>
      <c r="CE160" s="750"/>
      <c r="CF160" s="7954"/>
    </row>
    <row customHeight="1" ht="24.75" hidden="1">
      <c r="A161" s="1929"/>
      <c r="B161" s="1284"/>
      <c r="C161" s="536"/>
      <c r="D161" s="2716"/>
      <c r="E161" s="2513" t="s">
        <v>746</v>
      </c>
      <c r="F161" s="2513"/>
      <c r="G161" s="2513"/>
      <c r="H161" s="2513"/>
      <c r="I161" s="2513"/>
      <c r="J161" s="2513"/>
      <c r="K161" s="2513"/>
      <c r="L161" s="2513"/>
      <c r="M161" s="2513"/>
      <c r="N161" s="2513"/>
      <c r="O161" s="2513"/>
      <c r="P161" s="2513"/>
      <c r="Q161" s="682">
        <f>SUMIF(T162:T163,"i",Q162:Q163)</f>
        <v>0</v>
      </c>
      <c r="R161" s="1141"/>
      <c r="S161" s="1921" t="s">
        <v>747</v>
      </c>
      <c r="T161" s="841" t="s">
        <v>748</v>
      </c>
      <c r="U161" s="2511">
        <v>1</v>
      </c>
      <c r="V161" s="2511" t="str">
        <f>INDEX(B_FHD_FLAG_INDEX_1,1,MATCH(A158,B_FHD_FLAG_DIFFERENTIATION,0))</f>
        <v>отсутствует</v>
      </c>
      <c r="W161" s="1284"/>
      <c r="X161" s="1284"/>
      <c r="Y161" s="1284"/>
      <c r="Z161" s="1284"/>
      <c r="AA161" s="1760"/>
      <c r="AB161" s="1284"/>
      <c r="AC161" s="2512"/>
      <c r="AD161" s="753"/>
      <c r="AE161" s="1284"/>
      <c r="AF161" s="1284"/>
      <c r="AG161" s="1760"/>
      <c r="AH161" s="1760"/>
      <c r="AI161" s="1760"/>
      <c r="AJ161" s="1760"/>
      <c r="AK161" s="1760"/>
      <c r="AL161" s="1760"/>
      <c r="AM161" s="1760"/>
      <c r="AN161" s="1760"/>
      <c r="AO161" s="1760"/>
      <c r="AP161" s="1760"/>
      <c r="AQ161" s="1760"/>
      <c r="AR161" s="1760"/>
      <c r="AS161" s="1760"/>
      <c r="AT161" s="1760"/>
      <c r="AU161" s="1760"/>
      <c r="AV161" s="1760"/>
      <c r="AW161" s="1760"/>
      <c r="AX161" s="1760"/>
      <c r="AY161" s="1760"/>
      <c r="AZ161" s="1760"/>
      <c r="BA161" s="1760"/>
      <c r="BB161" s="1760"/>
      <c r="BC161" s="1760"/>
      <c r="BD161" s="1760"/>
      <c r="BE161" s="1760"/>
      <c r="BF161" s="1760"/>
      <c r="BG161" s="1760"/>
      <c r="BH161" s="1760"/>
      <c r="BI161" s="1760"/>
      <c r="BJ161" s="1760"/>
      <c r="BK161" s="1760"/>
      <c r="BL161" s="1760"/>
      <c r="BM161" s="1760"/>
      <c r="BN161" s="1760"/>
      <c r="BO161" s="1760"/>
      <c r="BP161" s="1760"/>
      <c r="BQ161" s="1760"/>
      <c r="BR161" s="1760"/>
      <c r="BS161" s="1760"/>
      <c r="BT161" s="1760"/>
      <c r="BU161" s="1760"/>
      <c r="BV161" s="1284"/>
      <c r="BW161" s="1284"/>
      <c r="BX161" s="1284"/>
      <c r="BY161" s="1284"/>
      <c r="BZ161" s="1284"/>
      <c r="CA161" s="1284"/>
      <c r="CB161" s="1284"/>
      <c r="CC161" s="1284"/>
      <c r="CD161" s="1284"/>
      <c r="CE161" s="1284"/>
      <c r="CF161" s="7954"/>
    </row>
    <row customHeight="1" ht="11.25" hidden="1">
      <c r="A162" s="1916"/>
      <c r="B162" s="1760"/>
      <c r="C162" s="1760"/>
      <c r="D162" s="2716"/>
      <c r="E162" s="759"/>
      <c r="F162" s="759">
        <v>0</v>
      </c>
      <c r="G162" s="759"/>
      <c r="H162" s="759"/>
      <c r="I162" s="759"/>
      <c r="J162" s="759"/>
      <c r="K162" s="759"/>
      <c r="L162" s="759"/>
      <c r="M162" s="759"/>
      <c r="N162" s="759"/>
      <c r="O162" s="759"/>
      <c r="P162" s="759"/>
      <c r="Q162" s="759"/>
      <c r="R162" s="759"/>
      <c r="S162" s="760"/>
      <c r="T162" s="842"/>
      <c r="U162" s="2511"/>
      <c r="V162" s="2511"/>
      <c r="W162" s="1760"/>
      <c r="X162" s="1760"/>
      <c r="Y162" s="1760"/>
      <c r="Z162" s="1760"/>
      <c r="AA162" s="1760"/>
      <c r="AB162" s="1284"/>
      <c r="AC162" s="2512"/>
      <c r="AD162" s="753"/>
      <c r="AE162" s="1284"/>
      <c r="AF162" s="1284"/>
      <c r="AG162" s="1760"/>
      <c r="AH162" s="1760"/>
      <c r="AI162" s="1760"/>
      <c r="AJ162" s="1760"/>
      <c r="AK162" s="1760"/>
      <c r="AL162" s="1760"/>
      <c r="AM162" s="1760"/>
      <c r="AN162" s="1760"/>
      <c r="AO162" s="1760"/>
      <c r="AP162" s="1760"/>
      <c r="AQ162" s="1760"/>
      <c r="AR162" s="1760"/>
      <c r="AS162" s="1760"/>
      <c r="AT162" s="1760"/>
      <c r="AU162" s="1760"/>
      <c r="AV162" s="1760"/>
      <c r="AW162" s="1760"/>
      <c r="AX162" s="1760"/>
      <c r="AY162" s="1760"/>
      <c r="AZ162" s="1760"/>
      <c r="BA162" s="1760"/>
      <c r="BB162" s="1760"/>
      <c r="BC162" s="1760"/>
      <c r="BD162" s="1760"/>
      <c r="BE162" s="1760"/>
      <c r="BF162" s="1760"/>
      <c r="BG162" s="1760"/>
      <c r="BH162" s="1760"/>
      <c r="BI162" s="1760"/>
      <c r="BJ162" s="1760"/>
      <c r="BK162" s="1760"/>
      <c r="BL162" s="1760"/>
      <c r="BM162" s="1760"/>
      <c r="BN162" s="1760"/>
      <c r="BO162" s="1760"/>
      <c r="BP162" s="1760"/>
      <c r="BQ162" s="1760"/>
      <c r="BR162" s="1760"/>
      <c r="BS162" s="1760"/>
      <c r="BT162" s="1760"/>
      <c r="BU162" s="1760"/>
      <c r="BV162" s="1760"/>
      <c r="BW162" s="1760"/>
      <c r="BX162" s="1760"/>
      <c r="BY162" s="1760"/>
      <c r="BZ162" s="1760"/>
      <c r="CA162" s="1760"/>
      <c r="CB162" s="1760"/>
      <c r="CC162" s="1760"/>
      <c r="CD162" s="1760"/>
      <c r="CE162" s="1760"/>
      <c r="CF162" s="7954"/>
    </row>
    <row customHeight="1" ht="11.25" hidden="1">
      <c r="A163" s="1929"/>
      <c r="B163" s="1284"/>
      <c r="C163" s="536"/>
      <c r="D163" s="2716"/>
      <c r="E163" s="773" t="s">
        <v>22</v>
      </c>
      <c r="F163" s="1292" t="s">
        <v>22</v>
      </c>
      <c r="G163" s="1292" t="s">
        <v>751</v>
      </c>
      <c r="H163" s="775" t="s">
        <v>22</v>
      </c>
      <c r="I163" s="775"/>
      <c r="J163" s="775"/>
      <c r="K163" s="775"/>
      <c r="L163" s="775"/>
      <c r="M163" s="775"/>
      <c r="N163" s="775"/>
      <c r="O163" s="775"/>
      <c r="P163" s="775"/>
      <c r="Q163" s="775"/>
      <c r="R163" s="776"/>
      <c r="S163" s="777"/>
      <c r="T163" s="842"/>
      <c r="U163" s="2511"/>
      <c r="V163" s="2511"/>
      <c r="W163" s="1284"/>
      <c r="X163" s="1284"/>
      <c r="Y163" s="1284"/>
      <c r="Z163" s="1284"/>
      <c r="AA163" s="1760"/>
      <c r="AB163" s="1284"/>
      <c r="AC163" s="2512"/>
      <c r="AD163" s="753"/>
      <c r="AE163" s="1284"/>
      <c r="AF163" s="1284"/>
      <c r="AG163" s="1760"/>
      <c r="AH163" s="1760"/>
      <c r="AI163" s="1760"/>
      <c r="AJ163" s="1760"/>
      <c r="AK163" s="1760"/>
      <c r="AL163" s="1760"/>
      <c r="AM163" s="1760"/>
      <c r="AN163" s="1760"/>
      <c r="AO163" s="1760"/>
      <c r="AP163" s="1760"/>
      <c r="AQ163" s="1760"/>
      <c r="AR163" s="1760"/>
      <c r="AS163" s="1760"/>
      <c r="AT163" s="1760"/>
      <c r="AU163" s="1760"/>
      <c r="AV163" s="1760"/>
      <c r="AW163" s="1760"/>
      <c r="AX163" s="1760"/>
      <c r="AY163" s="1760"/>
      <c r="AZ163" s="1760"/>
      <c r="BA163" s="1760"/>
      <c r="BB163" s="1760"/>
      <c r="BC163" s="1760"/>
      <c r="BD163" s="1760"/>
      <c r="BE163" s="1760"/>
      <c r="BF163" s="1760"/>
      <c r="BG163" s="1760"/>
      <c r="BH163" s="1760"/>
      <c r="BI163" s="1760"/>
      <c r="BJ163" s="1760"/>
      <c r="BK163" s="1760"/>
      <c r="BL163" s="1760"/>
      <c r="BM163" s="1760"/>
      <c r="BN163" s="1760"/>
      <c r="BO163" s="1760"/>
      <c r="BP163" s="1760"/>
      <c r="BQ163" s="1760"/>
      <c r="BR163" s="1760"/>
      <c r="BS163" s="1760"/>
      <c r="BT163" s="1760"/>
      <c r="BU163" s="1760"/>
      <c r="BV163" s="1284"/>
      <c r="BW163" s="1284"/>
      <c r="BX163" s="1284"/>
      <c r="BY163" s="1284"/>
      <c r="BZ163" s="1284"/>
      <c r="CA163" s="1284"/>
      <c r="CB163" s="1284"/>
      <c r="CC163" s="1284"/>
      <c r="CD163" s="1284"/>
      <c r="CE163" s="1284"/>
      <c r="CF163" s="7954"/>
    </row>
    <row customHeight="1" ht="5.25" hidden="1">
      <c r="A164" s="1916"/>
      <c r="B164" s="1760"/>
      <c r="C164" s="1760"/>
      <c r="D164" s="2716"/>
      <c r="E164" s="1163"/>
      <c r="F164" s="1163"/>
      <c r="G164" s="1163"/>
      <c r="H164" s="1163"/>
      <c r="I164" s="1163"/>
      <c r="J164" s="1163"/>
      <c r="K164" s="1163"/>
      <c r="L164" s="1163"/>
      <c r="M164" s="1163"/>
      <c r="N164" s="1163"/>
      <c r="O164" s="1163"/>
      <c r="P164" s="1163"/>
      <c r="Q164" s="1164"/>
      <c r="R164" s="1165"/>
      <c r="S164" s="1166"/>
      <c r="T164" s="841" t="s">
        <v>748</v>
      </c>
      <c r="U164" s="2511">
        <v>1</v>
      </c>
      <c r="V164" s="2511" t="s">
        <v>693</v>
      </c>
      <c r="W164" s="1760"/>
      <c r="X164" s="1760"/>
      <c r="Y164" s="1760"/>
      <c r="Z164" s="1760"/>
      <c r="AA164" s="1760"/>
      <c r="AB164" s="1760"/>
      <c r="AC164" s="1161"/>
      <c r="AD164" s="1162"/>
      <c r="AE164" s="1760"/>
      <c r="AF164" s="1760"/>
      <c r="AG164" s="1760"/>
      <c r="AH164" s="1760"/>
      <c r="AI164" s="1760"/>
      <c r="AJ164" s="1760"/>
      <c r="AK164" s="1760"/>
      <c r="AL164" s="1760"/>
      <c r="AM164" s="1760"/>
      <c r="AN164" s="1760"/>
      <c r="AO164" s="1760"/>
      <c r="AP164" s="1760"/>
      <c r="AQ164" s="1760"/>
      <c r="AR164" s="1760"/>
      <c r="AS164" s="1760"/>
      <c r="AT164" s="1760"/>
      <c r="AU164" s="1760"/>
      <c r="AV164" s="1760"/>
      <c r="AW164" s="1760"/>
      <c r="AX164" s="1760"/>
      <c r="AY164" s="1760"/>
      <c r="AZ164" s="1760"/>
      <c r="BA164" s="1760"/>
      <c r="BB164" s="1760"/>
      <c r="BC164" s="1760"/>
      <c r="BD164" s="1760"/>
      <c r="BE164" s="1760"/>
      <c r="BF164" s="1760"/>
      <c r="BG164" s="1760"/>
      <c r="BH164" s="1760"/>
      <c r="BI164" s="1760"/>
      <c r="BJ164" s="1760"/>
      <c r="BK164" s="1760"/>
      <c r="BL164" s="1760"/>
      <c r="BM164" s="1760"/>
      <c r="BN164" s="1760"/>
      <c r="BO164" s="1760"/>
      <c r="BP164" s="1760"/>
      <c r="BQ164" s="1760"/>
      <c r="BR164" s="1760"/>
      <c r="BS164" s="1760"/>
      <c r="BT164" s="1760"/>
      <c r="BU164" s="1760"/>
      <c r="BV164" s="1760"/>
      <c r="BW164" s="1760"/>
      <c r="BX164" s="1760"/>
      <c r="BY164" s="1760"/>
      <c r="BZ164" s="1760"/>
      <c r="CA164" s="1760"/>
      <c r="CB164" s="1760"/>
      <c r="CC164" s="1760"/>
      <c r="CD164" s="1760"/>
      <c r="CE164" s="1760"/>
      <c r="CF164" s="7914"/>
    </row>
    <row customHeight="1" ht="5.25" hidden="1">
      <c r="A165" s="1916"/>
      <c r="B165" s="1760"/>
      <c r="C165" s="1760"/>
      <c r="D165" s="2716"/>
      <c r="E165" s="759"/>
      <c r="F165" s="759"/>
      <c r="G165" s="759"/>
      <c r="H165" s="759"/>
      <c r="I165" s="759"/>
      <c r="J165" s="759"/>
      <c r="K165" s="759"/>
      <c r="L165" s="759"/>
      <c r="M165" s="759"/>
      <c r="N165" s="759"/>
      <c r="O165" s="759"/>
      <c r="P165" s="759"/>
      <c r="Q165" s="759"/>
      <c r="R165" s="759"/>
      <c r="S165" s="760"/>
      <c r="T165" s="842"/>
      <c r="U165" s="2511"/>
      <c r="V165" s="2511"/>
      <c r="W165" s="1760"/>
      <c r="X165" s="1760"/>
      <c r="Y165" s="1760"/>
      <c r="Z165" s="1760"/>
      <c r="AA165" s="1760"/>
      <c r="AB165" s="1760"/>
      <c r="AC165" s="1161"/>
      <c r="AD165" s="1162"/>
      <c r="AE165" s="1760"/>
      <c r="AF165" s="1760"/>
      <c r="AG165" s="1760"/>
      <c r="AH165" s="1760"/>
      <c r="AI165" s="1760"/>
      <c r="AJ165" s="1760"/>
      <c r="AK165" s="1760"/>
      <c r="AL165" s="1760"/>
      <c r="AM165" s="1760"/>
      <c r="AN165" s="1760"/>
      <c r="AO165" s="1760"/>
      <c r="AP165" s="1760"/>
      <c r="AQ165" s="1760"/>
      <c r="AR165" s="1760"/>
      <c r="AS165" s="1760"/>
      <c r="AT165" s="1760"/>
      <c r="AU165" s="1760"/>
      <c r="AV165" s="1760"/>
      <c r="AW165" s="1760"/>
      <c r="AX165" s="1760"/>
      <c r="AY165" s="1760"/>
      <c r="AZ165" s="1760"/>
      <c r="BA165" s="1760"/>
      <c r="BB165" s="1760"/>
      <c r="BC165" s="1760"/>
      <c r="BD165" s="1760"/>
      <c r="BE165" s="1760"/>
      <c r="BF165" s="1760"/>
      <c r="BG165" s="1760"/>
      <c r="BH165" s="1760"/>
      <c r="BI165" s="1760"/>
      <c r="BJ165" s="1760"/>
      <c r="BK165" s="1760"/>
      <c r="BL165" s="1760"/>
      <c r="BM165" s="1760"/>
      <c r="BN165" s="1760"/>
      <c r="BO165" s="1760"/>
      <c r="BP165" s="1760"/>
      <c r="BQ165" s="1760"/>
      <c r="BR165" s="1760"/>
      <c r="BS165" s="1760"/>
      <c r="BT165" s="1760"/>
      <c r="BU165" s="1760"/>
      <c r="BV165" s="1760"/>
      <c r="BW165" s="1760"/>
      <c r="BX165" s="1760"/>
      <c r="BY165" s="1760"/>
      <c r="BZ165" s="1760"/>
      <c r="CA165" s="1760"/>
      <c r="CB165" s="1760"/>
      <c r="CC165" s="1760"/>
      <c r="CD165" s="1760"/>
      <c r="CE165" s="1760"/>
      <c r="CF165" s="7914"/>
    </row>
    <row customHeight="1" ht="5.25" hidden="1">
      <c r="A166" s="1916"/>
      <c r="B166" s="1760"/>
      <c r="C166" s="1760"/>
      <c r="D166" s="2717"/>
      <c r="E166" s="1167"/>
      <c r="F166" s="1168"/>
      <c r="G166" s="1168"/>
      <c r="H166" s="1169"/>
      <c r="I166" s="1169"/>
      <c r="J166" s="1169"/>
      <c r="K166" s="1169"/>
      <c r="L166" s="1169"/>
      <c r="M166" s="1169"/>
      <c r="N166" s="1169"/>
      <c r="O166" s="1169"/>
      <c r="P166" s="1169"/>
      <c r="Q166" s="1169"/>
      <c r="R166" s="1070"/>
      <c r="S166" s="1170"/>
      <c r="T166" s="842"/>
      <c r="U166" s="2511"/>
      <c r="V166" s="2511"/>
      <c r="W166" s="1760"/>
      <c r="X166" s="1760"/>
      <c r="Y166" s="1760"/>
      <c r="Z166" s="1760"/>
      <c r="AA166" s="1760"/>
      <c r="AB166" s="1760"/>
      <c r="AC166" s="1161"/>
      <c r="AD166" s="1162"/>
      <c r="AE166" s="1760"/>
      <c r="AF166" s="1760"/>
      <c r="AG166" s="1760"/>
      <c r="AH166" s="1760"/>
      <c r="AI166" s="1760"/>
      <c r="AJ166" s="1760"/>
      <c r="AK166" s="1760"/>
      <c r="AL166" s="1760"/>
      <c r="AM166" s="1760"/>
      <c r="AN166" s="1760"/>
      <c r="AO166" s="1760"/>
      <c r="AP166" s="1760"/>
      <c r="AQ166" s="1760"/>
      <c r="AR166" s="1760"/>
      <c r="AS166" s="1760"/>
      <c r="AT166" s="1760"/>
      <c r="AU166" s="1760"/>
      <c r="AV166" s="1760"/>
      <c r="AW166" s="1760"/>
      <c r="AX166" s="1760"/>
      <c r="AY166" s="1760"/>
      <c r="AZ166" s="1760"/>
      <c r="BA166" s="1760"/>
      <c r="BB166" s="1760"/>
      <c r="BC166" s="1760"/>
      <c r="BD166" s="1760"/>
      <c r="BE166" s="1760"/>
      <c r="BF166" s="1760"/>
      <c r="BG166" s="1760"/>
      <c r="BH166" s="1760"/>
      <c r="BI166" s="1760"/>
      <c r="BJ166" s="1760"/>
      <c r="BK166" s="1760"/>
      <c r="BL166" s="1760"/>
      <c r="BM166" s="1760"/>
      <c r="BN166" s="1760"/>
      <c r="BO166" s="1760"/>
      <c r="BP166" s="1760"/>
      <c r="BQ166" s="1760"/>
      <c r="BR166" s="1760"/>
      <c r="BS166" s="1760"/>
      <c r="BT166" s="1760"/>
      <c r="BU166" s="1760"/>
      <c r="BV166" s="1760"/>
      <c r="BW166" s="1760"/>
      <c r="BX166" s="1760"/>
      <c r="BY166" s="1760"/>
      <c r="BZ166" s="1760"/>
      <c r="CA166" s="1760"/>
      <c r="CB166" s="1760"/>
      <c r="CC166" s="1760"/>
      <c r="CD166" s="1760"/>
      <c r="CE166" s="1760"/>
      <c r="CF166" s="7914"/>
    </row>
    <row customHeight="1" ht="15" hidden="1">
      <c r="A167" s="747" t="s">
        <v>235</v>
      </c>
      <c r="B167" s="748"/>
      <c r="C167" s="748" t="s">
        <v>22</v>
      </c>
      <c r="D167" s="2715" t="s">
        <v>767</v>
      </c>
      <c r="E167" s="2514" t="s">
        <v>206</v>
      </c>
      <c r="F167" s="2515"/>
      <c r="G167" s="2516"/>
      <c r="H167" s="2520" t="str">
        <f>IF(A167="","",INDEX(DIFFERENTIATION_UNMERGE_VD,MATCH(A167,DIFFERENTIATION_ID_DIFF,0)))</f>
        <v>Производство тепловой энергии. Некомбинированная выработка</v>
      </c>
      <c r="I167" s="2520"/>
      <c r="J167" s="2520"/>
      <c r="K167" s="2520"/>
      <c r="L167" s="2520"/>
      <c r="M167" s="2520"/>
      <c r="N167" s="2520"/>
      <c r="O167" s="2520"/>
      <c r="P167" s="2520"/>
      <c r="Q167" s="2520"/>
      <c r="R167" s="2520"/>
      <c r="S167" s="843"/>
      <c r="T167" s="840"/>
      <c r="U167" s="749"/>
      <c r="V167" s="749"/>
      <c r="W167" s="750"/>
      <c r="X167" s="750"/>
      <c r="Y167" s="750"/>
      <c r="Z167" s="750"/>
      <c r="AA167" s="751"/>
      <c r="AB167" s="752"/>
      <c r="AC167" s="2512"/>
      <c r="AD167" s="753"/>
      <c r="AE167" s="754" t="s">
        <v>22</v>
      </c>
      <c r="AF167" s="754"/>
      <c r="AG167" s="755" t="s">
        <v>745</v>
      </c>
      <c r="AH167" s="756">
        <v>3</v>
      </c>
      <c r="AI167" s="749"/>
      <c r="AJ167" s="749"/>
      <c r="AK167" s="749"/>
      <c r="AL167" s="749"/>
      <c r="AM167" s="749"/>
      <c r="AN167" s="749"/>
      <c r="AO167" s="749"/>
      <c r="AP167" s="749"/>
      <c r="AQ167" s="749"/>
      <c r="AR167" s="749"/>
      <c r="AS167" s="749"/>
      <c r="AT167" s="749"/>
      <c r="AU167" s="749"/>
      <c r="AV167" s="749"/>
      <c r="AW167" s="749"/>
      <c r="AX167" s="749"/>
      <c r="AY167" s="749"/>
      <c r="AZ167" s="749"/>
      <c r="BA167" s="749"/>
      <c r="BB167" s="749"/>
      <c r="BC167" s="749"/>
      <c r="BD167" s="749"/>
      <c r="BE167" s="749"/>
      <c r="BF167" s="749"/>
      <c r="BG167" s="749"/>
      <c r="BH167" s="749"/>
      <c r="BI167" s="749"/>
      <c r="BJ167" s="749"/>
      <c r="BK167" s="749"/>
      <c r="BL167" s="749"/>
      <c r="BM167" s="749"/>
      <c r="BN167" s="749"/>
      <c r="BO167" s="749"/>
      <c r="BP167" s="749"/>
      <c r="BQ167" s="749"/>
      <c r="BR167" s="749"/>
      <c r="BS167" s="749"/>
      <c r="BT167" s="749"/>
      <c r="BU167" s="749"/>
      <c r="BV167" s="750"/>
      <c r="BW167" s="750"/>
      <c r="BX167" s="750"/>
      <c r="BY167" s="750"/>
      <c r="BZ167" s="750"/>
      <c r="CA167" s="750"/>
      <c r="CB167" s="750"/>
      <c r="CC167" s="750"/>
      <c r="CD167" s="750"/>
      <c r="CE167" s="750"/>
      <c r="CF167" s="7954"/>
    </row>
    <row customHeight="1" ht="15" hidden="1">
      <c r="A168" s="747"/>
      <c r="B168" s="748"/>
      <c r="C168" s="748"/>
      <c r="D168" s="2716"/>
      <c r="E168" s="2514" t="s">
        <v>676</v>
      </c>
      <c r="F168" s="2515"/>
      <c r="G168" s="2516"/>
      <c r="H168" s="2520" t="str">
        <f>IF(A167="","",INDEX(DIFFERENTIATION_UNMERGE_AREA,MATCH(A167,DIFFERENTIATION_ID_DIFF,0)))</f>
        <v>Территория 18</v>
      </c>
      <c r="I168" s="2520"/>
      <c r="J168" s="2520"/>
      <c r="K168" s="2520"/>
      <c r="L168" s="2520"/>
      <c r="M168" s="2520"/>
      <c r="N168" s="2520"/>
      <c r="O168" s="2520"/>
      <c r="P168" s="2520"/>
      <c r="Q168" s="2520"/>
      <c r="R168" s="2520"/>
      <c r="S168" s="843"/>
      <c r="T168" s="840"/>
      <c r="U168" s="749"/>
      <c r="V168" s="749"/>
      <c r="W168" s="750"/>
      <c r="X168" s="750"/>
      <c r="Y168" s="750"/>
      <c r="Z168" s="750"/>
      <c r="AA168" s="751"/>
      <c r="AB168" s="752"/>
      <c r="AC168" s="2512"/>
      <c r="AD168" s="753"/>
      <c r="AE168" s="754"/>
      <c r="AF168" s="754"/>
      <c r="AG168" s="755"/>
      <c r="AH168" s="756"/>
      <c r="AI168" s="749"/>
      <c r="AJ168" s="749"/>
      <c r="AK168" s="749"/>
      <c r="AL168" s="749"/>
      <c r="AM168" s="749"/>
      <c r="AN168" s="749"/>
      <c r="AO168" s="749"/>
      <c r="AP168" s="749"/>
      <c r="AQ168" s="749"/>
      <c r="AR168" s="749"/>
      <c r="AS168" s="749"/>
      <c r="AT168" s="749"/>
      <c r="AU168" s="749"/>
      <c r="AV168" s="749"/>
      <c r="AW168" s="749"/>
      <c r="AX168" s="749"/>
      <c r="AY168" s="749"/>
      <c r="AZ168" s="749"/>
      <c r="BA168" s="749"/>
      <c r="BB168" s="749"/>
      <c r="BC168" s="749"/>
      <c r="BD168" s="749"/>
      <c r="BE168" s="749"/>
      <c r="BF168" s="749"/>
      <c r="BG168" s="749"/>
      <c r="BH168" s="749"/>
      <c r="BI168" s="749"/>
      <c r="BJ168" s="749"/>
      <c r="BK168" s="749"/>
      <c r="BL168" s="749"/>
      <c r="BM168" s="749"/>
      <c r="BN168" s="749"/>
      <c r="BO168" s="749"/>
      <c r="BP168" s="749"/>
      <c r="BQ168" s="749"/>
      <c r="BR168" s="749"/>
      <c r="BS168" s="749"/>
      <c r="BT168" s="749"/>
      <c r="BU168" s="749"/>
      <c r="BV168" s="750"/>
      <c r="BW168" s="750"/>
      <c r="BX168" s="750"/>
      <c r="BY168" s="750"/>
      <c r="BZ168" s="750"/>
      <c r="CA168" s="750"/>
      <c r="CB168" s="750"/>
      <c r="CC168" s="750"/>
      <c r="CD168" s="750"/>
      <c r="CE168" s="750"/>
      <c r="CF168" s="7954"/>
    </row>
    <row customHeight="1" ht="15" hidden="1">
      <c r="A169" s="747"/>
      <c r="B169" s="748"/>
      <c r="C169" s="748"/>
      <c r="D169" s="2716"/>
      <c r="E169" s="2514" t="s">
        <v>677</v>
      </c>
      <c r="F169" s="2515"/>
      <c r="G169" s="2516"/>
      <c r="H169" s="2520" t="str">
        <f>IF(A167="","",INDEX(DIFFERENTIATION_UNMERGE_SYSTEM,MATCH(A167,DIFFERENTIATION_ID_DIFF,0)))</f>
        <v>без дифференциации</v>
      </c>
      <c r="I169" s="2520"/>
      <c r="J169" s="2520"/>
      <c r="K169" s="2520"/>
      <c r="L169" s="2520"/>
      <c r="M169" s="2520"/>
      <c r="N169" s="2520"/>
      <c r="O169" s="2520"/>
      <c r="P169" s="2520"/>
      <c r="Q169" s="2520"/>
      <c r="R169" s="2520"/>
      <c r="S169" s="843"/>
      <c r="T169" s="840"/>
      <c r="U169" s="749"/>
      <c r="V169" s="749"/>
      <c r="W169" s="750"/>
      <c r="X169" s="750"/>
      <c r="Y169" s="750"/>
      <c r="Z169" s="750"/>
      <c r="AA169" s="751"/>
      <c r="AB169" s="752"/>
      <c r="AC169" s="2512"/>
      <c r="AD169" s="753"/>
      <c r="AE169" s="754"/>
      <c r="AF169" s="754"/>
      <c r="AG169" s="755"/>
      <c r="AH169" s="756"/>
      <c r="AI169" s="749"/>
      <c r="AJ169" s="749"/>
      <c r="AK169" s="749"/>
      <c r="AL169" s="749"/>
      <c r="AM169" s="749"/>
      <c r="AN169" s="749"/>
      <c r="AO169" s="749"/>
      <c r="AP169" s="749"/>
      <c r="AQ169" s="749"/>
      <c r="AR169" s="749"/>
      <c r="AS169" s="749"/>
      <c r="AT169" s="749"/>
      <c r="AU169" s="749"/>
      <c r="AV169" s="749"/>
      <c r="AW169" s="749"/>
      <c r="AX169" s="749"/>
      <c r="AY169" s="749"/>
      <c r="AZ169" s="749"/>
      <c r="BA169" s="749"/>
      <c r="BB169" s="749"/>
      <c r="BC169" s="749"/>
      <c r="BD169" s="749"/>
      <c r="BE169" s="749"/>
      <c r="BF169" s="749"/>
      <c r="BG169" s="749"/>
      <c r="BH169" s="749"/>
      <c r="BI169" s="749"/>
      <c r="BJ169" s="749"/>
      <c r="BK169" s="749"/>
      <c r="BL169" s="749"/>
      <c r="BM169" s="749"/>
      <c r="BN169" s="749"/>
      <c r="BO169" s="749"/>
      <c r="BP169" s="749"/>
      <c r="BQ169" s="749"/>
      <c r="BR169" s="749"/>
      <c r="BS169" s="749"/>
      <c r="BT169" s="749"/>
      <c r="BU169" s="749"/>
      <c r="BV169" s="750"/>
      <c r="BW169" s="750"/>
      <c r="BX169" s="750"/>
      <c r="BY169" s="750"/>
      <c r="BZ169" s="750"/>
      <c r="CA169" s="750"/>
      <c r="CB169" s="750"/>
      <c r="CC169" s="750"/>
      <c r="CD169" s="750"/>
      <c r="CE169" s="750"/>
      <c r="CF169" s="7954"/>
    </row>
    <row customHeight="1" ht="24.75" hidden="1">
      <c r="A170" s="1929"/>
      <c r="B170" s="1284"/>
      <c r="C170" s="536"/>
      <c r="D170" s="2716"/>
      <c r="E170" s="2513" t="s">
        <v>746</v>
      </c>
      <c r="F170" s="2513"/>
      <c r="G170" s="2513"/>
      <c r="H170" s="2513"/>
      <c r="I170" s="2513"/>
      <c r="J170" s="2513"/>
      <c r="K170" s="2513"/>
      <c r="L170" s="2513"/>
      <c r="M170" s="2513"/>
      <c r="N170" s="2513"/>
      <c r="O170" s="2513"/>
      <c r="P170" s="2513"/>
      <c r="Q170" s="682">
        <f>SUMIF(T171:T172,"i",Q171:Q172)</f>
        <v>0</v>
      </c>
      <c r="R170" s="1141"/>
      <c r="S170" s="1921" t="s">
        <v>747</v>
      </c>
      <c r="T170" s="841" t="s">
        <v>748</v>
      </c>
      <c r="U170" s="2511">
        <v>1</v>
      </c>
      <c r="V170" s="2511" t="str">
        <f>INDEX(B_FHD_FLAG_INDEX_1,1,MATCH(A167,B_FHD_FLAG_DIFFERENTIATION,0))</f>
        <v>отсутствует</v>
      </c>
      <c r="W170" s="1284"/>
      <c r="X170" s="1284"/>
      <c r="Y170" s="1284"/>
      <c r="Z170" s="1284"/>
      <c r="AA170" s="1760"/>
      <c r="AB170" s="1284"/>
      <c r="AC170" s="2512"/>
      <c r="AD170" s="753"/>
      <c r="AE170" s="1284"/>
      <c r="AF170" s="1284"/>
      <c r="AG170" s="1760"/>
      <c r="AH170" s="1760"/>
      <c r="AI170" s="1760"/>
      <c r="AJ170" s="1760"/>
      <c r="AK170" s="1760"/>
      <c r="AL170" s="1760"/>
      <c r="AM170" s="1760"/>
      <c r="AN170" s="1760"/>
      <c r="AO170" s="1760"/>
      <c r="AP170" s="1760"/>
      <c r="AQ170" s="1760"/>
      <c r="AR170" s="1760"/>
      <c r="AS170" s="1760"/>
      <c r="AT170" s="1760"/>
      <c r="AU170" s="1760"/>
      <c r="AV170" s="1760"/>
      <c r="AW170" s="1760"/>
      <c r="AX170" s="1760"/>
      <c r="AY170" s="1760"/>
      <c r="AZ170" s="1760"/>
      <c r="BA170" s="1760"/>
      <c r="BB170" s="1760"/>
      <c r="BC170" s="1760"/>
      <c r="BD170" s="1760"/>
      <c r="BE170" s="1760"/>
      <c r="BF170" s="1760"/>
      <c r="BG170" s="1760"/>
      <c r="BH170" s="1760"/>
      <c r="BI170" s="1760"/>
      <c r="BJ170" s="1760"/>
      <c r="BK170" s="1760"/>
      <c r="BL170" s="1760"/>
      <c r="BM170" s="1760"/>
      <c r="BN170" s="1760"/>
      <c r="BO170" s="1760"/>
      <c r="BP170" s="1760"/>
      <c r="BQ170" s="1760"/>
      <c r="BR170" s="1760"/>
      <c r="BS170" s="1760"/>
      <c r="BT170" s="1760"/>
      <c r="BU170" s="1760"/>
      <c r="BV170" s="1284"/>
      <c r="BW170" s="1284"/>
      <c r="BX170" s="1284"/>
      <c r="BY170" s="1284"/>
      <c r="BZ170" s="1284"/>
      <c r="CA170" s="1284"/>
      <c r="CB170" s="1284"/>
      <c r="CC170" s="1284"/>
      <c r="CD170" s="1284"/>
      <c r="CE170" s="1284"/>
      <c r="CF170" s="7954"/>
    </row>
    <row customHeight="1" ht="11.25" hidden="1">
      <c r="A171" s="1916"/>
      <c r="B171" s="1760"/>
      <c r="C171" s="1760"/>
      <c r="D171" s="2716"/>
      <c r="E171" s="759"/>
      <c r="F171" s="759">
        <v>0</v>
      </c>
      <c r="G171" s="759"/>
      <c r="H171" s="759"/>
      <c r="I171" s="759"/>
      <c r="J171" s="759"/>
      <c r="K171" s="759"/>
      <c r="L171" s="759"/>
      <c r="M171" s="759"/>
      <c r="N171" s="759"/>
      <c r="O171" s="759"/>
      <c r="P171" s="759"/>
      <c r="Q171" s="759"/>
      <c r="R171" s="759"/>
      <c r="S171" s="760"/>
      <c r="T171" s="842"/>
      <c r="U171" s="2511"/>
      <c r="V171" s="2511"/>
      <c r="W171" s="1760"/>
      <c r="X171" s="1760"/>
      <c r="Y171" s="1760"/>
      <c r="Z171" s="1760"/>
      <c r="AA171" s="1760"/>
      <c r="AB171" s="1284"/>
      <c r="AC171" s="2512"/>
      <c r="AD171" s="753"/>
      <c r="AE171" s="1284"/>
      <c r="AF171" s="1284"/>
      <c r="AG171" s="1760"/>
      <c r="AH171" s="1760"/>
      <c r="AI171" s="1760"/>
      <c r="AJ171" s="1760"/>
      <c r="AK171" s="1760"/>
      <c r="AL171" s="1760"/>
      <c r="AM171" s="1760"/>
      <c r="AN171" s="1760"/>
      <c r="AO171" s="1760"/>
      <c r="AP171" s="1760"/>
      <c r="AQ171" s="1760"/>
      <c r="AR171" s="1760"/>
      <c r="AS171" s="1760"/>
      <c r="AT171" s="1760"/>
      <c r="AU171" s="1760"/>
      <c r="AV171" s="1760"/>
      <c r="AW171" s="1760"/>
      <c r="AX171" s="1760"/>
      <c r="AY171" s="1760"/>
      <c r="AZ171" s="1760"/>
      <c r="BA171" s="1760"/>
      <c r="BB171" s="1760"/>
      <c r="BC171" s="1760"/>
      <c r="BD171" s="1760"/>
      <c r="BE171" s="1760"/>
      <c r="BF171" s="1760"/>
      <c r="BG171" s="1760"/>
      <c r="BH171" s="1760"/>
      <c r="BI171" s="1760"/>
      <c r="BJ171" s="1760"/>
      <c r="BK171" s="1760"/>
      <c r="BL171" s="1760"/>
      <c r="BM171" s="1760"/>
      <c r="BN171" s="1760"/>
      <c r="BO171" s="1760"/>
      <c r="BP171" s="1760"/>
      <c r="BQ171" s="1760"/>
      <c r="BR171" s="1760"/>
      <c r="BS171" s="1760"/>
      <c r="BT171" s="1760"/>
      <c r="BU171" s="1760"/>
      <c r="BV171" s="1760"/>
      <c r="BW171" s="1760"/>
      <c r="BX171" s="1760"/>
      <c r="BY171" s="1760"/>
      <c r="BZ171" s="1760"/>
      <c r="CA171" s="1760"/>
      <c r="CB171" s="1760"/>
      <c r="CC171" s="1760"/>
      <c r="CD171" s="1760"/>
      <c r="CE171" s="1760"/>
      <c r="CF171" s="7954"/>
    </row>
    <row customHeight="1" ht="11.25" hidden="1">
      <c r="A172" s="1929"/>
      <c r="B172" s="1284"/>
      <c r="C172" s="536"/>
      <c r="D172" s="2716"/>
      <c r="E172" s="773" t="s">
        <v>22</v>
      </c>
      <c r="F172" s="1292" t="s">
        <v>22</v>
      </c>
      <c r="G172" s="1292" t="s">
        <v>751</v>
      </c>
      <c r="H172" s="775" t="s">
        <v>22</v>
      </c>
      <c r="I172" s="775"/>
      <c r="J172" s="775"/>
      <c r="K172" s="775"/>
      <c r="L172" s="775"/>
      <c r="M172" s="775"/>
      <c r="N172" s="775"/>
      <c r="O172" s="775"/>
      <c r="P172" s="775"/>
      <c r="Q172" s="775"/>
      <c r="R172" s="776"/>
      <c r="S172" s="777"/>
      <c r="T172" s="842"/>
      <c r="U172" s="2511"/>
      <c r="V172" s="2511"/>
      <c r="W172" s="1284"/>
      <c r="X172" s="1284"/>
      <c r="Y172" s="1284"/>
      <c r="Z172" s="1284"/>
      <c r="AA172" s="1760"/>
      <c r="AB172" s="1284"/>
      <c r="AC172" s="2512"/>
      <c r="AD172" s="753"/>
      <c r="AE172" s="1284"/>
      <c r="AF172" s="1284"/>
      <c r="AG172" s="1760"/>
      <c r="AH172" s="1760"/>
      <c r="AI172" s="1760"/>
      <c r="AJ172" s="1760"/>
      <c r="AK172" s="1760"/>
      <c r="AL172" s="1760"/>
      <c r="AM172" s="1760"/>
      <c r="AN172" s="1760"/>
      <c r="AO172" s="1760"/>
      <c r="AP172" s="1760"/>
      <c r="AQ172" s="1760"/>
      <c r="AR172" s="1760"/>
      <c r="AS172" s="1760"/>
      <c r="AT172" s="1760"/>
      <c r="AU172" s="1760"/>
      <c r="AV172" s="1760"/>
      <c r="AW172" s="1760"/>
      <c r="AX172" s="1760"/>
      <c r="AY172" s="1760"/>
      <c r="AZ172" s="1760"/>
      <c r="BA172" s="1760"/>
      <c r="BB172" s="1760"/>
      <c r="BC172" s="1760"/>
      <c r="BD172" s="1760"/>
      <c r="BE172" s="1760"/>
      <c r="BF172" s="1760"/>
      <c r="BG172" s="1760"/>
      <c r="BH172" s="1760"/>
      <c r="BI172" s="1760"/>
      <c r="BJ172" s="1760"/>
      <c r="BK172" s="1760"/>
      <c r="BL172" s="1760"/>
      <c r="BM172" s="1760"/>
      <c r="BN172" s="1760"/>
      <c r="BO172" s="1760"/>
      <c r="BP172" s="1760"/>
      <c r="BQ172" s="1760"/>
      <c r="BR172" s="1760"/>
      <c r="BS172" s="1760"/>
      <c r="BT172" s="1760"/>
      <c r="BU172" s="1760"/>
      <c r="BV172" s="1284"/>
      <c r="BW172" s="1284"/>
      <c r="BX172" s="1284"/>
      <c r="BY172" s="1284"/>
      <c r="BZ172" s="1284"/>
      <c r="CA172" s="1284"/>
      <c r="CB172" s="1284"/>
      <c r="CC172" s="1284"/>
      <c r="CD172" s="1284"/>
      <c r="CE172" s="1284"/>
      <c r="CF172" s="7954"/>
    </row>
    <row customHeight="1" ht="5.25" hidden="1">
      <c r="A173" s="1916"/>
      <c r="B173" s="1760"/>
      <c r="C173" s="1760"/>
      <c r="D173" s="2716"/>
      <c r="E173" s="1163"/>
      <c r="F173" s="1163"/>
      <c r="G173" s="1163"/>
      <c r="H173" s="1163"/>
      <c r="I173" s="1163"/>
      <c r="J173" s="1163"/>
      <c r="K173" s="1163"/>
      <c r="L173" s="1163"/>
      <c r="M173" s="1163"/>
      <c r="N173" s="1163"/>
      <c r="O173" s="1163"/>
      <c r="P173" s="1163"/>
      <c r="Q173" s="1164"/>
      <c r="R173" s="1165"/>
      <c r="S173" s="1166"/>
      <c r="T173" s="841" t="s">
        <v>748</v>
      </c>
      <c r="U173" s="2511">
        <v>1</v>
      </c>
      <c r="V173" s="2511" t="s">
        <v>693</v>
      </c>
      <c r="W173" s="1760"/>
      <c r="X173" s="1760"/>
      <c r="Y173" s="1760"/>
      <c r="Z173" s="1760"/>
      <c r="AA173" s="1760"/>
      <c r="AB173" s="1760"/>
      <c r="AC173" s="1161"/>
      <c r="AD173" s="1162"/>
      <c r="AE173" s="1760"/>
      <c r="AF173" s="1760"/>
      <c r="AG173" s="1760"/>
      <c r="AH173" s="1760"/>
      <c r="AI173" s="1760"/>
      <c r="AJ173" s="1760"/>
      <c r="AK173" s="1760"/>
      <c r="AL173" s="1760"/>
      <c r="AM173" s="1760"/>
      <c r="AN173" s="1760"/>
      <c r="AO173" s="1760"/>
      <c r="AP173" s="1760"/>
      <c r="AQ173" s="1760"/>
      <c r="AR173" s="1760"/>
      <c r="AS173" s="1760"/>
      <c r="AT173" s="1760"/>
      <c r="AU173" s="1760"/>
      <c r="AV173" s="1760"/>
      <c r="AW173" s="1760"/>
      <c r="AX173" s="1760"/>
      <c r="AY173" s="1760"/>
      <c r="AZ173" s="1760"/>
      <c r="BA173" s="1760"/>
      <c r="BB173" s="1760"/>
      <c r="BC173" s="1760"/>
      <c r="BD173" s="1760"/>
      <c r="BE173" s="1760"/>
      <c r="BF173" s="1760"/>
      <c r="BG173" s="1760"/>
      <c r="BH173" s="1760"/>
      <c r="BI173" s="1760"/>
      <c r="BJ173" s="1760"/>
      <c r="BK173" s="1760"/>
      <c r="BL173" s="1760"/>
      <c r="BM173" s="1760"/>
      <c r="BN173" s="1760"/>
      <c r="BO173" s="1760"/>
      <c r="BP173" s="1760"/>
      <c r="BQ173" s="1760"/>
      <c r="BR173" s="1760"/>
      <c r="BS173" s="1760"/>
      <c r="BT173" s="1760"/>
      <c r="BU173" s="1760"/>
      <c r="BV173" s="1760"/>
      <c r="BW173" s="1760"/>
      <c r="BX173" s="1760"/>
      <c r="BY173" s="1760"/>
      <c r="BZ173" s="1760"/>
      <c r="CA173" s="1760"/>
      <c r="CB173" s="1760"/>
      <c r="CC173" s="1760"/>
      <c r="CD173" s="1760"/>
      <c r="CE173" s="1760"/>
      <c r="CF173" s="7914"/>
    </row>
    <row customHeight="1" ht="5.25" hidden="1">
      <c r="A174" s="1916"/>
      <c r="B174" s="1760"/>
      <c r="C174" s="1760"/>
      <c r="D174" s="2716"/>
      <c r="E174" s="759"/>
      <c r="F174" s="759"/>
      <c r="G174" s="759"/>
      <c r="H174" s="759"/>
      <c r="I174" s="759"/>
      <c r="J174" s="759"/>
      <c r="K174" s="759"/>
      <c r="L174" s="759"/>
      <c r="M174" s="759"/>
      <c r="N174" s="759"/>
      <c r="O174" s="759"/>
      <c r="P174" s="759"/>
      <c r="Q174" s="759"/>
      <c r="R174" s="759"/>
      <c r="S174" s="760"/>
      <c r="T174" s="842"/>
      <c r="U174" s="2511"/>
      <c r="V174" s="2511"/>
      <c r="W174" s="1760"/>
      <c r="X174" s="1760"/>
      <c r="Y174" s="1760"/>
      <c r="Z174" s="1760"/>
      <c r="AA174" s="1760"/>
      <c r="AB174" s="1760"/>
      <c r="AC174" s="1161"/>
      <c r="AD174" s="1162"/>
      <c r="AE174" s="1760"/>
      <c r="AF174" s="1760"/>
      <c r="AG174" s="1760"/>
      <c r="AH174" s="1760"/>
      <c r="AI174" s="1760"/>
      <c r="AJ174" s="1760"/>
      <c r="AK174" s="1760"/>
      <c r="AL174" s="1760"/>
      <c r="AM174" s="1760"/>
      <c r="AN174" s="1760"/>
      <c r="AO174" s="1760"/>
      <c r="AP174" s="1760"/>
      <c r="AQ174" s="1760"/>
      <c r="AR174" s="1760"/>
      <c r="AS174" s="1760"/>
      <c r="AT174" s="1760"/>
      <c r="AU174" s="1760"/>
      <c r="AV174" s="1760"/>
      <c r="AW174" s="1760"/>
      <c r="AX174" s="1760"/>
      <c r="AY174" s="1760"/>
      <c r="AZ174" s="1760"/>
      <c r="BA174" s="1760"/>
      <c r="BB174" s="1760"/>
      <c r="BC174" s="1760"/>
      <c r="BD174" s="1760"/>
      <c r="BE174" s="1760"/>
      <c r="BF174" s="1760"/>
      <c r="BG174" s="1760"/>
      <c r="BH174" s="1760"/>
      <c r="BI174" s="1760"/>
      <c r="BJ174" s="1760"/>
      <c r="BK174" s="1760"/>
      <c r="BL174" s="1760"/>
      <c r="BM174" s="1760"/>
      <c r="BN174" s="1760"/>
      <c r="BO174" s="1760"/>
      <c r="BP174" s="1760"/>
      <c r="BQ174" s="1760"/>
      <c r="BR174" s="1760"/>
      <c r="BS174" s="1760"/>
      <c r="BT174" s="1760"/>
      <c r="BU174" s="1760"/>
      <c r="BV174" s="1760"/>
      <c r="BW174" s="1760"/>
      <c r="BX174" s="1760"/>
      <c r="BY174" s="1760"/>
      <c r="BZ174" s="1760"/>
      <c r="CA174" s="1760"/>
      <c r="CB174" s="1760"/>
      <c r="CC174" s="1760"/>
      <c r="CD174" s="1760"/>
      <c r="CE174" s="1760"/>
      <c r="CF174" s="7914"/>
    </row>
    <row customHeight="1" ht="5.25" hidden="1">
      <c r="A175" s="1916"/>
      <c r="B175" s="1760"/>
      <c r="C175" s="1760"/>
      <c r="D175" s="2717"/>
      <c r="E175" s="1167"/>
      <c r="F175" s="1168"/>
      <c r="G175" s="1168"/>
      <c r="H175" s="1169"/>
      <c r="I175" s="1169"/>
      <c r="J175" s="1169"/>
      <c r="K175" s="1169"/>
      <c r="L175" s="1169"/>
      <c r="M175" s="1169"/>
      <c r="N175" s="1169"/>
      <c r="O175" s="1169"/>
      <c r="P175" s="1169"/>
      <c r="Q175" s="1169"/>
      <c r="R175" s="1070"/>
      <c r="S175" s="1170"/>
      <c r="T175" s="842"/>
      <c r="U175" s="2511"/>
      <c r="V175" s="2511"/>
      <c r="W175" s="1760"/>
      <c r="X175" s="1760"/>
      <c r="Y175" s="1760"/>
      <c r="Z175" s="1760"/>
      <c r="AA175" s="1760"/>
      <c r="AB175" s="1760"/>
      <c r="AC175" s="1161"/>
      <c r="AD175" s="1162"/>
      <c r="AE175" s="1760"/>
      <c r="AF175" s="1760"/>
      <c r="AG175" s="1760"/>
      <c r="AH175" s="1760"/>
      <c r="AI175" s="1760"/>
      <c r="AJ175" s="1760"/>
      <c r="AK175" s="1760"/>
      <c r="AL175" s="1760"/>
      <c r="AM175" s="1760"/>
      <c r="AN175" s="1760"/>
      <c r="AO175" s="1760"/>
      <c r="AP175" s="1760"/>
      <c r="AQ175" s="1760"/>
      <c r="AR175" s="1760"/>
      <c r="AS175" s="1760"/>
      <c r="AT175" s="1760"/>
      <c r="AU175" s="1760"/>
      <c r="AV175" s="1760"/>
      <c r="AW175" s="1760"/>
      <c r="AX175" s="1760"/>
      <c r="AY175" s="1760"/>
      <c r="AZ175" s="1760"/>
      <c r="BA175" s="1760"/>
      <c r="BB175" s="1760"/>
      <c r="BC175" s="1760"/>
      <c r="BD175" s="1760"/>
      <c r="BE175" s="1760"/>
      <c r="BF175" s="1760"/>
      <c r="BG175" s="1760"/>
      <c r="BH175" s="1760"/>
      <c r="BI175" s="1760"/>
      <c r="BJ175" s="1760"/>
      <c r="BK175" s="1760"/>
      <c r="BL175" s="1760"/>
      <c r="BM175" s="1760"/>
      <c r="BN175" s="1760"/>
      <c r="BO175" s="1760"/>
      <c r="BP175" s="1760"/>
      <c r="BQ175" s="1760"/>
      <c r="BR175" s="1760"/>
      <c r="BS175" s="1760"/>
      <c r="BT175" s="1760"/>
      <c r="BU175" s="1760"/>
      <c r="BV175" s="1760"/>
      <c r="BW175" s="1760"/>
      <c r="BX175" s="1760"/>
      <c r="BY175" s="1760"/>
      <c r="BZ175" s="1760"/>
      <c r="CA175" s="1760"/>
      <c r="CB175" s="1760"/>
      <c r="CC175" s="1760"/>
      <c r="CD175" s="1760"/>
      <c r="CE175" s="1760"/>
      <c r="CF175" s="7914"/>
    </row>
    <row customHeight="1" ht="15" hidden="1">
      <c r="A176" s="747" t="s">
        <v>236</v>
      </c>
      <c r="B176" s="748"/>
      <c r="C176" s="748" t="s">
        <v>22</v>
      </c>
      <c r="D176" s="2715" t="s">
        <v>768</v>
      </c>
      <c r="E176" s="2514" t="s">
        <v>206</v>
      </c>
      <c r="F176" s="2515"/>
      <c r="G176" s="2516"/>
      <c r="H176" s="2520" t="str">
        <f>IF(A176="","",INDEX(DIFFERENTIATION_UNMERGE_VD,MATCH(A176,DIFFERENTIATION_ID_DIFF,0)))</f>
        <v>Производство тепловой энергии. Некомбинированная выработка</v>
      </c>
      <c r="I176" s="2520"/>
      <c r="J176" s="2520"/>
      <c r="K176" s="2520"/>
      <c r="L176" s="2520"/>
      <c r="M176" s="2520"/>
      <c r="N176" s="2520"/>
      <c r="O176" s="2520"/>
      <c r="P176" s="2520"/>
      <c r="Q176" s="2520"/>
      <c r="R176" s="2520"/>
      <c r="S176" s="843"/>
      <c r="T176" s="840"/>
      <c r="U176" s="749"/>
      <c r="V176" s="749"/>
      <c r="W176" s="750"/>
      <c r="X176" s="750"/>
      <c r="Y176" s="750"/>
      <c r="Z176" s="750"/>
      <c r="AA176" s="751"/>
      <c r="AB176" s="752"/>
      <c r="AC176" s="2512"/>
      <c r="AD176" s="753"/>
      <c r="AE176" s="754" t="s">
        <v>22</v>
      </c>
      <c r="AF176" s="754"/>
      <c r="AG176" s="755" t="s">
        <v>745</v>
      </c>
      <c r="AH176" s="756">
        <v>3</v>
      </c>
      <c r="AI176" s="749"/>
      <c r="AJ176" s="749"/>
      <c r="AK176" s="749"/>
      <c r="AL176" s="749"/>
      <c r="AM176" s="749"/>
      <c r="AN176" s="749"/>
      <c r="AO176" s="749"/>
      <c r="AP176" s="749"/>
      <c r="AQ176" s="749"/>
      <c r="AR176" s="749"/>
      <c r="AS176" s="749"/>
      <c r="AT176" s="749"/>
      <c r="AU176" s="749"/>
      <c r="AV176" s="749"/>
      <c r="AW176" s="749"/>
      <c r="AX176" s="749"/>
      <c r="AY176" s="749"/>
      <c r="AZ176" s="749"/>
      <c r="BA176" s="749"/>
      <c r="BB176" s="749"/>
      <c r="BC176" s="749"/>
      <c r="BD176" s="749"/>
      <c r="BE176" s="749"/>
      <c r="BF176" s="749"/>
      <c r="BG176" s="749"/>
      <c r="BH176" s="749"/>
      <c r="BI176" s="749"/>
      <c r="BJ176" s="749"/>
      <c r="BK176" s="749"/>
      <c r="BL176" s="749"/>
      <c r="BM176" s="749"/>
      <c r="BN176" s="749"/>
      <c r="BO176" s="749"/>
      <c r="BP176" s="749"/>
      <c r="BQ176" s="749"/>
      <c r="BR176" s="749"/>
      <c r="BS176" s="749"/>
      <c r="BT176" s="749"/>
      <c r="BU176" s="749"/>
      <c r="BV176" s="750"/>
      <c r="BW176" s="750"/>
      <c r="BX176" s="750"/>
      <c r="BY176" s="750"/>
      <c r="BZ176" s="750"/>
      <c r="CA176" s="750"/>
      <c r="CB176" s="750"/>
      <c r="CC176" s="750"/>
      <c r="CD176" s="750"/>
      <c r="CE176" s="750"/>
      <c r="CF176" s="7954"/>
    </row>
    <row customHeight="1" ht="15" hidden="1">
      <c r="A177" s="747"/>
      <c r="B177" s="748"/>
      <c r="C177" s="748"/>
      <c r="D177" s="2716"/>
      <c r="E177" s="2514" t="s">
        <v>676</v>
      </c>
      <c r="F177" s="2515"/>
      <c r="G177" s="2516"/>
      <c r="H177" s="2520" t="str">
        <f>IF(A176="","",INDEX(DIFFERENTIATION_UNMERGE_AREA,MATCH(A176,DIFFERENTIATION_ID_DIFF,0)))</f>
        <v>Территория 19</v>
      </c>
      <c r="I177" s="2520"/>
      <c r="J177" s="2520"/>
      <c r="K177" s="2520"/>
      <c r="L177" s="2520"/>
      <c r="M177" s="2520"/>
      <c r="N177" s="2520"/>
      <c r="O177" s="2520"/>
      <c r="P177" s="2520"/>
      <c r="Q177" s="2520"/>
      <c r="R177" s="2520"/>
      <c r="S177" s="843"/>
      <c r="T177" s="840"/>
      <c r="U177" s="749"/>
      <c r="V177" s="749"/>
      <c r="W177" s="750"/>
      <c r="X177" s="750"/>
      <c r="Y177" s="750"/>
      <c r="Z177" s="750"/>
      <c r="AA177" s="751"/>
      <c r="AB177" s="752"/>
      <c r="AC177" s="2512"/>
      <c r="AD177" s="753"/>
      <c r="AE177" s="754"/>
      <c r="AF177" s="754"/>
      <c r="AG177" s="755"/>
      <c r="AH177" s="756"/>
      <c r="AI177" s="749"/>
      <c r="AJ177" s="749"/>
      <c r="AK177" s="749"/>
      <c r="AL177" s="749"/>
      <c r="AM177" s="749"/>
      <c r="AN177" s="749"/>
      <c r="AO177" s="749"/>
      <c r="AP177" s="749"/>
      <c r="AQ177" s="749"/>
      <c r="AR177" s="749"/>
      <c r="AS177" s="749"/>
      <c r="AT177" s="749"/>
      <c r="AU177" s="749"/>
      <c r="AV177" s="749"/>
      <c r="AW177" s="749"/>
      <c r="AX177" s="749"/>
      <c r="AY177" s="749"/>
      <c r="AZ177" s="749"/>
      <c r="BA177" s="749"/>
      <c r="BB177" s="749"/>
      <c r="BC177" s="749"/>
      <c r="BD177" s="749"/>
      <c r="BE177" s="749"/>
      <c r="BF177" s="749"/>
      <c r="BG177" s="749"/>
      <c r="BH177" s="749"/>
      <c r="BI177" s="749"/>
      <c r="BJ177" s="749"/>
      <c r="BK177" s="749"/>
      <c r="BL177" s="749"/>
      <c r="BM177" s="749"/>
      <c r="BN177" s="749"/>
      <c r="BO177" s="749"/>
      <c r="BP177" s="749"/>
      <c r="BQ177" s="749"/>
      <c r="BR177" s="749"/>
      <c r="BS177" s="749"/>
      <c r="BT177" s="749"/>
      <c r="BU177" s="749"/>
      <c r="BV177" s="750"/>
      <c r="BW177" s="750"/>
      <c r="BX177" s="750"/>
      <c r="BY177" s="750"/>
      <c r="BZ177" s="750"/>
      <c r="CA177" s="750"/>
      <c r="CB177" s="750"/>
      <c r="CC177" s="750"/>
      <c r="CD177" s="750"/>
      <c r="CE177" s="750"/>
      <c r="CF177" s="7954"/>
    </row>
    <row customHeight="1" ht="15" hidden="1">
      <c r="A178" s="747"/>
      <c r="B178" s="748"/>
      <c r="C178" s="748"/>
      <c r="D178" s="2716"/>
      <c r="E178" s="2514" t="s">
        <v>677</v>
      </c>
      <c r="F178" s="2515"/>
      <c r="G178" s="2516"/>
      <c r="H178" s="2520" t="str">
        <f>IF(A176="","",INDEX(DIFFERENTIATION_UNMERGE_SYSTEM,MATCH(A176,DIFFERENTIATION_ID_DIFF,0)))</f>
        <v>без дифференциации</v>
      </c>
      <c r="I178" s="2520"/>
      <c r="J178" s="2520"/>
      <c r="K178" s="2520"/>
      <c r="L178" s="2520"/>
      <c r="M178" s="2520"/>
      <c r="N178" s="2520"/>
      <c r="O178" s="2520"/>
      <c r="P178" s="2520"/>
      <c r="Q178" s="2520"/>
      <c r="R178" s="2520"/>
      <c r="S178" s="843"/>
      <c r="T178" s="840"/>
      <c r="U178" s="749"/>
      <c r="V178" s="749"/>
      <c r="W178" s="750"/>
      <c r="X178" s="750"/>
      <c r="Y178" s="750"/>
      <c r="Z178" s="750"/>
      <c r="AA178" s="751"/>
      <c r="AB178" s="752"/>
      <c r="AC178" s="2512"/>
      <c r="AD178" s="753"/>
      <c r="AE178" s="754"/>
      <c r="AF178" s="754"/>
      <c r="AG178" s="755"/>
      <c r="AH178" s="756"/>
      <c r="AI178" s="749"/>
      <c r="AJ178" s="749"/>
      <c r="AK178" s="749"/>
      <c r="AL178" s="749"/>
      <c r="AM178" s="749"/>
      <c r="AN178" s="749"/>
      <c r="AO178" s="749"/>
      <c r="AP178" s="749"/>
      <c r="AQ178" s="749"/>
      <c r="AR178" s="749"/>
      <c r="AS178" s="749"/>
      <c r="AT178" s="749"/>
      <c r="AU178" s="749"/>
      <c r="AV178" s="749"/>
      <c r="AW178" s="749"/>
      <c r="AX178" s="749"/>
      <c r="AY178" s="749"/>
      <c r="AZ178" s="749"/>
      <c r="BA178" s="749"/>
      <c r="BB178" s="749"/>
      <c r="BC178" s="749"/>
      <c r="BD178" s="749"/>
      <c r="BE178" s="749"/>
      <c r="BF178" s="749"/>
      <c r="BG178" s="749"/>
      <c r="BH178" s="749"/>
      <c r="BI178" s="749"/>
      <c r="BJ178" s="749"/>
      <c r="BK178" s="749"/>
      <c r="BL178" s="749"/>
      <c r="BM178" s="749"/>
      <c r="BN178" s="749"/>
      <c r="BO178" s="749"/>
      <c r="BP178" s="749"/>
      <c r="BQ178" s="749"/>
      <c r="BR178" s="749"/>
      <c r="BS178" s="749"/>
      <c r="BT178" s="749"/>
      <c r="BU178" s="749"/>
      <c r="BV178" s="750"/>
      <c r="BW178" s="750"/>
      <c r="BX178" s="750"/>
      <c r="BY178" s="750"/>
      <c r="BZ178" s="750"/>
      <c r="CA178" s="750"/>
      <c r="CB178" s="750"/>
      <c r="CC178" s="750"/>
      <c r="CD178" s="750"/>
      <c r="CE178" s="750"/>
      <c r="CF178" s="7954"/>
    </row>
    <row customHeight="1" ht="24.75" hidden="1">
      <c r="A179" s="1929"/>
      <c r="B179" s="1284"/>
      <c r="C179" s="536"/>
      <c r="D179" s="2716"/>
      <c r="E179" s="2513" t="s">
        <v>746</v>
      </c>
      <c r="F179" s="2513"/>
      <c r="G179" s="2513"/>
      <c r="H179" s="2513"/>
      <c r="I179" s="2513"/>
      <c r="J179" s="2513"/>
      <c r="K179" s="2513"/>
      <c r="L179" s="2513"/>
      <c r="M179" s="2513"/>
      <c r="N179" s="2513"/>
      <c r="O179" s="2513"/>
      <c r="P179" s="2513"/>
      <c r="Q179" s="682">
        <f>SUMIF(T180:T181,"i",Q180:Q181)</f>
        <v>0</v>
      </c>
      <c r="R179" s="1141"/>
      <c r="S179" s="1921" t="s">
        <v>747</v>
      </c>
      <c r="T179" s="841" t="s">
        <v>748</v>
      </c>
      <c r="U179" s="2511">
        <v>1</v>
      </c>
      <c r="V179" s="2511" t="str">
        <f>INDEX(B_FHD_FLAG_INDEX_1,1,MATCH(A176,B_FHD_FLAG_DIFFERENTIATION,0))</f>
        <v>отсутствует</v>
      </c>
      <c r="W179" s="1284"/>
      <c r="X179" s="1284"/>
      <c r="Y179" s="1284"/>
      <c r="Z179" s="1284"/>
      <c r="AA179" s="1760"/>
      <c r="AB179" s="1284"/>
      <c r="AC179" s="2512"/>
      <c r="AD179" s="753"/>
      <c r="AE179" s="1284"/>
      <c r="AF179" s="1284"/>
      <c r="AG179" s="1760"/>
      <c r="AH179" s="1760"/>
      <c r="AI179" s="1760"/>
      <c r="AJ179" s="1760"/>
      <c r="AK179" s="1760"/>
      <c r="AL179" s="1760"/>
      <c r="AM179" s="1760"/>
      <c r="AN179" s="1760"/>
      <c r="AO179" s="1760"/>
      <c r="AP179" s="1760"/>
      <c r="AQ179" s="1760"/>
      <c r="AR179" s="1760"/>
      <c r="AS179" s="1760"/>
      <c r="AT179" s="1760"/>
      <c r="AU179" s="1760"/>
      <c r="AV179" s="1760"/>
      <c r="AW179" s="1760"/>
      <c r="AX179" s="1760"/>
      <c r="AY179" s="1760"/>
      <c r="AZ179" s="1760"/>
      <c r="BA179" s="1760"/>
      <c r="BB179" s="1760"/>
      <c r="BC179" s="1760"/>
      <c r="BD179" s="1760"/>
      <c r="BE179" s="1760"/>
      <c r="BF179" s="1760"/>
      <c r="BG179" s="1760"/>
      <c r="BH179" s="1760"/>
      <c r="BI179" s="1760"/>
      <c r="BJ179" s="1760"/>
      <c r="BK179" s="1760"/>
      <c r="BL179" s="1760"/>
      <c r="BM179" s="1760"/>
      <c r="BN179" s="1760"/>
      <c r="BO179" s="1760"/>
      <c r="BP179" s="1760"/>
      <c r="BQ179" s="1760"/>
      <c r="BR179" s="1760"/>
      <c r="BS179" s="1760"/>
      <c r="BT179" s="1760"/>
      <c r="BU179" s="1760"/>
      <c r="BV179" s="1284"/>
      <c r="BW179" s="1284"/>
      <c r="BX179" s="1284"/>
      <c r="BY179" s="1284"/>
      <c r="BZ179" s="1284"/>
      <c r="CA179" s="1284"/>
      <c r="CB179" s="1284"/>
      <c r="CC179" s="1284"/>
      <c r="CD179" s="1284"/>
      <c r="CE179" s="1284"/>
      <c r="CF179" s="7954"/>
    </row>
    <row customHeight="1" ht="11.25" hidden="1">
      <c r="A180" s="1916"/>
      <c r="B180" s="1760"/>
      <c r="C180" s="1760"/>
      <c r="D180" s="2716"/>
      <c r="E180" s="759"/>
      <c r="F180" s="759">
        <v>0</v>
      </c>
      <c r="G180" s="759"/>
      <c r="H180" s="759"/>
      <c r="I180" s="759"/>
      <c r="J180" s="759"/>
      <c r="K180" s="759"/>
      <c r="L180" s="759"/>
      <c r="M180" s="759"/>
      <c r="N180" s="759"/>
      <c r="O180" s="759"/>
      <c r="P180" s="759"/>
      <c r="Q180" s="759"/>
      <c r="R180" s="759"/>
      <c r="S180" s="760"/>
      <c r="T180" s="842"/>
      <c r="U180" s="2511"/>
      <c r="V180" s="2511"/>
      <c r="W180" s="1760"/>
      <c r="X180" s="1760"/>
      <c r="Y180" s="1760"/>
      <c r="Z180" s="1760"/>
      <c r="AA180" s="1760"/>
      <c r="AB180" s="1284"/>
      <c r="AC180" s="2512"/>
      <c r="AD180" s="753"/>
      <c r="AE180" s="1284"/>
      <c r="AF180" s="1284"/>
      <c r="AG180" s="1760"/>
      <c r="AH180" s="1760"/>
      <c r="AI180" s="1760"/>
      <c r="AJ180" s="1760"/>
      <c r="AK180" s="1760"/>
      <c r="AL180" s="1760"/>
      <c r="AM180" s="1760"/>
      <c r="AN180" s="1760"/>
      <c r="AO180" s="1760"/>
      <c r="AP180" s="1760"/>
      <c r="AQ180" s="1760"/>
      <c r="AR180" s="1760"/>
      <c r="AS180" s="1760"/>
      <c r="AT180" s="1760"/>
      <c r="AU180" s="1760"/>
      <c r="AV180" s="1760"/>
      <c r="AW180" s="1760"/>
      <c r="AX180" s="1760"/>
      <c r="AY180" s="1760"/>
      <c r="AZ180" s="1760"/>
      <c r="BA180" s="1760"/>
      <c r="BB180" s="1760"/>
      <c r="BC180" s="1760"/>
      <c r="BD180" s="1760"/>
      <c r="BE180" s="1760"/>
      <c r="BF180" s="1760"/>
      <c r="BG180" s="1760"/>
      <c r="BH180" s="1760"/>
      <c r="BI180" s="1760"/>
      <c r="BJ180" s="1760"/>
      <c r="BK180" s="1760"/>
      <c r="BL180" s="1760"/>
      <c r="BM180" s="1760"/>
      <c r="BN180" s="1760"/>
      <c r="BO180" s="1760"/>
      <c r="BP180" s="1760"/>
      <c r="BQ180" s="1760"/>
      <c r="BR180" s="1760"/>
      <c r="BS180" s="1760"/>
      <c r="BT180" s="1760"/>
      <c r="BU180" s="1760"/>
      <c r="BV180" s="1760"/>
      <c r="BW180" s="1760"/>
      <c r="BX180" s="1760"/>
      <c r="BY180" s="1760"/>
      <c r="BZ180" s="1760"/>
      <c r="CA180" s="1760"/>
      <c r="CB180" s="1760"/>
      <c r="CC180" s="1760"/>
      <c r="CD180" s="1760"/>
      <c r="CE180" s="1760"/>
      <c r="CF180" s="7954"/>
    </row>
    <row customHeight="1" ht="11.25" hidden="1">
      <c r="A181" s="1929"/>
      <c r="B181" s="1284"/>
      <c r="C181" s="536"/>
      <c r="D181" s="2716"/>
      <c r="E181" s="773" t="s">
        <v>22</v>
      </c>
      <c r="F181" s="1292" t="s">
        <v>22</v>
      </c>
      <c r="G181" s="1292" t="s">
        <v>751</v>
      </c>
      <c r="H181" s="775" t="s">
        <v>22</v>
      </c>
      <c r="I181" s="775"/>
      <c r="J181" s="775"/>
      <c r="K181" s="775"/>
      <c r="L181" s="775"/>
      <c r="M181" s="775"/>
      <c r="N181" s="775"/>
      <c r="O181" s="775"/>
      <c r="P181" s="775"/>
      <c r="Q181" s="775"/>
      <c r="R181" s="776"/>
      <c r="S181" s="777"/>
      <c r="T181" s="842"/>
      <c r="U181" s="2511"/>
      <c r="V181" s="2511"/>
      <c r="W181" s="1284"/>
      <c r="X181" s="1284"/>
      <c r="Y181" s="1284"/>
      <c r="Z181" s="1284"/>
      <c r="AA181" s="1760"/>
      <c r="AB181" s="1284"/>
      <c r="AC181" s="2512"/>
      <c r="AD181" s="753"/>
      <c r="AE181" s="1284"/>
      <c r="AF181" s="1284"/>
      <c r="AG181" s="1760"/>
      <c r="AH181" s="1760"/>
      <c r="AI181" s="1760"/>
      <c r="AJ181" s="1760"/>
      <c r="AK181" s="1760"/>
      <c r="AL181" s="1760"/>
      <c r="AM181" s="1760"/>
      <c r="AN181" s="1760"/>
      <c r="AO181" s="1760"/>
      <c r="AP181" s="1760"/>
      <c r="AQ181" s="1760"/>
      <c r="AR181" s="1760"/>
      <c r="AS181" s="1760"/>
      <c r="AT181" s="1760"/>
      <c r="AU181" s="1760"/>
      <c r="AV181" s="1760"/>
      <c r="AW181" s="1760"/>
      <c r="AX181" s="1760"/>
      <c r="AY181" s="1760"/>
      <c r="AZ181" s="1760"/>
      <c r="BA181" s="1760"/>
      <c r="BB181" s="1760"/>
      <c r="BC181" s="1760"/>
      <c r="BD181" s="1760"/>
      <c r="BE181" s="1760"/>
      <c r="BF181" s="1760"/>
      <c r="BG181" s="1760"/>
      <c r="BH181" s="1760"/>
      <c r="BI181" s="1760"/>
      <c r="BJ181" s="1760"/>
      <c r="BK181" s="1760"/>
      <c r="BL181" s="1760"/>
      <c r="BM181" s="1760"/>
      <c r="BN181" s="1760"/>
      <c r="BO181" s="1760"/>
      <c r="BP181" s="1760"/>
      <c r="BQ181" s="1760"/>
      <c r="BR181" s="1760"/>
      <c r="BS181" s="1760"/>
      <c r="BT181" s="1760"/>
      <c r="BU181" s="1760"/>
      <c r="BV181" s="1284"/>
      <c r="BW181" s="1284"/>
      <c r="BX181" s="1284"/>
      <c r="BY181" s="1284"/>
      <c r="BZ181" s="1284"/>
      <c r="CA181" s="1284"/>
      <c r="CB181" s="1284"/>
      <c r="CC181" s="1284"/>
      <c r="CD181" s="1284"/>
      <c r="CE181" s="1284"/>
      <c r="CF181" s="7954"/>
    </row>
    <row customHeight="1" ht="5.25" hidden="1">
      <c r="A182" s="1916"/>
      <c r="B182" s="1760"/>
      <c r="C182" s="1760"/>
      <c r="D182" s="2716"/>
      <c r="E182" s="1163"/>
      <c r="F182" s="1163"/>
      <c r="G182" s="1163"/>
      <c r="H182" s="1163"/>
      <c r="I182" s="1163"/>
      <c r="J182" s="1163"/>
      <c r="K182" s="1163"/>
      <c r="L182" s="1163"/>
      <c r="M182" s="1163"/>
      <c r="N182" s="1163"/>
      <c r="O182" s="1163"/>
      <c r="P182" s="1163"/>
      <c r="Q182" s="1164"/>
      <c r="R182" s="1165"/>
      <c r="S182" s="1166"/>
      <c r="T182" s="841" t="s">
        <v>748</v>
      </c>
      <c r="U182" s="2511">
        <v>1</v>
      </c>
      <c r="V182" s="2511" t="s">
        <v>693</v>
      </c>
      <c r="W182" s="1760"/>
      <c r="X182" s="1760"/>
      <c r="Y182" s="1760"/>
      <c r="Z182" s="1760"/>
      <c r="AA182" s="1760"/>
      <c r="AB182" s="1760"/>
      <c r="AC182" s="1161"/>
      <c r="AD182" s="1162"/>
      <c r="AE182" s="1760"/>
      <c r="AF182" s="1760"/>
      <c r="AG182" s="1760"/>
      <c r="AH182" s="1760"/>
      <c r="AI182" s="1760"/>
      <c r="AJ182" s="1760"/>
      <c r="AK182" s="1760"/>
      <c r="AL182" s="1760"/>
      <c r="AM182" s="1760"/>
      <c r="AN182" s="1760"/>
      <c r="AO182" s="1760"/>
      <c r="AP182" s="1760"/>
      <c r="AQ182" s="1760"/>
      <c r="AR182" s="1760"/>
      <c r="AS182" s="1760"/>
      <c r="AT182" s="1760"/>
      <c r="AU182" s="1760"/>
      <c r="AV182" s="1760"/>
      <c r="AW182" s="1760"/>
      <c r="AX182" s="1760"/>
      <c r="AY182" s="1760"/>
      <c r="AZ182" s="1760"/>
      <c r="BA182" s="1760"/>
      <c r="BB182" s="1760"/>
      <c r="BC182" s="1760"/>
      <c r="BD182" s="1760"/>
      <c r="BE182" s="1760"/>
      <c r="BF182" s="1760"/>
      <c r="BG182" s="1760"/>
      <c r="BH182" s="1760"/>
      <c r="BI182" s="1760"/>
      <c r="BJ182" s="1760"/>
      <c r="BK182" s="1760"/>
      <c r="BL182" s="1760"/>
      <c r="BM182" s="1760"/>
      <c r="BN182" s="1760"/>
      <c r="BO182" s="1760"/>
      <c r="BP182" s="1760"/>
      <c r="BQ182" s="1760"/>
      <c r="BR182" s="1760"/>
      <c r="BS182" s="1760"/>
      <c r="BT182" s="1760"/>
      <c r="BU182" s="1760"/>
      <c r="BV182" s="1760"/>
      <c r="BW182" s="1760"/>
      <c r="BX182" s="1760"/>
      <c r="BY182" s="1760"/>
      <c r="BZ182" s="1760"/>
      <c r="CA182" s="1760"/>
      <c r="CB182" s="1760"/>
      <c r="CC182" s="1760"/>
      <c r="CD182" s="1760"/>
      <c r="CE182" s="1760"/>
      <c r="CF182" s="7914"/>
    </row>
    <row customHeight="1" ht="5.25" hidden="1">
      <c r="A183" s="1916"/>
      <c r="B183" s="1760"/>
      <c r="C183" s="1760"/>
      <c r="D183" s="2716"/>
      <c r="E183" s="759"/>
      <c r="F183" s="759"/>
      <c r="G183" s="759"/>
      <c r="H183" s="759"/>
      <c r="I183" s="759"/>
      <c r="J183" s="759"/>
      <c r="K183" s="759"/>
      <c r="L183" s="759"/>
      <c r="M183" s="759"/>
      <c r="N183" s="759"/>
      <c r="O183" s="759"/>
      <c r="P183" s="759"/>
      <c r="Q183" s="759"/>
      <c r="R183" s="759"/>
      <c r="S183" s="760"/>
      <c r="T183" s="842"/>
      <c r="U183" s="2511"/>
      <c r="V183" s="2511"/>
      <c r="W183" s="1760"/>
      <c r="X183" s="1760"/>
      <c r="Y183" s="1760"/>
      <c r="Z183" s="1760"/>
      <c r="AA183" s="1760"/>
      <c r="AB183" s="1760"/>
      <c r="AC183" s="1161"/>
      <c r="AD183" s="1162"/>
      <c r="AE183" s="1760"/>
      <c r="AF183" s="1760"/>
      <c r="AG183" s="1760"/>
      <c r="AH183" s="1760"/>
      <c r="AI183" s="1760"/>
      <c r="AJ183" s="1760"/>
      <c r="AK183" s="1760"/>
      <c r="AL183" s="1760"/>
      <c r="AM183" s="1760"/>
      <c r="AN183" s="1760"/>
      <c r="AO183" s="1760"/>
      <c r="AP183" s="1760"/>
      <c r="AQ183" s="1760"/>
      <c r="AR183" s="1760"/>
      <c r="AS183" s="1760"/>
      <c r="AT183" s="1760"/>
      <c r="AU183" s="1760"/>
      <c r="AV183" s="1760"/>
      <c r="AW183" s="1760"/>
      <c r="AX183" s="1760"/>
      <c r="AY183" s="1760"/>
      <c r="AZ183" s="1760"/>
      <c r="BA183" s="1760"/>
      <c r="BB183" s="1760"/>
      <c r="BC183" s="1760"/>
      <c r="BD183" s="1760"/>
      <c r="BE183" s="1760"/>
      <c r="BF183" s="1760"/>
      <c r="BG183" s="1760"/>
      <c r="BH183" s="1760"/>
      <c r="BI183" s="1760"/>
      <c r="BJ183" s="1760"/>
      <c r="BK183" s="1760"/>
      <c r="BL183" s="1760"/>
      <c r="BM183" s="1760"/>
      <c r="BN183" s="1760"/>
      <c r="BO183" s="1760"/>
      <c r="BP183" s="1760"/>
      <c r="BQ183" s="1760"/>
      <c r="BR183" s="1760"/>
      <c r="BS183" s="1760"/>
      <c r="BT183" s="1760"/>
      <c r="BU183" s="1760"/>
      <c r="BV183" s="1760"/>
      <c r="BW183" s="1760"/>
      <c r="BX183" s="1760"/>
      <c r="BY183" s="1760"/>
      <c r="BZ183" s="1760"/>
      <c r="CA183" s="1760"/>
      <c r="CB183" s="1760"/>
      <c r="CC183" s="1760"/>
      <c r="CD183" s="1760"/>
      <c r="CE183" s="1760"/>
      <c r="CF183" s="7914"/>
    </row>
    <row customHeight="1" ht="5.25" hidden="1">
      <c r="A184" s="1916"/>
      <c r="B184" s="1760"/>
      <c r="C184" s="1760"/>
      <c r="D184" s="2717"/>
      <c r="E184" s="1167"/>
      <c r="F184" s="1168"/>
      <c r="G184" s="1168"/>
      <c r="H184" s="1169"/>
      <c r="I184" s="1169"/>
      <c r="J184" s="1169"/>
      <c r="K184" s="1169"/>
      <c r="L184" s="1169"/>
      <c r="M184" s="1169"/>
      <c r="N184" s="1169"/>
      <c r="O184" s="1169"/>
      <c r="P184" s="1169"/>
      <c r="Q184" s="1169"/>
      <c r="R184" s="1070"/>
      <c r="S184" s="1170"/>
      <c r="T184" s="842"/>
      <c r="U184" s="2511"/>
      <c r="V184" s="2511"/>
      <c r="W184" s="1760"/>
      <c r="X184" s="1760"/>
      <c r="Y184" s="1760"/>
      <c r="Z184" s="1760"/>
      <c r="AA184" s="1760"/>
      <c r="AB184" s="1760"/>
      <c r="AC184" s="1161"/>
      <c r="AD184" s="1162"/>
      <c r="AE184" s="1760"/>
      <c r="AF184" s="1760"/>
      <c r="AG184" s="1760"/>
      <c r="AH184" s="1760"/>
      <c r="AI184" s="1760"/>
      <c r="AJ184" s="1760"/>
      <c r="AK184" s="1760"/>
      <c r="AL184" s="1760"/>
      <c r="AM184" s="1760"/>
      <c r="AN184" s="1760"/>
      <c r="AO184" s="1760"/>
      <c r="AP184" s="1760"/>
      <c r="AQ184" s="1760"/>
      <c r="AR184" s="1760"/>
      <c r="AS184" s="1760"/>
      <c r="AT184" s="1760"/>
      <c r="AU184" s="1760"/>
      <c r="AV184" s="1760"/>
      <c r="AW184" s="1760"/>
      <c r="AX184" s="1760"/>
      <c r="AY184" s="1760"/>
      <c r="AZ184" s="1760"/>
      <c r="BA184" s="1760"/>
      <c r="BB184" s="1760"/>
      <c r="BC184" s="1760"/>
      <c r="BD184" s="1760"/>
      <c r="BE184" s="1760"/>
      <c r="BF184" s="1760"/>
      <c r="BG184" s="1760"/>
      <c r="BH184" s="1760"/>
      <c r="BI184" s="1760"/>
      <c r="BJ184" s="1760"/>
      <c r="BK184" s="1760"/>
      <c r="BL184" s="1760"/>
      <c r="BM184" s="1760"/>
      <c r="BN184" s="1760"/>
      <c r="BO184" s="1760"/>
      <c r="BP184" s="1760"/>
      <c r="BQ184" s="1760"/>
      <c r="BR184" s="1760"/>
      <c r="BS184" s="1760"/>
      <c r="BT184" s="1760"/>
      <c r="BU184" s="1760"/>
      <c r="BV184" s="1760"/>
      <c r="BW184" s="1760"/>
      <c r="BX184" s="1760"/>
      <c r="BY184" s="1760"/>
      <c r="BZ184" s="1760"/>
      <c r="CA184" s="1760"/>
      <c r="CB184" s="1760"/>
      <c r="CC184" s="1760"/>
      <c r="CD184" s="1760"/>
      <c r="CE184" s="1760"/>
      <c r="CF184" s="7914"/>
    </row>
    <row customHeight="1" ht="15" hidden="1">
      <c r="A185" s="747" t="s">
        <v>237</v>
      </c>
      <c r="B185" s="748"/>
      <c r="C185" s="748" t="s">
        <v>22</v>
      </c>
      <c r="D185" s="2715" t="s">
        <v>769</v>
      </c>
      <c r="E185" s="2514" t="s">
        <v>206</v>
      </c>
      <c r="F185" s="2515"/>
      <c r="G185" s="2516"/>
      <c r="H185" s="2520" t="str">
        <f>IF(A185="","",INDEX(DIFFERENTIATION_UNMERGE_VD,MATCH(A185,DIFFERENTIATION_ID_DIFF,0)))</f>
        <v>Производство тепловой энергии. Некомбинированная выработка</v>
      </c>
      <c r="I185" s="2520"/>
      <c r="J185" s="2520"/>
      <c r="K185" s="2520"/>
      <c r="L185" s="2520"/>
      <c r="M185" s="2520"/>
      <c r="N185" s="2520"/>
      <c r="O185" s="2520"/>
      <c r="P185" s="2520"/>
      <c r="Q185" s="2520"/>
      <c r="R185" s="2520"/>
      <c r="S185" s="843"/>
      <c r="T185" s="840"/>
      <c r="U185" s="749"/>
      <c r="V185" s="749"/>
      <c r="W185" s="750"/>
      <c r="X185" s="750"/>
      <c r="Y185" s="750"/>
      <c r="Z185" s="750"/>
      <c r="AA185" s="751"/>
      <c r="AB185" s="752"/>
      <c r="AC185" s="2512"/>
      <c r="AD185" s="753"/>
      <c r="AE185" s="754" t="s">
        <v>22</v>
      </c>
      <c r="AF185" s="754"/>
      <c r="AG185" s="755" t="s">
        <v>745</v>
      </c>
      <c r="AH185" s="756">
        <v>3</v>
      </c>
      <c r="AI185" s="749"/>
      <c r="AJ185" s="749"/>
      <c r="AK185" s="749"/>
      <c r="AL185" s="749"/>
      <c r="AM185" s="749"/>
      <c r="AN185" s="749"/>
      <c r="AO185" s="749"/>
      <c r="AP185" s="749"/>
      <c r="AQ185" s="749"/>
      <c r="AR185" s="749"/>
      <c r="AS185" s="749"/>
      <c r="AT185" s="749"/>
      <c r="AU185" s="749"/>
      <c r="AV185" s="749"/>
      <c r="AW185" s="749"/>
      <c r="AX185" s="749"/>
      <c r="AY185" s="749"/>
      <c r="AZ185" s="749"/>
      <c r="BA185" s="749"/>
      <c r="BB185" s="749"/>
      <c r="BC185" s="749"/>
      <c r="BD185" s="749"/>
      <c r="BE185" s="749"/>
      <c r="BF185" s="749"/>
      <c r="BG185" s="749"/>
      <c r="BH185" s="749"/>
      <c r="BI185" s="749"/>
      <c r="BJ185" s="749"/>
      <c r="BK185" s="749"/>
      <c r="BL185" s="749"/>
      <c r="BM185" s="749"/>
      <c r="BN185" s="749"/>
      <c r="BO185" s="749"/>
      <c r="BP185" s="749"/>
      <c r="BQ185" s="749"/>
      <c r="BR185" s="749"/>
      <c r="BS185" s="749"/>
      <c r="BT185" s="749"/>
      <c r="BU185" s="749"/>
      <c r="BV185" s="750"/>
      <c r="BW185" s="750"/>
      <c r="BX185" s="750"/>
      <c r="BY185" s="750"/>
      <c r="BZ185" s="750"/>
      <c r="CA185" s="750"/>
      <c r="CB185" s="750"/>
      <c r="CC185" s="750"/>
      <c r="CD185" s="750"/>
      <c r="CE185" s="750"/>
      <c r="CF185" s="7954"/>
    </row>
    <row customHeight="1" ht="15" hidden="1">
      <c r="A186" s="747"/>
      <c r="B186" s="748"/>
      <c r="C186" s="748"/>
      <c r="D186" s="2716"/>
      <c r="E186" s="2514" t="s">
        <v>676</v>
      </c>
      <c r="F186" s="2515"/>
      <c r="G186" s="2516"/>
      <c r="H186" s="2520" t="str">
        <f>IF(A185="","",INDEX(DIFFERENTIATION_UNMERGE_AREA,MATCH(A185,DIFFERENTIATION_ID_DIFF,0)))</f>
        <v>Территория 20</v>
      </c>
      <c r="I186" s="2520"/>
      <c r="J186" s="2520"/>
      <c r="K186" s="2520"/>
      <c r="L186" s="2520"/>
      <c r="M186" s="2520"/>
      <c r="N186" s="2520"/>
      <c r="O186" s="2520"/>
      <c r="P186" s="2520"/>
      <c r="Q186" s="2520"/>
      <c r="R186" s="2520"/>
      <c r="S186" s="843"/>
      <c r="T186" s="840"/>
      <c r="U186" s="749"/>
      <c r="V186" s="749"/>
      <c r="W186" s="750"/>
      <c r="X186" s="750"/>
      <c r="Y186" s="750"/>
      <c r="Z186" s="750"/>
      <c r="AA186" s="751"/>
      <c r="AB186" s="752"/>
      <c r="AC186" s="2512"/>
      <c r="AD186" s="753"/>
      <c r="AE186" s="754"/>
      <c r="AF186" s="754"/>
      <c r="AG186" s="755"/>
      <c r="AH186" s="756"/>
      <c r="AI186" s="749"/>
      <c r="AJ186" s="749"/>
      <c r="AK186" s="749"/>
      <c r="AL186" s="749"/>
      <c r="AM186" s="749"/>
      <c r="AN186" s="749"/>
      <c r="AO186" s="749"/>
      <c r="AP186" s="749"/>
      <c r="AQ186" s="749"/>
      <c r="AR186" s="749"/>
      <c r="AS186" s="749"/>
      <c r="AT186" s="749"/>
      <c r="AU186" s="749"/>
      <c r="AV186" s="749"/>
      <c r="AW186" s="749"/>
      <c r="AX186" s="749"/>
      <c r="AY186" s="749"/>
      <c r="AZ186" s="749"/>
      <c r="BA186" s="749"/>
      <c r="BB186" s="749"/>
      <c r="BC186" s="749"/>
      <c r="BD186" s="749"/>
      <c r="BE186" s="749"/>
      <c r="BF186" s="749"/>
      <c r="BG186" s="749"/>
      <c r="BH186" s="749"/>
      <c r="BI186" s="749"/>
      <c r="BJ186" s="749"/>
      <c r="BK186" s="749"/>
      <c r="BL186" s="749"/>
      <c r="BM186" s="749"/>
      <c r="BN186" s="749"/>
      <c r="BO186" s="749"/>
      <c r="BP186" s="749"/>
      <c r="BQ186" s="749"/>
      <c r="BR186" s="749"/>
      <c r="BS186" s="749"/>
      <c r="BT186" s="749"/>
      <c r="BU186" s="749"/>
      <c r="BV186" s="750"/>
      <c r="BW186" s="750"/>
      <c r="BX186" s="750"/>
      <c r="BY186" s="750"/>
      <c r="BZ186" s="750"/>
      <c r="CA186" s="750"/>
      <c r="CB186" s="750"/>
      <c r="CC186" s="750"/>
      <c r="CD186" s="750"/>
      <c r="CE186" s="750"/>
      <c r="CF186" s="7954"/>
    </row>
    <row customHeight="1" ht="15" hidden="1">
      <c r="A187" s="747"/>
      <c r="B187" s="748"/>
      <c r="C187" s="748"/>
      <c r="D187" s="2716"/>
      <c r="E187" s="2514" t="s">
        <v>677</v>
      </c>
      <c r="F187" s="2515"/>
      <c r="G187" s="2516"/>
      <c r="H187" s="2520" t="str">
        <f>IF(A185="","",INDEX(DIFFERENTIATION_UNMERGE_SYSTEM,MATCH(A185,DIFFERENTIATION_ID_DIFF,0)))</f>
        <v>без дифференциации</v>
      </c>
      <c r="I187" s="2520"/>
      <c r="J187" s="2520"/>
      <c r="K187" s="2520"/>
      <c r="L187" s="2520"/>
      <c r="M187" s="2520"/>
      <c r="N187" s="2520"/>
      <c r="O187" s="2520"/>
      <c r="P187" s="2520"/>
      <c r="Q187" s="2520"/>
      <c r="R187" s="2520"/>
      <c r="S187" s="843"/>
      <c r="T187" s="840"/>
      <c r="U187" s="749"/>
      <c r="V187" s="749"/>
      <c r="W187" s="750"/>
      <c r="X187" s="750"/>
      <c r="Y187" s="750"/>
      <c r="Z187" s="750"/>
      <c r="AA187" s="751"/>
      <c r="AB187" s="752"/>
      <c r="AC187" s="2512"/>
      <c r="AD187" s="753"/>
      <c r="AE187" s="754"/>
      <c r="AF187" s="754"/>
      <c r="AG187" s="755"/>
      <c r="AH187" s="756"/>
      <c r="AI187" s="749"/>
      <c r="AJ187" s="749"/>
      <c r="AK187" s="749"/>
      <c r="AL187" s="749"/>
      <c r="AM187" s="749"/>
      <c r="AN187" s="749"/>
      <c r="AO187" s="749"/>
      <c r="AP187" s="749"/>
      <c r="AQ187" s="749"/>
      <c r="AR187" s="749"/>
      <c r="AS187" s="749"/>
      <c r="AT187" s="749"/>
      <c r="AU187" s="749"/>
      <c r="AV187" s="749"/>
      <c r="AW187" s="749"/>
      <c r="AX187" s="749"/>
      <c r="AY187" s="749"/>
      <c r="AZ187" s="749"/>
      <c r="BA187" s="749"/>
      <c r="BB187" s="749"/>
      <c r="BC187" s="749"/>
      <c r="BD187" s="749"/>
      <c r="BE187" s="749"/>
      <c r="BF187" s="749"/>
      <c r="BG187" s="749"/>
      <c r="BH187" s="749"/>
      <c r="BI187" s="749"/>
      <c r="BJ187" s="749"/>
      <c r="BK187" s="749"/>
      <c r="BL187" s="749"/>
      <c r="BM187" s="749"/>
      <c r="BN187" s="749"/>
      <c r="BO187" s="749"/>
      <c r="BP187" s="749"/>
      <c r="BQ187" s="749"/>
      <c r="BR187" s="749"/>
      <c r="BS187" s="749"/>
      <c r="BT187" s="749"/>
      <c r="BU187" s="749"/>
      <c r="BV187" s="750"/>
      <c r="BW187" s="750"/>
      <c r="BX187" s="750"/>
      <c r="BY187" s="750"/>
      <c r="BZ187" s="750"/>
      <c r="CA187" s="750"/>
      <c r="CB187" s="750"/>
      <c r="CC187" s="750"/>
      <c r="CD187" s="750"/>
      <c r="CE187" s="750"/>
      <c r="CF187" s="7954"/>
    </row>
    <row customHeight="1" ht="24.75" hidden="1">
      <c r="A188" s="1929"/>
      <c r="B188" s="1284"/>
      <c r="C188" s="536"/>
      <c r="D188" s="2716"/>
      <c r="E188" s="2513" t="s">
        <v>746</v>
      </c>
      <c r="F188" s="2513"/>
      <c r="G188" s="2513"/>
      <c r="H188" s="2513"/>
      <c r="I188" s="2513"/>
      <c r="J188" s="2513"/>
      <c r="K188" s="2513"/>
      <c r="L188" s="2513"/>
      <c r="M188" s="2513"/>
      <c r="N188" s="2513"/>
      <c r="O188" s="2513"/>
      <c r="P188" s="2513"/>
      <c r="Q188" s="682">
        <f>SUMIF(T189:T190,"i",Q189:Q190)</f>
        <v>0</v>
      </c>
      <c r="R188" s="1141"/>
      <c r="S188" s="1921" t="s">
        <v>747</v>
      </c>
      <c r="T188" s="841" t="s">
        <v>748</v>
      </c>
      <c r="U188" s="2511">
        <v>1</v>
      </c>
      <c r="V188" s="2511" t="str">
        <f>INDEX(B_FHD_FLAG_INDEX_1,1,MATCH(A185,B_FHD_FLAG_DIFFERENTIATION,0))</f>
        <v>отсутствует</v>
      </c>
      <c r="W188" s="1284"/>
      <c r="X188" s="1284"/>
      <c r="Y188" s="1284"/>
      <c r="Z188" s="1284"/>
      <c r="AA188" s="1760"/>
      <c r="AB188" s="1284"/>
      <c r="AC188" s="2512"/>
      <c r="AD188" s="753"/>
      <c r="AE188" s="1284"/>
      <c r="AF188" s="1284"/>
      <c r="AG188" s="1760"/>
      <c r="AH188" s="1760"/>
      <c r="AI188" s="1760"/>
      <c r="AJ188" s="1760"/>
      <c r="AK188" s="1760"/>
      <c r="AL188" s="1760"/>
      <c r="AM188" s="1760"/>
      <c r="AN188" s="1760"/>
      <c r="AO188" s="1760"/>
      <c r="AP188" s="1760"/>
      <c r="AQ188" s="1760"/>
      <c r="AR188" s="1760"/>
      <c r="AS188" s="1760"/>
      <c r="AT188" s="1760"/>
      <c r="AU188" s="1760"/>
      <c r="AV188" s="1760"/>
      <c r="AW188" s="1760"/>
      <c r="AX188" s="1760"/>
      <c r="AY188" s="1760"/>
      <c r="AZ188" s="1760"/>
      <c r="BA188" s="1760"/>
      <c r="BB188" s="1760"/>
      <c r="BC188" s="1760"/>
      <c r="BD188" s="1760"/>
      <c r="BE188" s="1760"/>
      <c r="BF188" s="1760"/>
      <c r="BG188" s="1760"/>
      <c r="BH188" s="1760"/>
      <c r="BI188" s="1760"/>
      <c r="BJ188" s="1760"/>
      <c r="BK188" s="1760"/>
      <c r="BL188" s="1760"/>
      <c r="BM188" s="1760"/>
      <c r="BN188" s="1760"/>
      <c r="BO188" s="1760"/>
      <c r="BP188" s="1760"/>
      <c r="BQ188" s="1760"/>
      <c r="BR188" s="1760"/>
      <c r="BS188" s="1760"/>
      <c r="BT188" s="1760"/>
      <c r="BU188" s="1760"/>
      <c r="BV188" s="1284"/>
      <c r="BW188" s="1284"/>
      <c r="BX188" s="1284"/>
      <c r="BY188" s="1284"/>
      <c r="BZ188" s="1284"/>
      <c r="CA188" s="1284"/>
      <c r="CB188" s="1284"/>
      <c r="CC188" s="1284"/>
      <c r="CD188" s="1284"/>
      <c r="CE188" s="1284"/>
      <c r="CF188" s="7954"/>
    </row>
    <row customHeight="1" ht="11.25" hidden="1">
      <c r="A189" s="1916"/>
      <c r="B189" s="1760"/>
      <c r="C189" s="1760"/>
      <c r="D189" s="2716"/>
      <c r="E189" s="759"/>
      <c r="F189" s="759">
        <v>0</v>
      </c>
      <c r="G189" s="759"/>
      <c r="H189" s="759"/>
      <c r="I189" s="759"/>
      <c r="J189" s="759"/>
      <c r="K189" s="759"/>
      <c r="L189" s="759"/>
      <c r="M189" s="759"/>
      <c r="N189" s="759"/>
      <c r="O189" s="759"/>
      <c r="P189" s="759"/>
      <c r="Q189" s="759"/>
      <c r="R189" s="759"/>
      <c r="S189" s="760"/>
      <c r="T189" s="842"/>
      <c r="U189" s="2511"/>
      <c r="V189" s="2511"/>
      <c r="W189" s="1760"/>
      <c r="X189" s="1760"/>
      <c r="Y189" s="1760"/>
      <c r="Z189" s="1760"/>
      <c r="AA189" s="1760"/>
      <c r="AB189" s="1284"/>
      <c r="AC189" s="2512"/>
      <c r="AD189" s="753"/>
      <c r="AE189" s="1284"/>
      <c r="AF189" s="1284"/>
      <c r="AG189" s="1760"/>
      <c r="AH189" s="1760"/>
      <c r="AI189" s="1760"/>
      <c r="AJ189" s="1760"/>
      <c r="AK189" s="1760"/>
      <c r="AL189" s="1760"/>
      <c r="AM189" s="1760"/>
      <c r="AN189" s="1760"/>
      <c r="AO189" s="1760"/>
      <c r="AP189" s="1760"/>
      <c r="AQ189" s="1760"/>
      <c r="AR189" s="1760"/>
      <c r="AS189" s="1760"/>
      <c r="AT189" s="1760"/>
      <c r="AU189" s="1760"/>
      <c r="AV189" s="1760"/>
      <c r="AW189" s="1760"/>
      <c r="AX189" s="1760"/>
      <c r="AY189" s="1760"/>
      <c r="AZ189" s="1760"/>
      <c r="BA189" s="1760"/>
      <c r="BB189" s="1760"/>
      <c r="BC189" s="1760"/>
      <c r="BD189" s="1760"/>
      <c r="BE189" s="1760"/>
      <c r="BF189" s="1760"/>
      <c r="BG189" s="1760"/>
      <c r="BH189" s="1760"/>
      <c r="BI189" s="1760"/>
      <c r="BJ189" s="1760"/>
      <c r="BK189" s="1760"/>
      <c r="BL189" s="1760"/>
      <c r="BM189" s="1760"/>
      <c r="BN189" s="1760"/>
      <c r="BO189" s="1760"/>
      <c r="BP189" s="1760"/>
      <c r="BQ189" s="1760"/>
      <c r="BR189" s="1760"/>
      <c r="BS189" s="1760"/>
      <c r="BT189" s="1760"/>
      <c r="BU189" s="1760"/>
      <c r="BV189" s="1760"/>
      <c r="BW189" s="1760"/>
      <c r="BX189" s="1760"/>
      <c r="BY189" s="1760"/>
      <c r="BZ189" s="1760"/>
      <c r="CA189" s="1760"/>
      <c r="CB189" s="1760"/>
      <c r="CC189" s="1760"/>
      <c r="CD189" s="1760"/>
      <c r="CE189" s="1760"/>
      <c r="CF189" s="7954"/>
    </row>
    <row customHeight="1" ht="11.25" hidden="1">
      <c r="A190" s="1929"/>
      <c r="B190" s="1284"/>
      <c r="C190" s="536"/>
      <c r="D190" s="2716"/>
      <c r="E190" s="773" t="s">
        <v>22</v>
      </c>
      <c r="F190" s="1292" t="s">
        <v>22</v>
      </c>
      <c r="G190" s="1292" t="s">
        <v>751</v>
      </c>
      <c r="H190" s="775" t="s">
        <v>22</v>
      </c>
      <c r="I190" s="775"/>
      <c r="J190" s="775"/>
      <c r="K190" s="775"/>
      <c r="L190" s="775"/>
      <c r="M190" s="775"/>
      <c r="N190" s="775"/>
      <c r="O190" s="775"/>
      <c r="P190" s="775"/>
      <c r="Q190" s="775"/>
      <c r="R190" s="776"/>
      <c r="S190" s="777"/>
      <c r="T190" s="842"/>
      <c r="U190" s="2511"/>
      <c r="V190" s="2511"/>
      <c r="W190" s="1284"/>
      <c r="X190" s="1284"/>
      <c r="Y190" s="1284"/>
      <c r="Z190" s="1284"/>
      <c r="AA190" s="1760"/>
      <c r="AB190" s="1284"/>
      <c r="AC190" s="2512"/>
      <c r="AD190" s="753"/>
      <c r="AE190" s="1284"/>
      <c r="AF190" s="1284"/>
      <c r="AG190" s="1760"/>
      <c r="AH190" s="1760"/>
      <c r="AI190" s="1760"/>
      <c r="AJ190" s="1760"/>
      <c r="AK190" s="1760"/>
      <c r="AL190" s="1760"/>
      <c r="AM190" s="1760"/>
      <c r="AN190" s="1760"/>
      <c r="AO190" s="1760"/>
      <c r="AP190" s="1760"/>
      <c r="AQ190" s="1760"/>
      <c r="AR190" s="1760"/>
      <c r="AS190" s="1760"/>
      <c r="AT190" s="1760"/>
      <c r="AU190" s="1760"/>
      <c r="AV190" s="1760"/>
      <c r="AW190" s="1760"/>
      <c r="AX190" s="1760"/>
      <c r="AY190" s="1760"/>
      <c r="AZ190" s="1760"/>
      <c r="BA190" s="1760"/>
      <c r="BB190" s="1760"/>
      <c r="BC190" s="1760"/>
      <c r="BD190" s="1760"/>
      <c r="BE190" s="1760"/>
      <c r="BF190" s="1760"/>
      <c r="BG190" s="1760"/>
      <c r="BH190" s="1760"/>
      <c r="BI190" s="1760"/>
      <c r="BJ190" s="1760"/>
      <c r="BK190" s="1760"/>
      <c r="BL190" s="1760"/>
      <c r="BM190" s="1760"/>
      <c r="BN190" s="1760"/>
      <c r="BO190" s="1760"/>
      <c r="BP190" s="1760"/>
      <c r="BQ190" s="1760"/>
      <c r="BR190" s="1760"/>
      <c r="BS190" s="1760"/>
      <c r="BT190" s="1760"/>
      <c r="BU190" s="1760"/>
      <c r="BV190" s="1284"/>
      <c r="BW190" s="1284"/>
      <c r="BX190" s="1284"/>
      <c r="BY190" s="1284"/>
      <c r="BZ190" s="1284"/>
      <c r="CA190" s="1284"/>
      <c r="CB190" s="1284"/>
      <c r="CC190" s="1284"/>
      <c r="CD190" s="1284"/>
      <c r="CE190" s="1284"/>
      <c r="CF190" s="7954"/>
    </row>
    <row customHeight="1" ht="5.25" hidden="1">
      <c r="A191" s="1916"/>
      <c r="B191" s="1760"/>
      <c r="C191" s="1760"/>
      <c r="D191" s="2716"/>
      <c r="E191" s="1163"/>
      <c r="F191" s="1163"/>
      <c r="G191" s="1163"/>
      <c r="H191" s="1163"/>
      <c r="I191" s="1163"/>
      <c r="J191" s="1163"/>
      <c r="K191" s="1163"/>
      <c r="L191" s="1163"/>
      <c r="M191" s="1163"/>
      <c r="N191" s="1163"/>
      <c r="O191" s="1163"/>
      <c r="P191" s="1163"/>
      <c r="Q191" s="1164"/>
      <c r="R191" s="1165"/>
      <c r="S191" s="1166"/>
      <c r="T191" s="841" t="s">
        <v>748</v>
      </c>
      <c r="U191" s="2511">
        <v>1</v>
      </c>
      <c r="V191" s="2511" t="s">
        <v>693</v>
      </c>
      <c r="W191" s="1760"/>
      <c r="X191" s="1760"/>
      <c r="Y191" s="1760"/>
      <c r="Z191" s="1760"/>
      <c r="AA191" s="1760"/>
      <c r="AB191" s="1760"/>
      <c r="AC191" s="1161"/>
      <c r="AD191" s="1162"/>
      <c r="AE191" s="1760"/>
      <c r="AF191" s="1760"/>
      <c r="AG191" s="1760"/>
      <c r="AH191" s="1760"/>
      <c r="AI191" s="1760"/>
      <c r="AJ191" s="1760"/>
      <c r="AK191" s="1760"/>
      <c r="AL191" s="1760"/>
      <c r="AM191" s="1760"/>
      <c r="AN191" s="1760"/>
      <c r="AO191" s="1760"/>
      <c r="AP191" s="1760"/>
      <c r="AQ191" s="1760"/>
      <c r="AR191" s="1760"/>
      <c r="AS191" s="1760"/>
      <c r="AT191" s="1760"/>
      <c r="AU191" s="1760"/>
      <c r="AV191" s="1760"/>
      <c r="AW191" s="1760"/>
      <c r="AX191" s="1760"/>
      <c r="AY191" s="1760"/>
      <c r="AZ191" s="1760"/>
      <c r="BA191" s="1760"/>
      <c r="BB191" s="1760"/>
      <c r="BC191" s="1760"/>
      <c r="BD191" s="1760"/>
      <c r="BE191" s="1760"/>
      <c r="BF191" s="1760"/>
      <c r="BG191" s="1760"/>
      <c r="BH191" s="1760"/>
      <c r="BI191" s="1760"/>
      <c r="BJ191" s="1760"/>
      <c r="BK191" s="1760"/>
      <c r="BL191" s="1760"/>
      <c r="BM191" s="1760"/>
      <c r="BN191" s="1760"/>
      <c r="BO191" s="1760"/>
      <c r="BP191" s="1760"/>
      <c r="BQ191" s="1760"/>
      <c r="BR191" s="1760"/>
      <c r="BS191" s="1760"/>
      <c r="BT191" s="1760"/>
      <c r="BU191" s="1760"/>
      <c r="BV191" s="1760"/>
      <c r="BW191" s="1760"/>
      <c r="BX191" s="1760"/>
      <c r="BY191" s="1760"/>
      <c r="BZ191" s="1760"/>
      <c r="CA191" s="1760"/>
      <c r="CB191" s="1760"/>
      <c r="CC191" s="1760"/>
      <c r="CD191" s="1760"/>
      <c r="CE191" s="1760"/>
      <c r="CF191" s="7914"/>
    </row>
    <row customHeight="1" ht="5.25" hidden="1">
      <c r="A192" s="1916"/>
      <c r="B192" s="1760"/>
      <c r="C192" s="1760"/>
      <c r="D192" s="2716"/>
      <c r="E192" s="759"/>
      <c r="F192" s="759"/>
      <c r="G192" s="759"/>
      <c r="H192" s="759"/>
      <c r="I192" s="759"/>
      <c r="J192" s="759"/>
      <c r="K192" s="759"/>
      <c r="L192" s="759"/>
      <c r="M192" s="759"/>
      <c r="N192" s="759"/>
      <c r="O192" s="759"/>
      <c r="P192" s="759"/>
      <c r="Q192" s="759"/>
      <c r="R192" s="759"/>
      <c r="S192" s="760"/>
      <c r="T192" s="842"/>
      <c r="U192" s="2511"/>
      <c r="V192" s="2511"/>
      <c r="W192" s="1760"/>
      <c r="X192" s="1760"/>
      <c r="Y192" s="1760"/>
      <c r="Z192" s="1760"/>
      <c r="AA192" s="1760"/>
      <c r="AB192" s="1760"/>
      <c r="AC192" s="1161"/>
      <c r="AD192" s="1162"/>
      <c r="AE192" s="1760"/>
      <c r="AF192" s="1760"/>
      <c r="AG192" s="1760"/>
      <c r="AH192" s="1760"/>
      <c r="AI192" s="1760"/>
      <c r="AJ192" s="1760"/>
      <c r="AK192" s="1760"/>
      <c r="AL192" s="1760"/>
      <c r="AM192" s="1760"/>
      <c r="AN192" s="1760"/>
      <c r="AO192" s="1760"/>
      <c r="AP192" s="1760"/>
      <c r="AQ192" s="1760"/>
      <c r="AR192" s="1760"/>
      <c r="AS192" s="1760"/>
      <c r="AT192" s="1760"/>
      <c r="AU192" s="1760"/>
      <c r="AV192" s="1760"/>
      <c r="AW192" s="1760"/>
      <c r="AX192" s="1760"/>
      <c r="AY192" s="1760"/>
      <c r="AZ192" s="1760"/>
      <c r="BA192" s="1760"/>
      <c r="BB192" s="1760"/>
      <c r="BC192" s="1760"/>
      <c r="BD192" s="1760"/>
      <c r="BE192" s="1760"/>
      <c r="BF192" s="1760"/>
      <c r="BG192" s="1760"/>
      <c r="BH192" s="1760"/>
      <c r="BI192" s="1760"/>
      <c r="BJ192" s="1760"/>
      <c r="BK192" s="1760"/>
      <c r="BL192" s="1760"/>
      <c r="BM192" s="1760"/>
      <c r="BN192" s="1760"/>
      <c r="BO192" s="1760"/>
      <c r="BP192" s="1760"/>
      <c r="BQ192" s="1760"/>
      <c r="BR192" s="1760"/>
      <c r="BS192" s="1760"/>
      <c r="BT192" s="1760"/>
      <c r="BU192" s="1760"/>
      <c r="BV192" s="1760"/>
      <c r="BW192" s="1760"/>
      <c r="BX192" s="1760"/>
      <c r="BY192" s="1760"/>
      <c r="BZ192" s="1760"/>
      <c r="CA192" s="1760"/>
      <c r="CB192" s="1760"/>
      <c r="CC192" s="1760"/>
      <c r="CD192" s="1760"/>
      <c r="CE192" s="1760"/>
      <c r="CF192" s="7914"/>
    </row>
    <row customHeight="1" ht="5.25" hidden="1">
      <c r="A193" s="1916"/>
      <c r="B193" s="1760"/>
      <c r="C193" s="1760"/>
      <c r="D193" s="2717"/>
      <c r="E193" s="1167"/>
      <c r="F193" s="1168"/>
      <c r="G193" s="1168"/>
      <c r="H193" s="1169"/>
      <c r="I193" s="1169"/>
      <c r="J193" s="1169"/>
      <c r="K193" s="1169"/>
      <c r="L193" s="1169"/>
      <c r="M193" s="1169"/>
      <c r="N193" s="1169"/>
      <c r="O193" s="1169"/>
      <c r="P193" s="1169"/>
      <c r="Q193" s="1169"/>
      <c r="R193" s="1070"/>
      <c r="S193" s="1170"/>
      <c r="T193" s="842"/>
      <c r="U193" s="2511"/>
      <c r="V193" s="2511"/>
      <c r="W193" s="1760"/>
      <c r="X193" s="1760"/>
      <c r="Y193" s="1760"/>
      <c r="Z193" s="1760"/>
      <c r="AA193" s="1760"/>
      <c r="AB193" s="1760"/>
      <c r="AC193" s="1161"/>
      <c r="AD193" s="1162"/>
      <c r="AE193" s="1760"/>
      <c r="AF193" s="1760"/>
      <c r="AG193" s="1760"/>
      <c r="AH193" s="1760"/>
      <c r="AI193" s="1760"/>
      <c r="AJ193" s="1760"/>
      <c r="AK193" s="1760"/>
      <c r="AL193" s="1760"/>
      <c r="AM193" s="1760"/>
      <c r="AN193" s="1760"/>
      <c r="AO193" s="1760"/>
      <c r="AP193" s="1760"/>
      <c r="AQ193" s="1760"/>
      <c r="AR193" s="1760"/>
      <c r="AS193" s="1760"/>
      <c r="AT193" s="1760"/>
      <c r="AU193" s="1760"/>
      <c r="AV193" s="1760"/>
      <c r="AW193" s="1760"/>
      <c r="AX193" s="1760"/>
      <c r="AY193" s="1760"/>
      <c r="AZ193" s="1760"/>
      <c r="BA193" s="1760"/>
      <c r="BB193" s="1760"/>
      <c r="BC193" s="1760"/>
      <c r="BD193" s="1760"/>
      <c r="BE193" s="1760"/>
      <c r="BF193" s="1760"/>
      <c r="BG193" s="1760"/>
      <c r="BH193" s="1760"/>
      <c r="BI193" s="1760"/>
      <c r="BJ193" s="1760"/>
      <c r="BK193" s="1760"/>
      <c r="BL193" s="1760"/>
      <c r="BM193" s="1760"/>
      <c r="BN193" s="1760"/>
      <c r="BO193" s="1760"/>
      <c r="BP193" s="1760"/>
      <c r="BQ193" s="1760"/>
      <c r="BR193" s="1760"/>
      <c r="BS193" s="1760"/>
      <c r="BT193" s="1760"/>
      <c r="BU193" s="1760"/>
      <c r="BV193" s="1760"/>
      <c r="BW193" s="1760"/>
      <c r="BX193" s="1760"/>
      <c r="BY193" s="1760"/>
      <c r="BZ193" s="1760"/>
      <c r="CA193" s="1760"/>
      <c r="CB193" s="1760"/>
      <c r="CC193" s="1760"/>
      <c r="CD193" s="1760"/>
      <c r="CE193" s="1760"/>
      <c r="CF193" s="7914"/>
    </row>
    <row customHeight="1" ht="15" hidden="1">
      <c r="A194" s="747" t="s">
        <v>238</v>
      </c>
      <c r="B194" s="748"/>
      <c r="C194" s="748" t="s">
        <v>22</v>
      </c>
      <c r="D194" s="2715" t="s">
        <v>770</v>
      </c>
      <c r="E194" s="2514" t="s">
        <v>206</v>
      </c>
      <c r="F194" s="2515"/>
      <c r="G194" s="2516"/>
      <c r="H194" s="2520" t="str">
        <f>IF(A194="","",INDEX(DIFFERENTIATION_UNMERGE_VD,MATCH(A194,DIFFERENTIATION_ID_DIFF,0)))</f>
        <v>Производство тепловой энергии. Некомбинированная выработка</v>
      </c>
      <c r="I194" s="2520"/>
      <c r="J194" s="2520"/>
      <c r="K194" s="2520"/>
      <c r="L194" s="2520"/>
      <c r="M194" s="2520"/>
      <c r="N194" s="2520"/>
      <c r="O194" s="2520"/>
      <c r="P194" s="2520"/>
      <c r="Q194" s="2520"/>
      <c r="R194" s="2520"/>
      <c r="S194" s="843"/>
      <c r="T194" s="840"/>
      <c r="U194" s="749"/>
      <c r="V194" s="749"/>
      <c r="W194" s="750"/>
      <c r="X194" s="750"/>
      <c r="Y194" s="750"/>
      <c r="Z194" s="750"/>
      <c r="AA194" s="751"/>
      <c r="AB194" s="752"/>
      <c r="AC194" s="2512"/>
      <c r="AD194" s="753"/>
      <c r="AE194" s="754" t="s">
        <v>22</v>
      </c>
      <c r="AF194" s="754"/>
      <c r="AG194" s="755" t="s">
        <v>745</v>
      </c>
      <c r="AH194" s="756">
        <v>3</v>
      </c>
      <c r="AI194" s="749"/>
      <c r="AJ194" s="749"/>
      <c r="AK194" s="749"/>
      <c r="AL194" s="749"/>
      <c r="AM194" s="749"/>
      <c r="AN194" s="749"/>
      <c r="AO194" s="749"/>
      <c r="AP194" s="749"/>
      <c r="AQ194" s="749"/>
      <c r="AR194" s="749"/>
      <c r="AS194" s="749"/>
      <c r="AT194" s="749"/>
      <c r="AU194" s="749"/>
      <c r="AV194" s="749"/>
      <c r="AW194" s="749"/>
      <c r="AX194" s="749"/>
      <c r="AY194" s="749"/>
      <c r="AZ194" s="749"/>
      <c r="BA194" s="749"/>
      <c r="BB194" s="749"/>
      <c r="BC194" s="749"/>
      <c r="BD194" s="749"/>
      <c r="BE194" s="749"/>
      <c r="BF194" s="749"/>
      <c r="BG194" s="749"/>
      <c r="BH194" s="749"/>
      <c r="BI194" s="749"/>
      <c r="BJ194" s="749"/>
      <c r="BK194" s="749"/>
      <c r="BL194" s="749"/>
      <c r="BM194" s="749"/>
      <c r="BN194" s="749"/>
      <c r="BO194" s="749"/>
      <c r="BP194" s="749"/>
      <c r="BQ194" s="749"/>
      <c r="BR194" s="749"/>
      <c r="BS194" s="749"/>
      <c r="BT194" s="749"/>
      <c r="BU194" s="749"/>
      <c r="BV194" s="750"/>
      <c r="BW194" s="750"/>
      <c r="BX194" s="750"/>
      <c r="BY194" s="750"/>
      <c r="BZ194" s="750"/>
      <c r="CA194" s="750"/>
      <c r="CB194" s="750"/>
      <c r="CC194" s="750"/>
      <c r="CD194" s="750"/>
      <c r="CE194" s="750"/>
      <c r="CF194" s="7954"/>
    </row>
    <row customHeight="1" ht="15" hidden="1">
      <c r="A195" s="747"/>
      <c r="B195" s="748"/>
      <c r="C195" s="748"/>
      <c r="D195" s="2716"/>
      <c r="E195" s="2514" t="s">
        <v>676</v>
      </c>
      <c r="F195" s="2515"/>
      <c r="G195" s="2516"/>
      <c r="H195" s="2520" t="str">
        <f>IF(A194="","",INDEX(DIFFERENTIATION_UNMERGE_AREA,MATCH(A194,DIFFERENTIATION_ID_DIFF,0)))</f>
        <v>Территория 21</v>
      </c>
      <c r="I195" s="2520"/>
      <c r="J195" s="2520"/>
      <c r="K195" s="2520"/>
      <c r="L195" s="2520"/>
      <c r="M195" s="2520"/>
      <c r="N195" s="2520"/>
      <c r="O195" s="2520"/>
      <c r="P195" s="2520"/>
      <c r="Q195" s="2520"/>
      <c r="R195" s="2520"/>
      <c r="S195" s="843"/>
      <c r="T195" s="840"/>
      <c r="U195" s="749"/>
      <c r="V195" s="749"/>
      <c r="W195" s="750"/>
      <c r="X195" s="750"/>
      <c r="Y195" s="750"/>
      <c r="Z195" s="750"/>
      <c r="AA195" s="751"/>
      <c r="AB195" s="752"/>
      <c r="AC195" s="2512"/>
      <c r="AD195" s="753"/>
      <c r="AE195" s="754"/>
      <c r="AF195" s="754"/>
      <c r="AG195" s="755"/>
      <c r="AH195" s="756"/>
      <c r="AI195" s="749"/>
      <c r="AJ195" s="749"/>
      <c r="AK195" s="749"/>
      <c r="AL195" s="749"/>
      <c r="AM195" s="749"/>
      <c r="AN195" s="749"/>
      <c r="AO195" s="749"/>
      <c r="AP195" s="749"/>
      <c r="AQ195" s="749"/>
      <c r="AR195" s="749"/>
      <c r="AS195" s="749"/>
      <c r="AT195" s="749"/>
      <c r="AU195" s="749"/>
      <c r="AV195" s="749"/>
      <c r="AW195" s="749"/>
      <c r="AX195" s="749"/>
      <c r="AY195" s="749"/>
      <c r="AZ195" s="749"/>
      <c r="BA195" s="749"/>
      <c r="BB195" s="749"/>
      <c r="BC195" s="749"/>
      <c r="BD195" s="749"/>
      <c r="BE195" s="749"/>
      <c r="BF195" s="749"/>
      <c r="BG195" s="749"/>
      <c r="BH195" s="749"/>
      <c r="BI195" s="749"/>
      <c r="BJ195" s="749"/>
      <c r="BK195" s="749"/>
      <c r="BL195" s="749"/>
      <c r="BM195" s="749"/>
      <c r="BN195" s="749"/>
      <c r="BO195" s="749"/>
      <c r="BP195" s="749"/>
      <c r="BQ195" s="749"/>
      <c r="BR195" s="749"/>
      <c r="BS195" s="749"/>
      <c r="BT195" s="749"/>
      <c r="BU195" s="749"/>
      <c r="BV195" s="750"/>
      <c r="BW195" s="750"/>
      <c r="BX195" s="750"/>
      <c r="BY195" s="750"/>
      <c r="BZ195" s="750"/>
      <c r="CA195" s="750"/>
      <c r="CB195" s="750"/>
      <c r="CC195" s="750"/>
      <c r="CD195" s="750"/>
      <c r="CE195" s="750"/>
      <c r="CF195" s="7954"/>
    </row>
    <row customHeight="1" ht="15" hidden="1">
      <c r="A196" s="747"/>
      <c r="B196" s="748"/>
      <c r="C196" s="748"/>
      <c r="D196" s="2716"/>
      <c r="E196" s="2514" t="s">
        <v>677</v>
      </c>
      <c r="F196" s="2515"/>
      <c r="G196" s="2516"/>
      <c r="H196" s="2520" t="str">
        <f>IF(A194="","",INDEX(DIFFERENTIATION_UNMERGE_SYSTEM,MATCH(A194,DIFFERENTIATION_ID_DIFF,0)))</f>
        <v>без дифференциации</v>
      </c>
      <c r="I196" s="2520"/>
      <c r="J196" s="2520"/>
      <c r="K196" s="2520"/>
      <c r="L196" s="2520"/>
      <c r="M196" s="2520"/>
      <c r="N196" s="2520"/>
      <c r="O196" s="2520"/>
      <c r="P196" s="2520"/>
      <c r="Q196" s="2520"/>
      <c r="R196" s="2520"/>
      <c r="S196" s="843"/>
      <c r="T196" s="840"/>
      <c r="U196" s="749"/>
      <c r="V196" s="749"/>
      <c r="W196" s="750"/>
      <c r="X196" s="750"/>
      <c r="Y196" s="750"/>
      <c r="Z196" s="750"/>
      <c r="AA196" s="751"/>
      <c r="AB196" s="752"/>
      <c r="AC196" s="2512"/>
      <c r="AD196" s="753"/>
      <c r="AE196" s="754"/>
      <c r="AF196" s="754"/>
      <c r="AG196" s="755"/>
      <c r="AH196" s="756"/>
      <c r="AI196" s="749"/>
      <c r="AJ196" s="749"/>
      <c r="AK196" s="749"/>
      <c r="AL196" s="749"/>
      <c r="AM196" s="749"/>
      <c r="AN196" s="749"/>
      <c r="AO196" s="749"/>
      <c r="AP196" s="749"/>
      <c r="AQ196" s="749"/>
      <c r="AR196" s="749"/>
      <c r="AS196" s="749"/>
      <c r="AT196" s="749"/>
      <c r="AU196" s="749"/>
      <c r="AV196" s="749"/>
      <c r="AW196" s="749"/>
      <c r="AX196" s="749"/>
      <c r="AY196" s="749"/>
      <c r="AZ196" s="749"/>
      <c r="BA196" s="749"/>
      <c r="BB196" s="749"/>
      <c r="BC196" s="749"/>
      <c r="BD196" s="749"/>
      <c r="BE196" s="749"/>
      <c r="BF196" s="749"/>
      <c r="BG196" s="749"/>
      <c r="BH196" s="749"/>
      <c r="BI196" s="749"/>
      <c r="BJ196" s="749"/>
      <c r="BK196" s="749"/>
      <c r="BL196" s="749"/>
      <c r="BM196" s="749"/>
      <c r="BN196" s="749"/>
      <c r="BO196" s="749"/>
      <c r="BP196" s="749"/>
      <c r="BQ196" s="749"/>
      <c r="BR196" s="749"/>
      <c r="BS196" s="749"/>
      <c r="BT196" s="749"/>
      <c r="BU196" s="749"/>
      <c r="BV196" s="750"/>
      <c r="BW196" s="750"/>
      <c r="BX196" s="750"/>
      <c r="BY196" s="750"/>
      <c r="BZ196" s="750"/>
      <c r="CA196" s="750"/>
      <c r="CB196" s="750"/>
      <c r="CC196" s="750"/>
      <c r="CD196" s="750"/>
      <c r="CE196" s="750"/>
      <c r="CF196" s="7954"/>
    </row>
    <row customHeight="1" ht="24.75" hidden="1">
      <c r="A197" s="1929"/>
      <c r="B197" s="1284"/>
      <c r="C197" s="536"/>
      <c r="D197" s="2716"/>
      <c r="E197" s="2513" t="s">
        <v>746</v>
      </c>
      <c r="F197" s="2513"/>
      <c r="G197" s="2513"/>
      <c r="H197" s="2513"/>
      <c r="I197" s="2513"/>
      <c r="J197" s="2513"/>
      <c r="K197" s="2513"/>
      <c r="L197" s="2513"/>
      <c r="M197" s="2513"/>
      <c r="N197" s="2513"/>
      <c r="O197" s="2513"/>
      <c r="P197" s="2513"/>
      <c r="Q197" s="682">
        <f>SUMIF(T198:T199,"i",Q198:Q199)</f>
        <v>0</v>
      </c>
      <c r="R197" s="1141"/>
      <c r="S197" s="1921" t="s">
        <v>747</v>
      </c>
      <c r="T197" s="841" t="s">
        <v>748</v>
      </c>
      <c r="U197" s="2511">
        <v>1</v>
      </c>
      <c r="V197" s="2511" t="str">
        <f>INDEX(B_FHD_FLAG_INDEX_1,1,MATCH(A194,B_FHD_FLAG_DIFFERENTIATION,0))</f>
        <v>отсутствует</v>
      </c>
      <c r="W197" s="1284"/>
      <c r="X197" s="1284"/>
      <c r="Y197" s="1284"/>
      <c r="Z197" s="1284"/>
      <c r="AA197" s="1760"/>
      <c r="AB197" s="1284"/>
      <c r="AC197" s="2512"/>
      <c r="AD197" s="753"/>
      <c r="AE197" s="1284"/>
      <c r="AF197" s="1284"/>
      <c r="AG197" s="1760"/>
      <c r="AH197" s="1760"/>
      <c r="AI197" s="1760"/>
      <c r="AJ197" s="1760"/>
      <c r="AK197" s="1760"/>
      <c r="AL197" s="1760"/>
      <c r="AM197" s="1760"/>
      <c r="AN197" s="1760"/>
      <c r="AO197" s="1760"/>
      <c r="AP197" s="1760"/>
      <c r="AQ197" s="1760"/>
      <c r="AR197" s="1760"/>
      <c r="AS197" s="1760"/>
      <c r="AT197" s="1760"/>
      <c r="AU197" s="1760"/>
      <c r="AV197" s="1760"/>
      <c r="AW197" s="1760"/>
      <c r="AX197" s="1760"/>
      <c r="AY197" s="1760"/>
      <c r="AZ197" s="1760"/>
      <c r="BA197" s="1760"/>
      <c r="BB197" s="1760"/>
      <c r="BC197" s="1760"/>
      <c r="BD197" s="1760"/>
      <c r="BE197" s="1760"/>
      <c r="BF197" s="1760"/>
      <c r="BG197" s="1760"/>
      <c r="BH197" s="1760"/>
      <c r="BI197" s="1760"/>
      <c r="BJ197" s="1760"/>
      <c r="BK197" s="1760"/>
      <c r="BL197" s="1760"/>
      <c r="BM197" s="1760"/>
      <c r="BN197" s="1760"/>
      <c r="BO197" s="1760"/>
      <c r="BP197" s="1760"/>
      <c r="BQ197" s="1760"/>
      <c r="BR197" s="1760"/>
      <c r="BS197" s="1760"/>
      <c r="BT197" s="1760"/>
      <c r="BU197" s="1760"/>
      <c r="BV197" s="1284"/>
      <c r="BW197" s="1284"/>
      <c r="BX197" s="1284"/>
      <c r="BY197" s="1284"/>
      <c r="BZ197" s="1284"/>
      <c r="CA197" s="1284"/>
      <c r="CB197" s="1284"/>
      <c r="CC197" s="1284"/>
      <c r="CD197" s="1284"/>
      <c r="CE197" s="1284"/>
      <c r="CF197" s="7954"/>
    </row>
    <row customHeight="1" ht="11.25" hidden="1">
      <c r="A198" s="1916"/>
      <c r="B198" s="1760"/>
      <c r="C198" s="1760"/>
      <c r="D198" s="2716"/>
      <c r="E198" s="759"/>
      <c r="F198" s="759">
        <v>0</v>
      </c>
      <c r="G198" s="759"/>
      <c r="H198" s="759"/>
      <c r="I198" s="759"/>
      <c r="J198" s="759"/>
      <c r="K198" s="759"/>
      <c r="L198" s="759"/>
      <c r="M198" s="759"/>
      <c r="N198" s="759"/>
      <c r="O198" s="759"/>
      <c r="P198" s="759"/>
      <c r="Q198" s="759"/>
      <c r="R198" s="759"/>
      <c r="S198" s="760"/>
      <c r="T198" s="842"/>
      <c r="U198" s="2511"/>
      <c r="V198" s="2511"/>
      <c r="W198" s="1760"/>
      <c r="X198" s="1760"/>
      <c r="Y198" s="1760"/>
      <c r="Z198" s="1760"/>
      <c r="AA198" s="1760"/>
      <c r="AB198" s="1284"/>
      <c r="AC198" s="2512"/>
      <c r="AD198" s="753"/>
      <c r="AE198" s="1284"/>
      <c r="AF198" s="1284"/>
      <c r="AG198" s="1760"/>
      <c r="AH198" s="1760"/>
      <c r="AI198" s="1760"/>
      <c r="AJ198" s="1760"/>
      <c r="AK198" s="1760"/>
      <c r="AL198" s="1760"/>
      <c r="AM198" s="1760"/>
      <c r="AN198" s="1760"/>
      <c r="AO198" s="1760"/>
      <c r="AP198" s="1760"/>
      <c r="AQ198" s="1760"/>
      <c r="AR198" s="1760"/>
      <c r="AS198" s="1760"/>
      <c r="AT198" s="1760"/>
      <c r="AU198" s="1760"/>
      <c r="AV198" s="1760"/>
      <c r="AW198" s="1760"/>
      <c r="AX198" s="1760"/>
      <c r="AY198" s="1760"/>
      <c r="AZ198" s="1760"/>
      <c r="BA198" s="1760"/>
      <c r="BB198" s="1760"/>
      <c r="BC198" s="1760"/>
      <c r="BD198" s="1760"/>
      <c r="BE198" s="1760"/>
      <c r="BF198" s="1760"/>
      <c r="BG198" s="1760"/>
      <c r="BH198" s="1760"/>
      <c r="BI198" s="1760"/>
      <c r="BJ198" s="1760"/>
      <c r="BK198" s="1760"/>
      <c r="BL198" s="1760"/>
      <c r="BM198" s="1760"/>
      <c r="BN198" s="1760"/>
      <c r="BO198" s="1760"/>
      <c r="BP198" s="1760"/>
      <c r="BQ198" s="1760"/>
      <c r="BR198" s="1760"/>
      <c r="BS198" s="1760"/>
      <c r="BT198" s="1760"/>
      <c r="BU198" s="1760"/>
      <c r="BV198" s="1760"/>
      <c r="BW198" s="1760"/>
      <c r="BX198" s="1760"/>
      <c r="BY198" s="1760"/>
      <c r="BZ198" s="1760"/>
      <c r="CA198" s="1760"/>
      <c r="CB198" s="1760"/>
      <c r="CC198" s="1760"/>
      <c r="CD198" s="1760"/>
      <c r="CE198" s="1760"/>
      <c r="CF198" s="7954"/>
    </row>
    <row customHeight="1" ht="11.25" hidden="1">
      <c r="A199" s="1929"/>
      <c r="B199" s="1284"/>
      <c r="C199" s="536"/>
      <c r="D199" s="2716"/>
      <c r="E199" s="773" t="s">
        <v>22</v>
      </c>
      <c r="F199" s="1292" t="s">
        <v>22</v>
      </c>
      <c r="G199" s="1292" t="s">
        <v>751</v>
      </c>
      <c r="H199" s="775" t="s">
        <v>22</v>
      </c>
      <c r="I199" s="775"/>
      <c r="J199" s="775"/>
      <c r="K199" s="775"/>
      <c r="L199" s="775"/>
      <c r="M199" s="775"/>
      <c r="N199" s="775"/>
      <c r="O199" s="775"/>
      <c r="P199" s="775"/>
      <c r="Q199" s="775"/>
      <c r="R199" s="776"/>
      <c r="S199" s="777"/>
      <c r="T199" s="842"/>
      <c r="U199" s="2511"/>
      <c r="V199" s="2511"/>
      <c r="W199" s="1284"/>
      <c r="X199" s="1284"/>
      <c r="Y199" s="1284"/>
      <c r="Z199" s="1284"/>
      <c r="AA199" s="1760"/>
      <c r="AB199" s="1284"/>
      <c r="AC199" s="2512"/>
      <c r="AD199" s="753"/>
      <c r="AE199" s="1284"/>
      <c r="AF199" s="1284"/>
      <c r="AG199" s="1760"/>
      <c r="AH199" s="1760"/>
      <c r="AI199" s="1760"/>
      <c r="AJ199" s="1760"/>
      <c r="AK199" s="1760"/>
      <c r="AL199" s="1760"/>
      <c r="AM199" s="1760"/>
      <c r="AN199" s="1760"/>
      <c r="AO199" s="1760"/>
      <c r="AP199" s="1760"/>
      <c r="AQ199" s="1760"/>
      <c r="AR199" s="1760"/>
      <c r="AS199" s="1760"/>
      <c r="AT199" s="1760"/>
      <c r="AU199" s="1760"/>
      <c r="AV199" s="1760"/>
      <c r="AW199" s="1760"/>
      <c r="AX199" s="1760"/>
      <c r="AY199" s="1760"/>
      <c r="AZ199" s="1760"/>
      <c r="BA199" s="1760"/>
      <c r="BB199" s="1760"/>
      <c r="BC199" s="1760"/>
      <c r="BD199" s="1760"/>
      <c r="BE199" s="1760"/>
      <c r="BF199" s="1760"/>
      <c r="BG199" s="1760"/>
      <c r="BH199" s="1760"/>
      <c r="BI199" s="1760"/>
      <c r="BJ199" s="1760"/>
      <c r="BK199" s="1760"/>
      <c r="BL199" s="1760"/>
      <c r="BM199" s="1760"/>
      <c r="BN199" s="1760"/>
      <c r="BO199" s="1760"/>
      <c r="BP199" s="1760"/>
      <c r="BQ199" s="1760"/>
      <c r="BR199" s="1760"/>
      <c r="BS199" s="1760"/>
      <c r="BT199" s="1760"/>
      <c r="BU199" s="1760"/>
      <c r="BV199" s="1284"/>
      <c r="BW199" s="1284"/>
      <c r="BX199" s="1284"/>
      <c r="BY199" s="1284"/>
      <c r="BZ199" s="1284"/>
      <c r="CA199" s="1284"/>
      <c r="CB199" s="1284"/>
      <c r="CC199" s="1284"/>
      <c r="CD199" s="1284"/>
      <c r="CE199" s="1284"/>
      <c r="CF199" s="7954"/>
    </row>
    <row customHeight="1" ht="5.25" hidden="1">
      <c r="A200" s="1916"/>
      <c r="B200" s="1760"/>
      <c r="C200" s="1760"/>
      <c r="D200" s="2716"/>
      <c r="E200" s="1163"/>
      <c r="F200" s="1163"/>
      <c r="G200" s="1163"/>
      <c r="H200" s="1163"/>
      <c r="I200" s="1163"/>
      <c r="J200" s="1163"/>
      <c r="K200" s="1163"/>
      <c r="L200" s="1163"/>
      <c r="M200" s="1163"/>
      <c r="N200" s="1163"/>
      <c r="O200" s="1163"/>
      <c r="P200" s="1163"/>
      <c r="Q200" s="1164"/>
      <c r="R200" s="1165"/>
      <c r="S200" s="1166"/>
      <c r="T200" s="841" t="s">
        <v>748</v>
      </c>
      <c r="U200" s="2511">
        <v>1</v>
      </c>
      <c r="V200" s="2511" t="s">
        <v>693</v>
      </c>
      <c r="W200" s="1760"/>
      <c r="X200" s="1760"/>
      <c r="Y200" s="1760"/>
      <c r="Z200" s="1760"/>
      <c r="AA200" s="1760"/>
      <c r="AB200" s="1760"/>
      <c r="AC200" s="1161"/>
      <c r="AD200" s="1162"/>
      <c r="AE200" s="1760"/>
      <c r="AF200" s="1760"/>
      <c r="AG200" s="1760"/>
      <c r="AH200" s="1760"/>
      <c r="AI200" s="1760"/>
      <c r="AJ200" s="1760"/>
      <c r="AK200" s="1760"/>
      <c r="AL200" s="1760"/>
      <c r="AM200" s="1760"/>
      <c r="AN200" s="1760"/>
      <c r="AO200" s="1760"/>
      <c r="AP200" s="1760"/>
      <c r="AQ200" s="1760"/>
      <c r="AR200" s="1760"/>
      <c r="AS200" s="1760"/>
      <c r="AT200" s="1760"/>
      <c r="AU200" s="1760"/>
      <c r="AV200" s="1760"/>
      <c r="AW200" s="1760"/>
      <c r="AX200" s="1760"/>
      <c r="AY200" s="1760"/>
      <c r="AZ200" s="1760"/>
      <c r="BA200" s="1760"/>
      <c r="BB200" s="1760"/>
      <c r="BC200" s="1760"/>
      <c r="BD200" s="1760"/>
      <c r="BE200" s="1760"/>
      <c r="BF200" s="1760"/>
      <c r="BG200" s="1760"/>
      <c r="BH200" s="1760"/>
      <c r="BI200" s="1760"/>
      <c r="BJ200" s="1760"/>
      <c r="BK200" s="1760"/>
      <c r="BL200" s="1760"/>
      <c r="BM200" s="1760"/>
      <c r="BN200" s="1760"/>
      <c r="BO200" s="1760"/>
      <c r="BP200" s="1760"/>
      <c r="BQ200" s="1760"/>
      <c r="BR200" s="1760"/>
      <c r="BS200" s="1760"/>
      <c r="BT200" s="1760"/>
      <c r="BU200" s="1760"/>
      <c r="BV200" s="1760"/>
      <c r="BW200" s="1760"/>
      <c r="BX200" s="1760"/>
      <c r="BY200" s="1760"/>
      <c r="BZ200" s="1760"/>
      <c r="CA200" s="1760"/>
      <c r="CB200" s="1760"/>
      <c r="CC200" s="1760"/>
      <c r="CD200" s="1760"/>
      <c r="CE200" s="1760"/>
      <c r="CF200" s="7914"/>
    </row>
    <row customHeight="1" ht="5.25" hidden="1">
      <c r="A201" s="1916"/>
      <c r="B201" s="1760"/>
      <c r="C201" s="1760"/>
      <c r="D201" s="2716"/>
      <c r="E201" s="759"/>
      <c r="F201" s="759"/>
      <c r="G201" s="759"/>
      <c r="H201" s="759"/>
      <c r="I201" s="759"/>
      <c r="J201" s="759"/>
      <c r="K201" s="759"/>
      <c r="L201" s="759"/>
      <c r="M201" s="759"/>
      <c r="N201" s="759"/>
      <c r="O201" s="759"/>
      <c r="P201" s="759"/>
      <c r="Q201" s="759"/>
      <c r="R201" s="759"/>
      <c r="S201" s="760"/>
      <c r="T201" s="842"/>
      <c r="U201" s="2511"/>
      <c r="V201" s="2511"/>
      <c r="W201" s="1760"/>
      <c r="X201" s="1760"/>
      <c r="Y201" s="1760"/>
      <c r="Z201" s="1760"/>
      <c r="AA201" s="1760"/>
      <c r="AB201" s="1760"/>
      <c r="AC201" s="1161"/>
      <c r="AD201" s="1162"/>
      <c r="AE201" s="1760"/>
      <c r="AF201" s="1760"/>
      <c r="AG201" s="1760"/>
      <c r="AH201" s="1760"/>
      <c r="AI201" s="1760"/>
      <c r="AJ201" s="1760"/>
      <c r="AK201" s="1760"/>
      <c r="AL201" s="1760"/>
      <c r="AM201" s="1760"/>
      <c r="AN201" s="1760"/>
      <c r="AO201" s="1760"/>
      <c r="AP201" s="1760"/>
      <c r="AQ201" s="1760"/>
      <c r="AR201" s="1760"/>
      <c r="AS201" s="1760"/>
      <c r="AT201" s="1760"/>
      <c r="AU201" s="1760"/>
      <c r="AV201" s="1760"/>
      <c r="AW201" s="1760"/>
      <c r="AX201" s="1760"/>
      <c r="AY201" s="1760"/>
      <c r="AZ201" s="1760"/>
      <c r="BA201" s="1760"/>
      <c r="BB201" s="1760"/>
      <c r="BC201" s="1760"/>
      <c r="BD201" s="1760"/>
      <c r="BE201" s="1760"/>
      <c r="BF201" s="1760"/>
      <c r="BG201" s="1760"/>
      <c r="BH201" s="1760"/>
      <c r="BI201" s="1760"/>
      <c r="BJ201" s="1760"/>
      <c r="BK201" s="1760"/>
      <c r="BL201" s="1760"/>
      <c r="BM201" s="1760"/>
      <c r="BN201" s="1760"/>
      <c r="BO201" s="1760"/>
      <c r="BP201" s="1760"/>
      <c r="BQ201" s="1760"/>
      <c r="BR201" s="1760"/>
      <c r="BS201" s="1760"/>
      <c r="BT201" s="1760"/>
      <c r="BU201" s="1760"/>
      <c r="BV201" s="1760"/>
      <c r="BW201" s="1760"/>
      <c r="BX201" s="1760"/>
      <c r="BY201" s="1760"/>
      <c r="BZ201" s="1760"/>
      <c r="CA201" s="1760"/>
      <c r="CB201" s="1760"/>
      <c r="CC201" s="1760"/>
      <c r="CD201" s="1760"/>
      <c r="CE201" s="1760"/>
      <c r="CF201" s="7914"/>
    </row>
    <row customHeight="1" ht="5.25" hidden="1">
      <c r="A202" s="1916"/>
      <c r="B202" s="1760"/>
      <c r="C202" s="1760"/>
      <c r="D202" s="2717"/>
      <c r="E202" s="1167"/>
      <c r="F202" s="1168"/>
      <c r="G202" s="1168"/>
      <c r="H202" s="1169"/>
      <c r="I202" s="1169"/>
      <c r="J202" s="1169"/>
      <c r="K202" s="1169"/>
      <c r="L202" s="1169"/>
      <c r="M202" s="1169"/>
      <c r="N202" s="1169"/>
      <c r="O202" s="1169"/>
      <c r="P202" s="1169"/>
      <c r="Q202" s="1169"/>
      <c r="R202" s="1070"/>
      <c r="S202" s="1170"/>
      <c r="T202" s="842"/>
      <c r="U202" s="2511"/>
      <c r="V202" s="2511"/>
      <c r="W202" s="1760"/>
      <c r="X202" s="1760"/>
      <c r="Y202" s="1760"/>
      <c r="Z202" s="1760"/>
      <c r="AA202" s="1760"/>
      <c r="AB202" s="1760"/>
      <c r="AC202" s="1161"/>
      <c r="AD202" s="1162"/>
      <c r="AE202" s="1760"/>
      <c r="AF202" s="1760"/>
      <c r="AG202" s="1760"/>
      <c r="AH202" s="1760"/>
      <c r="AI202" s="1760"/>
      <c r="AJ202" s="1760"/>
      <c r="AK202" s="1760"/>
      <c r="AL202" s="1760"/>
      <c r="AM202" s="1760"/>
      <c r="AN202" s="1760"/>
      <c r="AO202" s="1760"/>
      <c r="AP202" s="1760"/>
      <c r="AQ202" s="1760"/>
      <c r="AR202" s="1760"/>
      <c r="AS202" s="1760"/>
      <c r="AT202" s="1760"/>
      <c r="AU202" s="1760"/>
      <c r="AV202" s="1760"/>
      <c r="AW202" s="1760"/>
      <c r="AX202" s="1760"/>
      <c r="AY202" s="1760"/>
      <c r="AZ202" s="1760"/>
      <c r="BA202" s="1760"/>
      <c r="BB202" s="1760"/>
      <c r="BC202" s="1760"/>
      <c r="BD202" s="1760"/>
      <c r="BE202" s="1760"/>
      <c r="BF202" s="1760"/>
      <c r="BG202" s="1760"/>
      <c r="BH202" s="1760"/>
      <c r="BI202" s="1760"/>
      <c r="BJ202" s="1760"/>
      <c r="BK202" s="1760"/>
      <c r="BL202" s="1760"/>
      <c r="BM202" s="1760"/>
      <c r="BN202" s="1760"/>
      <c r="BO202" s="1760"/>
      <c r="BP202" s="1760"/>
      <c r="BQ202" s="1760"/>
      <c r="BR202" s="1760"/>
      <c r="BS202" s="1760"/>
      <c r="BT202" s="1760"/>
      <c r="BU202" s="1760"/>
      <c r="BV202" s="1760"/>
      <c r="BW202" s="1760"/>
      <c r="BX202" s="1760"/>
      <c r="BY202" s="1760"/>
      <c r="BZ202" s="1760"/>
      <c r="CA202" s="1760"/>
      <c r="CB202" s="1760"/>
      <c r="CC202" s="1760"/>
      <c r="CD202" s="1760"/>
      <c r="CE202" s="1760"/>
      <c r="CF202" s="7914"/>
    </row>
    <row customHeight="1" ht="15" hidden="1">
      <c r="A203" s="747" t="s">
        <v>239</v>
      </c>
      <c r="B203" s="748"/>
      <c r="C203" s="748" t="s">
        <v>22</v>
      </c>
      <c r="D203" s="2715" t="s">
        <v>771</v>
      </c>
      <c r="E203" s="2514" t="s">
        <v>206</v>
      </c>
      <c r="F203" s="2515"/>
      <c r="G203" s="2516"/>
      <c r="H203" s="2520" t="str">
        <f>IF(A203="","",INDEX(DIFFERENTIATION_UNMERGE_VD,MATCH(A203,DIFFERENTIATION_ID_DIFF,0)))</f>
        <v>Производство тепловой энергии. Некомбинированная выработка</v>
      </c>
      <c r="I203" s="2520"/>
      <c r="J203" s="2520"/>
      <c r="K203" s="2520"/>
      <c r="L203" s="2520"/>
      <c r="M203" s="2520"/>
      <c r="N203" s="2520"/>
      <c r="O203" s="2520"/>
      <c r="P203" s="2520"/>
      <c r="Q203" s="2520"/>
      <c r="R203" s="2520"/>
      <c r="S203" s="843"/>
      <c r="T203" s="840"/>
      <c r="U203" s="749"/>
      <c r="V203" s="749"/>
      <c r="W203" s="750"/>
      <c r="X203" s="750"/>
      <c r="Y203" s="750"/>
      <c r="Z203" s="750"/>
      <c r="AA203" s="751"/>
      <c r="AB203" s="752"/>
      <c r="AC203" s="2512"/>
      <c r="AD203" s="753"/>
      <c r="AE203" s="754" t="s">
        <v>22</v>
      </c>
      <c r="AF203" s="754"/>
      <c r="AG203" s="755" t="s">
        <v>745</v>
      </c>
      <c r="AH203" s="756">
        <v>3</v>
      </c>
      <c r="AI203" s="749"/>
      <c r="AJ203" s="749"/>
      <c r="AK203" s="749"/>
      <c r="AL203" s="749"/>
      <c r="AM203" s="749"/>
      <c r="AN203" s="749"/>
      <c r="AO203" s="749"/>
      <c r="AP203" s="749"/>
      <c r="AQ203" s="749"/>
      <c r="AR203" s="749"/>
      <c r="AS203" s="749"/>
      <c r="AT203" s="749"/>
      <c r="AU203" s="749"/>
      <c r="AV203" s="749"/>
      <c r="AW203" s="749"/>
      <c r="AX203" s="749"/>
      <c r="AY203" s="749"/>
      <c r="AZ203" s="749"/>
      <c r="BA203" s="749"/>
      <c r="BB203" s="749"/>
      <c r="BC203" s="749"/>
      <c r="BD203" s="749"/>
      <c r="BE203" s="749"/>
      <c r="BF203" s="749"/>
      <c r="BG203" s="749"/>
      <c r="BH203" s="749"/>
      <c r="BI203" s="749"/>
      <c r="BJ203" s="749"/>
      <c r="BK203" s="749"/>
      <c r="BL203" s="749"/>
      <c r="BM203" s="749"/>
      <c r="BN203" s="749"/>
      <c r="BO203" s="749"/>
      <c r="BP203" s="749"/>
      <c r="BQ203" s="749"/>
      <c r="BR203" s="749"/>
      <c r="BS203" s="749"/>
      <c r="BT203" s="749"/>
      <c r="BU203" s="749"/>
      <c r="BV203" s="750"/>
      <c r="BW203" s="750"/>
      <c r="BX203" s="750"/>
      <c r="BY203" s="750"/>
      <c r="BZ203" s="750"/>
      <c r="CA203" s="750"/>
      <c r="CB203" s="750"/>
      <c r="CC203" s="750"/>
      <c r="CD203" s="750"/>
      <c r="CE203" s="750"/>
      <c r="CF203" s="7954"/>
    </row>
    <row customHeight="1" ht="15" hidden="1">
      <c r="A204" s="747"/>
      <c r="B204" s="748"/>
      <c r="C204" s="748"/>
      <c r="D204" s="2716"/>
      <c r="E204" s="2514" t="s">
        <v>676</v>
      </c>
      <c r="F204" s="2515"/>
      <c r="G204" s="2516"/>
      <c r="H204" s="2520" t="str">
        <f>IF(A203="","",INDEX(DIFFERENTIATION_UNMERGE_AREA,MATCH(A203,DIFFERENTIATION_ID_DIFF,0)))</f>
        <v>Территория 22</v>
      </c>
      <c r="I204" s="2520"/>
      <c r="J204" s="2520"/>
      <c r="K204" s="2520"/>
      <c r="L204" s="2520"/>
      <c r="M204" s="2520"/>
      <c r="N204" s="2520"/>
      <c r="O204" s="2520"/>
      <c r="P204" s="2520"/>
      <c r="Q204" s="2520"/>
      <c r="R204" s="2520"/>
      <c r="S204" s="843"/>
      <c r="T204" s="840"/>
      <c r="U204" s="749"/>
      <c r="V204" s="749"/>
      <c r="W204" s="750"/>
      <c r="X204" s="750"/>
      <c r="Y204" s="750"/>
      <c r="Z204" s="750"/>
      <c r="AA204" s="751"/>
      <c r="AB204" s="752"/>
      <c r="AC204" s="2512"/>
      <c r="AD204" s="753"/>
      <c r="AE204" s="754"/>
      <c r="AF204" s="754"/>
      <c r="AG204" s="755"/>
      <c r="AH204" s="756"/>
      <c r="AI204" s="749"/>
      <c r="AJ204" s="749"/>
      <c r="AK204" s="749"/>
      <c r="AL204" s="749"/>
      <c r="AM204" s="749"/>
      <c r="AN204" s="749"/>
      <c r="AO204" s="749"/>
      <c r="AP204" s="749"/>
      <c r="AQ204" s="749"/>
      <c r="AR204" s="749"/>
      <c r="AS204" s="749"/>
      <c r="AT204" s="749"/>
      <c r="AU204" s="749"/>
      <c r="AV204" s="749"/>
      <c r="AW204" s="749"/>
      <c r="AX204" s="749"/>
      <c r="AY204" s="749"/>
      <c r="AZ204" s="749"/>
      <c r="BA204" s="749"/>
      <c r="BB204" s="749"/>
      <c r="BC204" s="749"/>
      <c r="BD204" s="749"/>
      <c r="BE204" s="749"/>
      <c r="BF204" s="749"/>
      <c r="BG204" s="749"/>
      <c r="BH204" s="749"/>
      <c r="BI204" s="749"/>
      <c r="BJ204" s="749"/>
      <c r="BK204" s="749"/>
      <c r="BL204" s="749"/>
      <c r="BM204" s="749"/>
      <c r="BN204" s="749"/>
      <c r="BO204" s="749"/>
      <c r="BP204" s="749"/>
      <c r="BQ204" s="749"/>
      <c r="BR204" s="749"/>
      <c r="BS204" s="749"/>
      <c r="BT204" s="749"/>
      <c r="BU204" s="749"/>
      <c r="BV204" s="750"/>
      <c r="BW204" s="750"/>
      <c r="BX204" s="750"/>
      <c r="BY204" s="750"/>
      <c r="BZ204" s="750"/>
      <c r="CA204" s="750"/>
      <c r="CB204" s="750"/>
      <c r="CC204" s="750"/>
      <c r="CD204" s="750"/>
      <c r="CE204" s="750"/>
      <c r="CF204" s="7954"/>
    </row>
    <row customHeight="1" ht="15" hidden="1">
      <c r="A205" s="747"/>
      <c r="B205" s="748"/>
      <c r="C205" s="748"/>
      <c r="D205" s="2716"/>
      <c r="E205" s="2514" t="s">
        <v>677</v>
      </c>
      <c r="F205" s="2515"/>
      <c r="G205" s="2516"/>
      <c r="H205" s="2520" t="str">
        <f>IF(A203="","",INDEX(DIFFERENTIATION_UNMERGE_SYSTEM,MATCH(A203,DIFFERENTIATION_ID_DIFF,0)))</f>
        <v>без дифференциации</v>
      </c>
      <c r="I205" s="2520"/>
      <c r="J205" s="2520"/>
      <c r="K205" s="2520"/>
      <c r="L205" s="2520"/>
      <c r="M205" s="2520"/>
      <c r="N205" s="2520"/>
      <c r="O205" s="2520"/>
      <c r="P205" s="2520"/>
      <c r="Q205" s="2520"/>
      <c r="R205" s="2520"/>
      <c r="S205" s="843"/>
      <c r="T205" s="840"/>
      <c r="U205" s="749"/>
      <c r="V205" s="749"/>
      <c r="W205" s="750"/>
      <c r="X205" s="750"/>
      <c r="Y205" s="750"/>
      <c r="Z205" s="750"/>
      <c r="AA205" s="751"/>
      <c r="AB205" s="752"/>
      <c r="AC205" s="2512"/>
      <c r="AD205" s="753"/>
      <c r="AE205" s="754"/>
      <c r="AF205" s="754"/>
      <c r="AG205" s="755"/>
      <c r="AH205" s="756"/>
      <c r="AI205" s="749"/>
      <c r="AJ205" s="749"/>
      <c r="AK205" s="749"/>
      <c r="AL205" s="749"/>
      <c r="AM205" s="749"/>
      <c r="AN205" s="749"/>
      <c r="AO205" s="749"/>
      <c r="AP205" s="749"/>
      <c r="AQ205" s="749"/>
      <c r="AR205" s="749"/>
      <c r="AS205" s="749"/>
      <c r="AT205" s="749"/>
      <c r="AU205" s="749"/>
      <c r="AV205" s="749"/>
      <c r="AW205" s="749"/>
      <c r="AX205" s="749"/>
      <c r="AY205" s="749"/>
      <c r="AZ205" s="749"/>
      <c r="BA205" s="749"/>
      <c r="BB205" s="749"/>
      <c r="BC205" s="749"/>
      <c r="BD205" s="749"/>
      <c r="BE205" s="749"/>
      <c r="BF205" s="749"/>
      <c r="BG205" s="749"/>
      <c r="BH205" s="749"/>
      <c r="BI205" s="749"/>
      <c r="BJ205" s="749"/>
      <c r="BK205" s="749"/>
      <c r="BL205" s="749"/>
      <c r="BM205" s="749"/>
      <c r="BN205" s="749"/>
      <c r="BO205" s="749"/>
      <c r="BP205" s="749"/>
      <c r="BQ205" s="749"/>
      <c r="BR205" s="749"/>
      <c r="BS205" s="749"/>
      <c r="BT205" s="749"/>
      <c r="BU205" s="749"/>
      <c r="BV205" s="750"/>
      <c r="BW205" s="750"/>
      <c r="BX205" s="750"/>
      <c r="BY205" s="750"/>
      <c r="BZ205" s="750"/>
      <c r="CA205" s="750"/>
      <c r="CB205" s="750"/>
      <c r="CC205" s="750"/>
      <c r="CD205" s="750"/>
      <c r="CE205" s="750"/>
      <c r="CF205" s="7954"/>
    </row>
    <row customHeight="1" ht="24.75" hidden="1">
      <c r="A206" s="1929"/>
      <c r="B206" s="1284"/>
      <c r="C206" s="536"/>
      <c r="D206" s="2716"/>
      <c r="E206" s="2513" t="s">
        <v>746</v>
      </c>
      <c r="F206" s="2513"/>
      <c r="G206" s="2513"/>
      <c r="H206" s="2513"/>
      <c r="I206" s="2513"/>
      <c r="J206" s="2513"/>
      <c r="K206" s="2513"/>
      <c r="L206" s="2513"/>
      <c r="M206" s="2513"/>
      <c r="N206" s="2513"/>
      <c r="O206" s="2513"/>
      <c r="P206" s="2513"/>
      <c r="Q206" s="682">
        <f>SUMIF(T207:T208,"i",Q207:Q208)</f>
        <v>0</v>
      </c>
      <c r="R206" s="1141"/>
      <c r="S206" s="1921" t="s">
        <v>747</v>
      </c>
      <c r="T206" s="841" t="s">
        <v>748</v>
      </c>
      <c r="U206" s="2511">
        <v>1</v>
      </c>
      <c r="V206" s="2511" t="str">
        <f>INDEX(B_FHD_FLAG_INDEX_1,1,MATCH(A203,B_FHD_FLAG_DIFFERENTIATION,0))</f>
        <v>отсутствует</v>
      </c>
      <c r="W206" s="1284"/>
      <c r="X206" s="1284"/>
      <c r="Y206" s="1284"/>
      <c r="Z206" s="1284"/>
      <c r="AA206" s="1760"/>
      <c r="AB206" s="1284"/>
      <c r="AC206" s="2512"/>
      <c r="AD206" s="753"/>
      <c r="AE206" s="1284"/>
      <c r="AF206" s="1284"/>
      <c r="AG206" s="1760"/>
      <c r="AH206" s="1760"/>
      <c r="AI206" s="1760"/>
      <c r="AJ206" s="1760"/>
      <c r="AK206" s="1760"/>
      <c r="AL206" s="1760"/>
      <c r="AM206" s="1760"/>
      <c r="AN206" s="1760"/>
      <c r="AO206" s="1760"/>
      <c r="AP206" s="1760"/>
      <c r="AQ206" s="1760"/>
      <c r="AR206" s="1760"/>
      <c r="AS206" s="1760"/>
      <c r="AT206" s="1760"/>
      <c r="AU206" s="1760"/>
      <c r="AV206" s="1760"/>
      <c r="AW206" s="1760"/>
      <c r="AX206" s="1760"/>
      <c r="AY206" s="1760"/>
      <c r="AZ206" s="1760"/>
      <c r="BA206" s="1760"/>
      <c r="BB206" s="1760"/>
      <c r="BC206" s="1760"/>
      <c r="BD206" s="1760"/>
      <c r="BE206" s="1760"/>
      <c r="BF206" s="1760"/>
      <c r="BG206" s="1760"/>
      <c r="BH206" s="1760"/>
      <c r="BI206" s="1760"/>
      <c r="BJ206" s="1760"/>
      <c r="BK206" s="1760"/>
      <c r="BL206" s="1760"/>
      <c r="BM206" s="1760"/>
      <c r="BN206" s="1760"/>
      <c r="BO206" s="1760"/>
      <c r="BP206" s="1760"/>
      <c r="BQ206" s="1760"/>
      <c r="BR206" s="1760"/>
      <c r="BS206" s="1760"/>
      <c r="BT206" s="1760"/>
      <c r="BU206" s="1760"/>
      <c r="BV206" s="1284"/>
      <c r="BW206" s="1284"/>
      <c r="BX206" s="1284"/>
      <c r="BY206" s="1284"/>
      <c r="BZ206" s="1284"/>
      <c r="CA206" s="1284"/>
      <c r="CB206" s="1284"/>
      <c r="CC206" s="1284"/>
      <c r="CD206" s="1284"/>
      <c r="CE206" s="1284"/>
      <c r="CF206" s="7954"/>
    </row>
    <row customHeight="1" ht="11.25" hidden="1">
      <c r="A207" s="1916"/>
      <c r="B207" s="1760"/>
      <c r="C207" s="1760"/>
      <c r="D207" s="2716"/>
      <c r="E207" s="759"/>
      <c r="F207" s="759">
        <v>0</v>
      </c>
      <c r="G207" s="759"/>
      <c r="H207" s="759"/>
      <c r="I207" s="759"/>
      <c r="J207" s="759"/>
      <c r="K207" s="759"/>
      <c r="L207" s="759"/>
      <c r="M207" s="759"/>
      <c r="N207" s="759"/>
      <c r="O207" s="759"/>
      <c r="P207" s="759"/>
      <c r="Q207" s="759"/>
      <c r="R207" s="759"/>
      <c r="S207" s="760"/>
      <c r="T207" s="842"/>
      <c r="U207" s="2511"/>
      <c r="V207" s="2511"/>
      <c r="W207" s="1760"/>
      <c r="X207" s="1760"/>
      <c r="Y207" s="1760"/>
      <c r="Z207" s="1760"/>
      <c r="AA207" s="1760"/>
      <c r="AB207" s="1284"/>
      <c r="AC207" s="2512"/>
      <c r="AD207" s="753"/>
      <c r="AE207" s="1284"/>
      <c r="AF207" s="1284"/>
      <c r="AG207" s="1760"/>
      <c r="AH207" s="1760"/>
      <c r="AI207" s="1760"/>
      <c r="AJ207" s="1760"/>
      <c r="AK207" s="1760"/>
      <c r="AL207" s="1760"/>
      <c r="AM207" s="1760"/>
      <c r="AN207" s="1760"/>
      <c r="AO207" s="1760"/>
      <c r="AP207" s="1760"/>
      <c r="AQ207" s="1760"/>
      <c r="AR207" s="1760"/>
      <c r="AS207" s="1760"/>
      <c r="AT207" s="1760"/>
      <c r="AU207" s="1760"/>
      <c r="AV207" s="1760"/>
      <c r="AW207" s="1760"/>
      <c r="AX207" s="1760"/>
      <c r="AY207" s="1760"/>
      <c r="AZ207" s="1760"/>
      <c r="BA207" s="1760"/>
      <c r="BB207" s="1760"/>
      <c r="BC207" s="1760"/>
      <c r="BD207" s="1760"/>
      <c r="BE207" s="1760"/>
      <c r="BF207" s="1760"/>
      <c r="BG207" s="1760"/>
      <c r="BH207" s="1760"/>
      <c r="BI207" s="1760"/>
      <c r="BJ207" s="1760"/>
      <c r="BK207" s="1760"/>
      <c r="BL207" s="1760"/>
      <c r="BM207" s="1760"/>
      <c r="BN207" s="1760"/>
      <c r="BO207" s="1760"/>
      <c r="BP207" s="1760"/>
      <c r="BQ207" s="1760"/>
      <c r="BR207" s="1760"/>
      <c r="BS207" s="1760"/>
      <c r="BT207" s="1760"/>
      <c r="BU207" s="1760"/>
      <c r="BV207" s="1760"/>
      <c r="BW207" s="1760"/>
      <c r="BX207" s="1760"/>
      <c r="BY207" s="1760"/>
      <c r="BZ207" s="1760"/>
      <c r="CA207" s="1760"/>
      <c r="CB207" s="1760"/>
      <c r="CC207" s="1760"/>
      <c r="CD207" s="1760"/>
      <c r="CE207" s="1760"/>
      <c r="CF207" s="7954"/>
    </row>
    <row customHeight="1" ht="11.25" hidden="1">
      <c r="A208" s="1929"/>
      <c r="B208" s="1284"/>
      <c r="C208" s="536"/>
      <c r="D208" s="2716"/>
      <c r="E208" s="773" t="s">
        <v>22</v>
      </c>
      <c r="F208" s="1292" t="s">
        <v>22</v>
      </c>
      <c r="G208" s="1292" t="s">
        <v>751</v>
      </c>
      <c r="H208" s="775" t="s">
        <v>22</v>
      </c>
      <c r="I208" s="775"/>
      <c r="J208" s="775"/>
      <c r="K208" s="775"/>
      <c r="L208" s="775"/>
      <c r="M208" s="775"/>
      <c r="N208" s="775"/>
      <c r="O208" s="775"/>
      <c r="P208" s="775"/>
      <c r="Q208" s="775"/>
      <c r="R208" s="776"/>
      <c r="S208" s="777"/>
      <c r="T208" s="842"/>
      <c r="U208" s="2511"/>
      <c r="V208" s="2511"/>
      <c r="W208" s="1284"/>
      <c r="X208" s="1284"/>
      <c r="Y208" s="1284"/>
      <c r="Z208" s="1284"/>
      <c r="AA208" s="1760"/>
      <c r="AB208" s="1284"/>
      <c r="AC208" s="2512"/>
      <c r="AD208" s="753"/>
      <c r="AE208" s="1284"/>
      <c r="AF208" s="1284"/>
      <c r="AG208" s="1760"/>
      <c r="AH208" s="1760"/>
      <c r="AI208" s="1760"/>
      <c r="AJ208" s="1760"/>
      <c r="AK208" s="1760"/>
      <c r="AL208" s="1760"/>
      <c r="AM208" s="1760"/>
      <c r="AN208" s="1760"/>
      <c r="AO208" s="1760"/>
      <c r="AP208" s="1760"/>
      <c r="AQ208" s="1760"/>
      <c r="AR208" s="1760"/>
      <c r="AS208" s="1760"/>
      <c r="AT208" s="1760"/>
      <c r="AU208" s="1760"/>
      <c r="AV208" s="1760"/>
      <c r="AW208" s="1760"/>
      <c r="AX208" s="1760"/>
      <c r="AY208" s="1760"/>
      <c r="AZ208" s="1760"/>
      <c r="BA208" s="1760"/>
      <c r="BB208" s="1760"/>
      <c r="BC208" s="1760"/>
      <c r="BD208" s="1760"/>
      <c r="BE208" s="1760"/>
      <c r="BF208" s="1760"/>
      <c r="BG208" s="1760"/>
      <c r="BH208" s="1760"/>
      <c r="BI208" s="1760"/>
      <c r="BJ208" s="1760"/>
      <c r="BK208" s="1760"/>
      <c r="BL208" s="1760"/>
      <c r="BM208" s="1760"/>
      <c r="BN208" s="1760"/>
      <c r="BO208" s="1760"/>
      <c r="BP208" s="1760"/>
      <c r="BQ208" s="1760"/>
      <c r="BR208" s="1760"/>
      <c r="BS208" s="1760"/>
      <c r="BT208" s="1760"/>
      <c r="BU208" s="1760"/>
      <c r="BV208" s="1284"/>
      <c r="BW208" s="1284"/>
      <c r="BX208" s="1284"/>
      <c r="BY208" s="1284"/>
      <c r="BZ208" s="1284"/>
      <c r="CA208" s="1284"/>
      <c r="CB208" s="1284"/>
      <c r="CC208" s="1284"/>
      <c r="CD208" s="1284"/>
      <c r="CE208" s="1284"/>
      <c r="CF208" s="7954"/>
    </row>
    <row customHeight="1" ht="5.25" hidden="1">
      <c r="A209" s="1916"/>
      <c r="B209" s="1760"/>
      <c r="C209" s="1760"/>
      <c r="D209" s="2716"/>
      <c r="E209" s="1163"/>
      <c r="F209" s="1163"/>
      <c r="G209" s="1163"/>
      <c r="H209" s="1163"/>
      <c r="I209" s="1163"/>
      <c r="J209" s="1163"/>
      <c r="K209" s="1163"/>
      <c r="L209" s="1163"/>
      <c r="M209" s="1163"/>
      <c r="N209" s="1163"/>
      <c r="O209" s="1163"/>
      <c r="P209" s="1163"/>
      <c r="Q209" s="1164"/>
      <c r="R209" s="1165"/>
      <c r="S209" s="1166"/>
      <c r="T209" s="841" t="s">
        <v>748</v>
      </c>
      <c r="U209" s="2511">
        <v>1</v>
      </c>
      <c r="V209" s="2511" t="s">
        <v>693</v>
      </c>
      <c r="W209" s="1760"/>
      <c r="X209" s="1760"/>
      <c r="Y209" s="1760"/>
      <c r="Z209" s="1760"/>
      <c r="AA209" s="1760"/>
      <c r="AB209" s="1760"/>
      <c r="AC209" s="1161"/>
      <c r="AD209" s="1162"/>
      <c r="AE209" s="1760"/>
      <c r="AF209" s="1760"/>
      <c r="AG209" s="1760"/>
      <c r="AH209" s="1760"/>
      <c r="AI209" s="1760"/>
      <c r="AJ209" s="1760"/>
      <c r="AK209" s="1760"/>
      <c r="AL209" s="1760"/>
      <c r="AM209" s="1760"/>
      <c r="AN209" s="1760"/>
      <c r="AO209" s="1760"/>
      <c r="AP209" s="1760"/>
      <c r="AQ209" s="1760"/>
      <c r="AR209" s="1760"/>
      <c r="AS209" s="1760"/>
      <c r="AT209" s="1760"/>
      <c r="AU209" s="1760"/>
      <c r="AV209" s="1760"/>
      <c r="AW209" s="1760"/>
      <c r="AX209" s="1760"/>
      <c r="AY209" s="1760"/>
      <c r="AZ209" s="1760"/>
      <c r="BA209" s="1760"/>
      <c r="BB209" s="1760"/>
      <c r="BC209" s="1760"/>
      <c r="BD209" s="1760"/>
      <c r="BE209" s="1760"/>
      <c r="BF209" s="1760"/>
      <c r="BG209" s="1760"/>
      <c r="BH209" s="1760"/>
      <c r="BI209" s="1760"/>
      <c r="BJ209" s="1760"/>
      <c r="BK209" s="1760"/>
      <c r="BL209" s="1760"/>
      <c r="BM209" s="1760"/>
      <c r="BN209" s="1760"/>
      <c r="BO209" s="1760"/>
      <c r="BP209" s="1760"/>
      <c r="BQ209" s="1760"/>
      <c r="BR209" s="1760"/>
      <c r="BS209" s="1760"/>
      <c r="BT209" s="1760"/>
      <c r="BU209" s="1760"/>
      <c r="BV209" s="1760"/>
      <c r="BW209" s="1760"/>
      <c r="BX209" s="1760"/>
      <c r="BY209" s="1760"/>
      <c r="BZ209" s="1760"/>
      <c r="CA209" s="1760"/>
      <c r="CB209" s="1760"/>
      <c r="CC209" s="1760"/>
      <c r="CD209" s="1760"/>
      <c r="CE209" s="1760"/>
      <c r="CF209" s="7914"/>
    </row>
    <row customHeight="1" ht="5.25" hidden="1">
      <c r="A210" s="1916"/>
      <c r="B210" s="1760"/>
      <c r="C210" s="1760"/>
      <c r="D210" s="2716"/>
      <c r="E210" s="759"/>
      <c r="F210" s="759"/>
      <c r="G210" s="759"/>
      <c r="H210" s="759"/>
      <c r="I210" s="759"/>
      <c r="J210" s="759"/>
      <c r="K210" s="759"/>
      <c r="L210" s="759"/>
      <c r="M210" s="759"/>
      <c r="N210" s="759"/>
      <c r="O210" s="759"/>
      <c r="P210" s="759"/>
      <c r="Q210" s="759"/>
      <c r="R210" s="759"/>
      <c r="S210" s="760"/>
      <c r="T210" s="842"/>
      <c r="U210" s="2511"/>
      <c r="V210" s="2511"/>
      <c r="W210" s="1760"/>
      <c r="X210" s="1760"/>
      <c r="Y210" s="1760"/>
      <c r="Z210" s="1760"/>
      <c r="AA210" s="1760"/>
      <c r="AB210" s="1760"/>
      <c r="AC210" s="1161"/>
      <c r="AD210" s="1162"/>
      <c r="AE210" s="1760"/>
      <c r="AF210" s="1760"/>
      <c r="AG210" s="1760"/>
      <c r="AH210" s="1760"/>
      <c r="AI210" s="1760"/>
      <c r="AJ210" s="1760"/>
      <c r="AK210" s="1760"/>
      <c r="AL210" s="1760"/>
      <c r="AM210" s="1760"/>
      <c r="AN210" s="1760"/>
      <c r="AO210" s="1760"/>
      <c r="AP210" s="1760"/>
      <c r="AQ210" s="1760"/>
      <c r="AR210" s="1760"/>
      <c r="AS210" s="1760"/>
      <c r="AT210" s="1760"/>
      <c r="AU210" s="1760"/>
      <c r="AV210" s="1760"/>
      <c r="AW210" s="1760"/>
      <c r="AX210" s="1760"/>
      <c r="AY210" s="1760"/>
      <c r="AZ210" s="1760"/>
      <c r="BA210" s="1760"/>
      <c r="BB210" s="1760"/>
      <c r="BC210" s="1760"/>
      <c r="BD210" s="1760"/>
      <c r="BE210" s="1760"/>
      <c r="BF210" s="1760"/>
      <c r="BG210" s="1760"/>
      <c r="BH210" s="1760"/>
      <c r="BI210" s="1760"/>
      <c r="BJ210" s="1760"/>
      <c r="BK210" s="1760"/>
      <c r="BL210" s="1760"/>
      <c r="BM210" s="1760"/>
      <c r="BN210" s="1760"/>
      <c r="BO210" s="1760"/>
      <c r="BP210" s="1760"/>
      <c r="BQ210" s="1760"/>
      <c r="BR210" s="1760"/>
      <c r="BS210" s="1760"/>
      <c r="BT210" s="1760"/>
      <c r="BU210" s="1760"/>
      <c r="BV210" s="1760"/>
      <c r="BW210" s="1760"/>
      <c r="BX210" s="1760"/>
      <c r="BY210" s="1760"/>
      <c r="BZ210" s="1760"/>
      <c r="CA210" s="1760"/>
      <c r="CB210" s="1760"/>
      <c r="CC210" s="1760"/>
      <c r="CD210" s="1760"/>
      <c r="CE210" s="1760"/>
      <c r="CF210" s="7914"/>
    </row>
    <row customHeight="1" ht="5.25" hidden="1">
      <c r="A211" s="1916"/>
      <c r="B211" s="1760"/>
      <c r="C211" s="1760"/>
      <c r="D211" s="2717"/>
      <c r="E211" s="1167"/>
      <c r="F211" s="1168"/>
      <c r="G211" s="1168"/>
      <c r="H211" s="1169"/>
      <c r="I211" s="1169"/>
      <c r="J211" s="1169"/>
      <c r="K211" s="1169"/>
      <c r="L211" s="1169"/>
      <c r="M211" s="1169"/>
      <c r="N211" s="1169"/>
      <c r="O211" s="1169"/>
      <c r="P211" s="1169"/>
      <c r="Q211" s="1169"/>
      <c r="R211" s="1070"/>
      <c r="S211" s="1170"/>
      <c r="T211" s="842"/>
      <c r="U211" s="2511"/>
      <c r="V211" s="2511"/>
      <c r="W211" s="1760"/>
      <c r="X211" s="1760"/>
      <c r="Y211" s="1760"/>
      <c r="Z211" s="1760"/>
      <c r="AA211" s="1760"/>
      <c r="AB211" s="1760"/>
      <c r="AC211" s="1161"/>
      <c r="AD211" s="1162"/>
      <c r="AE211" s="1760"/>
      <c r="AF211" s="1760"/>
      <c r="AG211" s="1760"/>
      <c r="AH211" s="1760"/>
      <c r="AI211" s="1760"/>
      <c r="AJ211" s="1760"/>
      <c r="AK211" s="1760"/>
      <c r="AL211" s="1760"/>
      <c r="AM211" s="1760"/>
      <c r="AN211" s="1760"/>
      <c r="AO211" s="1760"/>
      <c r="AP211" s="1760"/>
      <c r="AQ211" s="1760"/>
      <c r="AR211" s="1760"/>
      <c r="AS211" s="1760"/>
      <c r="AT211" s="1760"/>
      <c r="AU211" s="1760"/>
      <c r="AV211" s="1760"/>
      <c r="AW211" s="1760"/>
      <c r="AX211" s="1760"/>
      <c r="AY211" s="1760"/>
      <c r="AZ211" s="1760"/>
      <c r="BA211" s="1760"/>
      <c r="BB211" s="1760"/>
      <c r="BC211" s="1760"/>
      <c r="BD211" s="1760"/>
      <c r="BE211" s="1760"/>
      <c r="BF211" s="1760"/>
      <c r="BG211" s="1760"/>
      <c r="BH211" s="1760"/>
      <c r="BI211" s="1760"/>
      <c r="BJ211" s="1760"/>
      <c r="BK211" s="1760"/>
      <c r="BL211" s="1760"/>
      <c r="BM211" s="1760"/>
      <c r="BN211" s="1760"/>
      <c r="BO211" s="1760"/>
      <c r="BP211" s="1760"/>
      <c r="BQ211" s="1760"/>
      <c r="BR211" s="1760"/>
      <c r="BS211" s="1760"/>
      <c r="BT211" s="1760"/>
      <c r="BU211" s="1760"/>
      <c r="BV211" s="1760"/>
      <c r="BW211" s="1760"/>
      <c r="BX211" s="1760"/>
      <c r="BY211" s="1760"/>
      <c r="BZ211" s="1760"/>
      <c r="CA211" s="1760"/>
      <c r="CB211" s="1760"/>
      <c r="CC211" s="1760"/>
      <c r="CD211" s="1760"/>
      <c r="CE211" s="1760"/>
      <c r="CF211" s="7914"/>
    </row>
    <row customHeight="1" ht="19.95">
      <c r="D212" s="1171"/>
      <c r="E212" s="1171"/>
      <c r="F212" s="1171"/>
      <c r="G212" s="1171"/>
      <c r="H212" s="1171"/>
      <c r="I212" s="1171"/>
      <c r="J212" s="1171"/>
      <c r="K212" s="1171"/>
      <c r="L212" s="1171"/>
      <c r="M212" s="1171"/>
      <c r="N212" s="1171"/>
      <c r="O212" s="1171"/>
      <c r="P212" s="1171"/>
      <c r="Q212" s="1171"/>
      <c r="R212" s="1171"/>
      <c r="S212" s="1171"/>
      <c r="T212" s="458"/>
      <c r="CF212" s="629">
        <v>19</v>
      </c>
    </row>
    <row customHeight="1" ht="11.549999999999999">
      <c r="D213" s="633"/>
      <c r="CF213" s="629">
        <v>11</v>
      </c>
    </row>
    <row customHeight="1" ht="11.549999999999999">
      <c r="D214" s="778"/>
      <c r="E214" s="778"/>
      <c r="F214" s="778"/>
      <c r="G214" s="779"/>
      <c r="CF214" s="629">
        <v>11</v>
      </c>
    </row>
    <row customHeight="1" ht="11.549999999999999">
      <c r="CF215" s="629">
        <v>11</v>
      </c>
    </row>
    <row customHeight="1" ht="11.549999999999999">
      <c r="D216" s="780"/>
      <c r="E216" s="2521"/>
      <c r="F216" s="2521"/>
      <c r="G216" s="2521"/>
      <c r="H216" s="2521"/>
      <c r="I216" s="2521"/>
      <c r="J216" s="2521"/>
      <c r="K216" s="2521"/>
      <c r="L216" s="2521"/>
      <c r="M216" s="2521"/>
      <c r="N216" s="2521"/>
      <c r="O216" s="2521"/>
      <c r="P216" s="2521"/>
      <c r="Q216" s="2521"/>
      <c r="R216" s="2521"/>
      <c r="CF216" s="629">
        <v>11</v>
      </c>
    </row>
    <row customHeight="1" ht="11.549999999999999">
      <c r="F217" s="882"/>
      <c r="G217" s="882"/>
      <c r="CF217" s="629">
        <v>11</v>
      </c>
    </row>
    <row customHeight="1" ht="11.25" hidden="1">
      <c r="A218" s="734" t="s">
        <v>82</v>
      </c>
      <c r="B218" s="573">
        <v>0</v>
      </c>
      <c r="C218" s="629">
        <v>3</v>
      </c>
      <c r="D218" s="629">
        <v>0</v>
      </c>
      <c r="E218" s="629">
        <v>7</v>
      </c>
      <c r="F218" s="629">
        <v>7</v>
      </c>
      <c r="G218" s="629">
        <v>29</v>
      </c>
      <c r="H218" s="629">
        <v>3</v>
      </c>
      <c r="I218" s="629">
        <v>5</v>
      </c>
      <c r="J218" s="629">
        <v>24</v>
      </c>
      <c r="K218" s="629">
        <v>24</v>
      </c>
      <c r="L218" s="629">
        <v>3</v>
      </c>
      <c r="M218" s="629">
        <v>6</v>
      </c>
      <c r="N218" s="629">
        <v>25</v>
      </c>
      <c r="O218" s="629">
        <v>18</v>
      </c>
      <c r="P218" s="629">
        <v>18</v>
      </c>
      <c r="Q218" s="629">
        <v>18</v>
      </c>
      <c r="R218" s="629">
        <v>18</v>
      </c>
      <c r="S218" s="629">
        <v>93</v>
      </c>
      <c r="T218" s="629">
        <v>10</v>
      </c>
      <c r="U218" s="735">
        <v>10</v>
      </c>
      <c r="V218" s="735">
        <v>11</v>
      </c>
      <c r="W218" s="736">
        <v>10</v>
      </c>
      <c r="X218" s="573">
        <v>10</v>
      </c>
      <c r="Y218" s="573">
        <v>10</v>
      </c>
      <c r="Z218" s="573">
        <v>10</v>
      </c>
      <c r="AA218" s="573">
        <v>10</v>
      </c>
      <c r="AB218" s="629">
        <v>8</v>
      </c>
      <c r="AC218" s="629">
        <v>8</v>
      </c>
      <c r="AD218" s="629">
        <v>8</v>
      </c>
      <c r="AE218" s="629">
        <v>8</v>
      </c>
      <c r="AF218" s="629">
        <v>8</v>
      </c>
      <c r="AG218" s="629">
        <v>8</v>
      </c>
      <c r="AH218" s="629">
        <v>8</v>
      </c>
      <c r="AI218" s="629">
        <v>8</v>
      </c>
      <c r="AJ218" s="629">
        <v>8</v>
      </c>
      <c r="AK218" s="629">
        <v>8</v>
      </c>
      <c r="AL218" s="629">
        <v>8</v>
      </c>
      <c r="AM218" s="629">
        <v>8</v>
      </c>
      <c r="AN218" s="629">
        <v>8</v>
      </c>
      <c r="AO218" s="629">
        <v>8</v>
      </c>
      <c r="AP218" s="629">
        <v>8</v>
      </c>
      <c r="AQ218" s="629">
        <v>8</v>
      </c>
      <c r="AR218" s="629">
        <v>8</v>
      </c>
      <c r="AS218" s="629">
        <v>8</v>
      </c>
      <c r="AT218" s="629">
        <v>8</v>
      </c>
      <c r="AU218" s="629">
        <v>8</v>
      </c>
      <c r="AV218" s="629">
        <v>8</v>
      </c>
      <c r="AW218" s="629">
        <v>8</v>
      </c>
      <c r="AX218" s="629">
        <v>8</v>
      </c>
      <c r="AY218" s="629">
        <v>8</v>
      </c>
      <c r="AZ218" s="629">
        <v>8</v>
      </c>
      <c r="BA218" s="629">
        <v>8</v>
      </c>
      <c r="BB218" s="629">
        <v>8</v>
      </c>
      <c r="BC218" s="629">
        <v>8</v>
      </c>
      <c r="BD218" s="629">
        <v>8</v>
      </c>
      <c r="BE218" s="629">
        <v>8</v>
      </c>
      <c r="BF218" s="629">
        <v>8</v>
      </c>
      <c r="BG218" s="629">
        <v>8</v>
      </c>
      <c r="BH218" s="629">
        <v>8</v>
      </c>
      <c r="BI218" s="629">
        <v>8</v>
      </c>
      <c r="BJ218" s="629">
        <v>8</v>
      </c>
      <c r="BK218" s="629">
        <v>8</v>
      </c>
      <c r="BL218" s="629">
        <v>8</v>
      </c>
      <c r="BM218" s="629">
        <v>8</v>
      </c>
      <c r="BN218" s="629">
        <v>8</v>
      </c>
      <c r="BO218" s="629">
        <v>8</v>
      </c>
      <c r="BP218" s="629">
        <v>8</v>
      </c>
      <c r="BQ218" s="629">
        <v>8</v>
      </c>
      <c r="BR218" s="629">
        <v>8</v>
      </c>
      <c r="BS218" s="629">
        <v>8</v>
      </c>
      <c r="BT218" s="629">
        <v>8</v>
      </c>
      <c r="BU218" s="629">
        <v>8</v>
      </c>
      <c r="BV218" s="629">
        <v>8</v>
      </c>
      <c r="BW218" s="629">
        <v>8</v>
      </c>
      <c r="BX218" s="629">
        <v>8</v>
      </c>
      <c r="BY218" s="629">
        <v>8</v>
      </c>
      <c r="BZ218" s="629">
        <v>8</v>
      </c>
      <c r="CA218" s="629">
        <v>8</v>
      </c>
      <c r="CB218" s="629">
        <v>8</v>
      </c>
      <c r="CC218" s="629">
        <v>8</v>
      </c>
      <c r="CD218" s="629">
        <v>8</v>
      </c>
      <c r="CE218" s="629">
        <v>8</v>
      </c>
      <c r="CF218" s="629">
        <v>11</v>
      </c>
    </row>
  </sheetData>
  <sheetProtection formatColumns="0" formatRows="0" autoFilter="0" sort="0" insertRows="0" insertColumns="1" deleteRows="0" deleteColumns="0"/>
  <mergeCells count="295">
    <mergeCell ref="E5:K5"/>
    <mergeCell ref="E6:K6"/>
    <mergeCell ref="E9:R9"/>
    <mergeCell ref="S9:S10"/>
    <mergeCell ref="E10:F10"/>
    <mergeCell ref="H10:I10"/>
    <mergeCell ref="L10:M10"/>
    <mergeCell ref="D14:D22"/>
    <mergeCell ref="H14:R14"/>
    <mergeCell ref="H15:R15"/>
    <mergeCell ref="H16:R16"/>
    <mergeCell ref="E216:R21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9D6698-30E8-FEF8-0098-A530061CC494}" mc:Ignorable="x14ac xr xr2 xr3">
  <sheetPr>
    <tabColor theme="9" tint="-0.25"/>
  </sheetPr>
  <dimension ref="A1:BF204"/>
  <sheetViews>
    <sheetView showGridLines="0" zoomScale="90" workbookViewId="0">
      <pane xSplit="12" ySplit="14" topLeftCell="AH15" activePane="bottomRight" state="frozen"/>
      <selection pane="bottomLeft" activeCell="A15" sqref="A15"/>
      <selection pane="topRight" activeCell="M1" sqref="M1"/>
      <selection pane="bottomRight" activeCell="AI9" sqref="AI9"/>
    </sheetView>
  </sheetViews>
  <sheetFormatPr defaultColWidth="9.140625" customHeight="1" defaultRowHeight="11.25"/>
  <cols>
    <col min="1" max="5" style="6675" width="10.7109375" hidden="1" customWidth="1"/>
    <col min="6" max="6" style="7158" width="16.8515625" hidden="1" customWidth="1"/>
    <col min="7" max="7" style="6698" width="5.57421875" hidden="1" customWidth="1"/>
    <col min="8" max="8" style="7213" width="3.00390625" customWidth="1"/>
    <col min="9" max="9" style="7213" width="7.00390625" customWidth="1"/>
    <col min="10" max="10" style="7213" width="56.00390625" customWidth="1"/>
    <col min="11" max="11" style="7213" width="10.00390625" customWidth="1"/>
    <col min="12" max="12" style="7213" width="40.57421875" hidden="1" customWidth="1"/>
    <col min="13" max="13" style="7213" width="40.7109375" customWidth="1"/>
    <col min="14" max="34" style="7213" width="40.57421875" customWidth="1"/>
    <col min="35" max="35" style="7158" width="9.7109375" hidden="1" customWidth="1"/>
    <col min="36" max="36" style="7213" width="102.00390625" customWidth="1"/>
    <col min="37" max="37" style="7158" width="9.00390625" customWidth="1"/>
    <col min="38" max="38" style="6698" width="5.00390625" customWidth="1"/>
    <col min="39" max="39" style="6698" width="3.00390625" customWidth="1"/>
    <col min="40" max="43" style="7158" width="3.00390625" customWidth="1"/>
    <col min="44" max="44" style="6698" width="10.00390625" customWidth="1"/>
    <col min="45" max="45" style="7158" width="34.00390625" customWidth="1"/>
    <col min="46" max="46" style="7158" width="9.00390625" customWidth="1"/>
    <col min="47" max="47" style="6676" width="8.00390625" customWidth="1"/>
    <col min="48" max="52" style="7158" width="8.00390625" customWidth="1"/>
    <col min="53" max="57" style="7464" width="8.00390625" customWidth="1"/>
    <col min="58" max="58" style="7213" width="5.421875" hidden="1" customWidth="1"/>
  </cols>
  <sheetData>
    <row s="7158" customFormat="1" customHeight="1" ht="33.75" hidden="1">
      <c r="A1" s="1111"/>
      <c r="B1" s="1111"/>
      <c r="C1" s="1111"/>
      <c r="D1" s="1111"/>
      <c r="E1" s="1111"/>
      <c r="G1" s="1760"/>
      <c r="H1" s="1002"/>
      <c r="L1" s="1490">
        <v>4</v>
      </c>
      <c r="M1" s="1490">
        <v>4</v>
      </c>
      <c r="N1" s="7158">
        <v>4</v>
      </c>
      <c r="O1" s="7158">
        <v>4</v>
      </c>
      <c r="P1" s="7158">
        <v>4</v>
      </c>
      <c r="Q1" s="7158">
        <v>4</v>
      </c>
      <c r="R1" s="7158">
        <v>4</v>
      </c>
      <c r="S1" s="7158">
        <v>4</v>
      </c>
      <c r="T1" s="7158">
        <v>4</v>
      </c>
      <c r="U1" s="7158">
        <v>4</v>
      </c>
      <c r="V1" s="7158">
        <v>4</v>
      </c>
      <c r="W1" s="7158">
        <v>4</v>
      </c>
      <c r="X1" s="7158">
        <v>4</v>
      </c>
      <c r="Y1" s="7158">
        <v>4</v>
      </c>
      <c r="Z1" s="7158">
        <v>4</v>
      </c>
      <c r="AA1" s="7158">
        <v>4</v>
      </c>
      <c r="AB1" s="7158">
        <v>4</v>
      </c>
      <c r="AC1" s="7158">
        <v>4</v>
      </c>
      <c r="AD1" s="7158">
        <v>4</v>
      </c>
      <c r="AE1" s="7158">
        <v>4</v>
      </c>
      <c r="AF1" s="7158">
        <v>4</v>
      </c>
      <c r="AG1" s="7158">
        <v>4</v>
      </c>
      <c r="AH1" s="7158">
        <v>4</v>
      </c>
      <c r="AL1" s="1760"/>
      <c r="AM1" s="1760"/>
      <c r="AR1" s="1760"/>
      <c r="BF1" s="1490" t="s">
        <v>14</v>
      </c>
    </row>
    <row s="7158" customFormat="1" customHeight="1" ht="78.75" hidden="1">
      <c r="A2" s="1111"/>
      <c r="B2" s="2174" t="s">
        <v>772</v>
      </c>
      <c r="C2" s="2174" t="s">
        <v>773</v>
      </c>
      <c r="D2" s="2173" t="s">
        <v>774</v>
      </c>
      <c r="E2" s="2177">
        <f>RIGHT(I2,LEN(I2)-SEARCH("#",SUBSTITUTE(I2,".","#",LEN(I2)-LEN(SUBSTITUTE(I2,".","")))))</f>
      </c>
      <c r="F2" s="2179">
        <f>J2</f>
        <v>0</v>
      </c>
      <c r="G2" s="1760"/>
      <c r="H2" s="2180"/>
      <c r="I2" s="2170"/>
      <c r="J2" s="664"/>
      <c r="K2" s="2140" t="s">
        <v>668</v>
      </c>
      <c r="L2" s="875"/>
      <c r="M2" s="875"/>
      <c r="N2" s="6566"/>
      <c r="O2" s="6566"/>
      <c r="P2" s="6566"/>
      <c r="Q2" s="6566"/>
      <c r="R2" s="6566"/>
      <c r="S2" s="6566"/>
      <c r="T2" s="6566"/>
      <c r="U2" s="6566"/>
      <c r="V2" s="6566"/>
      <c r="W2" s="6566"/>
      <c r="X2" s="6566"/>
      <c r="Y2" s="6566"/>
      <c r="Z2" s="6566"/>
      <c r="AA2" s="6566"/>
      <c r="AB2" s="6566"/>
      <c r="AC2" s="6566"/>
      <c r="AD2" s="6566"/>
      <c r="AE2" s="6566"/>
      <c r="AF2" s="6566"/>
      <c r="AG2" s="6566"/>
      <c r="AH2" s="6566"/>
      <c r="AI2" s="667"/>
      <c r="AJ2" s="1649" t="s">
        <v>669</v>
      </c>
      <c r="AK2" s="667"/>
      <c r="AL2" s="1760"/>
      <c r="AM2" s="1760"/>
      <c r="AR2" s="1760"/>
      <c r="AU2" s="668"/>
      <c r="BA2" s="1756"/>
      <c r="BB2" s="1756"/>
      <c r="BC2" s="1756"/>
      <c r="BD2" s="1756"/>
      <c r="BE2" s="1756"/>
      <c r="BF2" s="1490">
        <v>0</v>
      </c>
    </row>
    <row customHeight="1" ht="11.25" hidden="1">
      <c r="E3" s="2172" t="s">
        <v>775</v>
      </c>
      <c r="L3" s="1755">
        <f>0</f>
        <v>0</v>
      </c>
      <c r="M3" s="1755">
        <v>1</v>
      </c>
      <c r="N3" s="7213">
        <f>0</f>
        <v>0</v>
      </c>
      <c r="O3" s="7213">
        <f>0</f>
        <v>0</v>
      </c>
      <c r="P3" s="7213">
        <f>0</f>
        <v>0</v>
      </c>
      <c r="Q3" s="7213">
        <f>0</f>
        <v>0</v>
      </c>
      <c r="R3" s="7213">
        <f>0</f>
        <v>0</v>
      </c>
      <c r="S3" s="7213">
        <f>0</f>
        <v>0</v>
      </c>
      <c r="T3" s="7213">
        <f>0</f>
        <v>0</v>
      </c>
      <c r="U3" s="7213">
        <f>0</f>
        <v>0</v>
      </c>
      <c r="V3" s="7213">
        <f>0</f>
        <v>0</v>
      </c>
      <c r="W3" s="7213">
        <f>0</f>
        <v>0</v>
      </c>
      <c r="X3" s="7213">
        <f>0</f>
        <v>0</v>
      </c>
      <c r="Y3" s="7213">
        <f>0</f>
        <v>0</v>
      </c>
      <c r="Z3" s="7213">
        <f>0</f>
        <v>0</v>
      </c>
      <c r="AA3" s="7213">
        <f>0</f>
        <v>0</v>
      </c>
      <c r="AB3" s="7213">
        <f>0</f>
        <v>0</v>
      </c>
      <c r="AC3" s="7213">
        <f>0</f>
        <v>0</v>
      </c>
      <c r="AD3" s="7213">
        <f>0</f>
        <v>0</v>
      </c>
      <c r="AE3" s="7213">
        <f>0</f>
        <v>0</v>
      </c>
      <c r="AF3" s="7213">
        <f>0</f>
        <v>0</v>
      </c>
      <c r="AG3" s="7213">
        <f>0</f>
        <v>0</v>
      </c>
      <c r="AH3" s="7213">
        <f>0</f>
        <v>0</v>
      </c>
      <c r="BF3" s="1755">
        <v>0</v>
      </c>
    </row>
    <row s="7464" customFormat="1" customHeight="1" ht="11.25" hidden="1">
      <c r="A4" s="1111"/>
      <c r="B4" s="1111"/>
      <c r="C4" s="1111"/>
      <c r="E4" s="1111"/>
      <c r="F4" s="1490"/>
      <c r="G4" s="1760"/>
      <c r="H4" s="744"/>
      <c r="N4" s="7464"/>
      <c r="O4" s="7464"/>
      <c r="P4" s="7464"/>
      <c r="Q4" s="7464"/>
      <c r="R4" s="7464"/>
      <c r="S4" s="7464"/>
      <c r="T4" s="7464"/>
      <c r="U4" s="7464"/>
      <c r="V4" s="7464"/>
      <c r="W4" s="7464"/>
      <c r="X4" s="7464"/>
      <c r="Y4" s="7464"/>
      <c r="Z4" s="7464"/>
      <c r="AA4" s="7464"/>
      <c r="AB4" s="7464"/>
      <c r="AC4" s="7464"/>
      <c r="AD4" s="7464"/>
      <c r="AE4" s="7464"/>
      <c r="AF4" s="7464"/>
      <c r="AG4" s="7464"/>
      <c r="AH4" s="7464"/>
      <c r="AI4" s="1490"/>
      <c r="AJ4" s="1756">
        <v>4</v>
      </c>
      <c r="AK4" s="1490"/>
      <c r="AL4" s="1760"/>
      <c r="AM4" s="1760"/>
      <c r="AN4" s="1490"/>
      <c r="AO4" s="1490"/>
      <c r="AP4" s="1490"/>
      <c r="AQ4" s="1490"/>
      <c r="AR4" s="1760"/>
      <c r="AS4" s="1490"/>
      <c r="AT4" s="1490"/>
      <c r="AU4" s="668"/>
      <c r="AV4" s="1490"/>
      <c r="AW4" s="1490"/>
      <c r="AX4" s="1490"/>
      <c r="AY4" s="1490"/>
      <c r="AZ4" s="1490"/>
      <c r="BF4" s="1756">
        <v>0</v>
      </c>
    </row>
    <row customHeight="1" ht="11.549999999999999">
      <c r="N5" s="7213"/>
      <c r="O5" s="7213"/>
      <c r="P5" s="7213"/>
      <c r="Q5" s="7213"/>
      <c r="R5" s="7213"/>
      <c r="S5" s="7213"/>
      <c r="T5" s="7213"/>
      <c r="U5" s="7213"/>
      <c r="V5" s="7213"/>
      <c r="W5" s="7213"/>
      <c r="X5" s="7213"/>
      <c r="Y5" s="7213"/>
      <c r="Z5" s="7213"/>
      <c r="AA5" s="7213"/>
      <c r="AB5" s="7213"/>
      <c r="AC5" s="7213"/>
      <c r="AD5" s="7213"/>
      <c r="AE5" s="7213"/>
      <c r="AF5" s="7213"/>
      <c r="AG5" s="7213"/>
      <c r="AH5" s="7213"/>
      <c r="BF5" s="1755">
        <v>11</v>
      </c>
    </row>
    <row customHeight="1" ht="57.75">
      <c r="I6" s="2444" t="s">
        <v>776</v>
      </c>
      <c r="J6" s="2444"/>
      <c r="K6" s="2444"/>
      <c r="L6" s="2444"/>
      <c r="M6" s="2444"/>
      <c r="N6" s="6341"/>
      <c r="O6" s="6341"/>
      <c r="P6" s="6341"/>
      <c r="Q6" s="6341"/>
      <c r="R6" s="6341"/>
      <c r="S6" s="6341"/>
      <c r="T6" s="6341"/>
      <c r="U6" s="6341"/>
      <c r="V6" s="6341"/>
      <c r="W6" s="6341"/>
      <c r="X6" s="6341"/>
      <c r="Y6" s="6341"/>
      <c r="Z6" s="6341"/>
      <c r="AA6" s="6341"/>
      <c r="AB6" s="6341"/>
      <c r="AC6" s="6341"/>
      <c r="AD6" s="6341"/>
      <c r="AE6" s="6341"/>
      <c r="AF6" s="6341"/>
      <c r="AG6" s="6341"/>
      <c r="AH6" s="6341"/>
      <c r="AJ6" s="680"/>
      <c r="BF6" s="1755">
        <v>55</v>
      </c>
    </row>
    <row customHeight="1" ht="25.2">
      <c r="I7" s="2386" t="str">
        <f>IF(org=0,"Не определено",org)</f>
        <v>ООО "СамРЭК-Эксплуатация"</v>
      </c>
      <c r="J7" s="2386"/>
      <c r="K7" s="2386"/>
      <c r="L7" s="2386"/>
      <c r="M7" s="2386"/>
      <c r="N7" s="6182"/>
      <c r="O7" s="6182"/>
      <c r="P7" s="6182"/>
      <c r="Q7" s="6182"/>
      <c r="R7" s="6182"/>
      <c r="S7" s="6182"/>
      <c r="T7" s="6182"/>
      <c r="U7" s="6182"/>
      <c r="V7" s="6182"/>
      <c r="W7" s="6182"/>
      <c r="X7" s="6182"/>
      <c r="Y7" s="6182"/>
      <c r="Z7" s="6182"/>
      <c r="AA7" s="6182"/>
      <c r="AB7" s="6182"/>
      <c r="AC7" s="6182"/>
      <c r="AD7" s="6182"/>
      <c r="AE7" s="6182"/>
      <c r="AF7" s="6182"/>
      <c r="AG7" s="6182"/>
      <c r="AH7" s="6182"/>
      <c r="BF7" s="1755">
        <v>24</v>
      </c>
    </row>
    <row customHeight="1" ht="11.549999999999999">
      <c r="I8" s="1259"/>
      <c r="J8" s="1259"/>
      <c r="K8" s="1259"/>
      <c r="L8" s="1259"/>
      <c r="M8" s="1259"/>
      <c r="N8" s="6969" t="s">
        <v>22</v>
      </c>
      <c r="O8" s="6969" t="s">
        <v>22</v>
      </c>
      <c r="P8" s="6969" t="s">
        <v>22</v>
      </c>
      <c r="Q8" s="6969" t="s">
        <v>22</v>
      </c>
      <c r="R8" s="6969" t="s">
        <v>22</v>
      </c>
      <c r="S8" s="6969" t="s">
        <v>22</v>
      </c>
      <c r="T8" s="6969" t="s">
        <v>22</v>
      </c>
      <c r="U8" s="6969" t="s">
        <v>22</v>
      </c>
      <c r="V8" s="6969" t="s">
        <v>22</v>
      </c>
      <c r="W8" s="6969" t="s">
        <v>22</v>
      </c>
      <c r="X8" s="6969" t="s">
        <v>22</v>
      </c>
      <c r="Y8" s="6969" t="s">
        <v>22</v>
      </c>
      <c r="Z8" s="6969" t="s">
        <v>22</v>
      </c>
      <c r="AA8" s="6969" t="s">
        <v>22</v>
      </c>
      <c r="AB8" s="6969" t="s">
        <v>22</v>
      </c>
      <c r="AC8" s="6969" t="s">
        <v>22</v>
      </c>
      <c r="AD8" s="6969" t="s">
        <v>22</v>
      </c>
      <c r="AE8" s="6969" t="s">
        <v>22</v>
      </c>
      <c r="AF8" s="6969" t="s">
        <v>22</v>
      </c>
      <c r="AG8" s="6969" t="s">
        <v>22</v>
      </c>
      <c r="AH8" s="6969" t="s">
        <v>22</v>
      </c>
      <c r="BF8" s="1755">
        <v>11</v>
      </c>
    </row>
    <row s="6698" customFormat="1" customHeight="1" ht="30" hidden="1">
      <c r="A9" s="1291"/>
      <c r="B9" s="1291"/>
      <c r="C9" s="1291"/>
      <c r="E9" s="1291"/>
      <c r="H9" s="1766"/>
      <c r="L9" s="1013"/>
      <c r="M9" s="1013" t="s">
        <v>215</v>
      </c>
      <c r="N9" s="6579" t="s">
        <v>219</v>
      </c>
      <c r="O9" s="6579" t="s">
        <v>220</v>
      </c>
      <c r="P9" s="6579" t="s">
        <v>221</v>
      </c>
      <c r="Q9" s="6579" t="s">
        <v>222</v>
      </c>
      <c r="R9" s="6579" t="s">
        <v>223</v>
      </c>
      <c r="S9" s="6579" t="s">
        <v>224</v>
      </c>
      <c r="T9" s="6579" t="s">
        <v>225</v>
      </c>
      <c r="U9" s="6579" t="s">
        <v>226</v>
      </c>
      <c r="V9" s="6579" t="s">
        <v>227</v>
      </c>
      <c r="W9" s="6579" t="s">
        <v>228</v>
      </c>
      <c r="X9" s="6579" t="s">
        <v>229</v>
      </c>
      <c r="Y9" s="6579" t="s">
        <v>230</v>
      </c>
      <c r="Z9" s="6579" t="s">
        <v>231</v>
      </c>
      <c r="AA9" s="6579" t="s">
        <v>232</v>
      </c>
      <c r="AB9" s="6579" t="s">
        <v>233</v>
      </c>
      <c r="AC9" s="6579" t="s">
        <v>234</v>
      </c>
      <c r="AD9" s="6579" t="s">
        <v>235</v>
      </c>
      <c r="AE9" s="6579" t="s">
        <v>236</v>
      </c>
      <c r="AF9" s="6579" t="s">
        <v>237</v>
      </c>
      <c r="AG9" s="6579" t="s">
        <v>238</v>
      </c>
      <c r="AH9" s="6579" t="s">
        <v>239</v>
      </c>
      <c r="BF9" s="1760">
        <v>1</v>
      </c>
    </row>
    <row customHeight="1" ht="11.549999999999999">
      <c r="E10" s="2171" t="s">
        <v>777</v>
      </c>
      <c r="I10" s="835"/>
      <c r="J10" s="2504" t="s">
        <v>206</v>
      </c>
      <c r="K10" s="2505"/>
      <c r="L10" s="2150" t="str">
        <f>IF(L9="","",INDEX(DIFFERENTIATION_UNMERGE_VD,MATCH(L9,DIFFERENTIATION_ID_DIFF,0)))</f>
        <v/>
      </c>
      <c r="M10" s="2150" t="str">
        <f>IF(M9="","",INDEX(DIFFERENTIATION_UNMERGE_VD,MATCH(M9,DIFFERENTIATION_ID_DIFF,0)))</f>
        <v>Производство тепловой энергии. Некомбинированная выработка</v>
      </c>
      <c r="N10" s="6847" t="str">
        <f>IF(N9="","",INDEX(DIFFERENTIATION_UNMERGE_VD,MATCH(N9,DIFFERENTIATION_ID_DIFF,0)))</f>
        <v>Производство тепловой энергии. Некомбинированная выработка</v>
      </c>
      <c r="O10" s="6847" t="str">
        <f>IF(O9="","",INDEX(DIFFERENTIATION_UNMERGE_VD,MATCH(O9,DIFFERENTIATION_ID_DIFF,0)))</f>
        <v>Производство тепловой энергии. Некомбинированная выработка</v>
      </c>
      <c r="P10" s="6847" t="str">
        <f>IF(P9="","",INDEX(DIFFERENTIATION_UNMERGE_VD,MATCH(P9,DIFFERENTIATION_ID_DIFF,0)))</f>
        <v>Производство тепловой энергии. Некомбинированная выработка</v>
      </c>
      <c r="Q10" s="6847" t="str">
        <f>IF(Q9="","",INDEX(DIFFERENTIATION_UNMERGE_VD,MATCH(Q9,DIFFERENTIATION_ID_DIFF,0)))</f>
        <v>Производство тепловой энергии. Некомбинированная выработка</v>
      </c>
      <c r="R10" s="6847" t="str">
        <f>IF(R9="","",INDEX(DIFFERENTIATION_UNMERGE_VD,MATCH(R9,DIFFERENTIATION_ID_DIFF,0)))</f>
        <v>Производство тепловой энергии. Некомбинированная выработка</v>
      </c>
      <c r="S10" s="6847" t="str">
        <f>IF(S9="","",INDEX(DIFFERENTIATION_UNMERGE_VD,MATCH(S9,DIFFERENTIATION_ID_DIFF,0)))</f>
        <v>Производство тепловой энергии. Некомбинированная выработка</v>
      </c>
      <c r="T10" s="6847" t="str">
        <f>IF(T9="","",INDEX(DIFFERENTIATION_UNMERGE_VD,MATCH(T9,DIFFERENTIATION_ID_DIFF,0)))</f>
        <v>Производство тепловой энергии. Некомбинированная выработка</v>
      </c>
      <c r="U10" s="6847" t="str">
        <f>IF(U9="","",INDEX(DIFFERENTIATION_UNMERGE_VD,MATCH(U9,DIFFERENTIATION_ID_DIFF,0)))</f>
        <v>Производство тепловой энергии. Некомбинированная выработка</v>
      </c>
      <c r="V10" s="6847" t="str">
        <f>IF(V9="","",INDEX(DIFFERENTIATION_UNMERGE_VD,MATCH(V9,DIFFERENTIATION_ID_DIFF,0)))</f>
        <v>Производство тепловой энергии. Некомбинированная выработка</v>
      </c>
      <c r="W10" s="6847" t="str">
        <f>IF(W9="","",INDEX(DIFFERENTIATION_UNMERGE_VD,MATCH(W9,DIFFERENTIATION_ID_DIFF,0)))</f>
        <v>Производство тепловой энергии. Некомбинированная выработка</v>
      </c>
      <c r="X10" s="6847" t="str">
        <f>IF(X9="","",INDEX(DIFFERENTIATION_UNMERGE_VD,MATCH(X9,DIFFERENTIATION_ID_DIFF,0)))</f>
        <v>Производство тепловой энергии. Некомбинированная выработка</v>
      </c>
      <c r="Y10" s="6847" t="str">
        <f>IF(Y9="","",INDEX(DIFFERENTIATION_UNMERGE_VD,MATCH(Y9,DIFFERENTIATION_ID_DIFF,0)))</f>
        <v>Производство тепловой энергии. Некомбинированная выработка</v>
      </c>
      <c r="Z10" s="6847" t="str">
        <f>IF(Z9="","",INDEX(DIFFERENTIATION_UNMERGE_VD,MATCH(Z9,DIFFERENTIATION_ID_DIFF,0)))</f>
        <v>Производство тепловой энергии. Некомбинированная выработка</v>
      </c>
      <c r="AA10" s="6847" t="str">
        <f>IF(AA9="","",INDEX(DIFFERENTIATION_UNMERGE_VD,MATCH(AA9,DIFFERENTIATION_ID_DIFF,0)))</f>
        <v>Производство тепловой энергии. Некомбинированная выработка</v>
      </c>
      <c r="AB10" s="6847" t="str">
        <f>IF(AB9="","",INDEX(DIFFERENTIATION_UNMERGE_VD,MATCH(AB9,DIFFERENTIATION_ID_DIFF,0)))</f>
        <v>Производство тепловой энергии. Некомбинированная выработка</v>
      </c>
      <c r="AC10" s="6847" t="str">
        <f>IF(AC9="","",INDEX(DIFFERENTIATION_UNMERGE_VD,MATCH(AC9,DIFFERENTIATION_ID_DIFF,0)))</f>
        <v>Производство тепловой энергии. Некомбинированная выработка</v>
      </c>
      <c r="AD10" s="6847" t="str">
        <f>IF(AD9="","",INDEX(DIFFERENTIATION_UNMERGE_VD,MATCH(AD9,DIFFERENTIATION_ID_DIFF,0)))</f>
        <v>Производство тепловой энергии. Некомбинированная выработка</v>
      </c>
      <c r="AE10" s="6847" t="str">
        <f>IF(AE9="","",INDEX(DIFFERENTIATION_UNMERGE_VD,MATCH(AE9,DIFFERENTIATION_ID_DIFF,0)))</f>
        <v>Производство тепловой энергии. Некомбинированная выработка</v>
      </c>
      <c r="AF10" s="6847" t="str">
        <f>IF(AF9="","",INDEX(DIFFERENTIATION_UNMERGE_VD,MATCH(AF9,DIFFERENTIATION_ID_DIFF,0)))</f>
        <v>Производство тепловой энергии. Некомбинированная выработка</v>
      </c>
      <c r="AG10" s="6847" t="str">
        <f>IF(AG9="","",INDEX(DIFFERENTIATION_UNMERGE_VD,MATCH(AG9,DIFFERENTIATION_ID_DIFF,0)))</f>
        <v>Производство тепловой энергии. Некомбинированная выработка</v>
      </c>
      <c r="AH10" s="6847" t="str">
        <f>IF(AH9="","",INDEX(DIFFERENTIATION_UNMERGE_VD,MATCH(AH9,DIFFERENTIATION_ID_DIFF,0)))</f>
        <v>Производство тепловой энергии. Некомбинированная выработка</v>
      </c>
      <c r="AJ10" s="2264" t="s">
        <v>413</v>
      </c>
      <c r="BF10" s="1755">
        <v>11</v>
      </c>
    </row>
    <row customHeight="1" ht="11.549999999999999">
      <c r="E11" s="2171" t="s">
        <v>778</v>
      </c>
      <c r="I11" s="835"/>
      <c r="J11" s="2504" t="s">
        <v>676</v>
      </c>
      <c r="K11" s="2505"/>
      <c r="L11" s="2150" t="str">
        <f>IF(L9="","",INDEX(DIFFERENTIATION_UNMERGE_AREA,MATCH(L9,DIFFERENTIATION_ID_DIFF,0)))</f>
        <v/>
      </c>
      <c r="M11" s="2150" t="str">
        <f>IF(M9="","",INDEX(DIFFERENTIATION_UNMERGE_AREA,MATCH(M9,DIFFERENTIATION_ID_DIFF,0)))</f>
        <v>Территория 1</v>
      </c>
      <c r="N11" s="6847" t="str">
        <f>IF(N9="","",INDEX(DIFFERENTIATION_UNMERGE_AREA,MATCH(N9,DIFFERENTIATION_ID_DIFF,0)))</f>
        <v>Территория 2</v>
      </c>
      <c r="O11" s="6847" t="str">
        <f>IF(O9="","",INDEX(DIFFERENTIATION_UNMERGE_AREA,MATCH(O9,DIFFERENTIATION_ID_DIFF,0)))</f>
        <v>Территория 3</v>
      </c>
      <c r="P11" s="6847" t="str">
        <f>IF(P9="","",INDEX(DIFFERENTIATION_UNMERGE_AREA,MATCH(P9,DIFFERENTIATION_ID_DIFF,0)))</f>
        <v>Территория 4</v>
      </c>
      <c r="Q11" s="6847" t="str">
        <f>IF(Q9="","",INDEX(DIFFERENTIATION_UNMERGE_AREA,MATCH(Q9,DIFFERENTIATION_ID_DIFF,0)))</f>
        <v>Территория 5</v>
      </c>
      <c r="R11" s="6847" t="str">
        <f>IF(R9="","",INDEX(DIFFERENTIATION_UNMERGE_AREA,MATCH(R9,DIFFERENTIATION_ID_DIFF,0)))</f>
        <v>Территория 6</v>
      </c>
      <c r="S11" s="6847" t="str">
        <f>IF(S9="","",INDEX(DIFFERENTIATION_UNMERGE_AREA,MATCH(S9,DIFFERENTIATION_ID_DIFF,0)))</f>
        <v>Территория 7</v>
      </c>
      <c r="T11" s="6847" t="str">
        <f>IF(T9="","",INDEX(DIFFERENTIATION_UNMERGE_AREA,MATCH(T9,DIFFERENTIATION_ID_DIFF,0)))</f>
        <v>Территория 8</v>
      </c>
      <c r="U11" s="6847" t="str">
        <f>IF(U9="","",INDEX(DIFFERENTIATION_UNMERGE_AREA,MATCH(U9,DIFFERENTIATION_ID_DIFF,0)))</f>
        <v>Территория 9</v>
      </c>
      <c r="V11" s="6847" t="str">
        <f>IF(V9="","",INDEX(DIFFERENTIATION_UNMERGE_AREA,MATCH(V9,DIFFERENTIATION_ID_DIFF,0)))</f>
        <v>Территория 10</v>
      </c>
      <c r="W11" s="6847" t="str">
        <f>IF(W9="","",INDEX(DIFFERENTIATION_UNMERGE_AREA,MATCH(W9,DIFFERENTIATION_ID_DIFF,0)))</f>
        <v>Территория 11</v>
      </c>
      <c r="X11" s="6847" t="str">
        <f>IF(X9="","",INDEX(DIFFERENTIATION_UNMERGE_AREA,MATCH(X9,DIFFERENTIATION_ID_DIFF,0)))</f>
        <v>Территория 12</v>
      </c>
      <c r="Y11" s="6847" t="str">
        <f>IF(Y9="","",INDEX(DIFFERENTIATION_UNMERGE_AREA,MATCH(Y9,DIFFERENTIATION_ID_DIFF,0)))</f>
        <v>Территория 13</v>
      </c>
      <c r="Z11" s="6847" t="str">
        <f>IF(Z9="","",INDEX(DIFFERENTIATION_UNMERGE_AREA,MATCH(Z9,DIFFERENTIATION_ID_DIFF,0)))</f>
        <v>Территория 14</v>
      </c>
      <c r="AA11" s="6847" t="str">
        <f>IF(AA9="","",INDEX(DIFFERENTIATION_UNMERGE_AREA,MATCH(AA9,DIFFERENTIATION_ID_DIFF,0)))</f>
        <v>Территория 15</v>
      </c>
      <c r="AB11" s="6847" t="str">
        <f>IF(AB9="","",INDEX(DIFFERENTIATION_UNMERGE_AREA,MATCH(AB9,DIFFERENTIATION_ID_DIFF,0)))</f>
        <v>Территория 16</v>
      </c>
      <c r="AC11" s="6847" t="str">
        <f>IF(AC9="","",INDEX(DIFFERENTIATION_UNMERGE_AREA,MATCH(AC9,DIFFERENTIATION_ID_DIFF,0)))</f>
        <v>Территория 17</v>
      </c>
      <c r="AD11" s="6847" t="str">
        <f>IF(AD9="","",INDEX(DIFFERENTIATION_UNMERGE_AREA,MATCH(AD9,DIFFERENTIATION_ID_DIFF,0)))</f>
        <v>Территория 18</v>
      </c>
      <c r="AE11" s="6847" t="str">
        <f>IF(AE9="","",INDEX(DIFFERENTIATION_UNMERGE_AREA,MATCH(AE9,DIFFERENTIATION_ID_DIFF,0)))</f>
        <v>Территория 19</v>
      </c>
      <c r="AF11" s="6847" t="str">
        <f>IF(AF9="","",INDEX(DIFFERENTIATION_UNMERGE_AREA,MATCH(AF9,DIFFERENTIATION_ID_DIFF,0)))</f>
        <v>Территория 20</v>
      </c>
      <c r="AG11" s="6847" t="str">
        <f>IF(AG9="","",INDEX(DIFFERENTIATION_UNMERGE_AREA,MATCH(AG9,DIFFERENTIATION_ID_DIFF,0)))</f>
        <v>Территория 21</v>
      </c>
      <c r="AH11" s="6847" t="str">
        <f>IF(AH9="","",INDEX(DIFFERENTIATION_UNMERGE_AREA,MATCH(AH9,DIFFERENTIATION_ID_DIFF,0)))</f>
        <v>Территория 22</v>
      </c>
      <c r="AJ11" s="2264"/>
      <c r="BF11" s="1755">
        <v>11</v>
      </c>
    </row>
    <row customHeight="1" ht="11.549999999999999">
      <c r="E12" s="2171" t="s">
        <v>779</v>
      </c>
      <c r="I12" s="1786"/>
      <c r="J12" s="2504" t="s">
        <v>677</v>
      </c>
      <c r="K12" s="2505"/>
      <c r="L12" s="2150" t="str">
        <f>IF(L9="","",INDEX(DIFFERENTIATION_UNMERGE_SYSTEM,MATCH(L9,DIFFERENTIATION_ID_DIFF,0)))</f>
        <v/>
      </c>
      <c r="M12" s="2150" t="str">
        <f>IF(M9="","",INDEX(DIFFERENTIATION_UNMERGE_SYSTEM,MATCH(M9,DIFFERENTIATION_ID_DIFF,0)))</f>
        <v>без дифференциации</v>
      </c>
      <c r="N12" s="6847" t="str">
        <f>IF(N9="","",INDEX(DIFFERENTIATION_UNMERGE_SYSTEM,MATCH(N9,DIFFERENTIATION_ID_DIFF,0)))</f>
        <v>без дифференциации</v>
      </c>
      <c r="O12" s="6847" t="str">
        <f>IF(O9="","",INDEX(DIFFERENTIATION_UNMERGE_SYSTEM,MATCH(O9,DIFFERENTIATION_ID_DIFF,0)))</f>
        <v>без дифференциации</v>
      </c>
      <c r="P12" s="6847" t="str">
        <f>IF(P9="","",INDEX(DIFFERENTIATION_UNMERGE_SYSTEM,MATCH(P9,DIFFERENTIATION_ID_DIFF,0)))</f>
        <v>без дифференциации</v>
      </c>
      <c r="Q12" s="6847" t="str">
        <f>IF(Q9="","",INDEX(DIFFERENTIATION_UNMERGE_SYSTEM,MATCH(Q9,DIFFERENTIATION_ID_DIFF,0)))</f>
        <v>без дифференциации</v>
      </c>
      <c r="R12" s="6847" t="str">
        <f>IF(R9="","",INDEX(DIFFERENTIATION_UNMERGE_SYSTEM,MATCH(R9,DIFFERENTIATION_ID_DIFF,0)))</f>
        <v>без дифференциации</v>
      </c>
      <c r="S12" s="6847" t="str">
        <f>IF(S9="","",INDEX(DIFFERENTIATION_UNMERGE_SYSTEM,MATCH(S9,DIFFERENTIATION_ID_DIFF,0)))</f>
        <v>без дифференциации</v>
      </c>
      <c r="T12" s="6847" t="str">
        <f>IF(T9="","",INDEX(DIFFERENTIATION_UNMERGE_SYSTEM,MATCH(T9,DIFFERENTIATION_ID_DIFF,0)))</f>
        <v>без дифференциации</v>
      </c>
      <c r="U12" s="6847" t="str">
        <f>IF(U9="","",INDEX(DIFFERENTIATION_UNMERGE_SYSTEM,MATCH(U9,DIFFERENTIATION_ID_DIFF,0)))</f>
        <v>без дифференциации</v>
      </c>
      <c r="V12" s="6847" t="str">
        <f>IF(V9="","",INDEX(DIFFERENTIATION_UNMERGE_SYSTEM,MATCH(V9,DIFFERENTIATION_ID_DIFF,0)))</f>
        <v>без дифференциации</v>
      </c>
      <c r="W12" s="6847" t="str">
        <f>IF(W9="","",INDEX(DIFFERENTIATION_UNMERGE_SYSTEM,MATCH(W9,DIFFERENTIATION_ID_DIFF,0)))</f>
        <v>без дифференциации</v>
      </c>
      <c r="X12" s="6847" t="str">
        <f>IF(X9="","",INDEX(DIFFERENTIATION_UNMERGE_SYSTEM,MATCH(X9,DIFFERENTIATION_ID_DIFF,0)))</f>
        <v>без дифференциации</v>
      </c>
      <c r="Y12" s="6847" t="str">
        <f>IF(Y9="","",INDEX(DIFFERENTIATION_UNMERGE_SYSTEM,MATCH(Y9,DIFFERENTIATION_ID_DIFF,0)))</f>
        <v>без дифференциации</v>
      </c>
      <c r="Z12" s="6847" t="str">
        <f>IF(Z9="","",INDEX(DIFFERENTIATION_UNMERGE_SYSTEM,MATCH(Z9,DIFFERENTIATION_ID_DIFF,0)))</f>
        <v>без дифференциации</v>
      </c>
      <c r="AA12" s="6847" t="str">
        <f>IF(AA9="","",INDEX(DIFFERENTIATION_UNMERGE_SYSTEM,MATCH(AA9,DIFFERENTIATION_ID_DIFF,0)))</f>
        <v>без дифференциации</v>
      </c>
      <c r="AB12" s="6847" t="str">
        <f>IF(AB9="","",INDEX(DIFFERENTIATION_UNMERGE_SYSTEM,MATCH(AB9,DIFFERENTIATION_ID_DIFF,0)))</f>
        <v>без дифференциации</v>
      </c>
      <c r="AC12" s="6847" t="str">
        <f>IF(AC9="","",INDEX(DIFFERENTIATION_UNMERGE_SYSTEM,MATCH(AC9,DIFFERENTIATION_ID_DIFF,0)))</f>
        <v>без дифференциации</v>
      </c>
      <c r="AD12" s="6847" t="str">
        <f>IF(AD9="","",INDEX(DIFFERENTIATION_UNMERGE_SYSTEM,MATCH(AD9,DIFFERENTIATION_ID_DIFF,0)))</f>
        <v>без дифференциации</v>
      </c>
      <c r="AE12" s="6847" t="str">
        <f>IF(AE9="","",INDEX(DIFFERENTIATION_UNMERGE_SYSTEM,MATCH(AE9,DIFFERENTIATION_ID_DIFF,0)))</f>
        <v>без дифференциации</v>
      </c>
      <c r="AF12" s="6847" t="str">
        <f>IF(AF9="","",INDEX(DIFFERENTIATION_UNMERGE_SYSTEM,MATCH(AF9,DIFFERENTIATION_ID_DIFF,0)))</f>
        <v>без дифференциации</v>
      </c>
      <c r="AG12" s="6847" t="str">
        <f>IF(AG9="","",INDEX(DIFFERENTIATION_UNMERGE_SYSTEM,MATCH(AG9,DIFFERENTIATION_ID_DIFF,0)))</f>
        <v>без дифференциации</v>
      </c>
      <c r="AH12" s="6847" t="str">
        <f>IF(AH9="","",INDEX(DIFFERENTIATION_UNMERGE_SYSTEM,MATCH(AH9,DIFFERENTIATION_ID_DIFF,0)))</f>
        <v>без дифференциации</v>
      </c>
      <c r="AJ12" s="2264"/>
      <c r="BF12" s="1755">
        <v>11</v>
      </c>
    </row>
    <row customHeight="1" ht="11.549999999999999">
      <c r="E13" s="2171" t="s">
        <v>780</v>
      </c>
      <c r="F13" s="2171" t="s">
        <v>781</v>
      </c>
      <c r="I13" s="2506" t="s">
        <v>412</v>
      </c>
      <c r="J13" s="2507"/>
      <c r="K13" s="2507"/>
      <c r="L13" s="2148"/>
      <c r="M13" s="2188"/>
      <c r="N13" s="6920"/>
      <c r="O13" s="6920"/>
      <c r="P13" s="6920"/>
      <c r="Q13" s="6920"/>
      <c r="R13" s="6920"/>
      <c r="S13" s="6920"/>
      <c r="T13" s="6920"/>
      <c r="U13" s="6920"/>
      <c r="V13" s="6920"/>
      <c r="W13" s="6920"/>
      <c r="X13" s="6920"/>
      <c r="Y13" s="6920"/>
      <c r="Z13" s="6920"/>
      <c r="AA13" s="6920"/>
      <c r="AB13" s="6920"/>
      <c r="AC13" s="6920"/>
      <c r="AD13" s="6920"/>
      <c r="AE13" s="6920"/>
      <c r="AF13" s="6920"/>
      <c r="AG13" s="6920"/>
      <c r="AH13" s="6920"/>
      <c r="AJ13" s="2264"/>
      <c r="BF13" s="1755">
        <v>11</v>
      </c>
    </row>
    <row customHeight="1" ht="24">
      <c r="I14" s="2141" t="s">
        <v>88</v>
      </c>
      <c r="J14" s="2141" t="s">
        <v>414</v>
      </c>
      <c r="K14" s="2141" t="s">
        <v>678</v>
      </c>
      <c r="L14" s="2181" t="s">
        <v>415</v>
      </c>
      <c r="M14" s="2182" t="s">
        <v>415</v>
      </c>
      <c r="N14" s="7430" t="s">
        <v>415</v>
      </c>
      <c r="O14" s="7430" t="s">
        <v>415</v>
      </c>
      <c r="P14" s="7430" t="s">
        <v>415</v>
      </c>
      <c r="Q14" s="7430" t="s">
        <v>415</v>
      </c>
      <c r="R14" s="7430" t="s">
        <v>415</v>
      </c>
      <c r="S14" s="7430" t="s">
        <v>415</v>
      </c>
      <c r="T14" s="7430" t="s">
        <v>415</v>
      </c>
      <c r="U14" s="7430" t="s">
        <v>415</v>
      </c>
      <c r="V14" s="7430" t="s">
        <v>415</v>
      </c>
      <c r="W14" s="7430" t="s">
        <v>415</v>
      </c>
      <c r="X14" s="7430" t="s">
        <v>415</v>
      </c>
      <c r="Y14" s="7430" t="s">
        <v>415</v>
      </c>
      <c r="Z14" s="7430" t="s">
        <v>415</v>
      </c>
      <c r="AA14" s="7430" t="s">
        <v>415</v>
      </c>
      <c r="AB14" s="7430" t="s">
        <v>415</v>
      </c>
      <c r="AC14" s="7430" t="s">
        <v>415</v>
      </c>
      <c r="AD14" s="7430" t="s">
        <v>415</v>
      </c>
      <c r="AE14" s="7430" t="s">
        <v>415</v>
      </c>
      <c r="AF14" s="7430" t="s">
        <v>415</v>
      </c>
      <c r="AG14" s="7430" t="s">
        <v>415</v>
      </c>
      <c r="AH14" s="7430" t="s">
        <v>415</v>
      </c>
      <c r="AJ14" s="2264"/>
      <c r="BF14" s="1755">
        <v>23</v>
      </c>
    </row>
    <row customHeight="1" ht="24">
      <c r="A15" s="2175"/>
      <c r="B15" s="2174" t="s">
        <v>782</v>
      </c>
      <c r="C15" s="2174" t="s">
        <v>783</v>
      </c>
      <c r="D15" s="2173" t="s">
        <v>784</v>
      </c>
      <c r="E15" s="2177" t="s">
        <v>785</v>
      </c>
      <c r="F15" s="2177" t="s">
        <v>785</v>
      </c>
      <c r="G15" s="1760" t="s">
        <v>715</v>
      </c>
      <c r="H15" s="2142"/>
      <c r="I15" s="1754">
        <v>1</v>
      </c>
      <c r="J15" s="2143" t="s">
        <v>786</v>
      </c>
      <c r="K15" s="2141" t="s">
        <v>418</v>
      </c>
      <c r="L15" s="8090"/>
      <c r="M15" s="8005"/>
      <c r="N15" s="8090"/>
      <c r="O15" s="8090"/>
      <c r="P15" s="8090"/>
      <c r="Q15" s="8090"/>
      <c r="R15" s="8090"/>
      <c r="S15" s="8090"/>
      <c r="T15" s="8090"/>
      <c r="U15" s="8090"/>
      <c r="V15" s="8090"/>
      <c r="W15" s="8090"/>
      <c r="X15" s="8090"/>
      <c r="Y15" s="8090"/>
      <c r="Z15" s="8090"/>
      <c r="AA15" s="8090"/>
      <c r="AB15" s="8090"/>
      <c r="AC15" s="8090"/>
      <c r="AD15" s="8090"/>
      <c r="AE15" s="8090"/>
      <c r="AF15" s="8090"/>
      <c r="AG15" s="8090"/>
      <c r="AH15" s="8090"/>
      <c r="AI15" s="667" t="s">
        <v>787</v>
      </c>
      <c r="AJ15" s="1649" t="s">
        <v>788</v>
      </c>
      <c r="AK15" s="667" t="s">
        <v>787</v>
      </c>
      <c r="BF15" s="1755">
        <v>23</v>
      </c>
    </row>
    <row customHeight="1" ht="35.699999999999996">
      <c r="A16" s="2175"/>
      <c r="B16" s="2174" t="s">
        <v>789</v>
      </c>
      <c r="C16" s="2174" t="s">
        <v>790</v>
      </c>
      <c r="D16" s="2173" t="s">
        <v>774</v>
      </c>
      <c r="E16" s="2177" t="s">
        <v>785</v>
      </c>
      <c r="F16" s="2177" t="s">
        <v>785</v>
      </c>
      <c r="H16" s="2142"/>
      <c r="I16" s="1753">
        <v>2</v>
      </c>
      <c r="J16" s="2184" t="s">
        <v>791</v>
      </c>
      <c r="K16" s="2183" t="s">
        <v>668</v>
      </c>
      <c r="L16" s="2189"/>
      <c r="M16" s="1799"/>
      <c r="N16" s="6768"/>
      <c r="O16" s="6768"/>
      <c r="P16" s="6768"/>
      <c r="Q16" s="6768"/>
      <c r="R16" s="6768"/>
      <c r="S16" s="6768"/>
      <c r="T16" s="6768"/>
      <c r="U16" s="6768"/>
      <c r="V16" s="6768"/>
      <c r="W16" s="6768"/>
      <c r="X16" s="6768"/>
      <c r="Y16" s="6768"/>
      <c r="Z16" s="6768"/>
      <c r="AA16" s="6768"/>
      <c r="AB16" s="6768"/>
      <c r="AC16" s="6768"/>
      <c r="AD16" s="6768"/>
      <c r="AE16" s="6768"/>
      <c r="AF16" s="6768"/>
      <c r="AG16" s="6768"/>
      <c r="AH16" s="6768"/>
      <c r="AI16" s="667" t="s">
        <v>787</v>
      </c>
      <c r="AJ16" s="1649" t="s">
        <v>792</v>
      </c>
      <c r="AK16" s="667" t="s">
        <v>787</v>
      </c>
      <c r="BF16" s="1755">
        <v>34</v>
      </c>
    </row>
    <row s="6698" customFormat="1" customHeight="1" ht="17.25" hidden="1">
      <c r="A17" s="1291"/>
      <c r="B17" s="1291"/>
      <c r="C17" s="1291"/>
      <c r="D17" s="1291"/>
      <c r="E17" s="1291"/>
      <c r="H17" s="1448"/>
      <c r="I17" s="1137" t="s">
        <v>793</v>
      </c>
      <c r="J17" s="1115"/>
      <c r="K17" s="1137"/>
      <c r="L17" s="1116"/>
      <c r="M17" s="1116"/>
      <c r="N17" s="6624"/>
      <c r="O17" s="6624"/>
      <c r="P17" s="6624"/>
      <c r="Q17" s="6624"/>
      <c r="R17" s="6624"/>
      <c r="S17" s="6624"/>
      <c r="T17" s="6624"/>
      <c r="U17" s="6624"/>
      <c r="V17" s="6624"/>
      <c r="W17" s="6624"/>
      <c r="X17" s="6624"/>
      <c r="Y17" s="6624"/>
      <c r="Z17" s="6624"/>
      <c r="AA17" s="6624"/>
      <c r="AB17" s="6624"/>
      <c r="AC17" s="6624"/>
      <c r="AD17" s="6624"/>
      <c r="AE17" s="6624"/>
      <c r="AF17" s="6624"/>
      <c r="AG17" s="6624"/>
      <c r="AH17" s="6624"/>
      <c r="AJ17" s="1509"/>
      <c r="BF17" s="1760">
        <v>1</v>
      </c>
    </row>
    <row s="7158" customFormat="1" customHeight="1" ht="24">
      <c r="A18" s="1111"/>
      <c r="B18" s="1111"/>
      <c r="C18" s="1111"/>
      <c r="D18" s="1111"/>
      <c r="E18" s="1111"/>
      <c r="G18" s="1760"/>
      <c r="H18" s="1757"/>
      <c r="I18" s="694"/>
      <c r="J18" s="695" t="s">
        <v>723</v>
      </c>
      <c r="K18" s="696"/>
      <c r="L18" s="2191"/>
      <c r="M18" s="697"/>
      <c r="N18" s="8091"/>
      <c r="O18" s="8092"/>
      <c r="P18" s="8093"/>
      <c r="Q18" s="8094"/>
      <c r="R18" s="8095"/>
      <c r="S18" s="8096"/>
      <c r="T18" s="8097"/>
      <c r="U18" s="8098"/>
      <c r="V18" s="8099"/>
      <c r="W18" s="8100"/>
      <c r="X18" s="8101"/>
      <c r="Y18" s="8102"/>
      <c r="Z18" s="8103"/>
      <c r="AA18" s="8104"/>
      <c r="AB18" s="8105"/>
      <c r="AC18" s="8106"/>
      <c r="AD18" s="8107"/>
      <c r="AE18" s="8108"/>
      <c r="AF18" s="8109"/>
      <c r="AG18" s="8110"/>
      <c r="AH18" s="8111"/>
      <c r="AI18" s="667"/>
      <c r="AJ18" s="1649" t="s">
        <v>724</v>
      </c>
      <c r="AK18" s="667"/>
      <c r="AL18" s="1760"/>
      <c r="AM18" s="1760"/>
      <c r="AR18" s="1760"/>
      <c r="AU18" s="668"/>
      <c r="BA18" s="1756"/>
      <c r="BB18" s="1756"/>
      <c r="BC18" s="1756"/>
      <c r="BD18" s="1756"/>
      <c r="BE18" s="1756"/>
      <c r="BF18" s="1490">
        <v>23</v>
      </c>
    </row>
    <row customHeight="1" ht="19.95">
      <c r="A19" s="2175"/>
      <c r="B19" s="2174" t="s">
        <v>794</v>
      </c>
      <c r="C19" s="2174" t="s">
        <v>795</v>
      </c>
      <c r="D19" s="2173" t="s">
        <v>774</v>
      </c>
      <c r="E19" s="2177" t="s">
        <v>785</v>
      </c>
      <c r="F19" s="2177" t="s">
        <v>785</v>
      </c>
      <c r="H19" s="2142"/>
      <c r="I19" s="1788">
        <v>3</v>
      </c>
      <c r="J19" s="2143" t="s">
        <v>795</v>
      </c>
      <c r="K19" s="2139" t="s">
        <v>668</v>
      </c>
      <c r="L19" s="851"/>
      <c r="M19" s="681"/>
      <c r="N19" s="6773"/>
      <c r="O19" s="6773"/>
      <c r="P19" s="6773"/>
      <c r="Q19" s="6773"/>
      <c r="R19" s="6773"/>
      <c r="S19" s="6773"/>
      <c r="T19" s="6773"/>
      <c r="U19" s="6773"/>
      <c r="V19" s="6773"/>
      <c r="W19" s="6773"/>
      <c r="X19" s="6773"/>
      <c r="Y19" s="6773"/>
      <c r="Z19" s="6773"/>
      <c r="AA19" s="6773"/>
      <c r="AB19" s="6773"/>
      <c r="AC19" s="6773"/>
      <c r="AD19" s="6773"/>
      <c r="AE19" s="6773"/>
      <c r="AF19" s="6773"/>
      <c r="AG19" s="6773"/>
      <c r="AH19" s="6773"/>
      <c r="AI19" s="667"/>
      <c r="AJ19" s="1649" t="s">
        <v>796</v>
      </c>
      <c r="AK19" s="667"/>
      <c r="BF19" s="1755">
        <v>19</v>
      </c>
    </row>
    <row customHeight="1" ht="77.7">
      <c r="A20" s="2175"/>
      <c r="B20" s="2174" t="s">
        <v>797</v>
      </c>
      <c r="C20" s="2174" t="s">
        <v>798</v>
      </c>
      <c r="D20" s="2173" t="s">
        <v>774</v>
      </c>
      <c r="E20" s="2177" t="s">
        <v>785</v>
      </c>
      <c r="F20" s="2177" t="s">
        <v>785</v>
      </c>
      <c r="H20" s="2142"/>
      <c r="I20" s="1788">
        <v>4</v>
      </c>
      <c r="J20" s="2143" t="s">
        <v>799</v>
      </c>
      <c r="K20" s="2139" t="s">
        <v>720</v>
      </c>
      <c r="L20" s="851"/>
      <c r="M20" s="681"/>
      <c r="N20" s="6773"/>
      <c r="O20" s="6773"/>
      <c r="P20" s="6773"/>
      <c r="Q20" s="6773"/>
      <c r="R20" s="6773"/>
      <c r="S20" s="6773"/>
      <c r="T20" s="6773"/>
      <c r="U20" s="6773"/>
      <c r="V20" s="6773"/>
      <c r="W20" s="6773"/>
      <c r="X20" s="6773"/>
      <c r="Y20" s="6773"/>
      <c r="Z20" s="6773"/>
      <c r="AA20" s="6773"/>
      <c r="AB20" s="6773"/>
      <c r="AC20" s="6773"/>
      <c r="AD20" s="6773"/>
      <c r="AE20" s="6773"/>
      <c r="AF20" s="6773"/>
      <c r="AG20" s="6773"/>
      <c r="AH20" s="6773"/>
      <c r="AI20" s="667"/>
      <c r="AJ20" s="1649"/>
      <c r="AK20" s="667"/>
      <c r="BF20" s="1755">
        <v>74</v>
      </c>
    </row>
    <row customHeight="1" ht="35.699999999999996">
      <c r="A21" s="2175"/>
      <c r="B21" s="2174" t="s">
        <v>800</v>
      </c>
      <c r="C21" s="2174" t="s">
        <v>801</v>
      </c>
      <c r="D21" s="2173" t="s">
        <v>774</v>
      </c>
      <c r="E21" s="2177" t="s">
        <v>785</v>
      </c>
      <c r="F21" s="2177" t="s">
        <v>785</v>
      </c>
      <c r="H21" s="2142"/>
      <c r="I21" s="1788">
        <v>5</v>
      </c>
      <c r="J21" s="2143" t="s">
        <v>802</v>
      </c>
      <c r="K21" s="2139" t="s">
        <v>720</v>
      </c>
      <c r="L21" s="851"/>
      <c r="M21" s="681"/>
      <c r="N21" s="6773"/>
      <c r="O21" s="6773"/>
      <c r="P21" s="6773"/>
      <c r="Q21" s="6773"/>
      <c r="R21" s="6773"/>
      <c r="S21" s="6773"/>
      <c r="T21" s="6773"/>
      <c r="U21" s="6773"/>
      <c r="V21" s="6773"/>
      <c r="W21" s="6773"/>
      <c r="X21" s="6773"/>
      <c r="Y21" s="6773"/>
      <c r="Z21" s="6773"/>
      <c r="AA21" s="6773"/>
      <c r="AB21" s="6773"/>
      <c r="AC21" s="6773"/>
      <c r="AD21" s="6773"/>
      <c r="AE21" s="6773"/>
      <c r="AF21" s="6773"/>
      <c r="AG21" s="6773"/>
      <c r="AH21" s="6773"/>
      <c r="AI21" s="667"/>
      <c r="AJ21" s="1649" t="s">
        <v>796</v>
      </c>
      <c r="AK21" s="667"/>
      <c r="BF21" s="1755">
        <v>34</v>
      </c>
    </row>
    <row customHeight="1" ht="48.29999999999999">
      <c r="A22" s="2175"/>
      <c r="B22" s="2174" t="s">
        <v>803</v>
      </c>
      <c r="C22" s="2174" t="s">
        <v>804</v>
      </c>
      <c r="D22" s="2173" t="s">
        <v>774</v>
      </c>
      <c r="E22" s="2177" t="s">
        <v>785</v>
      </c>
      <c r="F22" s="2177" t="s">
        <v>785</v>
      </c>
      <c r="H22" s="2142"/>
      <c r="I22" s="1788">
        <v>6</v>
      </c>
      <c r="J22" s="2143" t="s">
        <v>805</v>
      </c>
      <c r="K22" s="2139" t="s">
        <v>720</v>
      </c>
      <c r="L22" s="851"/>
      <c r="M22" s="681"/>
      <c r="N22" s="6773"/>
      <c r="O22" s="6773"/>
      <c r="P22" s="6773"/>
      <c r="Q22" s="6773"/>
      <c r="R22" s="6773"/>
      <c r="S22" s="6773"/>
      <c r="T22" s="6773"/>
      <c r="U22" s="6773"/>
      <c r="V22" s="6773"/>
      <c r="W22" s="6773"/>
      <c r="X22" s="6773"/>
      <c r="Y22" s="6773"/>
      <c r="Z22" s="6773"/>
      <c r="AA22" s="6773"/>
      <c r="AB22" s="6773"/>
      <c r="AC22" s="6773"/>
      <c r="AD22" s="6773"/>
      <c r="AE22" s="6773"/>
      <c r="AF22" s="6773"/>
      <c r="AG22" s="6773"/>
      <c r="AH22" s="6773"/>
      <c r="AI22" s="667"/>
      <c r="AJ22" s="1649" t="s">
        <v>806</v>
      </c>
      <c r="AK22" s="667"/>
      <c r="BF22" s="1755">
        <v>46</v>
      </c>
    </row>
    <row customHeight="1" ht="19.95">
      <c r="A23" s="2175"/>
      <c r="B23" s="2174" t="s">
        <v>807</v>
      </c>
      <c r="C23" s="2174" t="s">
        <v>808</v>
      </c>
      <c r="D23" s="2173" t="s">
        <v>774</v>
      </c>
      <c r="E23" s="2177" t="s">
        <v>785</v>
      </c>
      <c r="F23" s="2177" t="s">
        <v>785</v>
      </c>
      <c r="H23" s="2142"/>
      <c r="I23" s="1788" t="s">
        <v>809</v>
      </c>
      <c r="J23" s="1648" t="s">
        <v>810</v>
      </c>
      <c r="K23" s="2139" t="s">
        <v>720</v>
      </c>
      <c r="L23" s="851"/>
      <c r="M23" s="681"/>
      <c r="N23" s="6773"/>
      <c r="O23" s="6773"/>
      <c r="P23" s="6773"/>
      <c r="Q23" s="6773"/>
      <c r="R23" s="6773"/>
      <c r="S23" s="6773"/>
      <c r="T23" s="6773"/>
      <c r="U23" s="6773"/>
      <c r="V23" s="6773"/>
      <c r="W23" s="6773"/>
      <c r="X23" s="6773"/>
      <c r="Y23" s="6773"/>
      <c r="Z23" s="6773"/>
      <c r="AA23" s="6773"/>
      <c r="AB23" s="6773"/>
      <c r="AC23" s="6773"/>
      <c r="AD23" s="6773"/>
      <c r="AE23" s="6773"/>
      <c r="AF23" s="6773"/>
      <c r="AG23" s="6773"/>
      <c r="AH23" s="6773"/>
      <c r="AI23" s="667"/>
      <c r="AJ23" s="1649" t="s">
        <v>796</v>
      </c>
      <c r="AK23" s="667"/>
      <c r="BF23" s="1755">
        <v>19</v>
      </c>
    </row>
    <row customHeight="1" ht="19.95">
      <c r="A24" s="2175"/>
      <c r="B24" s="2174" t="s">
        <v>811</v>
      </c>
      <c r="C24" s="2174" t="s">
        <v>812</v>
      </c>
      <c r="D24" s="2173" t="s">
        <v>774</v>
      </c>
      <c r="E24" s="2177" t="s">
        <v>785</v>
      </c>
      <c r="F24" s="2177" t="s">
        <v>785</v>
      </c>
      <c r="H24" s="2142"/>
      <c r="I24" s="1788" t="s">
        <v>813</v>
      </c>
      <c r="J24" s="1648" t="s">
        <v>814</v>
      </c>
      <c r="K24" s="2139" t="s">
        <v>720</v>
      </c>
      <c r="L24" s="851"/>
      <c r="M24" s="681"/>
      <c r="N24" s="6773"/>
      <c r="O24" s="6773"/>
      <c r="P24" s="6773"/>
      <c r="Q24" s="6773"/>
      <c r="R24" s="6773"/>
      <c r="S24" s="6773"/>
      <c r="T24" s="6773"/>
      <c r="U24" s="6773"/>
      <c r="V24" s="6773"/>
      <c r="W24" s="6773"/>
      <c r="X24" s="6773"/>
      <c r="Y24" s="6773"/>
      <c r="Z24" s="6773"/>
      <c r="AA24" s="6773"/>
      <c r="AB24" s="6773"/>
      <c r="AC24" s="6773"/>
      <c r="AD24" s="6773"/>
      <c r="AE24" s="6773"/>
      <c r="AF24" s="6773"/>
      <c r="AG24" s="6773"/>
      <c r="AH24" s="6773"/>
      <c r="AI24" s="667"/>
      <c r="AJ24" s="1649"/>
      <c r="AK24" s="667"/>
      <c r="BF24" s="1755">
        <v>19</v>
      </c>
    </row>
    <row customHeight="1" ht="24">
      <c r="A25" s="2175"/>
      <c r="B25" s="2174" t="s">
        <v>815</v>
      </c>
      <c r="C25" s="2174" t="s">
        <v>816</v>
      </c>
      <c r="D25" s="2173" t="s">
        <v>774</v>
      </c>
      <c r="E25" s="2177" t="s">
        <v>785</v>
      </c>
      <c r="F25" s="2177" t="s">
        <v>785</v>
      </c>
      <c r="H25" s="2142"/>
      <c r="I25" s="1788" t="s">
        <v>817</v>
      </c>
      <c r="J25" s="1648" t="s">
        <v>818</v>
      </c>
      <c r="K25" s="2139" t="s">
        <v>720</v>
      </c>
      <c r="L25" s="851"/>
      <c r="M25" s="681"/>
      <c r="N25" s="6773"/>
      <c r="O25" s="6773"/>
      <c r="P25" s="6773"/>
      <c r="Q25" s="6773"/>
      <c r="R25" s="6773"/>
      <c r="S25" s="6773"/>
      <c r="T25" s="6773"/>
      <c r="U25" s="6773"/>
      <c r="V25" s="6773"/>
      <c r="W25" s="6773"/>
      <c r="X25" s="6773"/>
      <c r="Y25" s="6773"/>
      <c r="Z25" s="6773"/>
      <c r="AA25" s="6773"/>
      <c r="AB25" s="6773"/>
      <c r="AC25" s="6773"/>
      <c r="AD25" s="6773"/>
      <c r="AE25" s="6773"/>
      <c r="AF25" s="6773"/>
      <c r="AG25" s="6773"/>
      <c r="AH25" s="6773"/>
      <c r="AI25" s="667"/>
      <c r="AJ25" s="1649"/>
      <c r="AK25" s="667"/>
      <c r="BF25" s="1755">
        <v>23</v>
      </c>
    </row>
    <row customHeight="1" ht="24">
      <c r="A26" s="2175"/>
      <c r="B26" s="2174" t="s">
        <v>819</v>
      </c>
      <c r="C26" s="2174" t="s">
        <v>820</v>
      </c>
      <c r="D26" s="2173" t="s">
        <v>774</v>
      </c>
      <c r="E26" s="2177" t="s">
        <v>785</v>
      </c>
      <c r="F26" s="2177" t="s">
        <v>785</v>
      </c>
      <c r="H26" s="2142"/>
      <c r="I26" s="1788">
        <v>7</v>
      </c>
      <c r="J26" s="2143" t="s">
        <v>820</v>
      </c>
      <c r="K26" s="2139" t="s">
        <v>821</v>
      </c>
      <c r="L26" s="851"/>
      <c r="M26" s="681"/>
      <c r="N26" s="6773"/>
      <c r="O26" s="6773"/>
      <c r="P26" s="6773"/>
      <c r="Q26" s="6773"/>
      <c r="R26" s="6773"/>
      <c r="S26" s="6773"/>
      <c r="T26" s="6773"/>
      <c r="U26" s="6773"/>
      <c r="V26" s="6773"/>
      <c r="W26" s="6773"/>
      <c r="X26" s="6773"/>
      <c r="Y26" s="6773"/>
      <c r="Z26" s="6773"/>
      <c r="AA26" s="6773"/>
      <c r="AB26" s="6773"/>
      <c r="AC26" s="6773"/>
      <c r="AD26" s="6773"/>
      <c r="AE26" s="6773"/>
      <c r="AF26" s="6773"/>
      <c r="AG26" s="6773"/>
      <c r="AH26" s="6773"/>
      <c r="AI26" s="667"/>
      <c r="AJ26" s="1649"/>
      <c r="AK26" s="667"/>
      <c r="BF26" s="1755">
        <v>23</v>
      </c>
    </row>
    <row customHeight="1" ht="24">
      <c r="A27" s="2175"/>
      <c r="B27" s="2174" t="s">
        <v>822</v>
      </c>
      <c r="C27" s="2174" t="s">
        <v>823</v>
      </c>
      <c r="D27" s="2173" t="s">
        <v>774</v>
      </c>
      <c r="E27" s="2177" t="s">
        <v>785</v>
      </c>
      <c r="F27" s="2177" t="s">
        <v>785</v>
      </c>
      <c r="H27" s="2142"/>
      <c r="I27" s="1788">
        <v>8</v>
      </c>
      <c r="J27" s="2143" t="s">
        <v>823</v>
      </c>
      <c r="K27" s="2139" t="s">
        <v>725</v>
      </c>
      <c r="L27" s="851"/>
      <c r="M27" s="681"/>
      <c r="N27" s="6773"/>
      <c r="O27" s="6773"/>
      <c r="P27" s="6773"/>
      <c r="Q27" s="6773"/>
      <c r="R27" s="6773"/>
      <c r="S27" s="6773"/>
      <c r="T27" s="6773"/>
      <c r="U27" s="6773"/>
      <c r="V27" s="6773"/>
      <c r="W27" s="6773"/>
      <c r="X27" s="6773"/>
      <c r="Y27" s="6773"/>
      <c r="Z27" s="6773"/>
      <c r="AA27" s="6773"/>
      <c r="AB27" s="6773"/>
      <c r="AC27" s="6773"/>
      <c r="AD27" s="6773"/>
      <c r="AE27" s="6773"/>
      <c r="AF27" s="6773"/>
      <c r="AG27" s="6773"/>
      <c r="AH27" s="6773"/>
      <c r="AI27" s="667"/>
      <c r="AJ27" s="1649"/>
      <c r="AK27" s="667"/>
      <c r="BF27" s="1755">
        <v>23</v>
      </c>
    </row>
    <row customHeight="1" ht="35.699999999999996">
      <c r="A28" s="2175"/>
      <c r="B28" s="2174" t="s">
        <v>824</v>
      </c>
      <c r="C28" s="2174" t="s">
        <v>825</v>
      </c>
      <c r="D28" s="2173" t="s">
        <v>774</v>
      </c>
      <c r="E28" s="2177" t="s">
        <v>785</v>
      </c>
      <c r="F28" s="2177" t="s">
        <v>785</v>
      </c>
      <c r="H28" s="2142"/>
      <c r="I28" s="1798">
        <v>9</v>
      </c>
      <c r="J28" s="2143" t="s">
        <v>826</v>
      </c>
      <c r="K28" s="2139" t="s">
        <v>672</v>
      </c>
      <c r="L28" s="851"/>
      <c r="M28" s="681"/>
      <c r="N28" s="6773"/>
      <c r="O28" s="6773"/>
      <c r="P28" s="6773"/>
      <c r="Q28" s="6773"/>
      <c r="R28" s="6773"/>
      <c r="S28" s="6773"/>
      <c r="T28" s="6773"/>
      <c r="U28" s="6773"/>
      <c r="V28" s="6773"/>
      <c r="W28" s="6773"/>
      <c r="X28" s="6773"/>
      <c r="Y28" s="6773"/>
      <c r="Z28" s="6773"/>
      <c r="AA28" s="6773"/>
      <c r="AB28" s="6773"/>
      <c r="AC28" s="6773"/>
      <c r="AD28" s="6773"/>
      <c r="AE28" s="6773"/>
      <c r="AF28" s="6773"/>
      <c r="AG28" s="6773"/>
      <c r="AH28" s="6773"/>
      <c r="AI28" s="667"/>
      <c r="AJ28" s="1649"/>
      <c r="AK28" s="667"/>
      <c r="BF28" s="1755">
        <v>34</v>
      </c>
    </row>
    <row customHeight="1" ht="35.699999999999996">
      <c r="A29" s="2175"/>
      <c r="B29" s="2174" t="s">
        <v>827</v>
      </c>
      <c r="C29" s="2174" t="s">
        <v>828</v>
      </c>
      <c r="D29" s="2173" t="s">
        <v>774</v>
      </c>
      <c r="E29" s="2177" t="s">
        <v>785</v>
      </c>
      <c r="F29" s="2177" t="s">
        <v>785</v>
      </c>
      <c r="H29" s="2142"/>
      <c r="I29" s="1798">
        <v>10</v>
      </c>
      <c r="J29" s="2143" t="s">
        <v>829</v>
      </c>
      <c r="K29" s="2139" t="s">
        <v>672</v>
      </c>
      <c r="L29" s="851"/>
      <c r="M29" s="681"/>
      <c r="N29" s="6773"/>
      <c r="O29" s="6773"/>
      <c r="P29" s="6773"/>
      <c r="Q29" s="6773"/>
      <c r="R29" s="6773"/>
      <c r="S29" s="6773"/>
      <c r="T29" s="6773"/>
      <c r="U29" s="6773"/>
      <c r="V29" s="6773"/>
      <c r="W29" s="6773"/>
      <c r="X29" s="6773"/>
      <c r="Y29" s="6773"/>
      <c r="Z29" s="6773"/>
      <c r="AA29" s="6773"/>
      <c r="AB29" s="6773"/>
      <c r="AC29" s="6773"/>
      <c r="AD29" s="6773"/>
      <c r="AE29" s="6773"/>
      <c r="AF29" s="6773"/>
      <c r="AG29" s="6773"/>
      <c r="AH29" s="6773"/>
      <c r="AI29" s="667"/>
      <c r="AJ29" s="1649"/>
      <c r="AK29" s="667"/>
      <c r="BF29" s="1755">
        <v>34</v>
      </c>
    </row>
    <row customHeight="1" ht="24">
      <c r="A30" s="2175"/>
      <c r="B30" s="2174" t="s">
        <v>830</v>
      </c>
      <c r="C30" s="2174" t="s">
        <v>831</v>
      </c>
      <c r="D30" s="2173" t="s">
        <v>774</v>
      </c>
      <c r="E30" s="2177" t="s">
        <v>785</v>
      </c>
      <c r="F30" s="2177" t="s">
        <v>785</v>
      </c>
      <c r="H30" s="2142"/>
      <c r="I30" s="1798">
        <v>11</v>
      </c>
      <c r="J30" s="2143" t="s">
        <v>831</v>
      </c>
      <c r="K30" s="2139" t="s">
        <v>726</v>
      </c>
      <c r="L30" s="2190"/>
      <c r="M30" s="1745"/>
      <c r="N30" s="6775"/>
      <c r="O30" s="6775"/>
      <c r="P30" s="6775"/>
      <c r="Q30" s="6775"/>
      <c r="R30" s="6775"/>
      <c r="S30" s="6775"/>
      <c r="T30" s="6775"/>
      <c r="U30" s="6775"/>
      <c r="V30" s="6775"/>
      <c r="W30" s="6775"/>
      <c r="X30" s="6775"/>
      <c r="Y30" s="6775"/>
      <c r="Z30" s="6775"/>
      <c r="AA30" s="6775"/>
      <c r="AB30" s="6775"/>
      <c r="AC30" s="6775"/>
      <c r="AD30" s="6775"/>
      <c r="AE30" s="6775"/>
      <c r="AF30" s="6775"/>
      <c r="AG30" s="6775"/>
      <c r="AH30" s="6775"/>
      <c r="AI30" s="667"/>
      <c r="AJ30" s="1649"/>
      <c r="AK30" s="667"/>
      <c r="BF30" s="1755">
        <v>23</v>
      </c>
    </row>
    <row customHeight="1" ht="24">
      <c r="A31" s="2175"/>
      <c r="B31" s="2174" t="s">
        <v>832</v>
      </c>
      <c r="C31" s="2174" t="s">
        <v>833</v>
      </c>
      <c r="D31" s="2173" t="s">
        <v>774</v>
      </c>
      <c r="E31" s="2177" t="s">
        <v>785</v>
      </c>
      <c r="F31" s="2177" t="s">
        <v>785</v>
      </c>
      <c r="H31" s="2142"/>
      <c r="I31" s="1798">
        <v>12</v>
      </c>
      <c r="J31" s="2143" t="s">
        <v>833</v>
      </c>
      <c r="K31" s="2139" t="s">
        <v>726</v>
      </c>
      <c r="L31" s="2190"/>
      <c r="M31" s="1745"/>
      <c r="N31" s="6775"/>
      <c r="O31" s="6775"/>
      <c r="P31" s="6775"/>
      <c r="Q31" s="6775"/>
      <c r="R31" s="6775"/>
      <c r="S31" s="6775"/>
      <c r="T31" s="6775"/>
      <c r="U31" s="6775"/>
      <c r="V31" s="6775"/>
      <c r="W31" s="6775"/>
      <c r="X31" s="6775"/>
      <c r="Y31" s="6775"/>
      <c r="Z31" s="6775"/>
      <c r="AA31" s="6775"/>
      <c r="AB31" s="6775"/>
      <c r="AC31" s="6775"/>
      <c r="AD31" s="6775"/>
      <c r="AE31" s="6775"/>
      <c r="AF31" s="6775"/>
      <c r="AG31" s="6775"/>
      <c r="AH31" s="6775"/>
      <c r="AI31" s="667"/>
      <c r="AJ31" s="1649"/>
      <c r="AK31" s="667"/>
      <c r="BF31" s="1755">
        <v>23</v>
      </c>
    </row>
    <row customHeight="1" ht="48.29999999999999">
      <c r="A32" s="2175"/>
      <c r="B32" s="2174" t="s">
        <v>834</v>
      </c>
      <c r="C32" s="2174" t="s">
        <v>835</v>
      </c>
      <c r="D32" s="2173" t="s">
        <v>774</v>
      </c>
      <c r="E32" s="2177" t="s">
        <v>785</v>
      </c>
      <c r="F32" s="2177" t="s">
        <v>785</v>
      </c>
      <c r="H32" s="2142"/>
      <c r="I32" s="1798">
        <v>13</v>
      </c>
      <c r="J32" s="2143" t="s">
        <v>836</v>
      </c>
      <c r="K32" s="2139" t="s">
        <v>736</v>
      </c>
      <c r="L32" s="851"/>
      <c r="M32" s="681"/>
      <c r="N32" s="6773"/>
      <c r="O32" s="6773"/>
      <c r="P32" s="6773"/>
      <c r="Q32" s="6773"/>
      <c r="R32" s="6773"/>
      <c r="S32" s="6773"/>
      <c r="T32" s="6773"/>
      <c r="U32" s="6773"/>
      <c r="V32" s="6773"/>
      <c r="W32" s="6773"/>
      <c r="X32" s="6773"/>
      <c r="Y32" s="6773"/>
      <c r="Z32" s="6773"/>
      <c r="AA32" s="6773"/>
      <c r="AB32" s="6773"/>
      <c r="AC32" s="6773"/>
      <c r="AD32" s="6773"/>
      <c r="AE32" s="6773"/>
      <c r="AF32" s="6773"/>
      <c r="AG32" s="6773"/>
      <c r="AH32" s="6773"/>
      <c r="AI32" s="667"/>
      <c r="AJ32" s="1649" t="s">
        <v>796</v>
      </c>
      <c r="AK32" s="667"/>
      <c r="BF32" s="1755">
        <v>46</v>
      </c>
    </row>
    <row s="7158" customFormat="1" customHeight="1" ht="48.29999999999999">
      <c r="A33" s="2175"/>
      <c r="B33" s="2174" t="s">
        <v>837</v>
      </c>
      <c r="C33" s="2174" t="s">
        <v>838</v>
      </c>
      <c r="D33" s="2173" t="s">
        <v>774</v>
      </c>
      <c r="E33" s="2177" t="s">
        <v>785</v>
      </c>
      <c r="F33" s="2177" t="s">
        <v>785</v>
      </c>
      <c r="G33" s="1760"/>
      <c r="H33" s="2142"/>
      <c r="I33" s="1798">
        <v>14</v>
      </c>
      <c r="J33" s="2155" t="s">
        <v>839</v>
      </c>
      <c r="K33" s="2144" t="s">
        <v>840</v>
      </c>
      <c r="L33" s="851"/>
      <c r="M33" s="681"/>
      <c r="N33" s="6773"/>
      <c r="O33" s="6773"/>
      <c r="P33" s="6773"/>
      <c r="Q33" s="6773"/>
      <c r="R33" s="6773"/>
      <c r="S33" s="6773"/>
      <c r="T33" s="6773"/>
      <c r="U33" s="6773"/>
      <c r="V33" s="6773"/>
      <c r="W33" s="6773"/>
      <c r="X33" s="6773"/>
      <c r="Y33" s="6773"/>
      <c r="Z33" s="6773"/>
      <c r="AA33" s="6773"/>
      <c r="AB33" s="6773"/>
      <c r="AC33" s="6773"/>
      <c r="AD33" s="6773"/>
      <c r="AE33" s="6773"/>
      <c r="AF33" s="6773"/>
      <c r="AG33" s="6773"/>
      <c r="AH33" s="6773"/>
      <c r="AI33" s="667"/>
      <c r="AJ33" s="1649" t="s">
        <v>796</v>
      </c>
      <c r="AK33" s="667"/>
      <c r="AL33" s="1760"/>
      <c r="AM33" s="1760"/>
      <c r="AR33" s="1760"/>
      <c r="AU33" s="668"/>
      <c r="BA33" s="1756"/>
      <c r="BB33" s="1756"/>
      <c r="BC33" s="1756"/>
      <c r="BD33" s="1756"/>
      <c r="BE33" s="1756"/>
      <c r="BF33" s="1490">
        <v>46</v>
      </c>
    </row>
    <row customHeight="1" ht="108">
      <c r="A34" s="2175"/>
      <c r="B34" s="2174" t="s">
        <v>841</v>
      </c>
      <c r="C34" s="2174" t="s">
        <v>842</v>
      </c>
      <c r="D34" s="2173" t="s">
        <v>784</v>
      </c>
      <c r="E34" s="2177" t="s">
        <v>785</v>
      </c>
      <c r="F34" s="2177" t="s">
        <v>785</v>
      </c>
      <c r="G34" s="1760" t="s">
        <v>715</v>
      </c>
      <c r="H34" s="2142"/>
      <c r="I34" s="2153">
        <v>15</v>
      </c>
      <c r="J34" s="2154" t="s">
        <v>843</v>
      </c>
      <c r="K34" s="2139" t="s">
        <v>418</v>
      </c>
      <c r="L34" s="509"/>
      <c r="M34" s="1288"/>
      <c r="N34" s="6780"/>
      <c r="O34" s="6780"/>
      <c r="P34" s="6780"/>
      <c r="Q34" s="6780"/>
      <c r="R34" s="6780"/>
      <c r="S34" s="6780"/>
      <c r="T34" s="6780"/>
      <c r="U34" s="6780"/>
      <c r="V34" s="6780"/>
      <c r="W34" s="6780"/>
      <c r="X34" s="6780"/>
      <c r="Y34" s="6780"/>
      <c r="Z34" s="6780"/>
      <c r="AA34" s="6780"/>
      <c r="AB34" s="6780"/>
      <c r="AC34" s="6780"/>
      <c r="AD34" s="6780"/>
      <c r="AE34" s="6780"/>
      <c r="AF34" s="6780"/>
      <c r="AG34" s="6780"/>
      <c r="AH34" s="6780"/>
      <c r="AI34" s="667"/>
      <c r="AJ34" s="1649" t="s">
        <v>788</v>
      </c>
      <c r="AK34" s="667"/>
      <c r="BF34" s="1755">
        <v>103</v>
      </c>
    </row>
    <row s="6292" customFormat="1" customHeight="1" ht="11.549999999999999">
      <c r="A35" s="1111"/>
      <c r="B35" s="1111"/>
      <c r="C35" s="1111"/>
      <c r="D35" s="1111"/>
      <c r="E35" s="1111"/>
      <c r="F35" s="1760"/>
      <c r="G35" s="1760"/>
      <c r="H35" s="475"/>
      <c r="N35" s="6292"/>
      <c r="O35" s="6292"/>
      <c r="P35" s="6292"/>
      <c r="Q35" s="6292"/>
      <c r="R35" s="6292"/>
      <c r="S35" s="6292"/>
      <c r="T35" s="6292"/>
      <c r="U35" s="6292"/>
      <c r="V35" s="6292"/>
      <c r="W35" s="6292"/>
      <c r="X35" s="6292"/>
      <c r="Y35" s="6292"/>
      <c r="Z35" s="6292"/>
      <c r="AA35" s="6292"/>
      <c r="AB35" s="6292"/>
      <c r="AC35" s="6292"/>
      <c r="AD35" s="6292"/>
      <c r="AE35" s="6292"/>
      <c r="AF35" s="6292"/>
      <c r="AG35" s="6292"/>
      <c r="AH35" s="6292"/>
      <c r="AI35" s="1490"/>
      <c r="AK35" s="1490"/>
      <c r="AL35" s="1760"/>
      <c r="AM35" s="1760"/>
      <c r="AN35" s="1490"/>
      <c r="AO35" s="1490"/>
      <c r="AP35" s="1490"/>
      <c r="AQ35" s="1490"/>
      <c r="AR35" s="1760"/>
      <c r="AS35" s="1490"/>
      <c r="AT35" s="1490"/>
      <c r="AU35" s="668"/>
      <c r="AV35" s="1490"/>
      <c r="AW35" s="1490"/>
      <c r="AX35" s="1490"/>
      <c r="AY35" s="1490"/>
      <c r="AZ35" s="1490"/>
      <c r="BA35" s="1756"/>
      <c r="BB35" s="746"/>
      <c r="BC35" s="746"/>
      <c r="BD35" s="746"/>
      <c r="BE35" s="746"/>
      <c r="BF35" s="1765">
        <v>11</v>
      </c>
    </row>
    <row s="6292" customFormat="1" customHeight="1" ht="11.549999999999999">
      <c r="A36" s="1111"/>
      <c r="B36" s="1111"/>
      <c r="C36" s="1111"/>
      <c r="D36" s="1111"/>
      <c r="E36" s="1111"/>
      <c r="F36" s="1760"/>
      <c r="G36" s="1760"/>
      <c r="H36" s="475"/>
      <c r="N36" s="6292"/>
      <c r="O36" s="6292"/>
      <c r="P36" s="6292"/>
      <c r="Q36" s="6292"/>
      <c r="R36" s="6292"/>
      <c r="S36" s="6292"/>
      <c r="T36" s="6292"/>
      <c r="U36" s="6292"/>
      <c r="V36" s="6292"/>
      <c r="W36" s="6292"/>
      <c r="X36" s="6292"/>
      <c r="Y36" s="6292"/>
      <c r="Z36" s="6292"/>
      <c r="AA36" s="6292"/>
      <c r="AB36" s="6292"/>
      <c r="AC36" s="6292"/>
      <c r="AD36" s="6292"/>
      <c r="AE36" s="6292"/>
      <c r="AF36" s="6292"/>
      <c r="AG36" s="6292"/>
      <c r="AH36" s="6292"/>
      <c r="AI36" s="1490"/>
      <c r="AK36" s="1490"/>
      <c r="AL36" s="1760"/>
      <c r="AM36" s="1760"/>
      <c r="AN36" s="1490"/>
      <c r="AO36" s="1490"/>
      <c r="AP36" s="1490"/>
      <c r="AQ36" s="1490"/>
      <c r="AR36" s="1760"/>
      <c r="AS36" s="1490"/>
      <c r="AT36" s="1490"/>
      <c r="AU36" s="668"/>
      <c r="AV36" s="1490"/>
      <c r="AW36" s="1490"/>
      <c r="AX36" s="1490"/>
      <c r="AY36" s="1490"/>
      <c r="AZ36" s="1490"/>
      <c r="BA36" s="1756"/>
      <c r="BB36" s="746"/>
      <c r="BC36" s="746"/>
      <c r="BD36" s="746"/>
      <c r="BE36" s="746"/>
      <c r="BF36" s="1765">
        <v>11</v>
      </c>
    </row>
    <row s="6292" customFormat="1" customHeight="1" ht="11.549999999999999">
      <c r="A37" s="1111"/>
      <c r="B37" s="1111"/>
      <c r="C37" s="1111"/>
      <c r="D37" s="1111"/>
      <c r="E37" s="1111"/>
      <c r="F37" s="1760"/>
      <c r="G37" s="1760"/>
      <c r="H37" s="475"/>
      <c r="L37" s="746"/>
      <c r="M37" s="746"/>
      <c r="N37" s="6688"/>
      <c r="O37" s="6688"/>
      <c r="P37" s="6688"/>
      <c r="Q37" s="6688"/>
      <c r="R37" s="6688"/>
      <c r="S37" s="6688"/>
      <c r="T37" s="6688"/>
      <c r="U37" s="6688"/>
      <c r="V37" s="6688"/>
      <c r="W37" s="6688"/>
      <c r="X37" s="6688"/>
      <c r="Y37" s="6688"/>
      <c r="Z37" s="6688"/>
      <c r="AA37" s="6688"/>
      <c r="AB37" s="6688"/>
      <c r="AC37" s="6688"/>
      <c r="AD37" s="6688"/>
      <c r="AE37" s="6688"/>
      <c r="AF37" s="6688"/>
      <c r="AG37" s="6688"/>
      <c r="AH37" s="6688"/>
      <c r="AI37" s="1490"/>
      <c r="AK37" s="1490"/>
      <c r="AL37" s="1760"/>
      <c r="AM37" s="1760"/>
      <c r="AN37" s="1490"/>
      <c r="AO37" s="1490"/>
      <c r="AP37" s="1490"/>
      <c r="AQ37" s="1490"/>
      <c r="AR37" s="1760"/>
      <c r="AS37" s="1490"/>
      <c r="AT37" s="1490"/>
      <c r="AU37" s="668"/>
      <c r="AV37" s="1490"/>
      <c r="AW37" s="1490"/>
      <c r="AX37" s="1490"/>
      <c r="AY37" s="1490"/>
      <c r="AZ37" s="1490"/>
      <c r="BA37" s="1756"/>
      <c r="BB37" s="746"/>
      <c r="BC37" s="746"/>
      <c r="BD37" s="746"/>
      <c r="BE37" s="746"/>
      <c r="BF37" s="1765">
        <v>11</v>
      </c>
    </row>
    <row s="6292" customFormat="1" customHeight="1" ht="11.549999999999999">
      <c r="A38" s="1111"/>
      <c r="B38" s="1111"/>
      <c r="C38" s="1111"/>
      <c r="D38" s="1111"/>
      <c r="E38" s="1111"/>
      <c r="F38" s="1760"/>
      <c r="G38" s="1760"/>
      <c r="H38" s="475"/>
      <c r="N38" s="6292"/>
      <c r="O38" s="6292"/>
      <c r="P38" s="6292"/>
      <c r="Q38" s="6292"/>
      <c r="R38" s="6292"/>
      <c r="S38" s="6292"/>
      <c r="T38" s="6292"/>
      <c r="U38" s="6292"/>
      <c r="V38" s="6292"/>
      <c r="W38" s="6292"/>
      <c r="X38" s="6292"/>
      <c r="Y38" s="6292"/>
      <c r="Z38" s="6292"/>
      <c r="AA38" s="6292"/>
      <c r="AB38" s="6292"/>
      <c r="AC38" s="6292"/>
      <c r="AD38" s="6292"/>
      <c r="AE38" s="6292"/>
      <c r="AF38" s="6292"/>
      <c r="AG38" s="6292"/>
      <c r="AH38" s="6292"/>
      <c r="AI38" s="1490"/>
      <c r="AK38" s="1490"/>
      <c r="AL38" s="1760"/>
      <c r="AM38" s="1760"/>
      <c r="AN38" s="1490"/>
      <c r="AO38" s="1490"/>
      <c r="AP38" s="1490"/>
      <c r="AQ38" s="1490"/>
      <c r="AR38" s="1760"/>
      <c r="AS38" s="1490"/>
      <c r="AT38" s="1490"/>
      <c r="AU38" s="668"/>
      <c r="AV38" s="1490"/>
      <c r="AW38" s="1490"/>
      <c r="AX38" s="1490"/>
      <c r="AY38" s="1490"/>
      <c r="AZ38" s="1490"/>
      <c r="BA38" s="1756"/>
      <c r="BB38" s="746"/>
      <c r="BC38" s="746"/>
      <c r="BD38" s="746"/>
      <c r="BE38" s="746"/>
      <c r="BF38" s="1765">
        <v>11</v>
      </c>
    </row>
    <row s="6292" customFormat="1" customHeight="1" ht="11.549999999999999">
      <c r="A39" s="1111"/>
      <c r="B39" s="1111"/>
      <c r="C39" s="1111"/>
      <c r="D39" s="1111"/>
      <c r="E39" s="1111"/>
      <c r="F39" s="1760"/>
      <c r="G39" s="1760"/>
      <c r="H39" s="475"/>
      <c r="N39" s="6292"/>
      <c r="O39" s="6292"/>
      <c r="P39" s="6292"/>
      <c r="Q39" s="6292"/>
      <c r="R39" s="6292"/>
      <c r="S39" s="6292"/>
      <c r="T39" s="6292"/>
      <c r="U39" s="6292"/>
      <c r="V39" s="6292"/>
      <c r="W39" s="6292"/>
      <c r="X39" s="6292"/>
      <c r="Y39" s="6292"/>
      <c r="Z39" s="6292"/>
      <c r="AA39" s="6292"/>
      <c r="AB39" s="6292"/>
      <c r="AC39" s="6292"/>
      <c r="AD39" s="6292"/>
      <c r="AE39" s="6292"/>
      <c r="AF39" s="6292"/>
      <c r="AG39" s="6292"/>
      <c r="AH39" s="6292"/>
      <c r="AI39" s="1490"/>
      <c r="AK39" s="1490"/>
      <c r="AL39" s="1760"/>
      <c r="AM39" s="1760"/>
      <c r="AN39" s="1490"/>
      <c r="AO39" s="1490"/>
      <c r="AP39" s="1490"/>
      <c r="AQ39" s="1490"/>
      <c r="AR39" s="1760"/>
      <c r="AS39" s="1490"/>
      <c r="AT39" s="1490"/>
      <c r="AU39" s="668"/>
      <c r="AV39" s="1490"/>
      <c r="AW39" s="1490"/>
      <c r="AX39" s="1490"/>
      <c r="AY39" s="1490"/>
      <c r="AZ39" s="1490"/>
      <c r="BA39" s="1756"/>
      <c r="BB39" s="746"/>
      <c r="BC39" s="746"/>
      <c r="BD39" s="746"/>
      <c r="BE39" s="746"/>
      <c r="BF39" s="1765">
        <v>11</v>
      </c>
    </row>
    <row s="6292" customFormat="1" customHeight="1" ht="11.549999999999999">
      <c r="A40" s="1111"/>
      <c r="B40" s="1111"/>
      <c r="C40" s="1111"/>
      <c r="D40" s="1111"/>
      <c r="E40" s="1111"/>
      <c r="F40" s="1760"/>
      <c r="G40" s="1760"/>
      <c r="H40" s="475"/>
      <c r="N40" s="6292"/>
      <c r="O40" s="6292"/>
      <c r="P40" s="6292"/>
      <c r="Q40" s="6292"/>
      <c r="R40" s="6292"/>
      <c r="S40" s="6292"/>
      <c r="T40" s="6292"/>
      <c r="U40" s="6292"/>
      <c r="V40" s="6292"/>
      <c r="W40" s="6292"/>
      <c r="X40" s="6292"/>
      <c r="Y40" s="6292"/>
      <c r="Z40" s="6292"/>
      <c r="AA40" s="6292"/>
      <c r="AB40" s="6292"/>
      <c r="AC40" s="6292"/>
      <c r="AD40" s="6292"/>
      <c r="AE40" s="6292"/>
      <c r="AF40" s="6292"/>
      <c r="AG40" s="6292"/>
      <c r="AH40" s="6292"/>
      <c r="AI40" s="1490"/>
      <c r="AK40" s="1490"/>
      <c r="AL40" s="1760"/>
      <c r="AM40" s="1760"/>
      <c r="AN40" s="1490"/>
      <c r="AO40" s="1490"/>
      <c r="AP40" s="1490"/>
      <c r="AQ40" s="1490"/>
      <c r="AR40" s="1760"/>
      <c r="AS40" s="1490"/>
      <c r="AT40" s="1490"/>
      <c r="AU40" s="668"/>
      <c r="AV40" s="1490"/>
      <c r="AW40" s="1490"/>
      <c r="AX40" s="1490"/>
      <c r="AY40" s="1490"/>
      <c r="AZ40" s="1490"/>
      <c r="BA40" s="1756"/>
      <c r="BB40" s="746"/>
      <c r="BC40" s="746"/>
      <c r="BD40" s="746"/>
      <c r="BE40" s="746"/>
      <c r="BF40" s="1765">
        <v>11</v>
      </c>
    </row>
    <row s="6292" customFormat="1" customHeight="1" ht="11.549999999999999">
      <c r="A41" s="1111"/>
      <c r="B41" s="1111"/>
      <c r="C41" s="1111"/>
      <c r="D41" s="1111"/>
      <c r="E41" s="1111"/>
      <c r="F41" s="1760"/>
      <c r="G41" s="1760"/>
      <c r="H41" s="475"/>
      <c r="N41" s="6292"/>
      <c r="O41" s="6292"/>
      <c r="P41" s="6292"/>
      <c r="Q41" s="6292"/>
      <c r="R41" s="6292"/>
      <c r="S41" s="6292"/>
      <c r="T41" s="6292"/>
      <c r="U41" s="6292"/>
      <c r="V41" s="6292"/>
      <c r="W41" s="6292"/>
      <c r="X41" s="6292"/>
      <c r="Y41" s="6292"/>
      <c r="Z41" s="6292"/>
      <c r="AA41" s="6292"/>
      <c r="AB41" s="6292"/>
      <c r="AC41" s="6292"/>
      <c r="AD41" s="6292"/>
      <c r="AE41" s="6292"/>
      <c r="AF41" s="6292"/>
      <c r="AG41" s="6292"/>
      <c r="AH41" s="6292"/>
      <c r="AI41" s="1490"/>
      <c r="AK41" s="1490"/>
      <c r="AL41" s="1760"/>
      <c r="AM41" s="1760"/>
      <c r="AN41" s="1490"/>
      <c r="AO41" s="1490"/>
      <c r="AP41" s="1490"/>
      <c r="AQ41" s="1490"/>
      <c r="AR41" s="1760"/>
      <c r="AS41" s="1490"/>
      <c r="AT41" s="1490"/>
      <c r="AU41" s="668"/>
      <c r="AV41" s="1490"/>
      <c r="AW41" s="1490"/>
      <c r="AX41" s="1490"/>
      <c r="AY41" s="1490"/>
      <c r="AZ41" s="1490"/>
      <c r="BA41" s="1756"/>
      <c r="BB41" s="746"/>
      <c r="BC41" s="746"/>
      <c r="BD41" s="746"/>
      <c r="BE41" s="746"/>
      <c r="BF41" s="1765">
        <v>11</v>
      </c>
    </row>
    <row s="6292" customFormat="1" customHeight="1" ht="11.549999999999999">
      <c r="A42" s="1111"/>
      <c r="B42" s="1111"/>
      <c r="C42" s="1111"/>
      <c r="D42" s="1111"/>
      <c r="E42" s="1111"/>
      <c r="F42" s="1760"/>
      <c r="G42" s="1760"/>
      <c r="H42" s="475"/>
      <c r="N42" s="6292"/>
      <c r="O42" s="6292"/>
      <c r="P42" s="6292"/>
      <c r="Q42" s="6292"/>
      <c r="R42" s="6292"/>
      <c r="S42" s="6292"/>
      <c r="T42" s="6292"/>
      <c r="U42" s="6292"/>
      <c r="V42" s="6292"/>
      <c r="W42" s="6292"/>
      <c r="X42" s="6292"/>
      <c r="Y42" s="6292"/>
      <c r="Z42" s="6292"/>
      <c r="AA42" s="6292"/>
      <c r="AB42" s="6292"/>
      <c r="AC42" s="6292"/>
      <c r="AD42" s="6292"/>
      <c r="AE42" s="6292"/>
      <c r="AF42" s="6292"/>
      <c r="AG42" s="6292"/>
      <c r="AH42" s="6292"/>
      <c r="AI42" s="1490"/>
      <c r="AK42" s="1490"/>
      <c r="AL42" s="1760"/>
      <c r="AM42" s="1760"/>
      <c r="AN42" s="1490"/>
      <c r="AO42" s="1490"/>
      <c r="AP42" s="1490"/>
      <c r="AQ42" s="1490"/>
      <c r="AR42" s="1760"/>
      <c r="AS42" s="1490"/>
      <c r="AT42" s="1490"/>
      <c r="AU42" s="668"/>
      <c r="AV42" s="1490"/>
      <c r="AW42" s="1490"/>
      <c r="AX42" s="1490"/>
      <c r="AY42" s="1490"/>
      <c r="AZ42" s="1490"/>
      <c r="BA42" s="1756"/>
      <c r="BB42" s="746"/>
      <c r="BC42" s="746"/>
      <c r="BD42" s="746"/>
      <c r="BE42" s="746"/>
      <c r="BF42" s="1765">
        <v>11</v>
      </c>
    </row>
    <row s="6292" customFormat="1" customHeight="1" ht="11.549999999999999">
      <c r="A43" s="1111"/>
      <c r="B43" s="1111"/>
      <c r="C43" s="1111"/>
      <c r="D43" s="1111"/>
      <c r="E43" s="1111"/>
      <c r="F43" s="1760"/>
      <c r="G43" s="1760"/>
      <c r="H43" s="475"/>
      <c r="N43" s="6292"/>
      <c r="O43" s="6292"/>
      <c r="P43" s="6292"/>
      <c r="Q43" s="6292"/>
      <c r="R43" s="6292"/>
      <c r="S43" s="6292"/>
      <c r="T43" s="6292"/>
      <c r="U43" s="6292"/>
      <c r="V43" s="6292"/>
      <c r="W43" s="6292"/>
      <c r="X43" s="6292"/>
      <c r="Y43" s="6292"/>
      <c r="Z43" s="6292"/>
      <c r="AA43" s="6292"/>
      <c r="AB43" s="6292"/>
      <c r="AC43" s="6292"/>
      <c r="AD43" s="6292"/>
      <c r="AE43" s="6292"/>
      <c r="AF43" s="6292"/>
      <c r="AG43" s="6292"/>
      <c r="AH43" s="6292"/>
      <c r="AI43" s="1490"/>
      <c r="AK43" s="1490"/>
      <c r="AL43" s="1760"/>
      <c r="AM43" s="1760"/>
      <c r="AN43" s="1490"/>
      <c r="AO43" s="1490"/>
      <c r="AP43" s="1490"/>
      <c r="AQ43" s="1490"/>
      <c r="AR43" s="1760"/>
      <c r="AS43" s="1490"/>
      <c r="AT43" s="1490"/>
      <c r="AU43" s="668"/>
      <c r="AV43" s="1490"/>
      <c r="AW43" s="1490"/>
      <c r="AX43" s="1490"/>
      <c r="AY43" s="1490"/>
      <c r="AZ43" s="1490"/>
      <c r="BA43" s="1756"/>
      <c r="BB43" s="746"/>
      <c r="BC43" s="746"/>
      <c r="BD43" s="746"/>
      <c r="BE43" s="746"/>
      <c r="BF43" s="1765">
        <v>11</v>
      </c>
    </row>
    <row s="6292" customFormat="1" customHeight="1" ht="11.549999999999999">
      <c r="A44" s="1111"/>
      <c r="B44" s="1111"/>
      <c r="C44" s="1111"/>
      <c r="D44" s="1111"/>
      <c r="E44" s="1111"/>
      <c r="F44" s="1760"/>
      <c r="G44" s="1760"/>
      <c r="H44" s="475"/>
      <c r="N44" s="6292"/>
      <c r="O44" s="6292"/>
      <c r="P44" s="6292"/>
      <c r="Q44" s="6292"/>
      <c r="R44" s="6292"/>
      <c r="S44" s="6292"/>
      <c r="T44" s="6292"/>
      <c r="U44" s="6292"/>
      <c r="V44" s="6292"/>
      <c r="W44" s="6292"/>
      <c r="X44" s="6292"/>
      <c r="Y44" s="6292"/>
      <c r="Z44" s="6292"/>
      <c r="AA44" s="6292"/>
      <c r="AB44" s="6292"/>
      <c r="AC44" s="6292"/>
      <c r="AD44" s="6292"/>
      <c r="AE44" s="6292"/>
      <c r="AF44" s="6292"/>
      <c r="AG44" s="6292"/>
      <c r="AH44" s="6292"/>
      <c r="AI44" s="1490"/>
      <c r="AK44" s="1490"/>
      <c r="AL44" s="1760"/>
      <c r="AM44" s="1760"/>
      <c r="AN44" s="1490"/>
      <c r="AO44" s="1490"/>
      <c r="AP44" s="1490"/>
      <c r="AQ44" s="1490"/>
      <c r="AR44" s="1760"/>
      <c r="AS44" s="1490"/>
      <c r="AT44" s="1490"/>
      <c r="AU44" s="668"/>
      <c r="AV44" s="1490"/>
      <c r="AW44" s="1490"/>
      <c r="AX44" s="1490"/>
      <c r="AY44" s="1490"/>
      <c r="AZ44" s="1490"/>
      <c r="BA44" s="1756"/>
      <c r="BB44" s="746"/>
      <c r="BC44" s="746"/>
      <c r="BD44" s="746"/>
      <c r="BE44" s="746"/>
      <c r="BF44" s="1765">
        <v>11</v>
      </c>
    </row>
    <row s="6292" customFormat="1" customHeight="1" ht="11.549999999999999">
      <c r="A45" s="1111"/>
      <c r="B45" s="1111"/>
      <c r="C45" s="1111"/>
      <c r="D45" s="1111"/>
      <c r="E45" s="1111"/>
      <c r="F45" s="1760"/>
      <c r="G45" s="1760"/>
      <c r="H45" s="475"/>
      <c r="N45" s="6292"/>
      <c r="O45" s="6292"/>
      <c r="P45" s="6292"/>
      <c r="Q45" s="6292"/>
      <c r="R45" s="6292"/>
      <c r="S45" s="6292"/>
      <c r="T45" s="6292"/>
      <c r="U45" s="6292"/>
      <c r="V45" s="6292"/>
      <c r="W45" s="6292"/>
      <c r="X45" s="6292"/>
      <c r="Y45" s="6292"/>
      <c r="Z45" s="6292"/>
      <c r="AA45" s="6292"/>
      <c r="AB45" s="6292"/>
      <c r="AC45" s="6292"/>
      <c r="AD45" s="6292"/>
      <c r="AE45" s="6292"/>
      <c r="AF45" s="6292"/>
      <c r="AG45" s="6292"/>
      <c r="AH45" s="6292"/>
      <c r="AI45" s="1490"/>
      <c r="AK45" s="1490"/>
      <c r="AL45" s="1760"/>
      <c r="AM45" s="1760"/>
      <c r="AN45" s="1490"/>
      <c r="AO45" s="1490"/>
      <c r="AP45" s="1490"/>
      <c r="AQ45" s="1490"/>
      <c r="AR45" s="1760"/>
      <c r="AS45" s="1490"/>
      <c r="AT45" s="1490"/>
      <c r="AU45" s="668"/>
      <c r="AV45" s="1490"/>
      <c r="AW45" s="1490"/>
      <c r="AX45" s="1490"/>
      <c r="AY45" s="1490"/>
      <c r="AZ45" s="1490"/>
      <c r="BA45" s="1756"/>
      <c r="BB45" s="746"/>
      <c r="BC45" s="746"/>
      <c r="BD45" s="746"/>
      <c r="BE45" s="746"/>
      <c r="BF45" s="1765">
        <v>11</v>
      </c>
    </row>
    <row s="6292" customFormat="1" customHeight="1" ht="11.549999999999999">
      <c r="A46" s="1111"/>
      <c r="B46" s="1111"/>
      <c r="C46" s="1111"/>
      <c r="D46" s="1111"/>
      <c r="E46" s="1111"/>
      <c r="F46" s="1760"/>
      <c r="G46" s="1760"/>
      <c r="H46" s="475"/>
      <c r="N46" s="6292"/>
      <c r="O46" s="6292"/>
      <c r="P46" s="6292"/>
      <c r="Q46" s="6292"/>
      <c r="R46" s="6292"/>
      <c r="S46" s="6292"/>
      <c r="T46" s="6292"/>
      <c r="U46" s="6292"/>
      <c r="V46" s="6292"/>
      <c r="W46" s="6292"/>
      <c r="X46" s="6292"/>
      <c r="Y46" s="6292"/>
      <c r="Z46" s="6292"/>
      <c r="AA46" s="6292"/>
      <c r="AB46" s="6292"/>
      <c r="AC46" s="6292"/>
      <c r="AD46" s="6292"/>
      <c r="AE46" s="6292"/>
      <c r="AF46" s="6292"/>
      <c r="AG46" s="6292"/>
      <c r="AH46" s="6292"/>
      <c r="AI46" s="1490"/>
      <c r="AK46" s="1490"/>
      <c r="AL46" s="1760"/>
      <c r="AM46" s="1760"/>
      <c r="AN46" s="1490"/>
      <c r="AO46" s="1490"/>
      <c r="AP46" s="1490"/>
      <c r="AQ46" s="1490"/>
      <c r="AR46" s="1760"/>
      <c r="AS46" s="1490"/>
      <c r="AT46" s="1490"/>
      <c r="AU46" s="668"/>
      <c r="AV46" s="1490"/>
      <c r="AW46" s="1490"/>
      <c r="AX46" s="1490"/>
      <c r="AY46" s="1490"/>
      <c r="AZ46" s="1490"/>
      <c r="BA46" s="1756"/>
      <c r="BB46" s="746"/>
      <c r="BC46" s="746"/>
      <c r="BD46" s="746"/>
      <c r="BE46" s="746"/>
      <c r="BF46" s="1765">
        <v>11</v>
      </c>
    </row>
    <row s="6292" customFormat="1" customHeight="1" ht="11.549999999999999">
      <c r="A47" s="1111"/>
      <c r="B47" s="1111"/>
      <c r="C47" s="1111"/>
      <c r="D47" s="1111"/>
      <c r="E47" s="1111"/>
      <c r="F47" s="1760"/>
      <c r="G47" s="1760"/>
      <c r="H47" s="475"/>
      <c r="N47" s="6292"/>
      <c r="O47" s="6292"/>
      <c r="P47" s="6292"/>
      <c r="Q47" s="6292"/>
      <c r="R47" s="6292"/>
      <c r="S47" s="6292"/>
      <c r="T47" s="6292"/>
      <c r="U47" s="6292"/>
      <c r="V47" s="6292"/>
      <c r="W47" s="6292"/>
      <c r="X47" s="6292"/>
      <c r="Y47" s="6292"/>
      <c r="Z47" s="6292"/>
      <c r="AA47" s="6292"/>
      <c r="AB47" s="6292"/>
      <c r="AC47" s="6292"/>
      <c r="AD47" s="6292"/>
      <c r="AE47" s="6292"/>
      <c r="AF47" s="6292"/>
      <c r="AG47" s="6292"/>
      <c r="AH47" s="6292"/>
      <c r="AI47" s="1490"/>
      <c r="AK47" s="1490"/>
      <c r="AL47" s="1760"/>
      <c r="AM47" s="1760"/>
      <c r="AN47" s="1490"/>
      <c r="AO47" s="1490"/>
      <c r="AP47" s="1490"/>
      <c r="AQ47" s="1490"/>
      <c r="AR47" s="1760"/>
      <c r="AS47" s="1490"/>
      <c r="AT47" s="1490"/>
      <c r="AU47" s="668"/>
      <c r="AV47" s="1490"/>
      <c r="AW47" s="1490"/>
      <c r="AX47" s="1490"/>
      <c r="AY47" s="1490"/>
      <c r="AZ47" s="1490"/>
      <c r="BA47" s="1756"/>
      <c r="BB47" s="746"/>
      <c r="BC47" s="746"/>
      <c r="BD47" s="746"/>
      <c r="BE47" s="746"/>
      <c r="BF47" s="1765">
        <v>11</v>
      </c>
    </row>
    <row s="6292" customFormat="1" customHeight="1" ht="11.549999999999999">
      <c r="A48" s="1111"/>
      <c r="B48" s="1111"/>
      <c r="C48" s="1111"/>
      <c r="D48" s="1111"/>
      <c r="E48" s="1111"/>
      <c r="F48" s="1760"/>
      <c r="G48" s="1760"/>
      <c r="H48" s="475"/>
      <c r="N48" s="6292"/>
      <c r="O48" s="6292"/>
      <c r="P48" s="6292"/>
      <c r="Q48" s="6292"/>
      <c r="R48" s="6292"/>
      <c r="S48" s="6292"/>
      <c r="T48" s="6292"/>
      <c r="U48" s="6292"/>
      <c r="V48" s="6292"/>
      <c r="W48" s="6292"/>
      <c r="X48" s="6292"/>
      <c r="Y48" s="6292"/>
      <c r="Z48" s="6292"/>
      <c r="AA48" s="6292"/>
      <c r="AB48" s="6292"/>
      <c r="AC48" s="6292"/>
      <c r="AD48" s="6292"/>
      <c r="AE48" s="6292"/>
      <c r="AF48" s="6292"/>
      <c r="AG48" s="6292"/>
      <c r="AH48" s="6292"/>
      <c r="AI48" s="1490"/>
      <c r="AK48" s="1490"/>
      <c r="AL48" s="1760"/>
      <c r="AM48" s="1760"/>
      <c r="AN48" s="1490"/>
      <c r="AO48" s="1490"/>
      <c r="AP48" s="1490"/>
      <c r="AQ48" s="1490"/>
      <c r="AR48" s="1760"/>
      <c r="AS48" s="1490"/>
      <c r="AT48" s="1490"/>
      <c r="AU48" s="668"/>
      <c r="AV48" s="1490"/>
      <c r="AW48" s="1490"/>
      <c r="AX48" s="1490"/>
      <c r="AY48" s="1490"/>
      <c r="AZ48" s="1490"/>
      <c r="BA48" s="1756"/>
      <c r="BB48" s="746"/>
      <c r="BC48" s="746"/>
      <c r="BD48" s="746"/>
      <c r="BE48" s="746"/>
      <c r="BF48" s="1765">
        <v>11</v>
      </c>
    </row>
    <row s="6292" customFormat="1" customHeight="1" ht="11.549999999999999">
      <c r="A49" s="1111"/>
      <c r="B49" s="1111"/>
      <c r="C49" s="1111"/>
      <c r="D49" s="1111"/>
      <c r="E49" s="1111"/>
      <c r="F49" s="1760"/>
      <c r="G49" s="1760"/>
      <c r="H49" s="475"/>
      <c r="N49" s="6292"/>
      <c r="O49" s="6292"/>
      <c r="P49" s="6292"/>
      <c r="Q49" s="6292"/>
      <c r="R49" s="6292"/>
      <c r="S49" s="6292"/>
      <c r="T49" s="6292"/>
      <c r="U49" s="6292"/>
      <c r="V49" s="6292"/>
      <c r="W49" s="6292"/>
      <c r="X49" s="6292"/>
      <c r="Y49" s="6292"/>
      <c r="Z49" s="6292"/>
      <c r="AA49" s="6292"/>
      <c r="AB49" s="6292"/>
      <c r="AC49" s="6292"/>
      <c r="AD49" s="6292"/>
      <c r="AE49" s="6292"/>
      <c r="AF49" s="6292"/>
      <c r="AG49" s="6292"/>
      <c r="AH49" s="6292"/>
      <c r="AI49" s="1490"/>
      <c r="AK49" s="1490"/>
      <c r="AL49" s="1760"/>
      <c r="AM49" s="1760"/>
      <c r="AN49" s="1490"/>
      <c r="AO49" s="1490"/>
      <c r="AP49" s="1490"/>
      <c r="AQ49" s="1490"/>
      <c r="AR49" s="1760"/>
      <c r="AS49" s="1490"/>
      <c r="AT49" s="1490"/>
      <c r="AU49" s="668"/>
      <c r="AV49" s="1490"/>
      <c r="AW49" s="1490"/>
      <c r="AX49" s="1490"/>
      <c r="AY49" s="1490"/>
      <c r="AZ49" s="1490"/>
      <c r="BA49" s="1756"/>
      <c r="BB49" s="746"/>
      <c r="BC49" s="746"/>
      <c r="BD49" s="746"/>
      <c r="BE49" s="746"/>
      <c r="BF49" s="1765">
        <v>11</v>
      </c>
    </row>
    <row s="6292" customFormat="1" customHeight="1" ht="11.549999999999999">
      <c r="A50" s="1111"/>
      <c r="B50" s="1111"/>
      <c r="C50" s="1111"/>
      <c r="D50" s="1111"/>
      <c r="E50" s="1111"/>
      <c r="F50" s="1760"/>
      <c r="G50" s="1760"/>
      <c r="H50" s="475"/>
      <c r="N50" s="6292"/>
      <c r="O50" s="6292"/>
      <c r="P50" s="6292"/>
      <c r="Q50" s="6292"/>
      <c r="R50" s="6292"/>
      <c r="S50" s="6292"/>
      <c r="T50" s="6292"/>
      <c r="U50" s="6292"/>
      <c r="V50" s="6292"/>
      <c r="W50" s="6292"/>
      <c r="X50" s="6292"/>
      <c r="Y50" s="6292"/>
      <c r="Z50" s="6292"/>
      <c r="AA50" s="6292"/>
      <c r="AB50" s="6292"/>
      <c r="AC50" s="6292"/>
      <c r="AD50" s="6292"/>
      <c r="AE50" s="6292"/>
      <c r="AF50" s="6292"/>
      <c r="AG50" s="6292"/>
      <c r="AH50" s="6292"/>
      <c r="AI50" s="1490"/>
      <c r="AK50" s="1490"/>
      <c r="AL50" s="1760"/>
      <c r="AM50" s="1760"/>
      <c r="AN50" s="1490"/>
      <c r="AO50" s="1490"/>
      <c r="AP50" s="1490"/>
      <c r="AQ50" s="1490"/>
      <c r="AR50" s="1760"/>
      <c r="AS50" s="1490"/>
      <c r="AT50" s="1490"/>
      <c r="AU50" s="668"/>
      <c r="AV50" s="1490"/>
      <c r="AW50" s="1490"/>
      <c r="AX50" s="1490"/>
      <c r="AY50" s="1490"/>
      <c r="AZ50" s="1490"/>
      <c r="BA50" s="1756"/>
      <c r="BB50" s="746"/>
      <c r="BC50" s="746"/>
      <c r="BD50" s="746"/>
      <c r="BE50" s="746"/>
      <c r="BF50" s="1765">
        <v>11</v>
      </c>
    </row>
    <row s="6292" customFormat="1" customHeight="1" ht="11.549999999999999">
      <c r="A51" s="1111"/>
      <c r="B51" s="1111"/>
      <c r="C51" s="1111"/>
      <c r="D51" s="1111"/>
      <c r="E51" s="1111"/>
      <c r="F51" s="1760"/>
      <c r="G51" s="1760"/>
      <c r="H51" s="475"/>
      <c r="N51" s="6292"/>
      <c r="O51" s="6292"/>
      <c r="P51" s="6292"/>
      <c r="Q51" s="6292"/>
      <c r="R51" s="6292"/>
      <c r="S51" s="6292"/>
      <c r="T51" s="6292"/>
      <c r="U51" s="6292"/>
      <c r="V51" s="6292"/>
      <c r="W51" s="6292"/>
      <c r="X51" s="6292"/>
      <c r="Y51" s="6292"/>
      <c r="Z51" s="6292"/>
      <c r="AA51" s="6292"/>
      <c r="AB51" s="6292"/>
      <c r="AC51" s="6292"/>
      <c r="AD51" s="6292"/>
      <c r="AE51" s="6292"/>
      <c r="AF51" s="6292"/>
      <c r="AG51" s="6292"/>
      <c r="AH51" s="6292"/>
      <c r="AI51" s="1490"/>
      <c r="AK51" s="1490"/>
      <c r="AL51" s="1760"/>
      <c r="AM51" s="1760"/>
      <c r="AN51" s="1490"/>
      <c r="AO51" s="1490"/>
      <c r="AP51" s="1490"/>
      <c r="AQ51" s="1490"/>
      <c r="AR51" s="1760"/>
      <c r="AS51" s="1490"/>
      <c r="AT51" s="1490"/>
      <c r="AU51" s="668"/>
      <c r="AV51" s="1490"/>
      <c r="AW51" s="1490"/>
      <c r="AX51" s="1490"/>
      <c r="AY51" s="1490"/>
      <c r="AZ51" s="1490"/>
      <c r="BA51" s="1756"/>
      <c r="BB51" s="746"/>
      <c r="BC51" s="746"/>
      <c r="BD51" s="746"/>
      <c r="BE51" s="746"/>
      <c r="BF51" s="1765">
        <v>11</v>
      </c>
    </row>
    <row s="6292" customFormat="1" customHeight="1" ht="11.549999999999999">
      <c r="A52" s="1111"/>
      <c r="B52" s="1111"/>
      <c r="C52" s="1111"/>
      <c r="D52" s="1111"/>
      <c r="E52" s="1111"/>
      <c r="F52" s="1760"/>
      <c r="G52" s="1760"/>
      <c r="H52" s="475"/>
      <c r="N52" s="6292"/>
      <c r="O52" s="6292"/>
      <c r="P52" s="6292"/>
      <c r="Q52" s="6292"/>
      <c r="R52" s="6292"/>
      <c r="S52" s="6292"/>
      <c r="T52" s="6292"/>
      <c r="U52" s="6292"/>
      <c r="V52" s="6292"/>
      <c r="W52" s="6292"/>
      <c r="X52" s="6292"/>
      <c r="Y52" s="6292"/>
      <c r="Z52" s="6292"/>
      <c r="AA52" s="6292"/>
      <c r="AB52" s="6292"/>
      <c r="AC52" s="6292"/>
      <c r="AD52" s="6292"/>
      <c r="AE52" s="6292"/>
      <c r="AF52" s="6292"/>
      <c r="AG52" s="6292"/>
      <c r="AH52" s="6292"/>
      <c r="AI52" s="1490"/>
      <c r="AK52" s="1490"/>
      <c r="AL52" s="1760"/>
      <c r="AM52" s="1760"/>
      <c r="AN52" s="1490"/>
      <c r="AO52" s="1490"/>
      <c r="AP52" s="1490"/>
      <c r="AQ52" s="1490"/>
      <c r="AR52" s="1760"/>
      <c r="AS52" s="1490"/>
      <c r="AT52" s="1490"/>
      <c r="AU52" s="668"/>
      <c r="AV52" s="1490"/>
      <c r="AW52" s="1490"/>
      <c r="AX52" s="1490"/>
      <c r="AY52" s="1490"/>
      <c r="AZ52" s="1490"/>
      <c r="BA52" s="1756"/>
      <c r="BB52" s="746"/>
      <c r="BC52" s="746"/>
      <c r="BD52" s="746"/>
      <c r="BE52" s="746"/>
      <c r="BF52" s="1765">
        <v>11</v>
      </c>
    </row>
    <row s="6292" customFormat="1" customHeight="1" ht="11.549999999999999">
      <c r="A53" s="1111"/>
      <c r="B53" s="1111"/>
      <c r="C53" s="1111"/>
      <c r="D53" s="1111"/>
      <c r="E53" s="1111"/>
      <c r="F53" s="1760"/>
      <c r="G53" s="1760"/>
      <c r="H53" s="475"/>
      <c r="N53" s="6292"/>
      <c r="O53" s="6292"/>
      <c r="P53" s="6292"/>
      <c r="Q53" s="6292"/>
      <c r="R53" s="6292"/>
      <c r="S53" s="6292"/>
      <c r="T53" s="6292"/>
      <c r="U53" s="6292"/>
      <c r="V53" s="6292"/>
      <c r="W53" s="6292"/>
      <c r="X53" s="6292"/>
      <c r="Y53" s="6292"/>
      <c r="Z53" s="6292"/>
      <c r="AA53" s="6292"/>
      <c r="AB53" s="6292"/>
      <c r="AC53" s="6292"/>
      <c r="AD53" s="6292"/>
      <c r="AE53" s="6292"/>
      <c r="AF53" s="6292"/>
      <c r="AG53" s="6292"/>
      <c r="AH53" s="6292"/>
      <c r="AI53" s="1490"/>
      <c r="AK53" s="1490"/>
      <c r="AL53" s="1760"/>
      <c r="AM53" s="1760"/>
      <c r="AN53" s="1490"/>
      <c r="AO53" s="1490"/>
      <c r="AP53" s="1490"/>
      <c r="AQ53" s="1490"/>
      <c r="AR53" s="1760"/>
      <c r="AS53" s="1490"/>
      <c r="AT53" s="1490"/>
      <c r="AU53" s="668"/>
      <c r="AV53" s="1490"/>
      <c r="AW53" s="1490"/>
      <c r="AX53" s="1490"/>
      <c r="AY53" s="1490"/>
      <c r="AZ53" s="1490"/>
      <c r="BA53" s="1756"/>
      <c r="BB53" s="746"/>
      <c r="BC53" s="746"/>
      <c r="BD53" s="746"/>
      <c r="BE53" s="746"/>
      <c r="BF53" s="1765">
        <v>11</v>
      </c>
    </row>
    <row s="6292" customFormat="1" customHeight="1" ht="11.549999999999999">
      <c r="A54" s="1111"/>
      <c r="B54" s="1111"/>
      <c r="C54" s="1111"/>
      <c r="D54" s="1111"/>
      <c r="E54" s="1111"/>
      <c r="F54" s="1760"/>
      <c r="G54" s="1760"/>
      <c r="H54" s="475"/>
      <c r="N54" s="6292"/>
      <c r="O54" s="6292"/>
      <c r="P54" s="6292"/>
      <c r="Q54" s="6292"/>
      <c r="R54" s="6292"/>
      <c r="S54" s="6292"/>
      <c r="T54" s="6292"/>
      <c r="U54" s="6292"/>
      <c r="V54" s="6292"/>
      <c r="W54" s="6292"/>
      <c r="X54" s="6292"/>
      <c r="Y54" s="6292"/>
      <c r="Z54" s="6292"/>
      <c r="AA54" s="6292"/>
      <c r="AB54" s="6292"/>
      <c r="AC54" s="6292"/>
      <c r="AD54" s="6292"/>
      <c r="AE54" s="6292"/>
      <c r="AF54" s="6292"/>
      <c r="AG54" s="6292"/>
      <c r="AH54" s="6292"/>
      <c r="AI54" s="1490"/>
      <c r="AK54" s="1490"/>
      <c r="AL54" s="1760"/>
      <c r="AM54" s="1760"/>
      <c r="AN54" s="1490"/>
      <c r="AO54" s="1490"/>
      <c r="AP54" s="1490"/>
      <c r="AQ54" s="1490"/>
      <c r="AR54" s="1760"/>
      <c r="AS54" s="1490"/>
      <c r="AT54" s="1490"/>
      <c r="AU54" s="668"/>
      <c r="AV54" s="1490"/>
      <c r="AW54" s="1490"/>
      <c r="AX54" s="1490"/>
      <c r="AY54" s="1490"/>
      <c r="AZ54" s="1490"/>
      <c r="BA54" s="1756"/>
      <c r="BB54" s="746"/>
      <c r="BC54" s="746"/>
      <c r="BD54" s="746"/>
      <c r="BE54" s="746"/>
      <c r="BF54" s="1765">
        <v>11</v>
      </c>
    </row>
    <row s="6292" customFormat="1" customHeight="1" ht="11.549999999999999">
      <c r="A55" s="1111"/>
      <c r="B55" s="1111"/>
      <c r="C55" s="1111"/>
      <c r="D55" s="1111"/>
      <c r="E55" s="1111"/>
      <c r="F55" s="1760"/>
      <c r="G55" s="1760"/>
      <c r="H55" s="475"/>
      <c r="N55" s="6292"/>
      <c r="O55" s="6292"/>
      <c r="P55" s="6292"/>
      <c r="Q55" s="6292"/>
      <c r="R55" s="6292"/>
      <c r="S55" s="6292"/>
      <c r="T55" s="6292"/>
      <c r="U55" s="6292"/>
      <c r="V55" s="6292"/>
      <c r="W55" s="6292"/>
      <c r="X55" s="6292"/>
      <c r="Y55" s="6292"/>
      <c r="Z55" s="6292"/>
      <c r="AA55" s="6292"/>
      <c r="AB55" s="6292"/>
      <c r="AC55" s="6292"/>
      <c r="AD55" s="6292"/>
      <c r="AE55" s="6292"/>
      <c r="AF55" s="6292"/>
      <c r="AG55" s="6292"/>
      <c r="AH55" s="6292"/>
      <c r="AI55" s="1490"/>
      <c r="AK55" s="1490"/>
      <c r="AL55" s="1760"/>
      <c r="AM55" s="1760"/>
      <c r="AN55" s="1490"/>
      <c r="AO55" s="1490"/>
      <c r="AP55" s="1490"/>
      <c r="AQ55" s="1490"/>
      <c r="AR55" s="1760"/>
      <c r="AS55" s="1490"/>
      <c r="AT55" s="1490"/>
      <c r="AU55" s="668"/>
      <c r="AV55" s="1490"/>
      <c r="AW55" s="1490"/>
      <c r="AX55" s="1490"/>
      <c r="AY55" s="1490"/>
      <c r="AZ55" s="1490"/>
      <c r="BA55" s="1756"/>
      <c r="BB55" s="746"/>
      <c r="BC55" s="746"/>
      <c r="BD55" s="746"/>
      <c r="BE55" s="746"/>
      <c r="BF55" s="1765">
        <v>11</v>
      </c>
    </row>
    <row s="6292" customFormat="1" customHeight="1" ht="11.549999999999999">
      <c r="A56" s="1111"/>
      <c r="B56" s="1111"/>
      <c r="C56" s="1111"/>
      <c r="D56" s="1111"/>
      <c r="E56" s="1111"/>
      <c r="F56" s="1760"/>
      <c r="G56" s="1760"/>
      <c r="H56" s="475"/>
      <c r="N56" s="6292"/>
      <c r="O56" s="6292"/>
      <c r="P56" s="6292"/>
      <c r="Q56" s="6292"/>
      <c r="R56" s="6292"/>
      <c r="S56" s="6292"/>
      <c r="T56" s="6292"/>
      <c r="U56" s="6292"/>
      <c r="V56" s="6292"/>
      <c r="W56" s="6292"/>
      <c r="X56" s="6292"/>
      <c r="Y56" s="6292"/>
      <c r="Z56" s="6292"/>
      <c r="AA56" s="6292"/>
      <c r="AB56" s="6292"/>
      <c r="AC56" s="6292"/>
      <c r="AD56" s="6292"/>
      <c r="AE56" s="6292"/>
      <c r="AF56" s="6292"/>
      <c r="AG56" s="6292"/>
      <c r="AH56" s="6292"/>
      <c r="AI56" s="1490"/>
      <c r="AK56" s="1490"/>
      <c r="AL56" s="1760"/>
      <c r="AM56" s="1760"/>
      <c r="AN56" s="1490"/>
      <c r="AO56" s="1490"/>
      <c r="AP56" s="1490"/>
      <c r="AQ56" s="1490"/>
      <c r="AR56" s="1760"/>
      <c r="AS56" s="1490"/>
      <c r="AT56" s="1490"/>
      <c r="AU56" s="668"/>
      <c r="AV56" s="1490"/>
      <c r="AW56" s="1490"/>
      <c r="AX56" s="1490"/>
      <c r="AY56" s="1490"/>
      <c r="AZ56" s="1490"/>
      <c r="BA56" s="1756"/>
      <c r="BB56" s="746"/>
      <c r="BC56" s="746"/>
      <c r="BD56" s="746"/>
      <c r="BE56" s="746"/>
      <c r="BF56" s="1765">
        <v>11</v>
      </c>
    </row>
    <row s="6292" customFormat="1" customHeight="1" ht="11.549999999999999">
      <c r="A57" s="1111"/>
      <c r="B57" s="1111"/>
      <c r="C57" s="1111"/>
      <c r="D57" s="1111"/>
      <c r="E57" s="1111"/>
      <c r="F57" s="1760"/>
      <c r="G57" s="1760"/>
      <c r="H57" s="475"/>
      <c r="N57" s="6292"/>
      <c r="O57" s="6292"/>
      <c r="P57" s="6292"/>
      <c r="Q57" s="6292"/>
      <c r="R57" s="6292"/>
      <c r="S57" s="6292"/>
      <c r="T57" s="6292"/>
      <c r="U57" s="6292"/>
      <c r="V57" s="6292"/>
      <c r="W57" s="6292"/>
      <c r="X57" s="6292"/>
      <c r="Y57" s="6292"/>
      <c r="Z57" s="6292"/>
      <c r="AA57" s="6292"/>
      <c r="AB57" s="6292"/>
      <c r="AC57" s="6292"/>
      <c r="AD57" s="6292"/>
      <c r="AE57" s="6292"/>
      <c r="AF57" s="6292"/>
      <c r="AG57" s="6292"/>
      <c r="AH57" s="6292"/>
      <c r="AI57" s="1490"/>
      <c r="AK57" s="1490"/>
      <c r="AL57" s="1760"/>
      <c r="AM57" s="1760"/>
      <c r="AN57" s="1490"/>
      <c r="AO57" s="1490"/>
      <c r="AP57" s="1490"/>
      <c r="AQ57" s="1490"/>
      <c r="AR57" s="1760"/>
      <c r="AS57" s="1490"/>
      <c r="AT57" s="1490"/>
      <c r="AU57" s="668"/>
      <c r="AV57" s="1490"/>
      <c r="AW57" s="1490"/>
      <c r="AX57" s="1490"/>
      <c r="AY57" s="1490"/>
      <c r="AZ57" s="1490"/>
      <c r="BA57" s="1756"/>
      <c r="BB57" s="746"/>
      <c r="BC57" s="746"/>
      <c r="BD57" s="746"/>
      <c r="BE57" s="746"/>
      <c r="BF57" s="1765">
        <v>11</v>
      </c>
    </row>
    <row s="6292" customFormat="1" customHeight="1" ht="11.549999999999999">
      <c r="A58" s="1111"/>
      <c r="B58" s="1111"/>
      <c r="C58" s="1111"/>
      <c r="D58" s="1111"/>
      <c r="E58" s="1111"/>
      <c r="F58" s="1760"/>
      <c r="G58" s="1760"/>
      <c r="H58" s="475"/>
      <c r="N58" s="6292"/>
      <c r="O58" s="6292"/>
      <c r="P58" s="6292"/>
      <c r="Q58" s="6292"/>
      <c r="R58" s="6292"/>
      <c r="S58" s="6292"/>
      <c r="T58" s="6292"/>
      <c r="U58" s="6292"/>
      <c r="V58" s="6292"/>
      <c r="W58" s="6292"/>
      <c r="X58" s="6292"/>
      <c r="Y58" s="6292"/>
      <c r="Z58" s="6292"/>
      <c r="AA58" s="6292"/>
      <c r="AB58" s="6292"/>
      <c r="AC58" s="6292"/>
      <c r="AD58" s="6292"/>
      <c r="AE58" s="6292"/>
      <c r="AF58" s="6292"/>
      <c r="AG58" s="6292"/>
      <c r="AH58" s="6292"/>
      <c r="AI58" s="1490"/>
      <c r="AK58" s="1490"/>
      <c r="AL58" s="1760"/>
      <c r="AM58" s="1760"/>
      <c r="AN58" s="1490"/>
      <c r="AO58" s="1490"/>
      <c r="AP58" s="1490"/>
      <c r="AQ58" s="1490"/>
      <c r="AR58" s="1760"/>
      <c r="AS58" s="1490"/>
      <c r="AT58" s="1490"/>
      <c r="AU58" s="668"/>
      <c r="AV58" s="1490"/>
      <c r="AW58" s="1490"/>
      <c r="AX58" s="1490"/>
      <c r="AY58" s="1490"/>
      <c r="AZ58" s="1490"/>
      <c r="BA58" s="1756"/>
      <c r="BB58" s="746"/>
      <c r="BC58" s="746"/>
      <c r="BD58" s="746"/>
      <c r="BE58" s="746"/>
      <c r="BF58" s="1765">
        <v>11</v>
      </c>
    </row>
    <row s="6292" customFormat="1" customHeight="1" ht="11.549999999999999">
      <c r="A59" s="1111"/>
      <c r="B59" s="1111"/>
      <c r="C59" s="1111"/>
      <c r="D59" s="1111"/>
      <c r="E59" s="1111"/>
      <c r="F59" s="1760"/>
      <c r="G59" s="1760"/>
      <c r="H59" s="475"/>
      <c r="N59" s="6292"/>
      <c r="O59" s="6292"/>
      <c r="P59" s="6292"/>
      <c r="Q59" s="6292"/>
      <c r="R59" s="6292"/>
      <c r="S59" s="6292"/>
      <c r="T59" s="6292"/>
      <c r="U59" s="6292"/>
      <c r="V59" s="6292"/>
      <c r="W59" s="6292"/>
      <c r="X59" s="6292"/>
      <c r="Y59" s="6292"/>
      <c r="Z59" s="6292"/>
      <c r="AA59" s="6292"/>
      <c r="AB59" s="6292"/>
      <c r="AC59" s="6292"/>
      <c r="AD59" s="6292"/>
      <c r="AE59" s="6292"/>
      <c r="AF59" s="6292"/>
      <c r="AG59" s="6292"/>
      <c r="AH59" s="6292"/>
      <c r="AI59" s="1490"/>
      <c r="AK59" s="1490"/>
      <c r="AL59" s="1760"/>
      <c r="AM59" s="1760"/>
      <c r="AN59" s="1490"/>
      <c r="AO59" s="1490"/>
      <c r="AP59" s="1490"/>
      <c r="AQ59" s="1490"/>
      <c r="AR59" s="1760"/>
      <c r="AS59" s="1490"/>
      <c r="AT59" s="1490"/>
      <c r="AU59" s="668"/>
      <c r="AV59" s="1490"/>
      <c r="AW59" s="1490"/>
      <c r="AX59" s="1490"/>
      <c r="AY59" s="1490"/>
      <c r="AZ59" s="1490"/>
      <c r="BA59" s="1756"/>
      <c r="BB59" s="746"/>
      <c r="BC59" s="746"/>
      <c r="BD59" s="746"/>
      <c r="BE59" s="746"/>
      <c r="BF59" s="1765">
        <v>11</v>
      </c>
    </row>
    <row s="6292" customFormat="1" customHeight="1" ht="11.549999999999999">
      <c r="A60" s="1111"/>
      <c r="B60" s="1111"/>
      <c r="C60" s="1111"/>
      <c r="D60" s="1111"/>
      <c r="E60" s="1111"/>
      <c r="F60" s="1760"/>
      <c r="G60" s="1760"/>
      <c r="H60" s="475"/>
      <c r="N60" s="6292"/>
      <c r="O60" s="6292"/>
      <c r="P60" s="6292"/>
      <c r="Q60" s="6292"/>
      <c r="R60" s="6292"/>
      <c r="S60" s="6292"/>
      <c r="T60" s="6292"/>
      <c r="U60" s="6292"/>
      <c r="V60" s="6292"/>
      <c r="W60" s="6292"/>
      <c r="X60" s="6292"/>
      <c r="Y60" s="6292"/>
      <c r="Z60" s="6292"/>
      <c r="AA60" s="6292"/>
      <c r="AB60" s="6292"/>
      <c r="AC60" s="6292"/>
      <c r="AD60" s="6292"/>
      <c r="AE60" s="6292"/>
      <c r="AF60" s="6292"/>
      <c r="AG60" s="6292"/>
      <c r="AH60" s="6292"/>
      <c r="AI60" s="1490"/>
      <c r="AK60" s="1490"/>
      <c r="AL60" s="1760"/>
      <c r="AM60" s="1760"/>
      <c r="AN60" s="1490"/>
      <c r="AO60" s="1490"/>
      <c r="AP60" s="1490"/>
      <c r="AQ60" s="1490"/>
      <c r="AR60" s="1760"/>
      <c r="AS60" s="1490"/>
      <c r="AT60" s="1490"/>
      <c r="AU60" s="668"/>
      <c r="AV60" s="1490"/>
      <c r="AW60" s="1490"/>
      <c r="AX60" s="1490"/>
      <c r="AY60" s="1490"/>
      <c r="AZ60" s="1490"/>
      <c r="BA60" s="1756"/>
      <c r="BB60" s="746"/>
      <c r="BC60" s="746"/>
      <c r="BD60" s="746"/>
      <c r="BE60" s="746"/>
      <c r="BF60" s="1765">
        <v>11</v>
      </c>
    </row>
    <row s="6292" customFormat="1" customHeight="1" ht="11.549999999999999">
      <c r="A61" s="1111"/>
      <c r="B61" s="1111"/>
      <c r="C61" s="1111"/>
      <c r="D61" s="1111"/>
      <c r="E61" s="1111"/>
      <c r="F61" s="1760"/>
      <c r="G61" s="1760"/>
      <c r="H61" s="475"/>
      <c r="N61" s="6292"/>
      <c r="O61" s="6292"/>
      <c r="P61" s="6292"/>
      <c r="Q61" s="6292"/>
      <c r="R61" s="6292"/>
      <c r="S61" s="6292"/>
      <c r="T61" s="6292"/>
      <c r="U61" s="6292"/>
      <c r="V61" s="6292"/>
      <c r="W61" s="6292"/>
      <c r="X61" s="6292"/>
      <c r="Y61" s="6292"/>
      <c r="Z61" s="6292"/>
      <c r="AA61" s="6292"/>
      <c r="AB61" s="6292"/>
      <c r="AC61" s="6292"/>
      <c r="AD61" s="6292"/>
      <c r="AE61" s="6292"/>
      <c r="AF61" s="6292"/>
      <c r="AG61" s="6292"/>
      <c r="AH61" s="6292"/>
      <c r="AI61" s="1490"/>
      <c r="AK61" s="1490"/>
      <c r="AL61" s="1760"/>
      <c r="AM61" s="1760"/>
      <c r="AN61" s="1490"/>
      <c r="AO61" s="1490"/>
      <c r="AP61" s="1490"/>
      <c r="AQ61" s="1490"/>
      <c r="AR61" s="1760"/>
      <c r="AS61" s="1490"/>
      <c r="AT61" s="1490"/>
      <c r="AU61" s="668"/>
      <c r="AV61" s="1490"/>
      <c r="AW61" s="1490"/>
      <c r="AX61" s="1490"/>
      <c r="AY61" s="1490"/>
      <c r="AZ61" s="1490"/>
      <c r="BA61" s="1756"/>
      <c r="BB61" s="746"/>
      <c r="BC61" s="746"/>
      <c r="BD61" s="746"/>
      <c r="BE61" s="746"/>
      <c r="BF61" s="1765">
        <v>11</v>
      </c>
    </row>
    <row s="6292" customFormat="1" customHeight="1" ht="11.549999999999999">
      <c r="A62" s="1111"/>
      <c r="B62" s="1111"/>
      <c r="C62" s="1111"/>
      <c r="D62" s="1111"/>
      <c r="E62" s="1111"/>
      <c r="F62" s="1760"/>
      <c r="G62" s="1760"/>
      <c r="H62" s="475"/>
      <c r="N62" s="6292"/>
      <c r="O62" s="6292"/>
      <c r="P62" s="6292"/>
      <c r="Q62" s="6292"/>
      <c r="R62" s="6292"/>
      <c r="S62" s="6292"/>
      <c r="T62" s="6292"/>
      <c r="U62" s="6292"/>
      <c r="V62" s="6292"/>
      <c r="W62" s="6292"/>
      <c r="X62" s="6292"/>
      <c r="Y62" s="6292"/>
      <c r="Z62" s="6292"/>
      <c r="AA62" s="6292"/>
      <c r="AB62" s="6292"/>
      <c r="AC62" s="6292"/>
      <c r="AD62" s="6292"/>
      <c r="AE62" s="6292"/>
      <c r="AF62" s="6292"/>
      <c r="AG62" s="6292"/>
      <c r="AH62" s="6292"/>
      <c r="AI62" s="1490"/>
      <c r="AK62" s="1490"/>
      <c r="AL62" s="1760"/>
      <c r="AM62" s="1760"/>
      <c r="AN62" s="1490"/>
      <c r="AO62" s="1490"/>
      <c r="AP62" s="1490"/>
      <c r="AQ62" s="1490"/>
      <c r="AR62" s="1760"/>
      <c r="AS62" s="1490"/>
      <c r="AT62" s="1490"/>
      <c r="AU62" s="668"/>
      <c r="AV62" s="1490"/>
      <c r="AW62" s="1490"/>
      <c r="AX62" s="1490"/>
      <c r="AY62" s="1490"/>
      <c r="AZ62" s="1490"/>
      <c r="BA62" s="1756"/>
      <c r="BB62" s="746"/>
      <c r="BC62" s="746"/>
      <c r="BD62" s="746"/>
      <c r="BE62" s="746"/>
      <c r="BF62" s="1765">
        <v>11</v>
      </c>
    </row>
    <row s="6292" customFormat="1" customHeight="1" ht="11.549999999999999">
      <c r="A63" s="1111"/>
      <c r="B63" s="1111"/>
      <c r="C63" s="1111"/>
      <c r="D63" s="1111"/>
      <c r="E63" s="1111"/>
      <c r="F63" s="1760"/>
      <c r="G63" s="1760"/>
      <c r="H63" s="475"/>
      <c r="N63" s="6292"/>
      <c r="O63" s="6292"/>
      <c r="P63" s="6292"/>
      <c r="Q63" s="6292"/>
      <c r="R63" s="6292"/>
      <c r="S63" s="6292"/>
      <c r="T63" s="6292"/>
      <c r="U63" s="6292"/>
      <c r="V63" s="6292"/>
      <c r="W63" s="6292"/>
      <c r="X63" s="6292"/>
      <c r="Y63" s="6292"/>
      <c r="Z63" s="6292"/>
      <c r="AA63" s="6292"/>
      <c r="AB63" s="6292"/>
      <c r="AC63" s="6292"/>
      <c r="AD63" s="6292"/>
      <c r="AE63" s="6292"/>
      <c r="AF63" s="6292"/>
      <c r="AG63" s="6292"/>
      <c r="AH63" s="6292"/>
      <c r="AI63" s="1490"/>
      <c r="AK63" s="1490"/>
      <c r="AL63" s="1760"/>
      <c r="AM63" s="1760"/>
      <c r="AN63" s="1490"/>
      <c r="AO63" s="1490"/>
      <c r="AP63" s="1490"/>
      <c r="AQ63" s="1490"/>
      <c r="AR63" s="1760"/>
      <c r="AS63" s="1490"/>
      <c r="AT63" s="1490"/>
      <c r="AU63" s="668"/>
      <c r="AV63" s="1490"/>
      <c r="AW63" s="1490"/>
      <c r="AX63" s="1490"/>
      <c r="AY63" s="1490"/>
      <c r="AZ63" s="1490"/>
      <c r="BA63" s="1756"/>
      <c r="BB63" s="746"/>
      <c r="BC63" s="746"/>
      <c r="BD63" s="746"/>
      <c r="BE63" s="746"/>
      <c r="BF63" s="1765">
        <v>11</v>
      </c>
    </row>
    <row s="6292" customFormat="1" customHeight="1" ht="11.549999999999999">
      <c r="A64" s="1111"/>
      <c r="B64" s="1111"/>
      <c r="C64" s="1111"/>
      <c r="D64" s="1111"/>
      <c r="E64" s="1111"/>
      <c r="F64" s="1760"/>
      <c r="G64" s="1760"/>
      <c r="H64" s="475"/>
      <c r="N64" s="6292"/>
      <c r="O64" s="6292"/>
      <c r="P64" s="6292"/>
      <c r="Q64" s="6292"/>
      <c r="R64" s="6292"/>
      <c r="S64" s="6292"/>
      <c r="T64" s="6292"/>
      <c r="U64" s="6292"/>
      <c r="V64" s="6292"/>
      <c r="W64" s="6292"/>
      <c r="X64" s="6292"/>
      <c r="Y64" s="6292"/>
      <c r="Z64" s="6292"/>
      <c r="AA64" s="6292"/>
      <c r="AB64" s="6292"/>
      <c r="AC64" s="6292"/>
      <c r="AD64" s="6292"/>
      <c r="AE64" s="6292"/>
      <c r="AF64" s="6292"/>
      <c r="AG64" s="6292"/>
      <c r="AH64" s="6292"/>
      <c r="AI64" s="1490"/>
      <c r="AK64" s="1490"/>
      <c r="AL64" s="1760"/>
      <c r="AM64" s="1760"/>
      <c r="AN64" s="1490"/>
      <c r="AO64" s="1490"/>
      <c r="AP64" s="1490"/>
      <c r="AQ64" s="1490"/>
      <c r="AR64" s="1760"/>
      <c r="AS64" s="1490"/>
      <c r="AT64" s="1490"/>
      <c r="AU64" s="668"/>
      <c r="AV64" s="1490"/>
      <c r="AW64" s="1490"/>
      <c r="AX64" s="1490"/>
      <c r="AY64" s="1490"/>
      <c r="AZ64" s="1490"/>
      <c r="BA64" s="1756"/>
      <c r="BB64" s="746"/>
      <c r="BC64" s="746"/>
      <c r="BD64" s="746"/>
      <c r="BE64" s="746"/>
      <c r="BF64" s="1765">
        <v>11</v>
      </c>
    </row>
    <row s="6292" customFormat="1" customHeight="1" ht="11.549999999999999">
      <c r="A65" s="1111"/>
      <c r="B65" s="1111"/>
      <c r="C65" s="1111"/>
      <c r="D65" s="1111"/>
      <c r="E65" s="1111"/>
      <c r="F65" s="1760"/>
      <c r="G65" s="1760"/>
      <c r="H65" s="475"/>
      <c r="N65" s="6292"/>
      <c r="O65" s="6292"/>
      <c r="P65" s="6292"/>
      <c r="Q65" s="6292"/>
      <c r="R65" s="6292"/>
      <c r="S65" s="6292"/>
      <c r="T65" s="6292"/>
      <c r="U65" s="6292"/>
      <c r="V65" s="6292"/>
      <c r="W65" s="6292"/>
      <c r="X65" s="6292"/>
      <c r="Y65" s="6292"/>
      <c r="Z65" s="6292"/>
      <c r="AA65" s="6292"/>
      <c r="AB65" s="6292"/>
      <c r="AC65" s="6292"/>
      <c r="AD65" s="6292"/>
      <c r="AE65" s="6292"/>
      <c r="AF65" s="6292"/>
      <c r="AG65" s="6292"/>
      <c r="AH65" s="6292"/>
      <c r="AI65" s="1490"/>
      <c r="AK65" s="1490"/>
      <c r="AL65" s="1760"/>
      <c r="AM65" s="1760"/>
      <c r="AN65" s="1490"/>
      <c r="AO65" s="1490"/>
      <c r="AP65" s="1490"/>
      <c r="AQ65" s="1490"/>
      <c r="AR65" s="1760"/>
      <c r="AS65" s="1490"/>
      <c r="AT65" s="1490"/>
      <c r="AU65" s="668"/>
      <c r="AV65" s="1490"/>
      <c r="AW65" s="1490"/>
      <c r="AX65" s="1490"/>
      <c r="AY65" s="1490"/>
      <c r="AZ65" s="1490"/>
      <c r="BA65" s="1756"/>
      <c r="BB65" s="746"/>
      <c r="BC65" s="746"/>
      <c r="BD65" s="746"/>
      <c r="BE65" s="746"/>
      <c r="BF65" s="1765">
        <v>11</v>
      </c>
    </row>
    <row s="6292" customFormat="1" customHeight="1" ht="11.549999999999999">
      <c r="A66" s="1111"/>
      <c r="B66" s="1111"/>
      <c r="C66" s="1111"/>
      <c r="D66" s="1111"/>
      <c r="E66" s="1111"/>
      <c r="F66" s="1760"/>
      <c r="G66" s="1760"/>
      <c r="H66" s="475"/>
      <c r="N66" s="6292"/>
      <c r="O66" s="6292"/>
      <c r="P66" s="6292"/>
      <c r="Q66" s="6292"/>
      <c r="R66" s="6292"/>
      <c r="S66" s="6292"/>
      <c r="T66" s="6292"/>
      <c r="U66" s="6292"/>
      <c r="V66" s="6292"/>
      <c r="W66" s="6292"/>
      <c r="X66" s="6292"/>
      <c r="Y66" s="6292"/>
      <c r="Z66" s="6292"/>
      <c r="AA66" s="6292"/>
      <c r="AB66" s="6292"/>
      <c r="AC66" s="6292"/>
      <c r="AD66" s="6292"/>
      <c r="AE66" s="6292"/>
      <c r="AF66" s="6292"/>
      <c r="AG66" s="6292"/>
      <c r="AH66" s="6292"/>
      <c r="AI66" s="1490"/>
      <c r="AK66" s="1490"/>
      <c r="AL66" s="1760"/>
      <c r="AM66" s="1760"/>
      <c r="AN66" s="1490"/>
      <c r="AO66" s="1490"/>
      <c r="AP66" s="1490"/>
      <c r="AQ66" s="1490"/>
      <c r="AR66" s="1760"/>
      <c r="AS66" s="1490"/>
      <c r="AT66" s="1490"/>
      <c r="AU66" s="668"/>
      <c r="AV66" s="1490"/>
      <c r="AW66" s="1490"/>
      <c r="AX66" s="1490"/>
      <c r="AY66" s="1490"/>
      <c r="AZ66" s="1490"/>
      <c r="BA66" s="1756"/>
      <c r="BB66" s="746"/>
      <c r="BC66" s="746"/>
      <c r="BD66" s="746"/>
      <c r="BE66" s="746"/>
      <c r="BF66" s="1765">
        <v>11</v>
      </c>
    </row>
    <row s="6292" customFormat="1" customHeight="1" ht="11.549999999999999">
      <c r="A67" s="1111"/>
      <c r="B67" s="1111"/>
      <c r="C67" s="1111"/>
      <c r="D67" s="1111"/>
      <c r="E67" s="1111"/>
      <c r="F67" s="1760"/>
      <c r="G67" s="1760"/>
      <c r="H67" s="475"/>
      <c r="N67" s="6292"/>
      <c r="O67" s="6292"/>
      <c r="P67" s="6292"/>
      <c r="Q67" s="6292"/>
      <c r="R67" s="6292"/>
      <c r="S67" s="6292"/>
      <c r="T67" s="6292"/>
      <c r="U67" s="6292"/>
      <c r="V67" s="6292"/>
      <c r="W67" s="6292"/>
      <c r="X67" s="6292"/>
      <c r="Y67" s="6292"/>
      <c r="Z67" s="6292"/>
      <c r="AA67" s="6292"/>
      <c r="AB67" s="6292"/>
      <c r="AC67" s="6292"/>
      <c r="AD67" s="6292"/>
      <c r="AE67" s="6292"/>
      <c r="AF67" s="6292"/>
      <c r="AG67" s="6292"/>
      <c r="AH67" s="6292"/>
      <c r="AI67" s="1490"/>
      <c r="AK67" s="1490"/>
      <c r="AL67" s="1760"/>
      <c r="AM67" s="1760"/>
      <c r="AN67" s="1490"/>
      <c r="AO67" s="1490"/>
      <c r="AP67" s="1490"/>
      <c r="AQ67" s="1490"/>
      <c r="AR67" s="1760"/>
      <c r="AS67" s="1490"/>
      <c r="AT67" s="1490"/>
      <c r="AU67" s="668"/>
      <c r="AV67" s="1490"/>
      <c r="AW67" s="1490"/>
      <c r="AX67" s="1490"/>
      <c r="AY67" s="1490"/>
      <c r="AZ67" s="1490"/>
      <c r="BA67" s="1756"/>
      <c r="BB67" s="746"/>
      <c r="BC67" s="746"/>
      <c r="BD67" s="746"/>
      <c r="BE67" s="746"/>
      <c r="BF67" s="1765">
        <v>11</v>
      </c>
    </row>
    <row s="6292" customFormat="1" customHeight="1" ht="11.549999999999999">
      <c r="A68" s="1111"/>
      <c r="B68" s="1111"/>
      <c r="C68" s="1111"/>
      <c r="D68" s="1111"/>
      <c r="E68" s="1111"/>
      <c r="F68" s="1760"/>
      <c r="G68" s="1760"/>
      <c r="H68" s="475"/>
      <c r="N68" s="6292"/>
      <c r="O68" s="6292"/>
      <c r="P68" s="6292"/>
      <c r="Q68" s="6292"/>
      <c r="R68" s="6292"/>
      <c r="S68" s="6292"/>
      <c r="T68" s="6292"/>
      <c r="U68" s="6292"/>
      <c r="V68" s="6292"/>
      <c r="W68" s="6292"/>
      <c r="X68" s="6292"/>
      <c r="Y68" s="6292"/>
      <c r="Z68" s="6292"/>
      <c r="AA68" s="6292"/>
      <c r="AB68" s="6292"/>
      <c r="AC68" s="6292"/>
      <c r="AD68" s="6292"/>
      <c r="AE68" s="6292"/>
      <c r="AF68" s="6292"/>
      <c r="AG68" s="6292"/>
      <c r="AH68" s="6292"/>
      <c r="AI68" s="1490"/>
      <c r="AK68" s="1490"/>
      <c r="AL68" s="1760"/>
      <c r="AM68" s="1760"/>
      <c r="AN68" s="1490"/>
      <c r="AO68" s="1490"/>
      <c r="AP68" s="1490"/>
      <c r="AQ68" s="1490"/>
      <c r="AR68" s="1760"/>
      <c r="AS68" s="1490"/>
      <c r="AT68" s="1490"/>
      <c r="AU68" s="668"/>
      <c r="AV68" s="1490"/>
      <c r="AW68" s="1490"/>
      <c r="AX68" s="1490"/>
      <c r="AY68" s="1490"/>
      <c r="AZ68" s="1490"/>
      <c r="BA68" s="1756"/>
      <c r="BB68" s="746"/>
      <c r="BC68" s="746"/>
      <c r="BD68" s="746"/>
      <c r="BE68" s="746"/>
      <c r="BF68" s="1765">
        <v>11</v>
      </c>
    </row>
    <row s="6292" customFormat="1" customHeight="1" ht="11.549999999999999">
      <c r="A69" s="1111"/>
      <c r="B69" s="1111"/>
      <c r="C69" s="1111"/>
      <c r="D69" s="1111"/>
      <c r="E69" s="1111"/>
      <c r="F69" s="1760"/>
      <c r="G69" s="1760"/>
      <c r="H69" s="475"/>
      <c r="N69" s="6292"/>
      <c r="O69" s="6292"/>
      <c r="P69" s="6292"/>
      <c r="Q69" s="6292"/>
      <c r="R69" s="6292"/>
      <c r="S69" s="6292"/>
      <c r="T69" s="6292"/>
      <c r="U69" s="6292"/>
      <c r="V69" s="6292"/>
      <c r="W69" s="6292"/>
      <c r="X69" s="6292"/>
      <c r="Y69" s="6292"/>
      <c r="Z69" s="6292"/>
      <c r="AA69" s="6292"/>
      <c r="AB69" s="6292"/>
      <c r="AC69" s="6292"/>
      <c r="AD69" s="6292"/>
      <c r="AE69" s="6292"/>
      <c r="AF69" s="6292"/>
      <c r="AG69" s="6292"/>
      <c r="AH69" s="6292"/>
      <c r="AI69" s="1490"/>
      <c r="AK69" s="1490"/>
      <c r="AL69" s="1760"/>
      <c r="AM69" s="1760"/>
      <c r="AN69" s="1490"/>
      <c r="AO69" s="1490"/>
      <c r="AP69" s="1490"/>
      <c r="AQ69" s="1490"/>
      <c r="AR69" s="1760"/>
      <c r="AS69" s="1490"/>
      <c r="AT69" s="1490"/>
      <c r="AU69" s="668"/>
      <c r="AV69" s="1490"/>
      <c r="AW69" s="1490"/>
      <c r="AX69" s="1490"/>
      <c r="AY69" s="1490"/>
      <c r="AZ69" s="1490"/>
      <c r="BA69" s="1756"/>
      <c r="BB69" s="746"/>
      <c r="BC69" s="746"/>
      <c r="BD69" s="746"/>
      <c r="BE69" s="746"/>
      <c r="BF69" s="1765">
        <v>11</v>
      </c>
    </row>
    <row s="6292" customFormat="1" customHeight="1" ht="11.549999999999999">
      <c r="A70" s="1111"/>
      <c r="B70" s="1111"/>
      <c r="C70" s="1111"/>
      <c r="D70" s="1111"/>
      <c r="E70" s="1111"/>
      <c r="F70" s="1760"/>
      <c r="G70" s="1760"/>
      <c r="H70" s="475"/>
      <c r="N70" s="6292"/>
      <c r="O70" s="6292"/>
      <c r="P70" s="6292"/>
      <c r="Q70" s="6292"/>
      <c r="R70" s="6292"/>
      <c r="S70" s="6292"/>
      <c r="T70" s="6292"/>
      <c r="U70" s="6292"/>
      <c r="V70" s="6292"/>
      <c r="W70" s="6292"/>
      <c r="X70" s="6292"/>
      <c r="Y70" s="6292"/>
      <c r="Z70" s="6292"/>
      <c r="AA70" s="6292"/>
      <c r="AB70" s="6292"/>
      <c r="AC70" s="6292"/>
      <c r="AD70" s="6292"/>
      <c r="AE70" s="6292"/>
      <c r="AF70" s="6292"/>
      <c r="AG70" s="6292"/>
      <c r="AH70" s="6292"/>
      <c r="AI70" s="1490"/>
      <c r="AK70" s="1490"/>
      <c r="AL70" s="1760"/>
      <c r="AM70" s="1760"/>
      <c r="AN70" s="1490"/>
      <c r="AO70" s="1490"/>
      <c r="AP70" s="1490"/>
      <c r="AQ70" s="1490"/>
      <c r="AR70" s="1760"/>
      <c r="AS70" s="1490"/>
      <c r="AT70" s="1490"/>
      <c r="AU70" s="668"/>
      <c r="AV70" s="1490"/>
      <c r="AW70" s="1490"/>
      <c r="AX70" s="1490"/>
      <c r="AY70" s="1490"/>
      <c r="AZ70" s="1490"/>
      <c r="BA70" s="1756"/>
      <c r="BB70" s="746"/>
      <c r="BC70" s="746"/>
      <c r="BD70" s="746"/>
      <c r="BE70" s="746"/>
      <c r="BF70" s="1765">
        <v>11</v>
      </c>
    </row>
    <row s="6292" customFormat="1" customHeight="1" ht="11.549999999999999">
      <c r="A71" s="1111"/>
      <c r="B71" s="1111"/>
      <c r="C71" s="1111"/>
      <c r="D71" s="1111"/>
      <c r="E71" s="1111"/>
      <c r="F71" s="1760"/>
      <c r="G71" s="1760"/>
      <c r="H71" s="475"/>
      <c r="N71" s="6292"/>
      <c r="O71" s="6292"/>
      <c r="P71" s="6292"/>
      <c r="Q71" s="6292"/>
      <c r="R71" s="6292"/>
      <c r="S71" s="6292"/>
      <c r="T71" s="6292"/>
      <c r="U71" s="6292"/>
      <c r="V71" s="6292"/>
      <c r="W71" s="6292"/>
      <c r="X71" s="6292"/>
      <c r="Y71" s="6292"/>
      <c r="Z71" s="6292"/>
      <c r="AA71" s="6292"/>
      <c r="AB71" s="6292"/>
      <c r="AC71" s="6292"/>
      <c r="AD71" s="6292"/>
      <c r="AE71" s="6292"/>
      <c r="AF71" s="6292"/>
      <c r="AG71" s="6292"/>
      <c r="AH71" s="6292"/>
      <c r="AI71" s="1490"/>
      <c r="AK71" s="1490"/>
      <c r="AL71" s="1760"/>
      <c r="AM71" s="1760"/>
      <c r="AN71" s="1490"/>
      <c r="AO71" s="1490"/>
      <c r="AP71" s="1490"/>
      <c r="AQ71" s="1490"/>
      <c r="AR71" s="1760"/>
      <c r="AS71" s="1490"/>
      <c r="AT71" s="1490"/>
      <c r="AU71" s="668"/>
      <c r="AV71" s="1490"/>
      <c r="AW71" s="1490"/>
      <c r="AX71" s="1490"/>
      <c r="AY71" s="1490"/>
      <c r="AZ71" s="1490"/>
      <c r="BA71" s="1756"/>
      <c r="BB71" s="746"/>
      <c r="BC71" s="746"/>
      <c r="BD71" s="746"/>
      <c r="BE71" s="746"/>
      <c r="BF71" s="1765">
        <v>11</v>
      </c>
    </row>
    <row s="6292" customFormat="1" customHeight="1" ht="11.549999999999999">
      <c r="A72" s="1111"/>
      <c r="B72" s="1111"/>
      <c r="C72" s="1111"/>
      <c r="D72" s="1111"/>
      <c r="E72" s="1111"/>
      <c r="F72" s="1760"/>
      <c r="G72" s="1760"/>
      <c r="H72" s="475"/>
      <c r="N72" s="6292"/>
      <c r="O72" s="6292"/>
      <c r="P72" s="6292"/>
      <c r="Q72" s="6292"/>
      <c r="R72" s="6292"/>
      <c r="S72" s="6292"/>
      <c r="T72" s="6292"/>
      <c r="U72" s="6292"/>
      <c r="V72" s="6292"/>
      <c r="W72" s="6292"/>
      <c r="X72" s="6292"/>
      <c r="Y72" s="6292"/>
      <c r="Z72" s="6292"/>
      <c r="AA72" s="6292"/>
      <c r="AB72" s="6292"/>
      <c r="AC72" s="6292"/>
      <c r="AD72" s="6292"/>
      <c r="AE72" s="6292"/>
      <c r="AF72" s="6292"/>
      <c r="AG72" s="6292"/>
      <c r="AH72" s="6292"/>
      <c r="AI72" s="1490"/>
      <c r="AK72" s="1490"/>
      <c r="AL72" s="1760"/>
      <c r="AM72" s="1760"/>
      <c r="AN72" s="1490"/>
      <c r="AO72" s="1490"/>
      <c r="AP72" s="1490"/>
      <c r="AQ72" s="1490"/>
      <c r="AR72" s="1760"/>
      <c r="AS72" s="1490"/>
      <c r="AT72" s="1490"/>
      <c r="AU72" s="668"/>
      <c r="AV72" s="1490"/>
      <c r="AW72" s="1490"/>
      <c r="AX72" s="1490"/>
      <c r="AY72" s="1490"/>
      <c r="AZ72" s="1490"/>
      <c r="BA72" s="1756"/>
      <c r="BB72" s="746"/>
      <c r="BC72" s="746"/>
      <c r="BD72" s="746"/>
      <c r="BE72" s="746"/>
      <c r="BF72" s="1765">
        <v>11</v>
      </c>
    </row>
    <row s="6292" customFormat="1" customHeight="1" ht="11.549999999999999">
      <c r="A73" s="1111"/>
      <c r="B73" s="1111"/>
      <c r="C73" s="1111"/>
      <c r="D73" s="1111"/>
      <c r="E73" s="1111"/>
      <c r="F73" s="1760"/>
      <c r="G73" s="1760"/>
      <c r="H73" s="475"/>
      <c r="N73" s="6292"/>
      <c r="O73" s="6292"/>
      <c r="P73" s="6292"/>
      <c r="Q73" s="6292"/>
      <c r="R73" s="6292"/>
      <c r="S73" s="6292"/>
      <c r="T73" s="6292"/>
      <c r="U73" s="6292"/>
      <c r="V73" s="6292"/>
      <c r="W73" s="6292"/>
      <c r="X73" s="6292"/>
      <c r="Y73" s="6292"/>
      <c r="Z73" s="6292"/>
      <c r="AA73" s="6292"/>
      <c r="AB73" s="6292"/>
      <c r="AC73" s="6292"/>
      <c r="AD73" s="6292"/>
      <c r="AE73" s="6292"/>
      <c r="AF73" s="6292"/>
      <c r="AG73" s="6292"/>
      <c r="AH73" s="6292"/>
      <c r="AI73" s="1490"/>
      <c r="AK73" s="1490"/>
      <c r="AL73" s="1760"/>
      <c r="AM73" s="1760"/>
      <c r="AN73" s="1490"/>
      <c r="AO73" s="1490"/>
      <c r="AP73" s="1490"/>
      <c r="AQ73" s="1490"/>
      <c r="AR73" s="1760"/>
      <c r="AS73" s="1490"/>
      <c r="AT73" s="1490"/>
      <c r="AU73" s="668"/>
      <c r="AV73" s="1490"/>
      <c r="AW73" s="1490"/>
      <c r="AX73" s="1490"/>
      <c r="AY73" s="1490"/>
      <c r="AZ73" s="1490"/>
      <c r="BA73" s="1756"/>
      <c r="BB73" s="746"/>
      <c r="BC73" s="746"/>
      <c r="BD73" s="746"/>
      <c r="BE73" s="746"/>
      <c r="BF73" s="1765">
        <v>11</v>
      </c>
    </row>
    <row s="6292" customFormat="1" customHeight="1" ht="11.549999999999999">
      <c r="A74" s="1111"/>
      <c r="B74" s="1111"/>
      <c r="C74" s="1111"/>
      <c r="D74" s="1111"/>
      <c r="E74" s="1111"/>
      <c r="F74" s="1760"/>
      <c r="G74" s="1760"/>
      <c r="H74" s="475"/>
      <c r="N74" s="6292"/>
      <c r="O74" s="6292"/>
      <c r="P74" s="6292"/>
      <c r="Q74" s="6292"/>
      <c r="R74" s="6292"/>
      <c r="S74" s="6292"/>
      <c r="T74" s="6292"/>
      <c r="U74" s="6292"/>
      <c r="V74" s="6292"/>
      <c r="W74" s="6292"/>
      <c r="X74" s="6292"/>
      <c r="Y74" s="6292"/>
      <c r="Z74" s="6292"/>
      <c r="AA74" s="6292"/>
      <c r="AB74" s="6292"/>
      <c r="AC74" s="6292"/>
      <c r="AD74" s="6292"/>
      <c r="AE74" s="6292"/>
      <c r="AF74" s="6292"/>
      <c r="AG74" s="6292"/>
      <c r="AH74" s="6292"/>
      <c r="AI74" s="1490"/>
      <c r="AK74" s="1490"/>
      <c r="AL74" s="1760"/>
      <c r="AM74" s="1760"/>
      <c r="AN74" s="1490"/>
      <c r="AO74" s="1490"/>
      <c r="AP74" s="1490"/>
      <c r="AQ74" s="1490"/>
      <c r="AR74" s="1760"/>
      <c r="AS74" s="1490"/>
      <c r="AT74" s="1490"/>
      <c r="AU74" s="668"/>
      <c r="AV74" s="1490"/>
      <c r="AW74" s="1490"/>
      <c r="AX74" s="1490"/>
      <c r="AY74" s="1490"/>
      <c r="AZ74" s="1490"/>
      <c r="BA74" s="1756"/>
      <c r="BB74" s="746"/>
      <c r="BC74" s="746"/>
      <c r="BD74" s="746"/>
      <c r="BE74" s="746"/>
      <c r="BF74" s="1765">
        <v>11</v>
      </c>
    </row>
    <row s="6292" customFormat="1" customHeight="1" ht="11.549999999999999">
      <c r="A75" s="1111"/>
      <c r="B75" s="1111"/>
      <c r="C75" s="1111"/>
      <c r="D75" s="1111"/>
      <c r="E75" s="1111"/>
      <c r="F75" s="1760"/>
      <c r="G75" s="1760"/>
      <c r="H75" s="475"/>
      <c r="N75" s="6292"/>
      <c r="O75" s="6292"/>
      <c r="P75" s="6292"/>
      <c r="Q75" s="6292"/>
      <c r="R75" s="6292"/>
      <c r="S75" s="6292"/>
      <c r="T75" s="6292"/>
      <c r="U75" s="6292"/>
      <c r="V75" s="6292"/>
      <c r="W75" s="6292"/>
      <c r="X75" s="6292"/>
      <c r="Y75" s="6292"/>
      <c r="Z75" s="6292"/>
      <c r="AA75" s="6292"/>
      <c r="AB75" s="6292"/>
      <c r="AC75" s="6292"/>
      <c r="AD75" s="6292"/>
      <c r="AE75" s="6292"/>
      <c r="AF75" s="6292"/>
      <c r="AG75" s="6292"/>
      <c r="AH75" s="6292"/>
      <c r="AI75" s="1490"/>
      <c r="AK75" s="1490"/>
      <c r="AL75" s="1760"/>
      <c r="AM75" s="1760"/>
      <c r="AN75" s="1490"/>
      <c r="AO75" s="1490"/>
      <c r="AP75" s="1490"/>
      <c r="AQ75" s="1490"/>
      <c r="AR75" s="1760"/>
      <c r="AS75" s="1490"/>
      <c r="AT75" s="1490"/>
      <c r="AU75" s="668"/>
      <c r="AV75" s="1490"/>
      <c r="AW75" s="1490"/>
      <c r="AX75" s="1490"/>
      <c r="AY75" s="1490"/>
      <c r="AZ75" s="1490"/>
      <c r="BA75" s="1756"/>
      <c r="BB75" s="746"/>
      <c r="BC75" s="746"/>
      <c r="BD75" s="746"/>
      <c r="BE75" s="746"/>
      <c r="BF75" s="1765">
        <v>11</v>
      </c>
    </row>
    <row s="6292" customFormat="1" customHeight="1" ht="11.549999999999999">
      <c r="A76" s="1111"/>
      <c r="B76" s="1111"/>
      <c r="C76" s="1111"/>
      <c r="D76" s="1111"/>
      <c r="E76" s="1111"/>
      <c r="F76" s="1760"/>
      <c r="G76" s="1760"/>
      <c r="H76" s="475"/>
      <c r="N76" s="6292"/>
      <c r="O76" s="6292"/>
      <c r="P76" s="6292"/>
      <c r="Q76" s="6292"/>
      <c r="R76" s="6292"/>
      <c r="S76" s="6292"/>
      <c r="T76" s="6292"/>
      <c r="U76" s="6292"/>
      <c r="V76" s="6292"/>
      <c r="W76" s="6292"/>
      <c r="X76" s="6292"/>
      <c r="Y76" s="6292"/>
      <c r="Z76" s="6292"/>
      <c r="AA76" s="6292"/>
      <c r="AB76" s="6292"/>
      <c r="AC76" s="6292"/>
      <c r="AD76" s="6292"/>
      <c r="AE76" s="6292"/>
      <c r="AF76" s="6292"/>
      <c r="AG76" s="6292"/>
      <c r="AH76" s="6292"/>
      <c r="AI76" s="1490"/>
      <c r="AK76" s="1490"/>
      <c r="AL76" s="1760"/>
      <c r="AM76" s="1760"/>
      <c r="AN76" s="1490"/>
      <c r="AO76" s="1490"/>
      <c r="AP76" s="1490"/>
      <c r="AQ76" s="1490"/>
      <c r="AR76" s="1760"/>
      <c r="AS76" s="1490"/>
      <c r="AT76" s="1490"/>
      <c r="AU76" s="668"/>
      <c r="AV76" s="1490"/>
      <c r="AW76" s="1490"/>
      <c r="AX76" s="1490"/>
      <c r="AY76" s="1490"/>
      <c r="AZ76" s="1490"/>
      <c r="BA76" s="1756"/>
      <c r="BB76" s="746"/>
      <c r="BC76" s="746"/>
      <c r="BD76" s="746"/>
      <c r="BE76" s="746"/>
      <c r="BF76" s="1765">
        <v>11</v>
      </c>
    </row>
    <row s="6292" customFormat="1" customHeight="1" ht="11.549999999999999">
      <c r="A77" s="1111"/>
      <c r="B77" s="1111"/>
      <c r="C77" s="1111"/>
      <c r="D77" s="1111"/>
      <c r="E77" s="1111"/>
      <c r="F77" s="1760"/>
      <c r="G77" s="1760"/>
      <c r="H77" s="475"/>
      <c r="N77" s="6292"/>
      <c r="O77" s="6292"/>
      <c r="P77" s="6292"/>
      <c r="Q77" s="6292"/>
      <c r="R77" s="6292"/>
      <c r="S77" s="6292"/>
      <c r="T77" s="6292"/>
      <c r="U77" s="6292"/>
      <c r="V77" s="6292"/>
      <c r="W77" s="6292"/>
      <c r="X77" s="6292"/>
      <c r="Y77" s="6292"/>
      <c r="Z77" s="6292"/>
      <c r="AA77" s="6292"/>
      <c r="AB77" s="6292"/>
      <c r="AC77" s="6292"/>
      <c r="AD77" s="6292"/>
      <c r="AE77" s="6292"/>
      <c r="AF77" s="6292"/>
      <c r="AG77" s="6292"/>
      <c r="AH77" s="6292"/>
      <c r="AI77" s="1490"/>
      <c r="AK77" s="1490"/>
      <c r="AL77" s="1760"/>
      <c r="AM77" s="1760"/>
      <c r="AN77" s="1490"/>
      <c r="AO77" s="1490"/>
      <c r="AP77" s="1490"/>
      <c r="AQ77" s="1490"/>
      <c r="AR77" s="1760"/>
      <c r="AS77" s="1490"/>
      <c r="AT77" s="1490"/>
      <c r="AU77" s="668"/>
      <c r="AV77" s="1490"/>
      <c r="AW77" s="1490"/>
      <c r="AX77" s="1490"/>
      <c r="AY77" s="1490"/>
      <c r="AZ77" s="1490"/>
      <c r="BA77" s="1756"/>
      <c r="BB77" s="746"/>
      <c r="BC77" s="746"/>
      <c r="BD77" s="746"/>
      <c r="BE77" s="746"/>
      <c r="BF77" s="1765">
        <v>11</v>
      </c>
    </row>
    <row s="6292" customFormat="1" customHeight="1" ht="11.549999999999999">
      <c r="A78" s="1111"/>
      <c r="B78" s="1111"/>
      <c r="C78" s="1111"/>
      <c r="D78" s="1111"/>
      <c r="E78" s="1111"/>
      <c r="F78" s="1760"/>
      <c r="G78" s="1760"/>
      <c r="H78" s="475"/>
      <c r="N78" s="6292"/>
      <c r="O78" s="6292"/>
      <c r="P78" s="6292"/>
      <c r="Q78" s="6292"/>
      <c r="R78" s="6292"/>
      <c r="S78" s="6292"/>
      <c r="T78" s="6292"/>
      <c r="U78" s="6292"/>
      <c r="V78" s="6292"/>
      <c r="W78" s="6292"/>
      <c r="X78" s="6292"/>
      <c r="Y78" s="6292"/>
      <c r="Z78" s="6292"/>
      <c r="AA78" s="6292"/>
      <c r="AB78" s="6292"/>
      <c r="AC78" s="6292"/>
      <c r="AD78" s="6292"/>
      <c r="AE78" s="6292"/>
      <c r="AF78" s="6292"/>
      <c r="AG78" s="6292"/>
      <c r="AH78" s="6292"/>
      <c r="AI78" s="1490"/>
      <c r="AK78" s="1490"/>
      <c r="AL78" s="1760"/>
      <c r="AM78" s="1760"/>
      <c r="AN78" s="1490"/>
      <c r="AO78" s="1490"/>
      <c r="AP78" s="1490"/>
      <c r="AQ78" s="1490"/>
      <c r="AR78" s="1760"/>
      <c r="AS78" s="1490"/>
      <c r="AT78" s="1490"/>
      <c r="AU78" s="668"/>
      <c r="AV78" s="1490"/>
      <c r="AW78" s="1490"/>
      <c r="AX78" s="1490"/>
      <c r="AY78" s="1490"/>
      <c r="AZ78" s="1490"/>
      <c r="BA78" s="1756"/>
      <c r="BB78" s="746"/>
      <c r="BC78" s="746"/>
      <c r="BD78" s="746"/>
      <c r="BE78" s="746"/>
      <c r="BF78" s="1765">
        <v>11</v>
      </c>
    </row>
    <row s="6292" customFormat="1" customHeight="1" ht="11.549999999999999">
      <c r="A79" s="1111"/>
      <c r="B79" s="1111"/>
      <c r="C79" s="1111"/>
      <c r="D79" s="1111"/>
      <c r="E79" s="1111"/>
      <c r="F79" s="1760"/>
      <c r="G79" s="1760"/>
      <c r="H79" s="475"/>
      <c r="N79" s="6292"/>
      <c r="O79" s="6292"/>
      <c r="P79" s="6292"/>
      <c r="Q79" s="6292"/>
      <c r="R79" s="6292"/>
      <c r="S79" s="6292"/>
      <c r="T79" s="6292"/>
      <c r="U79" s="6292"/>
      <c r="V79" s="6292"/>
      <c r="W79" s="6292"/>
      <c r="X79" s="6292"/>
      <c r="Y79" s="6292"/>
      <c r="Z79" s="6292"/>
      <c r="AA79" s="6292"/>
      <c r="AB79" s="6292"/>
      <c r="AC79" s="6292"/>
      <c r="AD79" s="6292"/>
      <c r="AE79" s="6292"/>
      <c r="AF79" s="6292"/>
      <c r="AG79" s="6292"/>
      <c r="AH79" s="6292"/>
      <c r="AI79" s="1490"/>
      <c r="AK79" s="1490"/>
      <c r="AL79" s="1760"/>
      <c r="AM79" s="1760"/>
      <c r="AN79" s="1490"/>
      <c r="AO79" s="1490"/>
      <c r="AP79" s="1490"/>
      <c r="AQ79" s="1490"/>
      <c r="AR79" s="1760"/>
      <c r="AS79" s="1490"/>
      <c r="AT79" s="1490"/>
      <c r="AU79" s="668"/>
      <c r="AV79" s="1490"/>
      <c r="AW79" s="1490"/>
      <c r="AX79" s="1490"/>
      <c r="AY79" s="1490"/>
      <c r="AZ79" s="1490"/>
      <c r="BA79" s="1756"/>
      <c r="BB79" s="746"/>
      <c r="BC79" s="746"/>
      <c r="BD79" s="746"/>
      <c r="BE79" s="746"/>
      <c r="BF79" s="1765">
        <v>11</v>
      </c>
    </row>
    <row s="6292" customFormat="1" customHeight="1" ht="11.549999999999999">
      <c r="A80" s="1111"/>
      <c r="B80" s="1111"/>
      <c r="C80" s="1111"/>
      <c r="D80" s="1111"/>
      <c r="E80" s="1111"/>
      <c r="F80" s="1760"/>
      <c r="G80" s="1760"/>
      <c r="H80" s="475"/>
      <c r="N80" s="6292"/>
      <c r="O80" s="6292"/>
      <c r="P80" s="6292"/>
      <c r="Q80" s="6292"/>
      <c r="R80" s="6292"/>
      <c r="S80" s="6292"/>
      <c r="T80" s="6292"/>
      <c r="U80" s="6292"/>
      <c r="V80" s="6292"/>
      <c r="W80" s="6292"/>
      <c r="X80" s="6292"/>
      <c r="Y80" s="6292"/>
      <c r="Z80" s="6292"/>
      <c r="AA80" s="6292"/>
      <c r="AB80" s="6292"/>
      <c r="AC80" s="6292"/>
      <c r="AD80" s="6292"/>
      <c r="AE80" s="6292"/>
      <c r="AF80" s="6292"/>
      <c r="AG80" s="6292"/>
      <c r="AH80" s="6292"/>
      <c r="AI80" s="1490"/>
      <c r="AK80" s="1490"/>
      <c r="AL80" s="1760"/>
      <c r="AM80" s="1760"/>
      <c r="AN80" s="1490"/>
      <c r="AO80" s="1490"/>
      <c r="AP80" s="1490"/>
      <c r="AQ80" s="1490"/>
      <c r="AR80" s="1760"/>
      <c r="AS80" s="1490"/>
      <c r="AT80" s="1490"/>
      <c r="AU80" s="668"/>
      <c r="AV80" s="1490"/>
      <c r="AW80" s="1490"/>
      <c r="AX80" s="1490"/>
      <c r="AY80" s="1490"/>
      <c r="AZ80" s="1490"/>
      <c r="BA80" s="1756"/>
      <c r="BB80" s="746"/>
      <c r="BC80" s="746"/>
      <c r="BD80" s="746"/>
      <c r="BE80" s="746"/>
      <c r="BF80" s="1765">
        <v>11</v>
      </c>
    </row>
    <row s="6292" customFormat="1" customHeight="1" ht="11.549999999999999">
      <c r="A81" s="1111"/>
      <c r="B81" s="1111"/>
      <c r="C81" s="1111"/>
      <c r="D81" s="1111"/>
      <c r="E81" s="1111"/>
      <c r="F81" s="1760"/>
      <c r="G81" s="1760"/>
      <c r="H81" s="475"/>
      <c r="N81" s="6292"/>
      <c r="O81" s="6292"/>
      <c r="P81" s="6292"/>
      <c r="Q81" s="6292"/>
      <c r="R81" s="6292"/>
      <c r="S81" s="6292"/>
      <c r="T81" s="6292"/>
      <c r="U81" s="6292"/>
      <c r="V81" s="6292"/>
      <c r="W81" s="6292"/>
      <c r="X81" s="6292"/>
      <c r="Y81" s="6292"/>
      <c r="Z81" s="6292"/>
      <c r="AA81" s="6292"/>
      <c r="AB81" s="6292"/>
      <c r="AC81" s="6292"/>
      <c r="AD81" s="6292"/>
      <c r="AE81" s="6292"/>
      <c r="AF81" s="6292"/>
      <c r="AG81" s="6292"/>
      <c r="AH81" s="6292"/>
      <c r="AI81" s="1490"/>
      <c r="AK81" s="1490"/>
      <c r="AL81" s="1760"/>
      <c r="AM81" s="1760"/>
      <c r="AN81" s="1490"/>
      <c r="AO81" s="1490"/>
      <c r="AP81" s="1490"/>
      <c r="AQ81" s="1490"/>
      <c r="AR81" s="1760"/>
      <c r="AS81" s="1490"/>
      <c r="AT81" s="1490"/>
      <c r="AU81" s="668"/>
      <c r="AV81" s="1490"/>
      <c r="AW81" s="1490"/>
      <c r="AX81" s="1490"/>
      <c r="AY81" s="1490"/>
      <c r="AZ81" s="1490"/>
      <c r="BA81" s="1756"/>
      <c r="BB81" s="746"/>
      <c r="BC81" s="746"/>
      <c r="BD81" s="746"/>
      <c r="BE81" s="746"/>
      <c r="BF81" s="1765">
        <v>11</v>
      </c>
    </row>
    <row s="6292" customFormat="1" customHeight="1" ht="11.549999999999999">
      <c r="A82" s="1111"/>
      <c r="B82" s="1111"/>
      <c r="C82" s="1111"/>
      <c r="D82" s="1111"/>
      <c r="E82" s="1111"/>
      <c r="F82" s="1760"/>
      <c r="G82" s="1760"/>
      <c r="H82" s="475"/>
      <c r="N82" s="6292"/>
      <c r="O82" s="6292"/>
      <c r="P82" s="6292"/>
      <c r="Q82" s="6292"/>
      <c r="R82" s="6292"/>
      <c r="S82" s="6292"/>
      <c r="T82" s="6292"/>
      <c r="U82" s="6292"/>
      <c r="V82" s="6292"/>
      <c r="W82" s="6292"/>
      <c r="X82" s="6292"/>
      <c r="Y82" s="6292"/>
      <c r="Z82" s="6292"/>
      <c r="AA82" s="6292"/>
      <c r="AB82" s="6292"/>
      <c r="AC82" s="6292"/>
      <c r="AD82" s="6292"/>
      <c r="AE82" s="6292"/>
      <c r="AF82" s="6292"/>
      <c r="AG82" s="6292"/>
      <c r="AH82" s="6292"/>
      <c r="AI82" s="1490"/>
      <c r="AK82" s="1490"/>
      <c r="AL82" s="1760"/>
      <c r="AM82" s="1760"/>
      <c r="AN82" s="1490"/>
      <c r="AO82" s="1490"/>
      <c r="AP82" s="1490"/>
      <c r="AQ82" s="1490"/>
      <c r="AR82" s="1760"/>
      <c r="AS82" s="1490"/>
      <c r="AT82" s="1490"/>
      <c r="AU82" s="668"/>
      <c r="AV82" s="1490"/>
      <c r="AW82" s="1490"/>
      <c r="AX82" s="1490"/>
      <c r="AY82" s="1490"/>
      <c r="AZ82" s="1490"/>
      <c r="BA82" s="1756"/>
      <c r="BB82" s="746"/>
      <c r="BC82" s="746"/>
      <c r="BD82" s="746"/>
      <c r="BE82" s="746"/>
      <c r="BF82" s="1765">
        <v>11</v>
      </c>
    </row>
    <row s="6292" customFormat="1" customHeight="1" ht="11.549999999999999">
      <c r="A83" s="1111"/>
      <c r="B83" s="1111"/>
      <c r="C83" s="1111"/>
      <c r="D83" s="1111"/>
      <c r="E83" s="1111"/>
      <c r="F83" s="1760"/>
      <c r="G83" s="1760"/>
      <c r="H83" s="475"/>
      <c r="N83" s="6292"/>
      <c r="O83" s="6292"/>
      <c r="P83" s="6292"/>
      <c r="Q83" s="6292"/>
      <c r="R83" s="6292"/>
      <c r="S83" s="6292"/>
      <c r="T83" s="6292"/>
      <c r="U83" s="6292"/>
      <c r="V83" s="6292"/>
      <c r="W83" s="6292"/>
      <c r="X83" s="6292"/>
      <c r="Y83" s="6292"/>
      <c r="Z83" s="6292"/>
      <c r="AA83" s="6292"/>
      <c r="AB83" s="6292"/>
      <c r="AC83" s="6292"/>
      <c r="AD83" s="6292"/>
      <c r="AE83" s="6292"/>
      <c r="AF83" s="6292"/>
      <c r="AG83" s="6292"/>
      <c r="AH83" s="6292"/>
      <c r="AI83" s="1490"/>
      <c r="AK83" s="1490"/>
      <c r="AL83" s="1760"/>
      <c r="AM83" s="1760"/>
      <c r="AN83" s="1490"/>
      <c r="AO83" s="1490"/>
      <c r="AP83" s="1490"/>
      <c r="AQ83" s="1490"/>
      <c r="AR83" s="1760"/>
      <c r="AS83" s="1490"/>
      <c r="AT83" s="1490"/>
      <c r="AU83" s="668"/>
      <c r="AV83" s="1490"/>
      <c r="AW83" s="1490"/>
      <c r="AX83" s="1490"/>
      <c r="AY83" s="1490"/>
      <c r="AZ83" s="1490"/>
      <c r="BA83" s="1756"/>
      <c r="BB83" s="746"/>
      <c r="BC83" s="746"/>
      <c r="BD83" s="746"/>
      <c r="BE83" s="746"/>
      <c r="BF83" s="1765">
        <v>11</v>
      </c>
    </row>
    <row s="6292" customFormat="1" customHeight="1" ht="11.549999999999999">
      <c r="A84" s="1111"/>
      <c r="B84" s="1111"/>
      <c r="C84" s="1111"/>
      <c r="D84" s="1111"/>
      <c r="E84" s="1111"/>
      <c r="F84" s="1760"/>
      <c r="G84" s="1760"/>
      <c r="H84" s="475"/>
      <c r="N84" s="6292"/>
      <c r="O84" s="6292"/>
      <c r="P84" s="6292"/>
      <c r="Q84" s="6292"/>
      <c r="R84" s="6292"/>
      <c r="S84" s="6292"/>
      <c r="T84" s="6292"/>
      <c r="U84" s="6292"/>
      <c r="V84" s="6292"/>
      <c r="W84" s="6292"/>
      <c r="X84" s="6292"/>
      <c r="Y84" s="6292"/>
      <c r="Z84" s="6292"/>
      <c r="AA84" s="6292"/>
      <c r="AB84" s="6292"/>
      <c r="AC84" s="6292"/>
      <c r="AD84" s="6292"/>
      <c r="AE84" s="6292"/>
      <c r="AF84" s="6292"/>
      <c r="AG84" s="6292"/>
      <c r="AH84" s="6292"/>
      <c r="AI84" s="1490"/>
      <c r="AK84" s="1490"/>
      <c r="AL84" s="1760"/>
      <c r="AM84" s="1760"/>
      <c r="AN84" s="1490"/>
      <c r="AO84" s="1490"/>
      <c r="AP84" s="1490"/>
      <c r="AQ84" s="1490"/>
      <c r="AR84" s="1760"/>
      <c r="AS84" s="1490"/>
      <c r="AT84" s="1490"/>
      <c r="AU84" s="668"/>
      <c r="AV84" s="1490"/>
      <c r="AW84" s="1490"/>
      <c r="AX84" s="1490"/>
      <c r="AY84" s="1490"/>
      <c r="AZ84" s="1490"/>
      <c r="BA84" s="1756"/>
      <c r="BB84" s="746"/>
      <c r="BC84" s="746"/>
      <c r="BD84" s="746"/>
      <c r="BE84" s="746"/>
      <c r="BF84" s="1765">
        <v>11</v>
      </c>
    </row>
    <row s="6292" customFormat="1" customHeight="1" ht="11.549999999999999">
      <c r="A85" s="1111"/>
      <c r="B85" s="1111"/>
      <c r="C85" s="1111"/>
      <c r="D85" s="1111"/>
      <c r="E85" s="1111"/>
      <c r="F85" s="1760"/>
      <c r="G85" s="1760"/>
      <c r="H85" s="475"/>
      <c r="N85" s="6292"/>
      <c r="O85" s="6292"/>
      <c r="P85" s="6292"/>
      <c r="Q85" s="6292"/>
      <c r="R85" s="6292"/>
      <c r="S85" s="6292"/>
      <c r="T85" s="6292"/>
      <c r="U85" s="6292"/>
      <c r="V85" s="6292"/>
      <c r="W85" s="6292"/>
      <c r="X85" s="6292"/>
      <c r="Y85" s="6292"/>
      <c r="Z85" s="6292"/>
      <c r="AA85" s="6292"/>
      <c r="AB85" s="6292"/>
      <c r="AC85" s="6292"/>
      <c r="AD85" s="6292"/>
      <c r="AE85" s="6292"/>
      <c r="AF85" s="6292"/>
      <c r="AG85" s="6292"/>
      <c r="AH85" s="6292"/>
      <c r="AI85" s="1490"/>
      <c r="AK85" s="1490"/>
      <c r="AL85" s="1760"/>
      <c r="AM85" s="1760"/>
      <c r="AN85" s="1490"/>
      <c r="AO85" s="1490"/>
      <c r="AP85" s="1490"/>
      <c r="AQ85" s="1490"/>
      <c r="AR85" s="1760"/>
      <c r="AS85" s="1490"/>
      <c r="AT85" s="1490"/>
      <c r="AU85" s="668"/>
      <c r="AV85" s="1490"/>
      <c r="AW85" s="1490"/>
      <c r="AX85" s="1490"/>
      <c r="AY85" s="1490"/>
      <c r="AZ85" s="1490"/>
      <c r="BA85" s="1756"/>
      <c r="BB85" s="746"/>
      <c r="BC85" s="746"/>
      <c r="BD85" s="746"/>
      <c r="BE85" s="746"/>
      <c r="BF85" s="1765">
        <v>11</v>
      </c>
    </row>
    <row s="6292" customFormat="1" customHeight="1" ht="11.549999999999999">
      <c r="A86" s="1111"/>
      <c r="B86" s="1111"/>
      <c r="C86" s="1111"/>
      <c r="D86" s="1111"/>
      <c r="E86" s="1111"/>
      <c r="F86" s="1760"/>
      <c r="G86" s="1760"/>
      <c r="H86" s="475"/>
      <c r="N86" s="6292"/>
      <c r="O86" s="6292"/>
      <c r="P86" s="6292"/>
      <c r="Q86" s="6292"/>
      <c r="R86" s="6292"/>
      <c r="S86" s="6292"/>
      <c r="T86" s="6292"/>
      <c r="U86" s="6292"/>
      <c r="V86" s="6292"/>
      <c r="W86" s="6292"/>
      <c r="X86" s="6292"/>
      <c r="Y86" s="6292"/>
      <c r="Z86" s="6292"/>
      <c r="AA86" s="6292"/>
      <c r="AB86" s="6292"/>
      <c r="AC86" s="6292"/>
      <c r="AD86" s="6292"/>
      <c r="AE86" s="6292"/>
      <c r="AF86" s="6292"/>
      <c r="AG86" s="6292"/>
      <c r="AH86" s="6292"/>
      <c r="AI86" s="1490"/>
      <c r="AK86" s="1490"/>
      <c r="AL86" s="1760"/>
      <c r="AM86" s="1760"/>
      <c r="AN86" s="1490"/>
      <c r="AO86" s="1490"/>
      <c r="AP86" s="1490"/>
      <c r="AQ86" s="1490"/>
      <c r="AR86" s="1760"/>
      <c r="AS86" s="1490"/>
      <c r="AT86" s="1490"/>
      <c r="AU86" s="668"/>
      <c r="AV86" s="1490"/>
      <c r="AW86" s="1490"/>
      <c r="AX86" s="1490"/>
      <c r="AY86" s="1490"/>
      <c r="AZ86" s="1490"/>
      <c r="BA86" s="1756"/>
      <c r="BB86" s="746"/>
      <c r="BC86" s="746"/>
      <c r="BD86" s="746"/>
      <c r="BE86" s="746"/>
      <c r="BF86" s="1765">
        <v>11</v>
      </c>
    </row>
    <row s="6292" customFormat="1" customHeight="1" ht="11.549999999999999">
      <c r="A87" s="1111"/>
      <c r="B87" s="1111"/>
      <c r="C87" s="1111"/>
      <c r="D87" s="1111"/>
      <c r="E87" s="1111"/>
      <c r="F87" s="1760"/>
      <c r="G87" s="1760"/>
      <c r="H87" s="475"/>
      <c r="N87" s="6292"/>
      <c r="O87" s="6292"/>
      <c r="P87" s="6292"/>
      <c r="Q87" s="6292"/>
      <c r="R87" s="6292"/>
      <c r="S87" s="6292"/>
      <c r="T87" s="6292"/>
      <c r="U87" s="6292"/>
      <c r="V87" s="6292"/>
      <c r="W87" s="6292"/>
      <c r="X87" s="6292"/>
      <c r="Y87" s="6292"/>
      <c r="Z87" s="6292"/>
      <c r="AA87" s="6292"/>
      <c r="AB87" s="6292"/>
      <c r="AC87" s="6292"/>
      <c r="AD87" s="6292"/>
      <c r="AE87" s="6292"/>
      <c r="AF87" s="6292"/>
      <c r="AG87" s="6292"/>
      <c r="AH87" s="6292"/>
      <c r="AI87" s="1490"/>
      <c r="AK87" s="1490"/>
      <c r="AL87" s="1760"/>
      <c r="AM87" s="1760"/>
      <c r="AN87" s="1490"/>
      <c r="AO87" s="1490"/>
      <c r="AP87" s="1490"/>
      <c r="AQ87" s="1490"/>
      <c r="AR87" s="1760"/>
      <c r="AS87" s="1490"/>
      <c r="AT87" s="1490"/>
      <c r="AU87" s="668"/>
      <c r="AV87" s="1490"/>
      <c r="AW87" s="1490"/>
      <c r="AX87" s="1490"/>
      <c r="AY87" s="1490"/>
      <c r="AZ87" s="1490"/>
      <c r="BA87" s="1756"/>
      <c r="BB87" s="746"/>
      <c r="BC87" s="746"/>
      <c r="BD87" s="746"/>
      <c r="BE87" s="746"/>
      <c r="BF87" s="1765">
        <v>11</v>
      </c>
    </row>
    <row s="6292" customFormat="1" customHeight="1" ht="11.549999999999999">
      <c r="A88" s="1111"/>
      <c r="B88" s="1111"/>
      <c r="C88" s="1111"/>
      <c r="D88" s="1111"/>
      <c r="E88" s="1111"/>
      <c r="F88" s="1760"/>
      <c r="G88" s="1760"/>
      <c r="H88" s="475"/>
      <c r="N88" s="6292"/>
      <c r="O88" s="6292"/>
      <c r="P88" s="6292"/>
      <c r="Q88" s="6292"/>
      <c r="R88" s="6292"/>
      <c r="S88" s="6292"/>
      <c r="T88" s="6292"/>
      <c r="U88" s="6292"/>
      <c r="V88" s="6292"/>
      <c r="W88" s="6292"/>
      <c r="X88" s="6292"/>
      <c r="Y88" s="6292"/>
      <c r="Z88" s="6292"/>
      <c r="AA88" s="6292"/>
      <c r="AB88" s="6292"/>
      <c r="AC88" s="6292"/>
      <c r="AD88" s="6292"/>
      <c r="AE88" s="6292"/>
      <c r="AF88" s="6292"/>
      <c r="AG88" s="6292"/>
      <c r="AH88" s="6292"/>
      <c r="AI88" s="1490"/>
      <c r="AK88" s="1490"/>
      <c r="AL88" s="1760"/>
      <c r="AM88" s="1760"/>
      <c r="AN88" s="1490"/>
      <c r="AO88" s="1490"/>
      <c r="AP88" s="1490"/>
      <c r="AQ88" s="1490"/>
      <c r="AR88" s="1760"/>
      <c r="AS88" s="1490"/>
      <c r="AT88" s="1490"/>
      <c r="AU88" s="668"/>
      <c r="AV88" s="1490"/>
      <c r="AW88" s="1490"/>
      <c r="AX88" s="1490"/>
      <c r="AY88" s="1490"/>
      <c r="AZ88" s="1490"/>
      <c r="BA88" s="1756"/>
      <c r="BB88" s="746"/>
      <c r="BC88" s="746"/>
      <c r="BD88" s="746"/>
      <c r="BE88" s="746"/>
      <c r="BF88" s="1765">
        <v>11</v>
      </c>
    </row>
    <row s="6292" customFormat="1" customHeight="1" ht="11.549999999999999">
      <c r="A89" s="1111"/>
      <c r="B89" s="1111"/>
      <c r="C89" s="1111"/>
      <c r="D89" s="1111"/>
      <c r="E89" s="1111"/>
      <c r="F89" s="1760"/>
      <c r="G89" s="1760"/>
      <c r="H89" s="475"/>
      <c r="N89" s="6292"/>
      <c r="O89" s="6292"/>
      <c r="P89" s="6292"/>
      <c r="Q89" s="6292"/>
      <c r="R89" s="6292"/>
      <c r="S89" s="6292"/>
      <c r="T89" s="6292"/>
      <c r="U89" s="6292"/>
      <c r="V89" s="6292"/>
      <c r="W89" s="6292"/>
      <c r="X89" s="6292"/>
      <c r="Y89" s="6292"/>
      <c r="Z89" s="6292"/>
      <c r="AA89" s="6292"/>
      <c r="AB89" s="6292"/>
      <c r="AC89" s="6292"/>
      <c r="AD89" s="6292"/>
      <c r="AE89" s="6292"/>
      <c r="AF89" s="6292"/>
      <c r="AG89" s="6292"/>
      <c r="AH89" s="6292"/>
      <c r="AI89" s="1490"/>
      <c r="AK89" s="1490"/>
      <c r="AL89" s="1760"/>
      <c r="AM89" s="1760"/>
      <c r="AN89" s="1490"/>
      <c r="AO89" s="1490"/>
      <c r="AP89" s="1490"/>
      <c r="AQ89" s="1490"/>
      <c r="AR89" s="1760"/>
      <c r="AS89" s="1490"/>
      <c r="AT89" s="1490"/>
      <c r="AU89" s="668"/>
      <c r="AV89" s="1490"/>
      <c r="AW89" s="1490"/>
      <c r="AX89" s="1490"/>
      <c r="AY89" s="1490"/>
      <c r="AZ89" s="1490"/>
      <c r="BA89" s="1756"/>
      <c r="BB89" s="746"/>
      <c r="BC89" s="746"/>
      <c r="BD89" s="746"/>
      <c r="BE89" s="746"/>
      <c r="BF89" s="1765">
        <v>11</v>
      </c>
    </row>
    <row s="6292" customFormat="1" customHeight="1" ht="11.549999999999999">
      <c r="A90" s="1111"/>
      <c r="B90" s="1111"/>
      <c r="C90" s="1111"/>
      <c r="D90" s="1111"/>
      <c r="E90" s="1111"/>
      <c r="F90" s="1760"/>
      <c r="G90" s="1760"/>
      <c r="H90" s="475"/>
      <c r="N90" s="6292"/>
      <c r="O90" s="6292"/>
      <c r="P90" s="6292"/>
      <c r="Q90" s="6292"/>
      <c r="R90" s="6292"/>
      <c r="S90" s="6292"/>
      <c r="T90" s="6292"/>
      <c r="U90" s="6292"/>
      <c r="V90" s="6292"/>
      <c r="W90" s="6292"/>
      <c r="X90" s="6292"/>
      <c r="Y90" s="6292"/>
      <c r="Z90" s="6292"/>
      <c r="AA90" s="6292"/>
      <c r="AB90" s="6292"/>
      <c r="AC90" s="6292"/>
      <c r="AD90" s="6292"/>
      <c r="AE90" s="6292"/>
      <c r="AF90" s="6292"/>
      <c r="AG90" s="6292"/>
      <c r="AH90" s="6292"/>
      <c r="AI90" s="1490"/>
      <c r="AK90" s="1490"/>
      <c r="AL90" s="1760"/>
      <c r="AM90" s="1760"/>
      <c r="AN90" s="1490"/>
      <c r="AO90" s="1490"/>
      <c r="AP90" s="1490"/>
      <c r="AQ90" s="1490"/>
      <c r="AR90" s="1760"/>
      <c r="AS90" s="1490"/>
      <c r="AT90" s="1490"/>
      <c r="AU90" s="668"/>
      <c r="AV90" s="1490"/>
      <c r="AW90" s="1490"/>
      <c r="AX90" s="1490"/>
      <c r="AY90" s="1490"/>
      <c r="AZ90" s="1490"/>
      <c r="BA90" s="1756"/>
      <c r="BB90" s="746"/>
      <c r="BC90" s="746"/>
      <c r="BD90" s="746"/>
      <c r="BE90" s="746"/>
      <c r="BF90" s="1765">
        <v>11</v>
      </c>
    </row>
    <row s="6292" customFormat="1" customHeight="1" ht="11.549999999999999">
      <c r="A91" s="1111"/>
      <c r="B91" s="1111"/>
      <c r="C91" s="1111"/>
      <c r="D91" s="1111"/>
      <c r="E91" s="1111"/>
      <c r="F91" s="1760"/>
      <c r="G91" s="1760"/>
      <c r="H91" s="475"/>
      <c r="N91" s="6292"/>
      <c r="O91" s="6292"/>
      <c r="P91" s="6292"/>
      <c r="Q91" s="6292"/>
      <c r="R91" s="6292"/>
      <c r="S91" s="6292"/>
      <c r="T91" s="6292"/>
      <c r="U91" s="6292"/>
      <c r="V91" s="6292"/>
      <c r="W91" s="6292"/>
      <c r="X91" s="6292"/>
      <c r="Y91" s="6292"/>
      <c r="Z91" s="6292"/>
      <c r="AA91" s="6292"/>
      <c r="AB91" s="6292"/>
      <c r="AC91" s="6292"/>
      <c r="AD91" s="6292"/>
      <c r="AE91" s="6292"/>
      <c r="AF91" s="6292"/>
      <c r="AG91" s="6292"/>
      <c r="AH91" s="6292"/>
      <c r="AI91" s="1490"/>
      <c r="AK91" s="1490"/>
      <c r="AL91" s="1760"/>
      <c r="AM91" s="1760"/>
      <c r="AN91" s="1490"/>
      <c r="AO91" s="1490"/>
      <c r="AP91" s="1490"/>
      <c r="AQ91" s="1490"/>
      <c r="AR91" s="1760"/>
      <c r="AS91" s="1490"/>
      <c r="AT91" s="1490"/>
      <c r="AU91" s="668"/>
      <c r="AV91" s="1490"/>
      <c r="AW91" s="1490"/>
      <c r="AX91" s="1490"/>
      <c r="AY91" s="1490"/>
      <c r="AZ91" s="1490"/>
      <c r="BA91" s="1756"/>
      <c r="BB91" s="746"/>
      <c r="BC91" s="746"/>
      <c r="BD91" s="746"/>
      <c r="BE91" s="746"/>
      <c r="BF91" s="1765">
        <v>11</v>
      </c>
    </row>
    <row s="6292" customFormat="1" customHeight="1" ht="11.549999999999999">
      <c r="A92" s="1111"/>
      <c r="B92" s="1111"/>
      <c r="C92" s="1111"/>
      <c r="D92" s="1111"/>
      <c r="E92" s="1111"/>
      <c r="F92" s="1760"/>
      <c r="G92" s="1760"/>
      <c r="H92" s="475"/>
      <c r="N92" s="6292"/>
      <c r="O92" s="6292"/>
      <c r="P92" s="6292"/>
      <c r="Q92" s="6292"/>
      <c r="R92" s="6292"/>
      <c r="S92" s="6292"/>
      <c r="T92" s="6292"/>
      <c r="U92" s="6292"/>
      <c r="V92" s="6292"/>
      <c r="W92" s="6292"/>
      <c r="X92" s="6292"/>
      <c r="Y92" s="6292"/>
      <c r="Z92" s="6292"/>
      <c r="AA92" s="6292"/>
      <c r="AB92" s="6292"/>
      <c r="AC92" s="6292"/>
      <c r="AD92" s="6292"/>
      <c r="AE92" s="6292"/>
      <c r="AF92" s="6292"/>
      <c r="AG92" s="6292"/>
      <c r="AH92" s="6292"/>
      <c r="AI92" s="1490"/>
      <c r="AK92" s="1490"/>
      <c r="AL92" s="1760"/>
      <c r="AM92" s="1760"/>
      <c r="AN92" s="1490"/>
      <c r="AO92" s="1490"/>
      <c r="AP92" s="1490"/>
      <c r="AQ92" s="1490"/>
      <c r="AR92" s="1760"/>
      <c r="AS92" s="1490"/>
      <c r="AT92" s="1490"/>
      <c r="AU92" s="668"/>
      <c r="AV92" s="1490"/>
      <c r="AW92" s="1490"/>
      <c r="AX92" s="1490"/>
      <c r="AY92" s="1490"/>
      <c r="AZ92" s="1490"/>
      <c r="BA92" s="1756"/>
      <c r="BB92" s="746"/>
      <c r="BC92" s="746"/>
      <c r="BD92" s="746"/>
      <c r="BE92" s="746"/>
      <c r="BF92" s="1765">
        <v>11</v>
      </c>
    </row>
    <row s="6292" customFormat="1" customHeight="1" ht="11.549999999999999">
      <c r="A93" s="1111"/>
      <c r="B93" s="1111"/>
      <c r="C93" s="1111"/>
      <c r="D93" s="1111"/>
      <c r="E93" s="1111"/>
      <c r="F93" s="1760"/>
      <c r="G93" s="1760"/>
      <c r="H93" s="475"/>
      <c r="N93" s="6292"/>
      <c r="O93" s="6292"/>
      <c r="P93" s="6292"/>
      <c r="Q93" s="6292"/>
      <c r="R93" s="6292"/>
      <c r="S93" s="6292"/>
      <c r="T93" s="6292"/>
      <c r="U93" s="6292"/>
      <c r="V93" s="6292"/>
      <c r="W93" s="6292"/>
      <c r="X93" s="6292"/>
      <c r="Y93" s="6292"/>
      <c r="Z93" s="6292"/>
      <c r="AA93" s="6292"/>
      <c r="AB93" s="6292"/>
      <c r="AC93" s="6292"/>
      <c r="AD93" s="6292"/>
      <c r="AE93" s="6292"/>
      <c r="AF93" s="6292"/>
      <c r="AG93" s="6292"/>
      <c r="AH93" s="6292"/>
      <c r="AI93" s="1490"/>
      <c r="AK93" s="1490"/>
      <c r="AL93" s="1760"/>
      <c r="AM93" s="1760"/>
      <c r="AN93" s="1490"/>
      <c r="AO93" s="1490"/>
      <c r="AP93" s="1490"/>
      <c r="AQ93" s="1490"/>
      <c r="AR93" s="1760"/>
      <c r="AS93" s="1490"/>
      <c r="AT93" s="1490"/>
      <c r="AU93" s="668"/>
      <c r="AV93" s="1490"/>
      <c r="AW93" s="1490"/>
      <c r="AX93" s="1490"/>
      <c r="AY93" s="1490"/>
      <c r="AZ93" s="1490"/>
      <c r="BA93" s="1756"/>
      <c r="BB93" s="746"/>
      <c r="BC93" s="746"/>
      <c r="BD93" s="746"/>
      <c r="BE93" s="746"/>
      <c r="BF93" s="1765">
        <v>11</v>
      </c>
    </row>
    <row s="6292" customFormat="1" customHeight="1" ht="11.549999999999999">
      <c r="A94" s="1111"/>
      <c r="B94" s="1111"/>
      <c r="C94" s="1111"/>
      <c r="D94" s="1111"/>
      <c r="E94" s="1111"/>
      <c r="F94" s="1760"/>
      <c r="G94" s="1760"/>
      <c r="H94" s="475"/>
      <c r="N94" s="6292"/>
      <c r="O94" s="6292"/>
      <c r="P94" s="6292"/>
      <c r="Q94" s="6292"/>
      <c r="R94" s="6292"/>
      <c r="S94" s="6292"/>
      <c r="T94" s="6292"/>
      <c r="U94" s="6292"/>
      <c r="V94" s="6292"/>
      <c r="W94" s="6292"/>
      <c r="X94" s="6292"/>
      <c r="Y94" s="6292"/>
      <c r="Z94" s="6292"/>
      <c r="AA94" s="6292"/>
      <c r="AB94" s="6292"/>
      <c r="AC94" s="6292"/>
      <c r="AD94" s="6292"/>
      <c r="AE94" s="6292"/>
      <c r="AF94" s="6292"/>
      <c r="AG94" s="6292"/>
      <c r="AH94" s="6292"/>
      <c r="AI94" s="1490"/>
      <c r="AK94" s="1490"/>
      <c r="AL94" s="1760"/>
      <c r="AM94" s="1760"/>
      <c r="AN94" s="1490"/>
      <c r="AO94" s="1490"/>
      <c r="AP94" s="1490"/>
      <c r="AQ94" s="1490"/>
      <c r="AR94" s="1760"/>
      <c r="AS94" s="1490"/>
      <c r="AT94" s="1490"/>
      <c r="AU94" s="668"/>
      <c r="AV94" s="1490"/>
      <c r="AW94" s="1490"/>
      <c r="AX94" s="1490"/>
      <c r="AY94" s="1490"/>
      <c r="AZ94" s="1490"/>
      <c r="BA94" s="1756"/>
      <c r="BB94" s="746"/>
      <c r="BC94" s="746"/>
      <c r="BD94" s="746"/>
      <c r="BE94" s="746"/>
      <c r="BF94" s="1765">
        <v>11</v>
      </c>
    </row>
    <row s="6292" customFormat="1" customHeight="1" ht="11.549999999999999">
      <c r="A95" s="1111"/>
      <c r="B95" s="1111"/>
      <c r="C95" s="1111"/>
      <c r="D95" s="1111"/>
      <c r="E95" s="1111"/>
      <c r="F95" s="1760"/>
      <c r="G95" s="1760"/>
      <c r="H95" s="475"/>
      <c r="N95" s="6292"/>
      <c r="O95" s="6292"/>
      <c r="P95" s="6292"/>
      <c r="Q95" s="6292"/>
      <c r="R95" s="6292"/>
      <c r="S95" s="6292"/>
      <c r="T95" s="6292"/>
      <c r="U95" s="6292"/>
      <c r="V95" s="6292"/>
      <c r="W95" s="6292"/>
      <c r="X95" s="6292"/>
      <c r="Y95" s="6292"/>
      <c r="Z95" s="6292"/>
      <c r="AA95" s="6292"/>
      <c r="AB95" s="6292"/>
      <c r="AC95" s="6292"/>
      <c r="AD95" s="6292"/>
      <c r="AE95" s="6292"/>
      <c r="AF95" s="6292"/>
      <c r="AG95" s="6292"/>
      <c r="AH95" s="6292"/>
      <c r="AI95" s="1490"/>
      <c r="AK95" s="1490"/>
      <c r="AL95" s="1760"/>
      <c r="AM95" s="1760"/>
      <c r="AN95" s="1490"/>
      <c r="AO95" s="1490"/>
      <c r="AP95" s="1490"/>
      <c r="AQ95" s="1490"/>
      <c r="AR95" s="1760"/>
      <c r="AS95" s="1490"/>
      <c r="AT95" s="1490"/>
      <c r="AU95" s="668"/>
      <c r="AV95" s="1490"/>
      <c r="AW95" s="1490"/>
      <c r="AX95" s="1490"/>
      <c r="AY95" s="1490"/>
      <c r="AZ95" s="1490"/>
      <c r="BA95" s="1756"/>
      <c r="BB95" s="746"/>
      <c r="BC95" s="746"/>
      <c r="BD95" s="746"/>
      <c r="BE95" s="746"/>
      <c r="BF95" s="1765">
        <v>11</v>
      </c>
    </row>
    <row s="6292" customFormat="1" customHeight="1" ht="11.549999999999999">
      <c r="A96" s="1111"/>
      <c r="B96" s="1111"/>
      <c r="C96" s="1111"/>
      <c r="D96" s="1111"/>
      <c r="E96" s="1111"/>
      <c r="F96" s="1760"/>
      <c r="G96" s="1760"/>
      <c r="H96" s="475"/>
      <c r="N96" s="6292"/>
      <c r="O96" s="6292"/>
      <c r="P96" s="6292"/>
      <c r="Q96" s="6292"/>
      <c r="R96" s="6292"/>
      <c r="S96" s="6292"/>
      <c r="T96" s="6292"/>
      <c r="U96" s="6292"/>
      <c r="V96" s="6292"/>
      <c r="W96" s="6292"/>
      <c r="X96" s="6292"/>
      <c r="Y96" s="6292"/>
      <c r="Z96" s="6292"/>
      <c r="AA96" s="6292"/>
      <c r="AB96" s="6292"/>
      <c r="AC96" s="6292"/>
      <c r="AD96" s="6292"/>
      <c r="AE96" s="6292"/>
      <c r="AF96" s="6292"/>
      <c r="AG96" s="6292"/>
      <c r="AH96" s="6292"/>
      <c r="AI96" s="1490"/>
      <c r="AK96" s="1490"/>
      <c r="AL96" s="1760"/>
      <c r="AM96" s="1760"/>
      <c r="AN96" s="1490"/>
      <c r="AO96" s="1490"/>
      <c r="AP96" s="1490"/>
      <c r="AQ96" s="1490"/>
      <c r="AR96" s="1760"/>
      <c r="AS96" s="1490"/>
      <c r="AT96" s="1490"/>
      <c r="AU96" s="668"/>
      <c r="AV96" s="1490"/>
      <c r="AW96" s="1490"/>
      <c r="AX96" s="1490"/>
      <c r="AY96" s="1490"/>
      <c r="AZ96" s="1490"/>
      <c r="BA96" s="1756"/>
      <c r="BB96" s="746"/>
      <c r="BC96" s="746"/>
      <c r="BD96" s="746"/>
      <c r="BE96" s="746"/>
      <c r="BF96" s="1765">
        <v>11</v>
      </c>
    </row>
    <row s="6292" customFormat="1" customHeight="1" ht="11.549999999999999">
      <c r="A97" s="1111"/>
      <c r="B97" s="1111"/>
      <c r="C97" s="1111"/>
      <c r="D97" s="1111"/>
      <c r="E97" s="1111"/>
      <c r="F97" s="1760"/>
      <c r="G97" s="1760"/>
      <c r="H97" s="475"/>
      <c r="N97" s="6292"/>
      <c r="O97" s="6292"/>
      <c r="P97" s="6292"/>
      <c r="Q97" s="6292"/>
      <c r="R97" s="6292"/>
      <c r="S97" s="6292"/>
      <c r="T97" s="6292"/>
      <c r="U97" s="6292"/>
      <c r="V97" s="6292"/>
      <c r="W97" s="6292"/>
      <c r="X97" s="6292"/>
      <c r="Y97" s="6292"/>
      <c r="Z97" s="6292"/>
      <c r="AA97" s="6292"/>
      <c r="AB97" s="6292"/>
      <c r="AC97" s="6292"/>
      <c r="AD97" s="6292"/>
      <c r="AE97" s="6292"/>
      <c r="AF97" s="6292"/>
      <c r="AG97" s="6292"/>
      <c r="AH97" s="6292"/>
      <c r="AI97" s="1490"/>
      <c r="AK97" s="1490"/>
      <c r="AL97" s="1760"/>
      <c r="AM97" s="1760"/>
      <c r="AN97" s="1490"/>
      <c r="AO97" s="1490"/>
      <c r="AP97" s="1490"/>
      <c r="AQ97" s="1490"/>
      <c r="AR97" s="1760"/>
      <c r="AS97" s="1490"/>
      <c r="AT97" s="1490"/>
      <c r="AU97" s="668"/>
      <c r="AV97" s="1490"/>
      <c r="AW97" s="1490"/>
      <c r="AX97" s="1490"/>
      <c r="AY97" s="1490"/>
      <c r="AZ97" s="1490"/>
      <c r="BA97" s="1756"/>
      <c r="BB97" s="746"/>
      <c r="BC97" s="746"/>
      <c r="BD97" s="746"/>
      <c r="BE97" s="746"/>
      <c r="BF97" s="1765">
        <v>11</v>
      </c>
    </row>
    <row s="6292" customFormat="1" customHeight="1" ht="11.549999999999999">
      <c r="A98" s="1111"/>
      <c r="B98" s="1111"/>
      <c r="C98" s="1111"/>
      <c r="D98" s="1111"/>
      <c r="E98" s="1111"/>
      <c r="F98" s="1760"/>
      <c r="G98" s="1760"/>
      <c r="H98" s="475"/>
      <c r="N98" s="6292"/>
      <c r="O98" s="6292"/>
      <c r="P98" s="6292"/>
      <c r="Q98" s="6292"/>
      <c r="R98" s="6292"/>
      <c r="S98" s="6292"/>
      <c r="T98" s="6292"/>
      <c r="U98" s="6292"/>
      <c r="V98" s="6292"/>
      <c r="W98" s="6292"/>
      <c r="X98" s="6292"/>
      <c r="Y98" s="6292"/>
      <c r="Z98" s="6292"/>
      <c r="AA98" s="6292"/>
      <c r="AB98" s="6292"/>
      <c r="AC98" s="6292"/>
      <c r="AD98" s="6292"/>
      <c r="AE98" s="6292"/>
      <c r="AF98" s="6292"/>
      <c r="AG98" s="6292"/>
      <c r="AH98" s="6292"/>
      <c r="AI98" s="1490"/>
      <c r="AK98" s="1490"/>
      <c r="AL98" s="1760"/>
      <c r="AM98" s="1760"/>
      <c r="AN98" s="1490"/>
      <c r="AO98" s="1490"/>
      <c r="AP98" s="1490"/>
      <c r="AQ98" s="1490"/>
      <c r="AR98" s="1760"/>
      <c r="AS98" s="1490"/>
      <c r="AT98" s="1490"/>
      <c r="AU98" s="668"/>
      <c r="AV98" s="1490"/>
      <c r="AW98" s="1490"/>
      <c r="AX98" s="1490"/>
      <c r="AY98" s="1490"/>
      <c r="AZ98" s="1490"/>
      <c r="BA98" s="1756"/>
      <c r="BB98" s="746"/>
      <c r="BC98" s="746"/>
      <c r="BD98" s="746"/>
      <c r="BE98" s="746"/>
      <c r="BF98" s="1765">
        <v>11</v>
      </c>
    </row>
    <row s="6292" customFormat="1" customHeight="1" ht="11.549999999999999">
      <c r="A99" s="1111"/>
      <c r="B99" s="1111"/>
      <c r="C99" s="1111"/>
      <c r="D99" s="1111"/>
      <c r="E99" s="1111"/>
      <c r="F99" s="1760"/>
      <c r="G99" s="1760"/>
      <c r="H99" s="475"/>
      <c r="N99" s="6292"/>
      <c r="O99" s="6292"/>
      <c r="P99" s="6292"/>
      <c r="Q99" s="6292"/>
      <c r="R99" s="6292"/>
      <c r="S99" s="6292"/>
      <c r="T99" s="6292"/>
      <c r="U99" s="6292"/>
      <c r="V99" s="6292"/>
      <c r="W99" s="6292"/>
      <c r="X99" s="6292"/>
      <c r="Y99" s="6292"/>
      <c r="Z99" s="6292"/>
      <c r="AA99" s="6292"/>
      <c r="AB99" s="6292"/>
      <c r="AC99" s="6292"/>
      <c r="AD99" s="6292"/>
      <c r="AE99" s="6292"/>
      <c r="AF99" s="6292"/>
      <c r="AG99" s="6292"/>
      <c r="AH99" s="6292"/>
      <c r="AI99" s="1490"/>
      <c r="AK99" s="1490"/>
      <c r="AL99" s="1760"/>
      <c r="AM99" s="1760"/>
      <c r="AN99" s="1490"/>
      <c r="AO99" s="1490"/>
      <c r="AP99" s="1490"/>
      <c r="AQ99" s="1490"/>
      <c r="AR99" s="1760"/>
      <c r="AS99" s="1490"/>
      <c r="AT99" s="1490"/>
      <c r="AU99" s="668"/>
      <c r="AV99" s="1490"/>
      <c r="AW99" s="1490"/>
      <c r="AX99" s="1490"/>
      <c r="AY99" s="1490"/>
      <c r="AZ99" s="1490"/>
      <c r="BA99" s="1756"/>
      <c r="BB99" s="746"/>
      <c r="BC99" s="746"/>
      <c r="BD99" s="746"/>
      <c r="BE99" s="746"/>
      <c r="BF99" s="1765">
        <v>11</v>
      </c>
    </row>
    <row s="6292" customFormat="1" customHeight="1" ht="11.549999999999999">
      <c r="A100" s="1111"/>
      <c r="B100" s="1111"/>
      <c r="C100" s="1111"/>
      <c r="D100" s="1111"/>
      <c r="E100" s="1111"/>
      <c r="F100" s="1760"/>
      <c r="G100" s="1760"/>
      <c r="H100" s="475"/>
      <c r="N100" s="6292"/>
      <c r="O100" s="6292"/>
      <c r="P100" s="6292"/>
      <c r="Q100" s="6292"/>
      <c r="R100" s="6292"/>
      <c r="S100" s="6292"/>
      <c r="T100" s="6292"/>
      <c r="U100" s="6292"/>
      <c r="V100" s="6292"/>
      <c r="W100" s="6292"/>
      <c r="X100" s="6292"/>
      <c r="Y100" s="6292"/>
      <c r="Z100" s="6292"/>
      <c r="AA100" s="6292"/>
      <c r="AB100" s="6292"/>
      <c r="AC100" s="6292"/>
      <c r="AD100" s="6292"/>
      <c r="AE100" s="6292"/>
      <c r="AF100" s="6292"/>
      <c r="AG100" s="6292"/>
      <c r="AH100" s="6292"/>
      <c r="AI100" s="1490"/>
      <c r="AK100" s="1490"/>
      <c r="AL100" s="1760"/>
      <c r="AM100" s="1760"/>
      <c r="AN100" s="1490"/>
      <c r="AO100" s="1490"/>
      <c r="AP100" s="1490"/>
      <c r="AQ100" s="1490"/>
      <c r="AR100" s="1760"/>
      <c r="AS100" s="1490"/>
      <c r="AT100" s="1490"/>
      <c r="AU100" s="668"/>
      <c r="AV100" s="1490"/>
      <c r="AW100" s="1490"/>
      <c r="AX100" s="1490"/>
      <c r="AY100" s="1490"/>
      <c r="AZ100" s="1490"/>
      <c r="BA100" s="1756"/>
      <c r="BB100" s="746"/>
      <c r="BC100" s="746"/>
      <c r="BD100" s="746"/>
      <c r="BE100" s="746"/>
      <c r="BF100" s="1765">
        <v>11</v>
      </c>
    </row>
    <row s="6292" customFormat="1" customHeight="1" ht="11.549999999999999">
      <c r="A101" s="1111"/>
      <c r="B101" s="1111"/>
      <c r="C101" s="1111"/>
      <c r="D101" s="1111"/>
      <c r="E101" s="1111"/>
      <c r="F101" s="1760"/>
      <c r="G101" s="1760"/>
      <c r="H101" s="475"/>
      <c r="N101" s="6292"/>
      <c r="O101" s="6292"/>
      <c r="P101" s="6292"/>
      <c r="Q101" s="6292"/>
      <c r="R101" s="6292"/>
      <c r="S101" s="6292"/>
      <c r="T101" s="6292"/>
      <c r="U101" s="6292"/>
      <c r="V101" s="6292"/>
      <c r="W101" s="6292"/>
      <c r="X101" s="6292"/>
      <c r="Y101" s="6292"/>
      <c r="Z101" s="6292"/>
      <c r="AA101" s="6292"/>
      <c r="AB101" s="6292"/>
      <c r="AC101" s="6292"/>
      <c r="AD101" s="6292"/>
      <c r="AE101" s="6292"/>
      <c r="AF101" s="6292"/>
      <c r="AG101" s="6292"/>
      <c r="AH101" s="6292"/>
      <c r="AI101" s="1490"/>
      <c r="AK101" s="1490"/>
      <c r="AL101" s="1760"/>
      <c r="AM101" s="1760"/>
      <c r="AN101" s="1490"/>
      <c r="AO101" s="1490"/>
      <c r="AP101" s="1490"/>
      <c r="AQ101" s="1490"/>
      <c r="AR101" s="1760"/>
      <c r="AS101" s="1490"/>
      <c r="AT101" s="1490"/>
      <c r="AU101" s="668"/>
      <c r="AV101" s="1490"/>
      <c r="AW101" s="1490"/>
      <c r="AX101" s="1490"/>
      <c r="AY101" s="1490"/>
      <c r="AZ101" s="1490"/>
      <c r="BA101" s="1756"/>
      <c r="BB101" s="746"/>
      <c r="BC101" s="746"/>
      <c r="BD101" s="746"/>
      <c r="BE101" s="746"/>
      <c r="BF101" s="1765">
        <v>11</v>
      </c>
    </row>
    <row s="6292" customFormat="1" customHeight="1" ht="11.549999999999999">
      <c r="A102" s="1111"/>
      <c r="B102" s="1111"/>
      <c r="C102" s="1111"/>
      <c r="D102" s="1111"/>
      <c r="E102" s="1111"/>
      <c r="F102" s="1760"/>
      <c r="G102" s="1760"/>
      <c r="H102" s="475"/>
      <c r="N102" s="6292"/>
      <c r="O102" s="6292"/>
      <c r="P102" s="6292"/>
      <c r="Q102" s="6292"/>
      <c r="R102" s="6292"/>
      <c r="S102" s="6292"/>
      <c r="T102" s="6292"/>
      <c r="U102" s="6292"/>
      <c r="V102" s="6292"/>
      <c r="W102" s="6292"/>
      <c r="X102" s="6292"/>
      <c r="Y102" s="6292"/>
      <c r="Z102" s="6292"/>
      <c r="AA102" s="6292"/>
      <c r="AB102" s="6292"/>
      <c r="AC102" s="6292"/>
      <c r="AD102" s="6292"/>
      <c r="AE102" s="6292"/>
      <c r="AF102" s="6292"/>
      <c r="AG102" s="6292"/>
      <c r="AH102" s="6292"/>
      <c r="AI102" s="1490"/>
      <c r="AK102" s="1490"/>
      <c r="AL102" s="1760"/>
      <c r="AM102" s="1760"/>
      <c r="AN102" s="1490"/>
      <c r="AO102" s="1490"/>
      <c r="AP102" s="1490"/>
      <c r="AQ102" s="1490"/>
      <c r="AR102" s="1760"/>
      <c r="AS102" s="1490"/>
      <c r="AT102" s="1490"/>
      <c r="AU102" s="668"/>
      <c r="AV102" s="1490"/>
      <c r="AW102" s="1490"/>
      <c r="AX102" s="1490"/>
      <c r="AY102" s="1490"/>
      <c r="AZ102" s="1490"/>
      <c r="BA102" s="1756"/>
      <c r="BB102" s="746"/>
      <c r="BC102" s="746"/>
      <c r="BD102" s="746"/>
      <c r="BE102" s="746"/>
      <c r="BF102" s="1765">
        <v>11</v>
      </c>
    </row>
    <row s="6292" customFormat="1" customHeight="1" ht="11.549999999999999">
      <c r="A103" s="1111"/>
      <c r="B103" s="1111"/>
      <c r="C103" s="1111"/>
      <c r="D103" s="1111"/>
      <c r="E103" s="1111"/>
      <c r="F103" s="1760"/>
      <c r="G103" s="1760"/>
      <c r="H103" s="475"/>
      <c r="N103" s="6292"/>
      <c r="O103" s="6292"/>
      <c r="P103" s="6292"/>
      <c r="Q103" s="6292"/>
      <c r="R103" s="6292"/>
      <c r="S103" s="6292"/>
      <c r="T103" s="6292"/>
      <c r="U103" s="6292"/>
      <c r="V103" s="6292"/>
      <c r="W103" s="6292"/>
      <c r="X103" s="6292"/>
      <c r="Y103" s="6292"/>
      <c r="Z103" s="6292"/>
      <c r="AA103" s="6292"/>
      <c r="AB103" s="6292"/>
      <c r="AC103" s="6292"/>
      <c r="AD103" s="6292"/>
      <c r="AE103" s="6292"/>
      <c r="AF103" s="6292"/>
      <c r="AG103" s="6292"/>
      <c r="AH103" s="6292"/>
      <c r="AI103" s="1490"/>
      <c r="AK103" s="1490"/>
      <c r="AL103" s="1760"/>
      <c r="AM103" s="1760"/>
      <c r="AN103" s="1490"/>
      <c r="AO103" s="1490"/>
      <c r="AP103" s="1490"/>
      <c r="AQ103" s="1490"/>
      <c r="AR103" s="1760"/>
      <c r="AS103" s="1490"/>
      <c r="AT103" s="1490"/>
      <c r="AU103" s="668"/>
      <c r="AV103" s="1490"/>
      <c r="AW103" s="1490"/>
      <c r="AX103" s="1490"/>
      <c r="AY103" s="1490"/>
      <c r="AZ103" s="1490"/>
      <c r="BA103" s="1756"/>
      <c r="BB103" s="746"/>
      <c r="BC103" s="746"/>
      <c r="BD103" s="746"/>
      <c r="BE103" s="746"/>
      <c r="BF103" s="1765">
        <v>11</v>
      </c>
    </row>
    <row s="6292" customFormat="1" customHeight="1" ht="11.549999999999999">
      <c r="A104" s="1111"/>
      <c r="B104" s="1111"/>
      <c r="C104" s="1111"/>
      <c r="D104" s="1111"/>
      <c r="E104" s="1111"/>
      <c r="F104" s="1760"/>
      <c r="G104" s="1760"/>
      <c r="H104" s="475"/>
      <c r="N104" s="6292"/>
      <c r="O104" s="6292"/>
      <c r="P104" s="6292"/>
      <c r="Q104" s="6292"/>
      <c r="R104" s="6292"/>
      <c r="S104" s="6292"/>
      <c r="T104" s="6292"/>
      <c r="U104" s="6292"/>
      <c r="V104" s="6292"/>
      <c r="W104" s="6292"/>
      <c r="X104" s="6292"/>
      <c r="Y104" s="6292"/>
      <c r="Z104" s="6292"/>
      <c r="AA104" s="6292"/>
      <c r="AB104" s="6292"/>
      <c r="AC104" s="6292"/>
      <c r="AD104" s="6292"/>
      <c r="AE104" s="6292"/>
      <c r="AF104" s="6292"/>
      <c r="AG104" s="6292"/>
      <c r="AH104" s="6292"/>
      <c r="AI104" s="1490"/>
      <c r="AK104" s="1490"/>
      <c r="AL104" s="1760"/>
      <c r="AM104" s="1760"/>
      <c r="AN104" s="1490"/>
      <c r="AO104" s="1490"/>
      <c r="AP104" s="1490"/>
      <c r="AQ104" s="1490"/>
      <c r="AR104" s="1760"/>
      <c r="AS104" s="1490"/>
      <c r="AT104" s="1490"/>
      <c r="AU104" s="668"/>
      <c r="AV104" s="1490"/>
      <c r="AW104" s="1490"/>
      <c r="AX104" s="1490"/>
      <c r="AY104" s="1490"/>
      <c r="AZ104" s="1490"/>
      <c r="BA104" s="1756"/>
      <c r="BB104" s="746"/>
      <c r="BC104" s="746"/>
      <c r="BD104" s="746"/>
      <c r="BE104" s="746"/>
      <c r="BF104" s="1765">
        <v>11</v>
      </c>
    </row>
    <row s="6292" customFormat="1" customHeight="1" ht="11.549999999999999">
      <c r="A105" s="1111"/>
      <c r="B105" s="1111"/>
      <c r="C105" s="1111"/>
      <c r="D105" s="1111"/>
      <c r="E105" s="1111"/>
      <c r="F105" s="1760"/>
      <c r="G105" s="1760"/>
      <c r="H105" s="475"/>
      <c r="N105" s="6292"/>
      <c r="O105" s="6292"/>
      <c r="P105" s="6292"/>
      <c r="Q105" s="6292"/>
      <c r="R105" s="6292"/>
      <c r="S105" s="6292"/>
      <c r="T105" s="6292"/>
      <c r="U105" s="6292"/>
      <c r="V105" s="6292"/>
      <c r="W105" s="6292"/>
      <c r="X105" s="6292"/>
      <c r="Y105" s="6292"/>
      <c r="Z105" s="6292"/>
      <c r="AA105" s="6292"/>
      <c r="AB105" s="6292"/>
      <c r="AC105" s="6292"/>
      <c r="AD105" s="6292"/>
      <c r="AE105" s="6292"/>
      <c r="AF105" s="6292"/>
      <c r="AG105" s="6292"/>
      <c r="AH105" s="6292"/>
      <c r="AI105" s="1490"/>
      <c r="AK105" s="1490"/>
      <c r="AL105" s="1760"/>
      <c r="AM105" s="1760"/>
      <c r="AN105" s="1490"/>
      <c r="AO105" s="1490"/>
      <c r="AP105" s="1490"/>
      <c r="AQ105" s="1490"/>
      <c r="AR105" s="1760"/>
      <c r="AS105" s="1490"/>
      <c r="AT105" s="1490"/>
      <c r="AU105" s="668"/>
      <c r="AV105" s="1490"/>
      <c r="AW105" s="1490"/>
      <c r="AX105" s="1490"/>
      <c r="AY105" s="1490"/>
      <c r="AZ105" s="1490"/>
      <c r="BA105" s="1756"/>
      <c r="BB105" s="746"/>
      <c r="BC105" s="746"/>
      <c r="BD105" s="746"/>
      <c r="BE105" s="746"/>
      <c r="BF105" s="1765">
        <v>11</v>
      </c>
    </row>
    <row s="6292" customFormat="1" customHeight="1" ht="11.549999999999999">
      <c r="A106" s="1111"/>
      <c r="B106" s="1111"/>
      <c r="C106" s="1111"/>
      <c r="D106" s="1111"/>
      <c r="E106" s="1111"/>
      <c r="F106" s="1760"/>
      <c r="G106" s="1760"/>
      <c r="H106" s="475"/>
      <c r="N106" s="6292"/>
      <c r="O106" s="6292"/>
      <c r="P106" s="6292"/>
      <c r="Q106" s="6292"/>
      <c r="R106" s="6292"/>
      <c r="S106" s="6292"/>
      <c r="T106" s="6292"/>
      <c r="U106" s="6292"/>
      <c r="V106" s="6292"/>
      <c r="W106" s="6292"/>
      <c r="X106" s="6292"/>
      <c r="Y106" s="6292"/>
      <c r="Z106" s="6292"/>
      <c r="AA106" s="6292"/>
      <c r="AB106" s="6292"/>
      <c r="AC106" s="6292"/>
      <c r="AD106" s="6292"/>
      <c r="AE106" s="6292"/>
      <c r="AF106" s="6292"/>
      <c r="AG106" s="6292"/>
      <c r="AH106" s="6292"/>
      <c r="AI106" s="1490"/>
      <c r="AK106" s="1490"/>
      <c r="AL106" s="1760"/>
      <c r="AM106" s="1760"/>
      <c r="AN106" s="1490"/>
      <c r="AO106" s="1490"/>
      <c r="AP106" s="1490"/>
      <c r="AQ106" s="1490"/>
      <c r="AR106" s="1760"/>
      <c r="AS106" s="1490"/>
      <c r="AT106" s="1490"/>
      <c r="AU106" s="668"/>
      <c r="AV106" s="1490"/>
      <c r="AW106" s="1490"/>
      <c r="AX106" s="1490"/>
      <c r="AY106" s="1490"/>
      <c r="AZ106" s="1490"/>
      <c r="BA106" s="1756"/>
      <c r="BB106" s="746"/>
      <c r="BC106" s="746"/>
      <c r="BD106" s="746"/>
      <c r="BE106" s="746"/>
      <c r="BF106" s="1765">
        <v>11</v>
      </c>
    </row>
    <row s="6292" customFormat="1" customHeight="1" ht="11.549999999999999">
      <c r="A107" s="1111"/>
      <c r="B107" s="1111"/>
      <c r="C107" s="1111"/>
      <c r="D107" s="1111"/>
      <c r="E107" s="1111"/>
      <c r="F107" s="1760"/>
      <c r="G107" s="1760"/>
      <c r="H107" s="475"/>
      <c r="N107" s="6292"/>
      <c r="O107" s="6292"/>
      <c r="P107" s="6292"/>
      <c r="Q107" s="6292"/>
      <c r="R107" s="6292"/>
      <c r="S107" s="6292"/>
      <c r="T107" s="6292"/>
      <c r="U107" s="6292"/>
      <c r="V107" s="6292"/>
      <c r="W107" s="6292"/>
      <c r="X107" s="6292"/>
      <c r="Y107" s="6292"/>
      <c r="Z107" s="6292"/>
      <c r="AA107" s="6292"/>
      <c r="AB107" s="6292"/>
      <c r="AC107" s="6292"/>
      <c r="AD107" s="6292"/>
      <c r="AE107" s="6292"/>
      <c r="AF107" s="6292"/>
      <c r="AG107" s="6292"/>
      <c r="AH107" s="6292"/>
      <c r="AI107" s="1490"/>
      <c r="AK107" s="1490"/>
      <c r="AL107" s="1760"/>
      <c r="AM107" s="1760"/>
      <c r="AN107" s="1490"/>
      <c r="AO107" s="1490"/>
      <c r="AP107" s="1490"/>
      <c r="AQ107" s="1490"/>
      <c r="AR107" s="1760"/>
      <c r="AS107" s="1490"/>
      <c r="AT107" s="1490"/>
      <c r="AU107" s="668"/>
      <c r="AV107" s="1490"/>
      <c r="AW107" s="1490"/>
      <c r="AX107" s="1490"/>
      <c r="AY107" s="1490"/>
      <c r="AZ107" s="1490"/>
      <c r="BA107" s="1756"/>
      <c r="BB107" s="746"/>
      <c r="BC107" s="746"/>
      <c r="BD107" s="746"/>
      <c r="BE107" s="746"/>
      <c r="BF107" s="1765">
        <v>11</v>
      </c>
    </row>
    <row s="6292" customFormat="1" customHeight="1" ht="11.549999999999999">
      <c r="A108" s="1111"/>
      <c r="B108" s="1111"/>
      <c r="C108" s="1111"/>
      <c r="D108" s="1111"/>
      <c r="E108" s="1111"/>
      <c r="F108" s="1760"/>
      <c r="G108" s="1760"/>
      <c r="H108" s="475"/>
      <c r="N108" s="6292"/>
      <c r="O108" s="6292"/>
      <c r="P108" s="6292"/>
      <c r="Q108" s="6292"/>
      <c r="R108" s="6292"/>
      <c r="S108" s="6292"/>
      <c r="T108" s="6292"/>
      <c r="U108" s="6292"/>
      <c r="V108" s="6292"/>
      <c r="W108" s="6292"/>
      <c r="X108" s="6292"/>
      <c r="Y108" s="6292"/>
      <c r="Z108" s="6292"/>
      <c r="AA108" s="6292"/>
      <c r="AB108" s="6292"/>
      <c r="AC108" s="6292"/>
      <c r="AD108" s="6292"/>
      <c r="AE108" s="6292"/>
      <c r="AF108" s="6292"/>
      <c r="AG108" s="6292"/>
      <c r="AH108" s="6292"/>
      <c r="AI108" s="1490"/>
      <c r="AK108" s="1490"/>
      <c r="AL108" s="1760"/>
      <c r="AM108" s="1760"/>
      <c r="AN108" s="1490"/>
      <c r="AO108" s="1490"/>
      <c r="AP108" s="1490"/>
      <c r="AQ108" s="1490"/>
      <c r="AR108" s="1760"/>
      <c r="AS108" s="1490"/>
      <c r="AT108" s="1490"/>
      <c r="AU108" s="668"/>
      <c r="AV108" s="1490"/>
      <c r="AW108" s="1490"/>
      <c r="AX108" s="1490"/>
      <c r="AY108" s="1490"/>
      <c r="AZ108" s="1490"/>
      <c r="BA108" s="1756"/>
      <c r="BB108" s="746"/>
      <c r="BC108" s="746"/>
      <c r="BD108" s="746"/>
      <c r="BE108" s="746"/>
      <c r="BF108" s="1765">
        <v>11</v>
      </c>
    </row>
    <row s="6292" customFormat="1" customHeight="1" ht="11.549999999999999">
      <c r="A109" s="1111"/>
      <c r="B109" s="1111"/>
      <c r="C109" s="1111"/>
      <c r="D109" s="1111"/>
      <c r="E109" s="1111"/>
      <c r="F109" s="1760"/>
      <c r="G109" s="1760"/>
      <c r="H109" s="475"/>
      <c r="N109" s="6292"/>
      <c r="O109" s="6292"/>
      <c r="P109" s="6292"/>
      <c r="Q109" s="6292"/>
      <c r="R109" s="6292"/>
      <c r="S109" s="6292"/>
      <c r="T109" s="6292"/>
      <c r="U109" s="6292"/>
      <c r="V109" s="6292"/>
      <c r="W109" s="6292"/>
      <c r="X109" s="6292"/>
      <c r="Y109" s="6292"/>
      <c r="Z109" s="6292"/>
      <c r="AA109" s="6292"/>
      <c r="AB109" s="6292"/>
      <c r="AC109" s="6292"/>
      <c r="AD109" s="6292"/>
      <c r="AE109" s="6292"/>
      <c r="AF109" s="6292"/>
      <c r="AG109" s="6292"/>
      <c r="AH109" s="6292"/>
      <c r="AI109" s="1490"/>
      <c r="AK109" s="1490"/>
      <c r="AL109" s="1760"/>
      <c r="AM109" s="1760"/>
      <c r="AN109" s="1490"/>
      <c r="AO109" s="1490"/>
      <c r="AP109" s="1490"/>
      <c r="AQ109" s="1490"/>
      <c r="AR109" s="1760"/>
      <c r="AS109" s="1490"/>
      <c r="AT109" s="1490"/>
      <c r="AU109" s="668"/>
      <c r="AV109" s="1490"/>
      <c r="AW109" s="1490"/>
      <c r="AX109" s="1490"/>
      <c r="AY109" s="1490"/>
      <c r="AZ109" s="1490"/>
      <c r="BA109" s="1756"/>
      <c r="BB109" s="746"/>
      <c r="BC109" s="746"/>
      <c r="BD109" s="746"/>
      <c r="BE109" s="746"/>
      <c r="BF109" s="1765">
        <v>11</v>
      </c>
    </row>
    <row s="6292" customFormat="1" customHeight="1" ht="11.549999999999999">
      <c r="A110" s="1111"/>
      <c r="B110" s="1111"/>
      <c r="C110" s="1111"/>
      <c r="D110" s="1111"/>
      <c r="E110" s="1111"/>
      <c r="F110" s="1760"/>
      <c r="G110" s="1760"/>
      <c r="H110" s="475"/>
      <c r="N110" s="6292"/>
      <c r="O110" s="6292"/>
      <c r="P110" s="6292"/>
      <c r="Q110" s="6292"/>
      <c r="R110" s="6292"/>
      <c r="S110" s="6292"/>
      <c r="T110" s="6292"/>
      <c r="U110" s="6292"/>
      <c r="V110" s="6292"/>
      <c r="W110" s="6292"/>
      <c r="X110" s="6292"/>
      <c r="Y110" s="6292"/>
      <c r="Z110" s="6292"/>
      <c r="AA110" s="6292"/>
      <c r="AB110" s="6292"/>
      <c r="AC110" s="6292"/>
      <c r="AD110" s="6292"/>
      <c r="AE110" s="6292"/>
      <c r="AF110" s="6292"/>
      <c r="AG110" s="6292"/>
      <c r="AH110" s="6292"/>
      <c r="AI110" s="1490"/>
      <c r="AK110" s="1490"/>
      <c r="AL110" s="1760"/>
      <c r="AM110" s="1760"/>
      <c r="AN110" s="1490"/>
      <c r="AO110" s="1490"/>
      <c r="AP110" s="1490"/>
      <c r="AQ110" s="1490"/>
      <c r="AR110" s="1760"/>
      <c r="AS110" s="1490"/>
      <c r="AT110" s="1490"/>
      <c r="AU110" s="668"/>
      <c r="AV110" s="1490"/>
      <c r="AW110" s="1490"/>
      <c r="AX110" s="1490"/>
      <c r="AY110" s="1490"/>
      <c r="AZ110" s="1490"/>
      <c r="BA110" s="1756"/>
      <c r="BB110" s="746"/>
      <c r="BC110" s="746"/>
      <c r="BD110" s="746"/>
      <c r="BE110" s="746"/>
      <c r="BF110" s="1765">
        <v>11</v>
      </c>
    </row>
    <row s="6292" customFormat="1" customHeight="1" ht="11.549999999999999">
      <c r="A111" s="1111"/>
      <c r="B111" s="1111"/>
      <c r="C111" s="1111"/>
      <c r="D111" s="1111"/>
      <c r="E111" s="1111"/>
      <c r="F111" s="1760"/>
      <c r="G111" s="1760"/>
      <c r="H111" s="475"/>
      <c r="N111" s="6292"/>
      <c r="O111" s="6292"/>
      <c r="P111" s="6292"/>
      <c r="Q111" s="6292"/>
      <c r="R111" s="6292"/>
      <c r="S111" s="6292"/>
      <c r="T111" s="6292"/>
      <c r="U111" s="6292"/>
      <c r="V111" s="6292"/>
      <c r="W111" s="6292"/>
      <c r="X111" s="6292"/>
      <c r="Y111" s="6292"/>
      <c r="Z111" s="6292"/>
      <c r="AA111" s="6292"/>
      <c r="AB111" s="6292"/>
      <c r="AC111" s="6292"/>
      <c r="AD111" s="6292"/>
      <c r="AE111" s="6292"/>
      <c r="AF111" s="6292"/>
      <c r="AG111" s="6292"/>
      <c r="AH111" s="6292"/>
      <c r="AI111" s="1490"/>
      <c r="AK111" s="1490"/>
      <c r="AL111" s="1760"/>
      <c r="AM111" s="1760"/>
      <c r="AN111" s="1490"/>
      <c r="AO111" s="1490"/>
      <c r="AP111" s="1490"/>
      <c r="AQ111" s="1490"/>
      <c r="AR111" s="1760"/>
      <c r="AS111" s="1490"/>
      <c r="AT111" s="1490"/>
      <c r="AU111" s="668"/>
      <c r="AV111" s="1490"/>
      <c r="AW111" s="1490"/>
      <c r="AX111" s="1490"/>
      <c r="AY111" s="1490"/>
      <c r="AZ111" s="1490"/>
      <c r="BA111" s="1756"/>
      <c r="BB111" s="746"/>
      <c r="BC111" s="746"/>
      <c r="BD111" s="746"/>
      <c r="BE111" s="746"/>
      <c r="BF111" s="1765">
        <v>11</v>
      </c>
    </row>
    <row s="6292" customFormat="1" customHeight="1" ht="11.549999999999999">
      <c r="A112" s="1111"/>
      <c r="B112" s="1111"/>
      <c r="C112" s="1111"/>
      <c r="D112" s="1111"/>
      <c r="E112" s="1111"/>
      <c r="F112" s="1760"/>
      <c r="G112" s="1760"/>
      <c r="H112" s="475"/>
      <c r="N112" s="6292"/>
      <c r="O112" s="6292"/>
      <c r="P112" s="6292"/>
      <c r="Q112" s="6292"/>
      <c r="R112" s="6292"/>
      <c r="S112" s="6292"/>
      <c r="T112" s="6292"/>
      <c r="U112" s="6292"/>
      <c r="V112" s="6292"/>
      <c r="W112" s="6292"/>
      <c r="X112" s="6292"/>
      <c r="Y112" s="6292"/>
      <c r="Z112" s="6292"/>
      <c r="AA112" s="6292"/>
      <c r="AB112" s="6292"/>
      <c r="AC112" s="6292"/>
      <c r="AD112" s="6292"/>
      <c r="AE112" s="6292"/>
      <c r="AF112" s="6292"/>
      <c r="AG112" s="6292"/>
      <c r="AH112" s="6292"/>
      <c r="AI112" s="1490"/>
      <c r="AK112" s="1490"/>
      <c r="AL112" s="1760"/>
      <c r="AM112" s="1760"/>
      <c r="AN112" s="1490"/>
      <c r="AO112" s="1490"/>
      <c r="AP112" s="1490"/>
      <c r="AQ112" s="1490"/>
      <c r="AR112" s="1760"/>
      <c r="AS112" s="1490"/>
      <c r="AT112" s="1490"/>
      <c r="AU112" s="668"/>
      <c r="AV112" s="1490"/>
      <c r="AW112" s="1490"/>
      <c r="AX112" s="1490"/>
      <c r="AY112" s="1490"/>
      <c r="AZ112" s="1490"/>
      <c r="BA112" s="1756"/>
      <c r="BB112" s="746"/>
      <c r="BC112" s="746"/>
      <c r="BD112" s="746"/>
      <c r="BE112" s="746"/>
      <c r="BF112" s="1765">
        <v>11</v>
      </c>
    </row>
    <row s="6292" customFormat="1" customHeight="1" ht="11.549999999999999">
      <c r="A113" s="1111"/>
      <c r="B113" s="1111"/>
      <c r="C113" s="1111"/>
      <c r="D113" s="1111"/>
      <c r="E113" s="1111"/>
      <c r="F113" s="1760"/>
      <c r="G113" s="1760"/>
      <c r="H113" s="475"/>
      <c r="N113" s="6292"/>
      <c r="O113" s="6292"/>
      <c r="P113" s="6292"/>
      <c r="Q113" s="6292"/>
      <c r="R113" s="6292"/>
      <c r="S113" s="6292"/>
      <c r="T113" s="6292"/>
      <c r="U113" s="6292"/>
      <c r="V113" s="6292"/>
      <c r="W113" s="6292"/>
      <c r="X113" s="6292"/>
      <c r="Y113" s="6292"/>
      <c r="Z113" s="6292"/>
      <c r="AA113" s="6292"/>
      <c r="AB113" s="6292"/>
      <c r="AC113" s="6292"/>
      <c r="AD113" s="6292"/>
      <c r="AE113" s="6292"/>
      <c r="AF113" s="6292"/>
      <c r="AG113" s="6292"/>
      <c r="AH113" s="6292"/>
      <c r="AI113" s="1490"/>
      <c r="AK113" s="1490"/>
      <c r="AL113" s="1760"/>
      <c r="AM113" s="1760"/>
      <c r="AN113" s="1490"/>
      <c r="AO113" s="1490"/>
      <c r="AP113" s="1490"/>
      <c r="AQ113" s="1490"/>
      <c r="AR113" s="1760"/>
      <c r="AS113" s="1490"/>
      <c r="AT113" s="1490"/>
      <c r="AU113" s="668"/>
      <c r="AV113" s="1490"/>
      <c r="AW113" s="1490"/>
      <c r="AX113" s="1490"/>
      <c r="AY113" s="1490"/>
      <c r="AZ113" s="1490"/>
      <c r="BA113" s="1756"/>
      <c r="BB113" s="746"/>
      <c r="BC113" s="746"/>
      <c r="BD113" s="746"/>
      <c r="BE113" s="746"/>
      <c r="BF113" s="1765">
        <v>11</v>
      </c>
    </row>
    <row s="6292" customFormat="1" customHeight="1" ht="11.549999999999999">
      <c r="A114" s="1111"/>
      <c r="B114" s="1111"/>
      <c r="C114" s="1111"/>
      <c r="D114" s="1111"/>
      <c r="E114" s="1111"/>
      <c r="F114" s="1760"/>
      <c r="G114" s="1760"/>
      <c r="H114" s="475"/>
      <c r="N114" s="6292"/>
      <c r="O114" s="6292"/>
      <c r="P114" s="6292"/>
      <c r="Q114" s="6292"/>
      <c r="R114" s="6292"/>
      <c r="S114" s="6292"/>
      <c r="T114" s="6292"/>
      <c r="U114" s="6292"/>
      <c r="V114" s="6292"/>
      <c r="W114" s="6292"/>
      <c r="X114" s="6292"/>
      <c r="Y114" s="6292"/>
      <c r="Z114" s="6292"/>
      <c r="AA114" s="6292"/>
      <c r="AB114" s="6292"/>
      <c r="AC114" s="6292"/>
      <c r="AD114" s="6292"/>
      <c r="AE114" s="6292"/>
      <c r="AF114" s="6292"/>
      <c r="AG114" s="6292"/>
      <c r="AH114" s="6292"/>
      <c r="AI114" s="1490"/>
      <c r="AK114" s="1490"/>
      <c r="AL114" s="1760"/>
      <c r="AM114" s="1760"/>
      <c r="AN114" s="1490"/>
      <c r="AO114" s="1490"/>
      <c r="AP114" s="1490"/>
      <c r="AQ114" s="1490"/>
      <c r="AR114" s="1760"/>
      <c r="AS114" s="1490"/>
      <c r="AT114" s="1490"/>
      <c r="AU114" s="668"/>
      <c r="AV114" s="1490"/>
      <c r="AW114" s="1490"/>
      <c r="AX114" s="1490"/>
      <c r="AY114" s="1490"/>
      <c r="AZ114" s="1490"/>
      <c r="BA114" s="1756"/>
      <c r="BB114" s="746"/>
      <c r="BC114" s="746"/>
      <c r="BD114" s="746"/>
      <c r="BE114" s="746"/>
      <c r="BF114" s="1765">
        <v>11</v>
      </c>
    </row>
    <row s="6292" customFormat="1" customHeight="1" ht="11.549999999999999">
      <c r="A115" s="1111"/>
      <c r="B115" s="1111"/>
      <c r="C115" s="1111"/>
      <c r="D115" s="1111"/>
      <c r="E115" s="1111"/>
      <c r="F115" s="1760"/>
      <c r="G115" s="1760"/>
      <c r="H115" s="475"/>
      <c r="N115" s="6292"/>
      <c r="O115" s="6292"/>
      <c r="P115" s="6292"/>
      <c r="Q115" s="6292"/>
      <c r="R115" s="6292"/>
      <c r="S115" s="6292"/>
      <c r="T115" s="6292"/>
      <c r="U115" s="6292"/>
      <c r="V115" s="6292"/>
      <c r="W115" s="6292"/>
      <c r="X115" s="6292"/>
      <c r="Y115" s="6292"/>
      <c r="Z115" s="6292"/>
      <c r="AA115" s="6292"/>
      <c r="AB115" s="6292"/>
      <c r="AC115" s="6292"/>
      <c r="AD115" s="6292"/>
      <c r="AE115" s="6292"/>
      <c r="AF115" s="6292"/>
      <c r="AG115" s="6292"/>
      <c r="AH115" s="6292"/>
      <c r="AI115" s="1490"/>
      <c r="AK115" s="1490"/>
      <c r="AL115" s="1760"/>
      <c r="AM115" s="1760"/>
      <c r="AN115" s="1490"/>
      <c r="AO115" s="1490"/>
      <c r="AP115" s="1490"/>
      <c r="AQ115" s="1490"/>
      <c r="AR115" s="1760"/>
      <c r="AS115" s="1490"/>
      <c r="AT115" s="1490"/>
      <c r="AU115" s="668"/>
      <c r="AV115" s="1490"/>
      <c r="AW115" s="1490"/>
      <c r="AX115" s="1490"/>
      <c r="AY115" s="1490"/>
      <c r="AZ115" s="1490"/>
      <c r="BA115" s="1756"/>
      <c r="BB115" s="746"/>
      <c r="BC115" s="746"/>
      <c r="BD115" s="746"/>
      <c r="BE115" s="746"/>
      <c r="BF115" s="1765">
        <v>11</v>
      </c>
    </row>
    <row s="6292" customFormat="1" customHeight="1" ht="11.549999999999999">
      <c r="A116" s="1111"/>
      <c r="B116" s="1111"/>
      <c r="C116" s="1111"/>
      <c r="D116" s="1111"/>
      <c r="E116" s="1111"/>
      <c r="F116" s="1760"/>
      <c r="G116" s="1760"/>
      <c r="H116" s="475"/>
      <c r="N116" s="6292"/>
      <c r="O116" s="6292"/>
      <c r="P116" s="6292"/>
      <c r="Q116" s="6292"/>
      <c r="R116" s="6292"/>
      <c r="S116" s="6292"/>
      <c r="T116" s="6292"/>
      <c r="U116" s="6292"/>
      <c r="V116" s="6292"/>
      <c r="W116" s="6292"/>
      <c r="X116" s="6292"/>
      <c r="Y116" s="6292"/>
      <c r="Z116" s="6292"/>
      <c r="AA116" s="6292"/>
      <c r="AB116" s="6292"/>
      <c r="AC116" s="6292"/>
      <c r="AD116" s="6292"/>
      <c r="AE116" s="6292"/>
      <c r="AF116" s="6292"/>
      <c r="AG116" s="6292"/>
      <c r="AH116" s="6292"/>
      <c r="AI116" s="1490"/>
      <c r="AK116" s="1490"/>
      <c r="AL116" s="1760"/>
      <c r="AM116" s="1760"/>
      <c r="AN116" s="1490"/>
      <c r="AO116" s="1490"/>
      <c r="AP116" s="1490"/>
      <c r="AQ116" s="1490"/>
      <c r="AR116" s="1760"/>
      <c r="AS116" s="1490"/>
      <c r="AT116" s="1490"/>
      <c r="AU116" s="668"/>
      <c r="AV116" s="1490"/>
      <c r="AW116" s="1490"/>
      <c r="AX116" s="1490"/>
      <c r="AY116" s="1490"/>
      <c r="AZ116" s="1490"/>
      <c r="BA116" s="1756"/>
      <c r="BB116" s="746"/>
      <c r="BC116" s="746"/>
      <c r="BD116" s="746"/>
      <c r="BE116" s="746"/>
      <c r="BF116" s="1765">
        <v>11</v>
      </c>
    </row>
    <row s="6292" customFormat="1" customHeight="1" ht="11.549999999999999">
      <c r="A117" s="1111"/>
      <c r="B117" s="1111"/>
      <c r="C117" s="1111"/>
      <c r="D117" s="1111"/>
      <c r="E117" s="1111"/>
      <c r="F117" s="1760"/>
      <c r="G117" s="1760"/>
      <c r="H117" s="475"/>
      <c r="N117" s="6292"/>
      <c r="O117" s="6292"/>
      <c r="P117" s="6292"/>
      <c r="Q117" s="6292"/>
      <c r="R117" s="6292"/>
      <c r="S117" s="6292"/>
      <c r="T117" s="6292"/>
      <c r="U117" s="6292"/>
      <c r="V117" s="6292"/>
      <c r="W117" s="6292"/>
      <c r="X117" s="6292"/>
      <c r="Y117" s="6292"/>
      <c r="Z117" s="6292"/>
      <c r="AA117" s="6292"/>
      <c r="AB117" s="6292"/>
      <c r="AC117" s="6292"/>
      <c r="AD117" s="6292"/>
      <c r="AE117" s="6292"/>
      <c r="AF117" s="6292"/>
      <c r="AG117" s="6292"/>
      <c r="AH117" s="6292"/>
      <c r="AI117" s="1490"/>
      <c r="AK117" s="1490"/>
      <c r="AL117" s="1760"/>
      <c r="AM117" s="1760"/>
      <c r="AN117" s="1490"/>
      <c r="AO117" s="1490"/>
      <c r="AP117" s="1490"/>
      <c r="AQ117" s="1490"/>
      <c r="AR117" s="1760"/>
      <c r="AS117" s="1490"/>
      <c r="AT117" s="1490"/>
      <c r="AU117" s="668"/>
      <c r="AV117" s="1490"/>
      <c r="AW117" s="1490"/>
      <c r="AX117" s="1490"/>
      <c r="AY117" s="1490"/>
      <c r="AZ117" s="1490"/>
      <c r="BA117" s="1756"/>
      <c r="BB117" s="746"/>
      <c r="BC117" s="746"/>
      <c r="BD117" s="746"/>
      <c r="BE117" s="746"/>
      <c r="BF117" s="1765">
        <v>11</v>
      </c>
    </row>
    <row s="6292" customFormat="1" customHeight="1" ht="11.549999999999999">
      <c r="A118" s="1111"/>
      <c r="B118" s="1111"/>
      <c r="C118" s="1111"/>
      <c r="D118" s="1111"/>
      <c r="E118" s="1111"/>
      <c r="F118" s="1760"/>
      <c r="G118" s="1760"/>
      <c r="H118" s="475"/>
      <c r="N118" s="6292"/>
      <c r="O118" s="6292"/>
      <c r="P118" s="6292"/>
      <c r="Q118" s="6292"/>
      <c r="R118" s="6292"/>
      <c r="S118" s="6292"/>
      <c r="T118" s="6292"/>
      <c r="U118" s="6292"/>
      <c r="V118" s="6292"/>
      <c r="W118" s="6292"/>
      <c r="X118" s="6292"/>
      <c r="Y118" s="6292"/>
      <c r="Z118" s="6292"/>
      <c r="AA118" s="6292"/>
      <c r="AB118" s="6292"/>
      <c r="AC118" s="6292"/>
      <c r="AD118" s="6292"/>
      <c r="AE118" s="6292"/>
      <c r="AF118" s="6292"/>
      <c r="AG118" s="6292"/>
      <c r="AH118" s="6292"/>
      <c r="AI118" s="1490"/>
      <c r="AK118" s="1490"/>
      <c r="AL118" s="1760"/>
      <c r="AM118" s="1760"/>
      <c r="AN118" s="1490"/>
      <c r="AO118" s="1490"/>
      <c r="AP118" s="1490"/>
      <c r="AQ118" s="1490"/>
      <c r="AR118" s="1760"/>
      <c r="AS118" s="1490"/>
      <c r="AT118" s="1490"/>
      <c r="AU118" s="668"/>
      <c r="AV118" s="1490"/>
      <c r="AW118" s="1490"/>
      <c r="AX118" s="1490"/>
      <c r="AY118" s="1490"/>
      <c r="AZ118" s="1490"/>
      <c r="BA118" s="1756"/>
      <c r="BB118" s="746"/>
      <c r="BC118" s="746"/>
      <c r="BD118" s="746"/>
      <c r="BE118" s="746"/>
      <c r="BF118" s="1765">
        <v>11</v>
      </c>
    </row>
    <row s="6292" customFormat="1" customHeight="1" ht="11.549999999999999">
      <c r="A119" s="1111"/>
      <c r="B119" s="1111"/>
      <c r="C119" s="1111"/>
      <c r="D119" s="1111"/>
      <c r="E119" s="1111"/>
      <c r="F119" s="1760"/>
      <c r="G119" s="1760"/>
      <c r="H119" s="475"/>
      <c r="N119" s="6292"/>
      <c r="O119" s="6292"/>
      <c r="P119" s="6292"/>
      <c r="Q119" s="6292"/>
      <c r="R119" s="6292"/>
      <c r="S119" s="6292"/>
      <c r="T119" s="6292"/>
      <c r="U119" s="6292"/>
      <c r="V119" s="6292"/>
      <c r="W119" s="6292"/>
      <c r="X119" s="6292"/>
      <c r="Y119" s="6292"/>
      <c r="Z119" s="6292"/>
      <c r="AA119" s="6292"/>
      <c r="AB119" s="6292"/>
      <c r="AC119" s="6292"/>
      <c r="AD119" s="6292"/>
      <c r="AE119" s="6292"/>
      <c r="AF119" s="6292"/>
      <c r="AG119" s="6292"/>
      <c r="AH119" s="6292"/>
      <c r="AI119" s="1490"/>
      <c r="AK119" s="1490"/>
      <c r="AL119" s="1760"/>
      <c r="AM119" s="1760"/>
      <c r="AN119" s="1490"/>
      <c r="AO119" s="1490"/>
      <c r="AP119" s="1490"/>
      <c r="AQ119" s="1490"/>
      <c r="AR119" s="1760"/>
      <c r="AS119" s="1490"/>
      <c r="AT119" s="1490"/>
      <c r="AU119" s="668"/>
      <c r="AV119" s="1490"/>
      <c r="AW119" s="1490"/>
      <c r="AX119" s="1490"/>
      <c r="AY119" s="1490"/>
      <c r="AZ119" s="1490"/>
      <c r="BA119" s="1756"/>
      <c r="BB119" s="746"/>
      <c r="BC119" s="746"/>
      <c r="BD119" s="746"/>
      <c r="BE119" s="746"/>
      <c r="BF119" s="1765">
        <v>11</v>
      </c>
    </row>
    <row s="6292" customFormat="1" customHeight="1" ht="11.549999999999999">
      <c r="A120" s="1111"/>
      <c r="B120" s="1111"/>
      <c r="C120" s="1111"/>
      <c r="D120" s="1111"/>
      <c r="E120" s="1111"/>
      <c r="F120" s="1760"/>
      <c r="G120" s="1760"/>
      <c r="H120" s="475"/>
      <c r="N120" s="6292"/>
      <c r="O120" s="6292"/>
      <c r="P120" s="6292"/>
      <c r="Q120" s="6292"/>
      <c r="R120" s="6292"/>
      <c r="S120" s="6292"/>
      <c r="T120" s="6292"/>
      <c r="U120" s="6292"/>
      <c r="V120" s="6292"/>
      <c r="W120" s="6292"/>
      <c r="X120" s="6292"/>
      <c r="Y120" s="6292"/>
      <c r="Z120" s="6292"/>
      <c r="AA120" s="6292"/>
      <c r="AB120" s="6292"/>
      <c r="AC120" s="6292"/>
      <c r="AD120" s="6292"/>
      <c r="AE120" s="6292"/>
      <c r="AF120" s="6292"/>
      <c r="AG120" s="6292"/>
      <c r="AH120" s="6292"/>
      <c r="AI120" s="1490"/>
      <c r="AK120" s="1490"/>
      <c r="AL120" s="1760"/>
      <c r="AM120" s="1760"/>
      <c r="AN120" s="1490"/>
      <c r="AO120" s="1490"/>
      <c r="AP120" s="1490"/>
      <c r="AQ120" s="1490"/>
      <c r="AR120" s="1760"/>
      <c r="AS120" s="1490"/>
      <c r="AT120" s="1490"/>
      <c r="AU120" s="668"/>
      <c r="AV120" s="1490"/>
      <c r="AW120" s="1490"/>
      <c r="AX120" s="1490"/>
      <c r="AY120" s="1490"/>
      <c r="AZ120" s="1490"/>
      <c r="BA120" s="1756"/>
      <c r="BB120" s="746"/>
      <c r="BC120" s="746"/>
      <c r="BD120" s="746"/>
      <c r="BE120" s="746"/>
      <c r="BF120" s="1765">
        <v>11</v>
      </c>
    </row>
    <row s="6292" customFormat="1" customHeight="1" ht="11.549999999999999">
      <c r="A121" s="1111"/>
      <c r="B121" s="1111"/>
      <c r="C121" s="1111"/>
      <c r="D121" s="1111"/>
      <c r="E121" s="1111"/>
      <c r="F121" s="1760"/>
      <c r="G121" s="1760"/>
      <c r="H121" s="475"/>
      <c r="N121" s="6292"/>
      <c r="O121" s="6292"/>
      <c r="P121" s="6292"/>
      <c r="Q121" s="6292"/>
      <c r="R121" s="6292"/>
      <c r="S121" s="6292"/>
      <c r="T121" s="6292"/>
      <c r="U121" s="6292"/>
      <c r="V121" s="6292"/>
      <c r="W121" s="6292"/>
      <c r="X121" s="6292"/>
      <c r="Y121" s="6292"/>
      <c r="Z121" s="6292"/>
      <c r="AA121" s="6292"/>
      <c r="AB121" s="6292"/>
      <c r="AC121" s="6292"/>
      <c r="AD121" s="6292"/>
      <c r="AE121" s="6292"/>
      <c r="AF121" s="6292"/>
      <c r="AG121" s="6292"/>
      <c r="AH121" s="6292"/>
      <c r="AI121" s="1490"/>
      <c r="AK121" s="1490"/>
      <c r="AL121" s="1760"/>
      <c r="AM121" s="1760"/>
      <c r="AN121" s="1490"/>
      <c r="AO121" s="1490"/>
      <c r="AP121" s="1490"/>
      <c r="AQ121" s="1490"/>
      <c r="AR121" s="1760"/>
      <c r="AS121" s="1490"/>
      <c r="AT121" s="1490"/>
      <c r="AU121" s="668"/>
      <c r="AV121" s="1490"/>
      <c r="AW121" s="1490"/>
      <c r="AX121" s="1490"/>
      <c r="AY121" s="1490"/>
      <c r="AZ121" s="1490"/>
      <c r="BA121" s="1756"/>
      <c r="BB121" s="746"/>
      <c r="BC121" s="746"/>
      <c r="BD121" s="746"/>
      <c r="BE121" s="746"/>
      <c r="BF121" s="1765">
        <v>11</v>
      </c>
    </row>
    <row s="6292" customFormat="1" customHeight="1" ht="11.549999999999999">
      <c r="A122" s="1111"/>
      <c r="B122" s="1111"/>
      <c r="C122" s="1111"/>
      <c r="D122" s="1111"/>
      <c r="E122" s="1111"/>
      <c r="F122" s="1760"/>
      <c r="G122" s="1760"/>
      <c r="H122" s="475"/>
      <c r="N122" s="6292"/>
      <c r="O122" s="6292"/>
      <c r="P122" s="6292"/>
      <c r="Q122" s="6292"/>
      <c r="R122" s="6292"/>
      <c r="S122" s="6292"/>
      <c r="T122" s="6292"/>
      <c r="U122" s="6292"/>
      <c r="V122" s="6292"/>
      <c r="W122" s="6292"/>
      <c r="X122" s="6292"/>
      <c r="Y122" s="6292"/>
      <c r="Z122" s="6292"/>
      <c r="AA122" s="6292"/>
      <c r="AB122" s="6292"/>
      <c r="AC122" s="6292"/>
      <c r="AD122" s="6292"/>
      <c r="AE122" s="6292"/>
      <c r="AF122" s="6292"/>
      <c r="AG122" s="6292"/>
      <c r="AH122" s="6292"/>
      <c r="AI122" s="1490"/>
      <c r="AK122" s="1490"/>
      <c r="AL122" s="1760"/>
      <c r="AM122" s="1760"/>
      <c r="AN122" s="1490"/>
      <c r="AO122" s="1490"/>
      <c r="AP122" s="1490"/>
      <c r="AQ122" s="1490"/>
      <c r="AR122" s="1760"/>
      <c r="AS122" s="1490"/>
      <c r="AT122" s="1490"/>
      <c r="AU122" s="668"/>
      <c r="AV122" s="1490"/>
      <c r="AW122" s="1490"/>
      <c r="AX122" s="1490"/>
      <c r="AY122" s="1490"/>
      <c r="AZ122" s="1490"/>
      <c r="BA122" s="1756"/>
      <c r="BB122" s="746"/>
      <c r="BC122" s="746"/>
      <c r="BD122" s="746"/>
      <c r="BE122" s="746"/>
      <c r="BF122" s="1765">
        <v>11</v>
      </c>
    </row>
    <row s="6292" customFormat="1" customHeight="1" ht="11.549999999999999">
      <c r="A123" s="1111"/>
      <c r="B123" s="1111"/>
      <c r="C123" s="1111"/>
      <c r="D123" s="1111"/>
      <c r="E123" s="1111"/>
      <c r="F123" s="1760"/>
      <c r="G123" s="1760"/>
      <c r="H123" s="475"/>
      <c r="N123" s="6292"/>
      <c r="O123" s="6292"/>
      <c r="P123" s="6292"/>
      <c r="Q123" s="6292"/>
      <c r="R123" s="6292"/>
      <c r="S123" s="6292"/>
      <c r="T123" s="6292"/>
      <c r="U123" s="6292"/>
      <c r="V123" s="6292"/>
      <c r="W123" s="6292"/>
      <c r="X123" s="6292"/>
      <c r="Y123" s="6292"/>
      <c r="Z123" s="6292"/>
      <c r="AA123" s="6292"/>
      <c r="AB123" s="6292"/>
      <c r="AC123" s="6292"/>
      <c r="AD123" s="6292"/>
      <c r="AE123" s="6292"/>
      <c r="AF123" s="6292"/>
      <c r="AG123" s="6292"/>
      <c r="AH123" s="6292"/>
      <c r="AI123" s="1490"/>
      <c r="AK123" s="1490"/>
      <c r="AL123" s="1760"/>
      <c r="AM123" s="1760"/>
      <c r="AN123" s="1490"/>
      <c r="AO123" s="1490"/>
      <c r="AP123" s="1490"/>
      <c r="AQ123" s="1490"/>
      <c r="AR123" s="1760"/>
      <c r="AS123" s="1490"/>
      <c r="AT123" s="1490"/>
      <c r="AU123" s="668"/>
      <c r="AV123" s="1490"/>
      <c r="AW123" s="1490"/>
      <c r="AX123" s="1490"/>
      <c r="AY123" s="1490"/>
      <c r="AZ123" s="1490"/>
      <c r="BA123" s="1756"/>
      <c r="BB123" s="746"/>
      <c r="BC123" s="746"/>
      <c r="BD123" s="746"/>
      <c r="BE123" s="746"/>
      <c r="BF123" s="1765">
        <v>11</v>
      </c>
    </row>
    <row s="6292" customFormat="1" customHeight="1" ht="11.549999999999999">
      <c r="A124" s="1111"/>
      <c r="B124" s="1111"/>
      <c r="C124" s="1111"/>
      <c r="D124" s="1111"/>
      <c r="E124" s="1111"/>
      <c r="F124" s="1760"/>
      <c r="G124" s="1760"/>
      <c r="H124" s="475"/>
      <c r="N124" s="6292"/>
      <c r="O124" s="6292"/>
      <c r="P124" s="6292"/>
      <c r="Q124" s="6292"/>
      <c r="R124" s="6292"/>
      <c r="S124" s="6292"/>
      <c r="T124" s="6292"/>
      <c r="U124" s="6292"/>
      <c r="V124" s="6292"/>
      <c r="W124" s="6292"/>
      <c r="X124" s="6292"/>
      <c r="Y124" s="6292"/>
      <c r="Z124" s="6292"/>
      <c r="AA124" s="6292"/>
      <c r="AB124" s="6292"/>
      <c r="AC124" s="6292"/>
      <c r="AD124" s="6292"/>
      <c r="AE124" s="6292"/>
      <c r="AF124" s="6292"/>
      <c r="AG124" s="6292"/>
      <c r="AH124" s="6292"/>
      <c r="AI124" s="1490"/>
      <c r="AK124" s="1490"/>
      <c r="AL124" s="1760"/>
      <c r="AM124" s="1760"/>
      <c r="AN124" s="1490"/>
      <c r="AO124" s="1490"/>
      <c r="AP124" s="1490"/>
      <c r="AQ124" s="1490"/>
      <c r="AR124" s="1760"/>
      <c r="AS124" s="1490"/>
      <c r="AT124" s="1490"/>
      <c r="AU124" s="668"/>
      <c r="AV124" s="1490"/>
      <c r="AW124" s="1490"/>
      <c r="AX124" s="1490"/>
      <c r="AY124" s="1490"/>
      <c r="AZ124" s="1490"/>
      <c r="BA124" s="1756"/>
      <c r="BB124" s="746"/>
      <c r="BC124" s="746"/>
      <c r="BD124" s="746"/>
      <c r="BE124" s="746"/>
      <c r="BF124" s="1765">
        <v>11</v>
      </c>
    </row>
    <row s="6292" customFormat="1" customHeight="1" ht="11.549999999999999">
      <c r="A125" s="1111"/>
      <c r="B125" s="1111"/>
      <c r="C125" s="1111"/>
      <c r="D125" s="1111"/>
      <c r="E125" s="1111"/>
      <c r="F125" s="1760"/>
      <c r="G125" s="1760"/>
      <c r="H125" s="475"/>
      <c r="N125" s="6292"/>
      <c r="O125" s="6292"/>
      <c r="P125" s="6292"/>
      <c r="Q125" s="6292"/>
      <c r="R125" s="6292"/>
      <c r="S125" s="6292"/>
      <c r="T125" s="6292"/>
      <c r="U125" s="6292"/>
      <c r="V125" s="6292"/>
      <c r="W125" s="6292"/>
      <c r="X125" s="6292"/>
      <c r="Y125" s="6292"/>
      <c r="Z125" s="6292"/>
      <c r="AA125" s="6292"/>
      <c r="AB125" s="6292"/>
      <c r="AC125" s="6292"/>
      <c r="AD125" s="6292"/>
      <c r="AE125" s="6292"/>
      <c r="AF125" s="6292"/>
      <c r="AG125" s="6292"/>
      <c r="AH125" s="6292"/>
      <c r="AI125" s="1490"/>
      <c r="AK125" s="1490"/>
      <c r="AL125" s="1760"/>
      <c r="AM125" s="1760"/>
      <c r="AN125" s="1490"/>
      <c r="AO125" s="1490"/>
      <c r="AP125" s="1490"/>
      <c r="AQ125" s="1490"/>
      <c r="AR125" s="1760"/>
      <c r="AS125" s="1490"/>
      <c r="AT125" s="1490"/>
      <c r="AU125" s="668"/>
      <c r="AV125" s="1490"/>
      <c r="AW125" s="1490"/>
      <c r="AX125" s="1490"/>
      <c r="AY125" s="1490"/>
      <c r="AZ125" s="1490"/>
      <c r="BA125" s="1756"/>
      <c r="BB125" s="746"/>
      <c r="BC125" s="746"/>
      <c r="BD125" s="746"/>
      <c r="BE125" s="746"/>
      <c r="BF125" s="1765">
        <v>11</v>
      </c>
    </row>
    <row s="6292" customFormat="1" customHeight="1" ht="11.549999999999999">
      <c r="A126" s="1111"/>
      <c r="B126" s="1111"/>
      <c r="C126" s="1111"/>
      <c r="D126" s="1111"/>
      <c r="E126" s="1111"/>
      <c r="F126" s="1760"/>
      <c r="G126" s="1760"/>
      <c r="H126" s="475"/>
      <c r="N126" s="6292"/>
      <c r="O126" s="6292"/>
      <c r="P126" s="6292"/>
      <c r="Q126" s="6292"/>
      <c r="R126" s="6292"/>
      <c r="S126" s="6292"/>
      <c r="T126" s="6292"/>
      <c r="U126" s="6292"/>
      <c r="V126" s="6292"/>
      <c r="W126" s="6292"/>
      <c r="X126" s="6292"/>
      <c r="Y126" s="6292"/>
      <c r="Z126" s="6292"/>
      <c r="AA126" s="6292"/>
      <c r="AB126" s="6292"/>
      <c r="AC126" s="6292"/>
      <c r="AD126" s="6292"/>
      <c r="AE126" s="6292"/>
      <c r="AF126" s="6292"/>
      <c r="AG126" s="6292"/>
      <c r="AH126" s="6292"/>
      <c r="AI126" s="1490"/>
      <c r="AK126" s="1490"/>
      <c r="AL126" s="1760"/>
      <c r="AM126" s="1760"/>
      <c r="AN126" s="1490"/>
      <c r="AO126" s="1490"/>
      <c r="AP126" s="1490"/>
      <c r="AQ126" s="1490"/>
      <c r="AR126" s="1760"/>
      <c r="AS126" s="1490"/>
      <c r="AT126" s="1490"/>
      <c r="AU126" s="668"/>
      <c r="AV126" s="1490"/>
      <c r="AW126" s="1490"/>
      <c r="AX126" s="1490"/>
      <c r="AY126" s="1490"/>
      <c r="AZ126" s="1490"/>
      <c r="BA126" s="1756"/>
      <c r="BB126" s="746"/>
      <c r="BC126" s="746"/>
      <c r="BD126" s="746"/>
      <c r="BE126" s="746"/>
      <c r="BF126" s="1765">
        <v>11</v>
      </c>
    </row>
    <row s="6292" customFormat="1" customHeight="1" ht="11.549999999999999">
      <c r="A127" s="1111"/>
      <c r="B127" s="1111"/>
      <c r="C127" s="1111"/>
      <c r="D127" s="1111"/>
      <c r="E127" s="1111"/>
      <c r="F127" s="1760"/>
      <c r="G127" s="1760"/>
      <c r="H127" s="475"/>
      <c r="N127" s="6292"/>
      <c r="O127" s="6292"/>
      <c r="P127" s="6292"/>
      <c r="Q127" s="6292"/>
      <c r="R127" s="6292"/>
      <c r="S127" s="6292"/>
      <c r="T127" s="6292"/>
      <c r="U127" s="6292"/>
      <c r="V127" s="6292"/>
      <c r="W127" s="6292"/>
      <c r="X127" s="6292"/>
      <c r="Y127" s="6292"/>
      <c r="Z127" s="6292"/>
      <c r="AA127" s="6292"/>
      <c r="AB127" s="6292"/>
      <c r="AC127" s="6292"/>
      <c r="AD127" s="6292"/>
      <c r="AE127" s="6292"/>
      <c r="AF127" s="6292"/>
      <c r="AG127" s="6292"/>
      <c r="AH127" s="6292"/>
      <c r="AI127" s="1490"/>
      <c r="AK127" s="1490"/>
      <c r="AL127" s="1760"/>
      <c r="AM127" s="1760"/>
      <c r="AN127" s="1490"/>
      <c r="AO127" s="1490"/>
      <c r="AP127" s="1490"/>
      <c r="AQ127" s="1490"/>
      <c r="AR127" s="1760"/>
      <c r="AS127" s="1490"/>
      <c r="AT127" s="1490"/>
      <c r="AU127" s="668"/>
      <c r="AV127" s="1490"/>
      <c r="AW127" s="1490"/>
      <c r="AX127" s="1490"/>
      <c r="AY127" s="1490"/>
      <c r="AZ127" s="1490"/>
      <c r="BA127" s="1756"/>
      <c r="BB127" s="746"/>
      <c r="BC127" s="746"/>
      <c r="BD127" s="746"/>
      <c r="BE127" s="746"/>
      <c r="BF127" s="1765">
        <v>11</v>
      </c>
    </row>
    <row s="6292" customFormat="1" customHeight="1" ht="11.549999999999999">
      <c r="A128" s="1111"/>
      <c r="B128" s="1111"/>
      <c r="C128" s="1111"/>
      <c r="D128" s="1111"/>
      <c r="E128" s="1111"/>
      <c r="F128" s="1760"/>
      <c r="G128" s="1760"/>
      <c r="H128" s="475"/>
      <c r="N128" s="6292"/>
      <c r="O128" s="6292"/>
      <c r="P128" s="6292"/>
      <c r="Q128" s="6292"/>
      <c r="R128" s="6292"/>
      <c r="S128" s="6292"/>
      <c r="T128" s="6292"/>
      <c r="U128" s="6292"/>
      <c r="V128" s="6292"/>
      <c r="W128" s="6292"/>
      <c r="X128" s="6292"/>
      <c r="Y128" s="6292"/>
      <c r="Z128" s="6292"/>
      <c r="AA128" s="6292"/>
      <c r="AB128" s="6292"/>
      <c r="AC128" s="6292"/>
      <c r="AD128" s="6292"/>
      <c r="AE128" s="6292"/>
      <c r="AF128" s="6292"/>
      <c r="AG128" s="6292"/>
      <c r="AH128" s="6292"/>
      <c r="AI128" s="1490"/>
      <c r="AK128" s="1490"/>
      <c r="AL128" s="1760"/>
      <c r="AM128" s="1760"/>
      <c r="AN128" s="1490"/>
      <c r="AO128" s="1490"/>
      <c r="AP128" s="1490"/>
      <c r="AQ128" s="1490"/>
      <c r="AR128" s="1760"/>
      <c r="AS128" s="1490"/>
      <c r="AT128" s="1490"/>
      <c r="AU128" s="668"/>
      <c r="AV128" s="1490"/>
      <c r="AW128" s="1490"/>
      <c r="AX128" s="1490"/>
      <c r="AY128" s="1490"/>
      <c r="AZ128" s="1490"/>
      <c r="BA128" s="1756"/>
      <c r="BB128" s="746"/>
      <c r="BC128" s="746"/>
      <c r="BD128" s="746"/>
      <c r="BE128" s="746"/>
      <c r="BF128" s="1765">
        <v>11</v>
      </c>
    </row>
    <row s="6292" customFormat="1" customHeight="1" ht="11.549999999999999">
      <c r="A129" s="1111"/>
      <c r="B129" s="1111"/>
      <c r="C129" s="1111"/>
      <c r="D129" s="1111"/>
      <c r="E129" s="1111"/>
      <c r="F129" s="1760"/>
      <c r="G129" s="1760"/>
      <c r="H129" s="475"/>
      <c r="N129" s="6292"/>
      <c r="O129" s="6292"/>
      <c r="P129" s="6292"/>
      <c r="Q129" s="6292"/>
      <c r="R129" s="6292"/>
      <c r="S129" s="6292"/>
      <c r="T129" s="6292"/>
      <c r="U129" s="6292"/>
      <c r="V129" s="6292"/>
      <c r="W129" s="6292"/>
      <c r="X129" s="6292"/>
      <c r="Y129" s="6292"/>
      <c r="Z129" s="6292"/>
      <c r="AA129" s="6292"/>
      <c r="AB129" s="6292"/>
      <c r="AC129" s="6292"/>
      <c r="AD129" s="6292"/>
      <c r="AE129" s="6292"/>
      <c r="AF129" s="6292"/>
      <c r="AG129" s="6292"/>
      <c r="AH129" s="6292"/>
      <c r="AI129" s="1490"/>
      <c r="AK129" s="1490"/>
      <c r="AL129" s="1760"/>
      <c r="AM129" s="1760"/>
      <c r="AN129" s="1490"/>
      <c r="AO129" s="1490"/>
      <c r="AP129" s="1490"/>
      <c r="AQ129" s="1490"/>
      <c r="AR129" s="1760"/>
      <c r="AS129" s="1490"/>
      <c r="AT129" s="1490"/>
      <c r="AU129" s="668"/>
      <c r="AV129" s="1490"/>
      <c r="AW129" s="1490"/>
      <c r="AX129" s="1490"/>
      <c r="AY129" s="1490"/>
      <c r="AZ129" s="1490"/>
      <c r="BA129" s="1756"/>
      <c r="BB129" s="746"/>
      <c r="BC129" s="746"/>
      <c r="BD129" s="746"/>
      <c r="BE129" s="746"/>
      <c r="BF129" s="1765">
        <v>11</v>
      </c>
    </row>
    <row s="6292" customFormat="1" customHeight="1" ht="11.549999999999999">
      <c r="A130" s="1111"/>
      <c r="B130" s="1111"/>
      <c r="C130" s="1111"/>
      <c r="D130" s="1111"/>
      <c r="E130" s="1111"/>
      <c r="F130" s="1760"/>
      <c r="G130" s="1760"/>
      <c r="H130" s="475"/>
      <c r="N130" s="6292"/>
      <c r="O130" s="6292"/>
      <c r="P130" s="6292"/>
      <c r="Q130" s="6292"/>
      <c r="R130" s="6292"/>
      <c r="S130" s="6292"/>
      <c r="T130" s="6292"/>
      <c r="U130" s="6292"/>
      <c r="V130" s="6292"/>
      <c r="W130" s="6292"/>
      <c r="X130" s="6292"/>
      <c r="Y130" s="6292"/>
      <c r="Z130" s="6292"/>
      <c r="AA130" s="6292"/>
      <c r="AB130" s="6292"/>
      <c r="AC130" s="6292"/>
      <c r="AD130" s="6292"/>
      <c r="AE130" s="6292"/>
      <c r="AF130" s="6292"/>
      <c r="AG130" s="6292"/>
      <c r="AH130" s="6292"/>
      <c r="AI130" s="1490"/>
      <c r="AK130" s="1490"/>
      <c r="AL130" s="1760"/>
      <c r="AM130" s="1760"/>
      <c r="AN130" s="1490"/>
      <c r="AO130" s="1490"/>
      <c r="AP130" s="1490"/>
      <c r="AQ130" s="1490"/>
      <c r="AR130" s="1760"/>
      <c r="AS130" s="1490"/>
      <c r="AT130" s="1490"/>
      <c r="AU130" s="668"/>
      <c r="AV130" s="1490"/>
      <c r="AW130" s="1490"/>
      <c r="AX130" s="1490"/>
      <c r="AY130" s="1490"/>
      <c r="AZ130" s="1490"/>
      <c r="BA130" s="1756"/>
      <c r="BB130" s="746"/>
      <c r="BC130" s="746"/>
      <c r="BD130" s="746"/>
      <c r="BE130" s="746"/>
      <c r="BF130" s="1765">
        <v>11</v>
      </c>
    </row>
    <row s="6292" customFormat="1" customHeight="1" ht="11.549999999999999">
      <c r="A131" s="1111"/>
      <c r="B131" s="1111"/>
      <c r="C131" s="1111"/>
      <c r="D131" s="1111"/>
      <c r="E131" s="1111"/>
      <c r="F131" s="1760"/>
      <c r="G131" s="1760"/>
      <c r="H131" s="475"/>
      <c r="N131" s="6292"/>
      <c r="O131" s="6292"/>
      <c r="P131" s="6292"/>
      <c r="Q131" s="6292"/>
      <c r="R131" s="6292"/>
      <c r="S131" s="6292"/>
      <c r="T131" s="6292"/>
      <c r="U131" s="6292"/>
      <c r="V131" s="6292"/>
      <c r="W131" s="6292"/>
      <c r="X131" s="6292"/>
      <c r="Y131" s="6292"/>
      <c r="Z131" s="6292"/>
      <c r="AA131" s="6292"/>
      <c r="AB131" s="6292"/>
      <c r="AC131" s="6292"/>
      <c r="AD131" s="6292"/>
      <c r="AE131" s="6292"/>
      <c r="AF131" s="6292"/>
      <c r="AG131" s="6292"/>
      <c r="AH131" s="6292"/>
      <c r="AI131" s="1490"/>
      <c r="AK131" s="1490"/>
      <c r="AL131" s="1760"/>
      <c r="AM131" s="1760"/>
      <c r="AN131" s="1490"/>
      <c r="AO131" s="1490"/>
      <c r="AP131" s="1490"/>
      <c r="AQ131" s="1490"/>
      <c r="AR131" s="1760"/>
      <c r="AS131" s="1490"/>
      <c r="AT131" s="1490"/>
      <c r="AU131" s="668"/>
      <c r="AV131" s="1490"/>
      <c r="AW131" s="1490"/>
      <c r="AX131" s="1490"/>
      <c r="AY131" s="1490"/>
      <c r="AZ131" s="1490"/>
      <c r="BA131" s="1756"/>
      <c r="BB131" s="746"/>
      <c r="BC131" s="746"/>
      <c r="BD131" s="746"/>
      <c r="BE131" s="746"/>
      <c r="BF131" s="1765">
        <v>11</v>
      </c>
    </row>
    <row s="6292" customFormat="1" customHeight="1" ht="11.549999999999999">
      <c r="A132" s="1111"/>
      <c r="B132" s="1111"/>
      <c r="C132" s="1111"/>
      <c r="D132" s="1111"/>
      <c r="E132" s="1111"/>
      <c r="F132" s="1760"/>
      <c r="G132" s="1760"/>
      <c r="H132" s="475"/>
      <c r="N132" s="6292"/>
      <c r="O132" s="6292"/>
      <c r="P132" s="6292"/>
      <c r="Q132" s="6292"/>
      <c r="R132" s="6292"/>
      <c r="S132" s="6292"/>
      <c r="T132" s="6292"/>
      <c r="U132" s="6292"/>
      <c r="V132" s="6292"/>
      <c r="W132" s="6292"/>
      <c r="X132" s="6292"/>
      <c r="Y132" s="6292"/>
      <c r="Z132" s="6292"/>
      <c r="AA132" s="6292"/>
      <c r="AB132" s="6292"/>
      <c r="AC132" s="6292"/>
      <c r="AD132" s="6292"/>
      <c r="AE132" s="6292"/>
      <c r="AF132" s="6292"/>
      <c r="AG132" s="6292"/>
      <c r="AH132" s="6292"/>
      <c r="AI132" s="1490"/>
      <c r="AK132" s="1490"/>
      <c r="AL132" s="1760"/>
      <c r="AM132" s="1760"/>
      <c r="AN132" s="1490"/>
      <c r="AO132" s="1490"/>
      <c r="AP132" s="1490"/>
      <c r="AQ132" s="1490"/>
      <c r="AR132" s="1760"/>
      <c r="AS132" s="1490"/>
      <c r="AT132" s="1490"/>
      <c r="AU132" s="668"/>
      <c r="AV132" s="1490"/>
      <c r="AW132" s="1490"/>
      <c r="AX132" s="1490"/>
      <c r="AY132" s="1490"/>
      <c r="AZ132" s="1490"/>
      <c r="BA132" s="1756"/>
      <c r="BB132" s="746"/>
      <c r="BC132" s="746"/>
      <c r="BD132" s="746"/>
      <c r="BE132" s="746"/>
      <c r="BF132" s="1765">
        <v>11</v>
      </c>
    </row>
    <row s="6292" customFormat="1" customHeight="1" ht="11.549999999999999">
      <c r="A133" s="1111"/>
      <c r="B133" s="1111"/>
      <c r="C133" s="1111"/>
      <c r="D133" s="1111"/>
      <c r="E133" s="1111"/>
      <c r="F133" s="1760"/>
      <c r="G133" s="1760"/>
      <c r="H133" s="475"/>
      <c r="N133" s="6292"/>
      <c r="O133" s="6292"/>
      <c r="P133" s="6292"/>
      <c r="Q133" s="6292"/>
      <c r="R133" s="6292"/>
      <c r="S133" s="6292"/>
      <c r="T133" s="6292"/>
      <c r="U133" s="6292"/>
      <c r="V133" s="6292"/>
      <c r="W133" s="6292"/>
      <c r="X133" s="6292"/>
      <c r="Y133" s="6292"/>
      <c r="Z133" s="6292"/>
      <c r="AA133" s="6292"/>
      <c r="AB133" s="6292"/>
      <c r="AC133" s="6292"/>
      <c r="AD133" s="6292"/>
      <c r="AE133" s="6292"/>
      <c r="AF133" s="6292"/>
      <c r="AG133" s="6292"/>
      <c r="AH133" s="6292"/>
      <c r="AI133" s="1490"/>
      <c r="AK133" s="1490"/>
      <c r="AL133" s="1760"/>
      <c r="AM133" s="1760"/>
      <c r="AN133" s="1490"/>
      <c r="AO133" s="1490"/>
      <c r="AP133" s="1490"/>
      <c r="AQ133" s="1490"/>
      <c r="AR133" s="1760"/>
      <c r="AS133" s="1490"/>
      <c r="AT133" s="1490"/>
      <c r="AU133" s="668"/>
      <c r="AV133" s="1490"/>
      <c r="AW133" s="1490"/>
      <c r="AX133" s="1490"/>
      <c r="AY133" s="1490"/>
      <c r="AZ133" s="1490"/>
      <c r="BA133" s="1756"/>
      <c r="BB133" s="746"/>
      <c r="BC133" s="746"/>
      <c r="BD133" s="746"/>
      <c r="BE133" s="746"/>
      <c r="BF133" s="1765">
        <v>11</v>
      </c>
    </row>
    <row s="6292" customFormat="1" customHeight="1" ht="11.549999999999999">
      <c r="A134" s="1111"/>
      <c r="B134" s="1111"/>
      <c r="C134" s="1111"/>
      <c r="D134" s="1111"/>
      <c r="E134" s="1111"/>
      <c r="F134" s="1760"/>
      <c r="G134" s="1760"/>
      <c r="H134" s="475"/>
      <c r="N134" s="6292"/>
      <c r="O134" s="6292"/>
      <c r="P134" s="6292"/>
      <c r="Q134" s="6292"/>
      <c r="R134" s="6292"/>
      <c r="S134" s="6292"/>
      <c r="T134" s="6292"/>
      <c r="U134" s="6292"/>
      <c r="V134" s="6292"/>
      <c r="W134" s="6292"/>
      <c r="X134" s="6292"/>
      <c r="Y134" s="6292"/>
      <c r="Z134" s="6292"/>
      <c r="AA134" s="6292"/>
      <c r="AB134" s="6292"/>
      <c r="AC134" s="6292"/>
      <c r="AD134" s="6292"/>
      <c r="AE134" s="6292"/>
      <c r="AF134" s="6292"/>
      <c r="AG134" s="6292"/>
      <c r="AH134" s="6292"/>
      <c r="AI134" s="1490"/>
      <c r="AK134" s="1490"/>
      <c r="AL134" s="1760"/>
      <c r="AM134" s="1760"/>
      <c r="AN134" s="1490"/>
      <c r="AO134" s="1490"/>
      <c r="AP134" s="1490"/>
      <c r="AQ134" s="1490"/>
      <c r="AR134" s="1760"/>
      <c r="AS134" s="1490"/>
      <c r="AT134" s="1490"/>
      <c r="AU134" s="668"/>
      <c r="AV134" s="1490"/>
      <c r="AW134" s="1490"/>
      <c r="AX134" s="1490"/>
      <c r="AY134" s="1490"/>
      <c r="AZ134" s="1490"/>
      <c r="BA134" s="1756"/>
      <c r="BB134" s="746"/>
      <c r="BC134" s="746"/>
      <c r="BD134" s="746"/>
      <c r="BE134" s="746"/>
      <c r="BF134" s="1765">
        <v>11</v>
      </c>
    </row>
    <row s="6292" customFormat="1" customHeight="1" ht="11.549999999999999">
      <c r="A135" s="1111"/>
      <c r="B135" s="1111"/>
      <c r="C135" s="1111"/>
      <c r="D135" s="1111"/>
      <c r="E135" s="1111"/>
      <c r="F135" s="1760"/>
      <c r="G135" s="1760"/>
      <c r="H135" s="475"/>
      <c r="N135" s="6292"/>
      <c r="O135" s="6292"/>
      <c r="P135" s="6292"/>
      <c r="Q135" s="6292"/>
      <c r="R135" s="6292"/>
      <c r="S135" s="6292"/>
      <c r="T135" s="6292"/>
      <c r="U135" s="6292"/>
      <c r="V135" s="6292"/>
      <c r="W135" s="6292"/>
      <c r="X135" s="6292"/>
      <c r="Y135" s="6292"/>
      <c r="Z135" s="6292"/>
      <c r="AA135" s="6292"/>
      <c r="AB135" s="6292"/>
      <c r="AC135" s="6292"/>
      <c r="AD135" s="6292"/>
      <c r="AE135" s="6292"/>
      <c r="AF135" s="6292"/>
      <c r="AG135" s="6292"/>
      <c r="AH135" s="6292"/>
      <c r="AI135" s="1490"/>
      <c r="AK135" s="1490"/>
      <c r="AL135" s="1760"/>
      <c r="AM135" s="1760"/>
      <c r="AN135" s="1490"/>
      <c r="AO135" s="1490"/>
      <c r="AP135" s="1490"/>
      <c r="AQ135" s="1490"/>
      <c r="AR135" s="1760"/>
      <c r="AS135" s="1490"/>
      <c r="AT135" s="1490"/>
      <c r="AU135" s="668"/>
      <c r="AV135" s="1490"/>
      <c r="AW135" s="1490"/>
      <c r="AX135" s="1490"/>
      <c r="AY135" s="1490"/>
      <c r="AZ135" s="1490"/>
      <c r="BA135" s="1756"/>
      <c r="BB135" s="746"/>
      <c r="BC135" s="746"/>
      <c r="BD135" s="746"/>
      <c r="BE135" s="746"/>
      <c r="BF135" s="1765">
        <v>11</v>
      </c>
    </row>
    <row s="6292" customFormat="1" customHeight="1" ht="11.549999999999999">
      <c r="A136" s="1111"/>
      <c r="B136" s="1111"/>
      <c r="C136" s="1111"/>
      <c r="D136" s="1111"/>
      <c r="E136" s="1111"/>
      <c r="F136" s="1760"/>
      <c r="G136" s="1760"/>
      <c r="H136" s="475"/>
      <c r="N136" s="6292"/>
      <c r="O136" s="6292"/>
      <c r="P136" s="6292"/>
      <c r="Q136" s="6292"/>
      <c r="R136" s="6292"/>
      <c r="S136" s="6292"/>
      <c r="T136" s="6292"/>
      <c r="U136" s="6292"/>
      <c r="V136" s="6292"/>
      <c r="W136" s="6292"/>
      <c r="X136" s="6292"/>
      <c r="Y136" s="6292"/>
      <c r="Z136" s="6292"/>
      <c r="AA136" s="6292"/>
      <c r="AB136" s="6292"/>
      <c r="AC136" s="6292"/>
      <c r="AD136" s="6292"/>
      <c r="AE136" s="6292"/>
      <c r="AF136" s="6292"/>
      <c r="AG136" s="6292"/>
      <c r="AH136" s="6292"/>
      <c r="AI136" s="1490"/>
      <c r="AK136" s="1490"/>
      <c r="AL136" s="1760"/>
      <c r="AM136" s="1760"/>
      <c r="AN136" s="1490"/>
      <c r="AO136" s="1490"/>
      <c r="AP136" s="1490"/>
      <c r="AQ136" s="1490"/>
      <c r="AR136" s="1760"/>
      <c r="AS136" s="1490"/>
      <c r="AT136" s="1490"/>
      <c r="AU136" s="668"/>
      <c r="AV136" s="1490"/>
      <c r="AW136" s="1490"/>
      <c r="AX136" s="1490"/>
      <c r="AY136" s="1490"/>
      <c r="AZ136" s="1490"/>
      <c r="BA136" s="1756"/>
      <c r="BB136" s="746"/>
      <c r="BC136" s="746"/>
      <c r="BD136" s="746"/>
      <c r="BE136" s="746"/>
      <c r="BF136" s="1765">
        <v>11</v>
      </c>
    </row>
    <row s="6292" customFormat="1" customHeight="1" ht="11.549999999999999">
      <c r="A137" s="1111"/>
      <c r="B137" s="1111"/>
      <c r="C137" s="1111"/>
      <c r="D137" s="1111"/>
      <c r="E137" s="1111"/>
      <c r="F137" s="1760"/>
      <c r="G137" s="1760"/>
      <c r="H137" s="475"/>
      <c r="N137" s="6292"/>
      <c r="O137" s="6292"/>
      <c r="P137" s="6292"/>
      <c r="Q137" s="6292"/>
      <c r="R137" s="6292"/>
      <c r="S137" s="6292"/>
      <c r="T137" s="6292"/>
      <c r="U137" s="6292"/>
      <c r="V137" s="6292"/>
      <c r="W137" s="6292"/>
      <c r="X137" s="6292"/>
      <c r="Y137" s="6292"/>
      <c r="Z137" s="6292"/>
      <c r="AA137" s="6292"/>
      <c r="AB137" s="6292"/>
      <c r="AC137" s="6292"/>
      <c r="AD137" s="6292"/>
      <c r="AE137" s="6292"/>
      <c r="AF137" s="6292"/>
      <c r="AG137" s="6292"/>
      <c r="AH137" s="6292"/>
      <c r="AI137" s="1490"/>
      <c r="AK137" s="1490"/>
      <c r="AL137" s="1760"/>
      <c r="AM137" s="1760"/>
      <c r="AN137" s="1490"/>
      <c r="AO137" s="1490"/>
      <c r="AP137" s="1490"/>
      <c r="AQ137" s="1490"/>
      <c r="AR137" s="1760"/>
      <c r="AS137" s="1490"/>
      <c r="AT137" s="1490"/>
      <c r="AU137" s="668"/>
      <c r="AV137" s="1490"/>
      <c r="AW137" s="1490"/>
      <c r="AX137" s="1490"/>
      <c r="AY137" s="1490"/>
      <c r="AZ137" s="1490"/>
      <c r="BA137" s="1756"/>
      <c r="BB137" s="746"/>
      <c r="BC137" s="746"/>
      <c r="BD137" s="746"/>
      <c r="BE137" s="746"/>
      <c r="BF137" s="1765">
        <v>11</v>
      </c>
    </row>
    <row s="6292" customFormat="1" customHeight="1" ht="11.549999999999999">
      <c r="A138" s="1111"/>
      <c r="B138" s="1111"/>
      <c r="C138" s="1111"/>
      <c r="D138" s="1111"/>
      <c r="E138" s="1111"/>
      <c r="F138" s="1760"/>
      <c r="G138" s="1760"/>
      <c r="H138" s="475"/>
      <c r="N138" s="6292"/>
      <c r="O138" s="6292"/>
      <c r="P138" s="6292"/>
      <c r="Q138" s="6292"/>
      <c r="R138" s="6292"/>
      <c r="S138" s="6292"/>
      <c r="T138" s="6292"/>
      <c r="U138" s="6292"/>
      <c r="V138" s="6292"/>
      <c r="W138" s="6292"/>
      <c r="X138" s="6292"/>
      <c r="Y138" s="6292"/>
      <c r="Z138" s="6292"/>
      <c r="AA138" s="6292"/>
      <c r="AB138" s="6292"/>
      <c r="AC138" s="6292"/>
      <c r="AD138" s="6292"/>
      <c r="AE138" s="6292"/>
      <c r="AF138" s="6292"/>
      <c r="AG138" s="6292"/>
      <c r="AH138" s="6292"/>
      <c r="AI138" s="1490"/>
      <c r="AK138" s="1490"/>
      <c r="AL138" s="1760"/>
      <c r="AM138" s="1760"/>
      <c r="AN138" s="1490"/>
      <c r="AO138" s="1490"/>
      <c r="AP138" s="1490"/>
      <c r="AQ138" s="1490"/>
      <c r="AR138" s="1760"/>
      <c r="AS138" s="1490"/>
      <c r="AT138" s="1490"/>
      <c r="AU138" s="668"/>
      <c r="AV138" s="1490"/>
      <c r="AW138" s="1490"/>
      <c r="AX138" s="1490"/>
      <c r="AY138" s="1490"/>
      <c r="AZ138" s="1490"/>
      <c r="BA138" s="1756"/>
      <c r="BB138" s="746"/>
      <c r="BC138" s="746"/>
      <c r="BD138" s="746"/>
      <c r="BE138" s="746"/>
      <c r="BF138" s="1765">
        <v>11</v>
      </c>
    </row>
    <row s="6292" customFormat="1" customHeight="1" ht="11.549999999999999">
      <c r="A139" s="1111"/>
      <c r="B139" s="1111"/>
      <c r="C139" s="1111"/>
      <c r="D139" s="1111"/>
      <c r="E139" s="1111"/>
      <c r="F139" s="1760"/>
      <c r="G139" s="1760"/>
      <c r="H139" s="475"/>
      <c r="N139" s="6292"/>
      <c r="O139" s="6292"/>
      <c r="P139" s="6292"/>
      <c r="Q139" s="6292"/>
      <c r="R139" s="6292"/>
      <c r="S139" s="6292"/>
      <c r="T139" s="6292"/>
      <c r="U139" s="6292"/>
      <c r="V139" s="6292"/>
      <c r="W139" s="6292"/>
      <c r="X139" s="6292"/>
      <c r="Y139" s="6292"/>
      <c r="Z139" s="6292"/>
      <c r="AA139" s="6292"/>
      <c r="AB139" s="6292"/>
      <c r="AC139" s="6292"/>
      <c r="AD139" s="6292"/>
      <c r="AE139" s="6292"/>
      <c r="AF139" s="6292"/>
      <c r="AG139" s="6292"/>
      <c r="AH139" s="6292"/>
      <c r="AI139" s="1490"/>
      <c r="AK139" s="1490"/>
      <c r="AL139" s="1760"/>
      <c r="AM139" s="1760"/>
      <c r="AN139" s="1490"/>
      <c r="AO139" s="1490"/>
      <c r="AP139" s="1490"/>
      <c r="AQ139" s="1490"/>
      <c r="AR139" s="1760"/>
      <c r="AS139" s="1490"/>
      <c r="AT139" s="1490"/>
      <c r="AU139" s="668"/>
      <c r="AV139" s="1490"/>
      <c r="AW139" s="1490"/>
      <c r="AX139" s="1490"/>
      <c r="AY139" s="1490"/>
      <c r="AZ139" s="1490"/>
      <c r="BA139" s="1756"/>
      <c r="BB139" s="746"/>
      <c r="BC139" s="746"/>
      <c r="BD139" s="746"/>
      <c r="BE139" s="746"/>
      <c r="BF139" s="1765">
        <v>11</v>
      </c>
    </row>
    <row s="6292" customFormat="1" customHeight="1" ht="11.549999999999999">
      <c r="A140" s="1111"/>
      <c r="B140" s="1111"/>
      <c r="C140" s="1111"/>
      <c r="D140" s="1111"/>
      <c r="E140" s="1111"/>
      <c r="F140" s="1760"/>
      <c r="G140" s="1760"/>
      <c r="H140" s="475"/>
      <c r="N140" s="6292"/>
      <c r="O140" s="6292"/>
      <c r="P140" s="6292"/>
      <c r="Q140" s="6292"/>
      <c r="R140" s="6292"/>
      <c r="S140" s="6292"/>
      <c r="T140" s="6292"/>
      <c r="U140" s="6292"/>
      <c r="V140" s="6292"/>
      <c r="W140" s="6292"/>
      <c r="X140" s="6292"/>
      <c r="Y140" s="6292"/>
      <c r="Z140" s="6292"/>
      <c r="AA140" s="6292"/>
      <c r="AB140" s="6292"/>
      <c r="AC140" s="6292"/>
      <c r="AD140" s="6292"/>
      <c r="AE140" s="6292"/>
      <c r="AF140" s="6292"/>
      <c r="AG140" s="6292"/>
      <c r="AH140" s="6292"/>
      <c r="AI140" s="1490"/>
      <c r="AK140" s="1490"/>
      <c r="AL140" s="1760"/>
      <c r="AM140" s="1760"/>
      <c r="AN140" s="1490"/>
      <c r="AO140" s="1490"/>
      <c r="AP140" s="1490"/>
      <c r="AQ140" s="1490"/>
      <c r="AR140" s="1760"/>
      <c r="AS140" s="1490"/>
      <c r="AT140" s="1490"/>
      <c r="AU140" s="668"/>
      <c r="AV140" s="1490"/>
      <c r="AW140" s="1490"/>
      <c r="AX140" s="1490"/>
      <c r="AY140" s="1490"/>
      <c r="AZ140" s="1490"/>
      <c r="BA140" s="1756"/>
      <c r="BB140" s="746"/>
      <c r="BC140" s="746"/>
      <c r="BD140" s="746"/>
      <c r="BE140" s="746"/>
      <c r="BF140" s="1765">
        <v>11</v>
      </c>
    </row>
    <row s="6292" customFormat="1" customHeight="1" ht="11.549999999999999">
      <c r="A141" s="1111"/>
      <c r="B141" s="1111"/>
      <c r="C141" s="1111"/>
      <c r="D141" s="1111"/>
      <c r="E141" s="1111"/>
      <c r="F141" s="1760"/>
      <c r="G141" s="1760"/>
      <c r="H141" s="475"/>
      <c r="N141" s="6292"/>
      <c r="O141" s="6292"/>
      <c r="P141" s="6292"/>
      <c r="Q141" s="6292"/>
      <c r="R141" s="6292"/>
      <c r="S141" s="6292"/>
      <c r="T141" s="6292"/>
      <c r="U141" s="6292"/>
      <c r="V141" s="6292"/>
      <c r="W141" s="6292"/>
      <c r="X141" s="6292"/>
      <c r="Y141" s="6292"/>
      <c r="Z141" s="6292"/>
      <c r="AA141" s="6292"/>
      <c r="AB141" s="6292"/>
      <c r="AC141" s="6292"/>
      <c r="AD141" s="6292"/>
      <c r="AE141" s="6292"/>
      <c r="AF141" s="6292"/>
      <c r="AG141" s="6292"/>
      <c r="AH141" s="6292"/>
      <c r="AI141" s="1490"/>
      <c r="AK141" s="1490"/>
      <c r="AL141" s="1760"/>
      <c r="AM141" s="1760"/>
      <c r="AN141" s="1490"/>
      <c r="AO141" s="1490"/>
      <c r="AP141" s="1490"/>
      <c r="AQ141" s="1490"/>
      <c r="AR141" s="1760"/>
      <c r="AS141" s="1490"/>
      <c r="AT141" s="1490"/>
      <c r="AU141" s="668"/>
      <c r="AV141" s="1490"/>
      <c r="AW141" s="1490"/>
      <c r="AX141" s="1490"/>
      <c r="AY141" s="1490"/>
      <c r="AZ141" s="1490"/>
      <c r="BA141" s="1756"/>
      <c r="BB141" s="746"/>
      <c r="BC141" s="746"/>
      <c r="BD141" s="746"/>
      <c r="BE141" s="746"/>
      <c r="BF141" s="1765">
        <v>11</v>
      </c>
    </row>
    <row s="6292" customFormat="1" customHeight="1" ht="11.549999999999999">
      <c r="A142" s="1111"/>
      <c r="B142" s="1111"/>
      <c r="C142" s="1111"/>
      <c r="D142" s="1111"/>
      <c r="E142" s="1111"/>
      <c r="F142" s="1760"/>
      <c r="G142" s="1760"/>
      <c r="H142" s="475"/>
      <c r="N142" s="6292"/>
      <c r="O142" s="6292"/>
      <c r="P142" s="6292"/>
      <c r="Q142" s="6292"/>
      <c r="R142" s="6292"/>
      <c r="S142" s="6292"/>
      <c r="T142" s="6292"/>
      <c r="U142" s="6292"/>
      <c r="V142" s="6292"/>
      <c r="W142" s="6292"/>
      <c r="X142" s="6292"/>
      <c r="Y142" s="6292"/>
      <c r="Z142" s="6292"/>
      <c r="AA142" s="6292"/>
      <c r="AB142" s="6292"/>
      <c r="AC142" s="6292"/>
      <c r="AD142" s="6292"/>
      <c r="AE142" s="6292"/>
      <c r="AF142" s="6292"/>
      <c r="AG142" s="6292"/>
      <c r="AH142" s="6292"/>
      <c r="AI142" s="1490"/>
      <c r="AK142" s="1490"/>
      <c r="AL142" s="1760"/>
      <c r="AM142" s="1760"/>
      <c r="AN142" s="1490"/>
      <c r="AO142" s="1490"/>
      <c r="AP142" s="1490"/>
      <c r="AQ142" s="1490"/>
      <c r="AR142" s="1760"/>
      <c r="AS142" s="1490"/>
      <c r="AT142" s="1490"/>
      <c r="AU142" s="668"/>
      <c r="AV142" s="1490"/>
      <c r="AW142" s="1490"/>
      <c r="AX142" s="1490"/>
      <c r="AY142" s="1490"/>
      <c r="AZ142" s="1490"/>
      <c r="BA142" s="1756"/>
      <c r="BB142" s="746"/>
      <c r="BC142" s="746"/>
      <c r="BD142" s="746"/>
      <c r="BE142" s="746"/>
      <c r="BF142" s="1765">
        <v>11</v>
      </c>
    </row>
    <row s="6292" customFormat="1" customHeight="1" ht="11.549999999999999">
      <c r="A143" s="1111"/>
      <c r="B143" s="1111"/>
      <c r="C143" s="1111"/>
      <c r="D143" s="1111"/>
      <c r="E143" s="1111"/>
      <c r="F143" s="1760"/>
      <c r="G143" s="1760"/>
      <c r="H143" s="475"/>
      <c r="N143" s="6292"/>
      <c r="O143" s="6292"/>
      <c r="P143" s="6292"/>
      <c r="Q143" s="6292"/>
      <c r="R143" s="6292"/>
      <c r="S143" s="6292"/>
      <c r="T143" s="6292"/>
      <c r="U143" s="6292"/>
      <c r="V143" s="6292"/>
      <c r="W143" s="6292"/>
      <c r="X143" s="6292"/>
      <c r="Y143" s="6292"/>
      <c r="Z143" s="6292"/>
      <c r="AA143" s="6292"/>
      <c r="AB143" s="6292"/>
      <c r="AC143" s="6292"/>
      <c r="AD143" s="6292"/>
      <c r="AE143" s="6292"/>
      <c r="AF143" s="6292"/>
      <c r="AG143" s="6292"/>
      <c r="AH143" s="6292"/>
      <c r="AI143" s="1490"/>
      <c r="AK143" s="1490"/>
      <c r="AL143" s="1760"/>
      <c r="AM143" s="1760"/>
      <c r="AN143" s="1490"/>
      <c r="AO143" s="1490"/>
      <c r="AP143" s="1490"/>
      <c r="AQ143" s="1490"/>
      <c r="AR143" s="1760"/>
      <c r="AS143" s="1490"/>
      <c r="AT143" s="1490"/>
      <c r="AU143" s="668"/>
      <c r="AV143" s="1490"/>
      <c r="AW143" s="1490"/>
      <c r="AX143" s="1490"/>
      <c r="AY143" s="1490"/>
      <c r="AZ143" s="1490"/>
      <c r="BA143" s="1756"/>
      <c r="BB143" s="746"/>
      <c r="BC143" s="746"/>
      <c r="BD143" s="746"/>
      <c r="BE143" s="746"/>
      <c r="BF143" s="1765">
        <v>11</v>
      </c>
    </row>
    <row s="6292" customFormat="1" customHeight="1" ht="11.549999999999999">
      <c r="A144" s="1111"/>
      <c r="B144" s="1111"/>
      <c r="C144" s="1111"/>
      <c r="D144" s="1111"/>
      <c r="E144" s="1111"/>
      <c r="F144" s="1760"/>
      <c r="G144" s="1760"/>
      <c r="H144" s="475"/>
      <c r="N144" s="6292"/>
      <c r="O144" s="6292"/>
      <c r="P144" s="6292"/>
      <c r="Q144" s="6292"/>
      <c r="R144" s="6292"/>
      <c r="S144" s="6292"/>
      <c r="T144" s="6292"/>
      <c r="U144" s="6292"/>
      <c r="V144" s="6292"/>
      <c r="W144" s="6292"/>
      <c r="X144" s="6292"/>
      <c r="Y144" s="6292"/>
      <c r="Z144" s="6292"/>
      <c r="AA144" s="6292"/>
      <c r="AB144" s="6292"/>
      <c r="AC144" s="6292"/>
      <c r="AD144" s="6292"/>
      <c r="AE144" s="6292"/>
      <c r="AF144" s="6292"/>
      <c r="AG144" s="6292"/>
      <c r="AH144" s="6292"/>
      <c r="AI144" s="1490"/>
      <c r="AK144" s="1490"/>
      <c r="AL144" s="1760"/>
      <c r="AM144" s="1760"/>
      <c r="AN144" s="1490"/>
      <c r="AO144" s="1490"/>
      <c r="AP144" s="1490"/>
      <c r="AQ144" s="1490"/>
      <c r="AR144" s="1760"/>
      <c r="AS144" s="1490"/>
      <c r="AT144" s="1490"/>
      <c r="AU144" s="668"/>
      <c r="AV144" s="1490"/>
      <c r="AW144" s="1490"/>
      <c r="AX144" s="1490"/>
      <c r="AY144" s="1490"/>
      <c r="AZ144" s="1490"/>
      <c r="BA144" s="1756"/>
      <c r="BB144" s="746"/>
      <c r="BC144" s="746"/>
      <c r="BD144" s="746"/>
      <c r="BE144" s="746"/>
      <c r="BF144" s="1765">
        <v>11</v>
      </c>
    </row>
    <row s="6292" customFormat="1" customHeight="1" ht="11.549999999999999">
      <c r="A145" s="1111"/>
      <c r="B145" s="1111"/>
      <c r="C145" s="1111"/>
      <c r="D145" s="1111"/>
      <c r="E145" s="1111"/>
      <c r="F145" s="1760"/>
      <c r="G145" s="1760"/>
      <c r="H145" s="475"/>
      <c r="N145" s="6292"/>
      <c r="O145" s="6292"/>
      <c r="P145" s="6292"/>
      <c r="Q145" s="6292"/>
      <c r="R145" s="6292"/>
      <c r="S145" s="6292"/>
      <c r="T145" s="6292"/>
      <c r="U145" s="6292"/>
      <c r="V145" s="6292"/>
      <c r="W145" s="6292"/>
      <c r="X145" s="6292"/>
      <c r="Y145" s="6292"/>
      <c r="Z145" s="6292"/>
      <c r="AA145" s="6292"/>
      <c r="AB145" s="6292"/>
      <c r="AC145" s="6292"/>
      <c r="AD145" s="6292"/>
      <c r="AE145" s="6292"/>
      <c r="AF145" s="6292"/>
      <c r="AG145" s="6292"/>
      <c r="AH145" s="6292"/>
      <c r="AI145" s="1490"/>
      <c r="AK145" s="1490"/>
      <c r="AL145" s="1760"/>
      <c r="AM145" s="1760"/>
      <c r="AN145" s="1490"/>
      <c r="AO145" s="1490"/>
      <c r="AP145" s="1490"/>
      <c r="AQ145" s="1490"/>
      <c r="AR145" s="1760"/>
      <c r="AS145" s="1490"/>
      <c r="AT145" s="1490"/>
      <c r="AU145" s="668"/>
      <c r="AV145" s="1490"/>
      <c r="AW145" s="1490"/>
      <c r="AX145" s="1490"/>
      <c r="AY145" s="1490"/>
      <c r="AZ145" s="1490"/>
      <c r="BA145" s="1756"/>
      <c r="BB145" s="746"/>
      <c r="BC145" s="746"/>
      <c r="BD145" s="746"/>
      <c r="BE145" s="746"/>
      <c r="BF145" s="1765">
        <v>11</v>
      </c>
    </row>
    <row s="6292" customFormat="1" customHeight="1" ht="11.549999999999999">
      <c r="A146" s="1111"/>
      <c r="B146" s="1111"/>
      <c r="C146" s="1111"/>
      <c r="D146" s="1111"/>
      <c r="E146" s="1111"/>
      <c r="F146" s="1760"/>
      <c r="G146" s="1760"/>
      <c r="H146" s="475"/>
      <c r="N146" s="6292"/>
      <c r="O146" s="6292"/>
      <c r="P146" s="6292"/>
      <c r="Q146" s="6292"/>
      <c r="R146" s="6292"/>
      <c r="S146" s="6292"/>
      <c r="T146" s="6292"/>
      <c r="U146" s="6292"/>
      <c r="V146" s="6292"/>
      <c r="W146" s="6292"/>
      <c r="X146" s="6292"/>
      <c r="Y146" s="6292"/>
      <c r="Z146" s="6292"/>
      <c r="AA146" s="6292"/>
      <c r="AB146" s="6292"/>
      <c r="AC146" s="6292"/>
      <c r="AD146" s="6292"/>
      <c r="AE146" s="6292"/>
      <c r="AF146" s="6292"/>
      <c r="AG146" s="6292"/>
      <c r="AH146" s="6292"/>
      <c r="AI146" s="1490"/>
      <c r="AK146" s="1490"/>
      <c r="AL146" s="1760"/>
      <c r="AM146" s="1760"/>
      <c r="AN146" s="1490"/>
      <c r="AO146" s="1490"/>
      <c r="AP146" s="1490"/>
      <c r="AQ146" s="1490"/>
      <c r="AR146" s="1760"/>
      <c r="AS146" s="1490"/>
      <c r="AT146" s="1490"/>
      <c r="AU146" s="668"/>
      <c r="AV146" s="1490"/>
      <c r="AW146" s="1490"/>
      <c r="AX146" s="1490"/>
      <c r="AY146" s="1490"/>
      <c r="AZ146" s="1490"/>
      <c r="BA146" s="1756"/>
      <c r="BB146" s="746"/>
      <c r="BC146" s="746"/>
      <c r="BD146" s="746"/>
      <c r="BE146" s="746"/>
      <c r="BF146" s="1765">
        <v>11</v>
      </c>
    </row>
    <row s="6292" customFormat="1" customHeight="1" ht="11.549999999999999">
      <c r="A147" s="1111"/>
      <c r="B147" s="1111"/>
      <c r="C147" s="1111"/>
      <c r="D147" s="1111"/>
      <c r="E147" s="1111"/>
      <c r="F147" s="1760"/>
      <c r="G147" s="1760"/>
      <c r="H147" s="475"/>
      <c r="N147" s="6292"/>
      <c r="O147" s="6292"/>
      <c r="P147" s="6292"/>
      <c r="Q147" s="6292"/>
      <c r="R147" s="6292"/>
      <c r="S147" s="6292"/>
      <c r="T147" s="6292"/>
      <c r="U147" s="6292"/>
      <c r="V147" s="6292"/>
      <c r="W147" s="6292"/>
      <c r="X147" s="6292"/>
      <c r="Y147" s="6292"/>
      <c r="Z147" s="6292"/>
      <c r="AA147" s="6292"/>
      <c r="AB147" s="6292"/>
      <c r="AC147" s="6292"/>
      <c r="AD147" s="6292"/>
      <c r="AE147" s="6292"/>
      <c r="AF147" s="6292"/>
      <c r="AG147" s="6292"/>
      <c r="AH147" s="6292"/>
      <c r="AI147" s="1490"/>
      <c r="AK147" s="1490"/>
      <c r="AL147" s="1760"/>
      <c r="AM147" s="1760"/>
      <c r="AN147" s="1490"/>
      <c r="AO147" s="1490"/>
      <c r="AP147" s="1490"/>
      <c r="AQ147" s="1490"/>
      <c r="AR147" s="1760"/>
      <c r="AS147" s="1490"/>
      <c r="AT147" s="1490"/>
      <c r="AU147" s="668"/>
      <c r="AV147" s="1490"/>
      <c r="AW147" s="1490"/>
      <c r="AX147" s="1490"/>
      <c r="AY147" s="1490"/>
      <c r="AZ147" s="1490"/>
      <c r="BA147" s="1756"/>
      <c r="BB147" s="746"/>
      <c r="BC147" s="746"/>
      <c r="BD147" s="746"/>
      <c r="BE147" s="746"/>
      <c r="BF147" s="1765">
        <v>11</v>
      </c>
    </row>
    <row s="6292" customFormat="1" customHeight="1" ht="11.549999999999999">
      <c r="A148" s="1111"/>
      <c r="B148" s="1111"/>
      <c r="C148" s="1111"/>
      <c r="D148" s="1111"/>
      <c r="E148" s="1111"/>
      <c r="F148" s="1760"/>
      <c r="G148" s="1760"/>
      <c r="H148" s="475"/>
      <c r="N148" s="6292"/>
      <c r="O148" s="6292"/>
      <c r="P148" s="6292"/>
      <c r="Q148" s="6292"/>
      <c r="R148" s="6292"/>
      <c r="S148" s="6292"/>
      <c r="T148" s="6292"/>
      <c r="U148" s="6292"/>
      <c r="V148" s="6292"/>
      <c r="W148" s="6292"/>
      <c r="X148" s="6292"/>
      <c r="Y148" s="6292"/>
      <c r="Z148" s="6292"/>
      <c r="AA148" s="6292"/>
      <c r="AB148" s="6292"/>
      <c r="AC148" s="6292"/>
      <c r="AD148" s="6292"/>
      <c r="AE148" s="6292"/>
      <c r="AF148" s="6292"/>
      <c r="AG148" s="6292"/>
      <c r="AH148" s="6292"/>
      <c r="AI148" s="1490"/>
      <c r="AK148" s="1490"/>
      <c r="AL148" s="1760"/>
      <c r="AM148" s="1760"/>
      <c r="AN148" s="1490"/>
      <c r="AO148" s="1490"/>
      <c r="AP148" s="1490"/>
      <c r="AQ148" s="1490"/>
      <c r="AR148" s="1760"/>
      <c r="AS148" s="1490"/>
      <c r="AT148" s="1490"/>
      <c r="AU148" s="668"/>
      <c r="AV148" s="1490"/>
      <c r="AW148" s="1490"/>
      <c r="AX148" s="1490"/>
      <c r="AY148" s="1490"/>
      <c r="AZ148" s="1490"/>
      <c r="BA148" s="1756"/>
      <c r="BB148" s="746"/>
      <c r="BC148" s="746"/>
      <c r="BD148" s="746"/>
      <c r="BE148" s="746"/>
      <c r="BF148" s="1765">
        <v>11</v>
      </c>
    </row>
    <row s="6292" customFormat="1" customHeight="1" ht="11.549999999999999">
      <c r="A149" s="1111"/>
      <c r="B149" s="1111"/>
      <c r="C149" s="1111"/>
      <c r="D149" s="1111"/>
      <c r="E149" s="1111"/>
      <c r="F149" s="1760"/>
      <c r="G149" s="1760"/>
      <c r="H149" s="475"/>
      <c r="N149" s="6292"/>
      <c r="O149" s="6292"/>
      <c r="P149" s="6292"/>
      <c r="Q149" s="6292"/>
      <c r="R149" s="6292"/>
      <c r="S149" s="6292"/>
      <c r="T149" s="6292"/>
      <c r="U149" s="6292"/>
      <c r="V149" s="6292"/>
      <c r="W149" s="6292"/>
      <c r="X149" s="6292"/>
      <c r="Y149" s="6292"/>
      <c r="Z149" s="6292"/>
      <c r="AA149" s="6292"/>
      <c r="AB149" s="6292"/>
      <c r="AC149" s="6292"/>
      <c r="AD149" s="6292"/>
      <c r="AE149" s="6292"/>
      <c r="AF149" s="6292"/>
      <c r="AG149" s="6292"/>
      <c r="AH149" s="6292"/>
      <c r="AI149" s="1490"/>
      <c r="AK149" s="1490"/>
      <c r="AL149" s="1760"/>
      <c r="AM149" s="1760"/>
      <c r="AN149" s="1490"/>
      <c r="AO149" s="1490"/>
      <c r="AP149" s="1490"/>
      <c r="AQ149" s="1490"/>
      <c r="AR149" s="1760"/>
      <c r="AS149" s="1490"/>
      <c r="AT149" s="1490"/>
      <c r="AU149" s="668"/>
      <c r="AV149" s="1490"/>
      <c r="AW149" s="1490"/>
      <c r="AX149" s="1490"/>
      <c r="AY149" s="1490"/>
      <c r="AZ149" s="1490"/>
      <c r="BA149" s="1756"/>
      <c r="BB149" s="746"/>
      <c r="BC149" s="746"/>
      <c r="BD149" s="746"/>
      <c r="BE149" s="746"/>
      <c r="BF149" s="1765">
        <v>11</v>
      </c>
    </row>
    <row s="6292" customFormat="1" customHeight="1" ht="11.549999999999999">
      <c r="A150" s="1111"/>
      <c r="B150" s="1111"/>
      <c r="C150" s="1111"/>
      <c r="D150" s="1111"/>
      <c r="E150" s="1111"/>
      <c r="F150" s="1760"/>
      <c r="G150" s="1760"/>
      <c r="H150" s="475"/>
      <c r="N150" s="6292"/>
      <c r="O150" s="6292"/>
      <c r="P150" s="6292"/>
      <c r="Q150" s="6292"/>
      <c r="R150" s="6292"/>
      <c r="S150" s="6292"/>
      <c r="T150" s="6292"/>
      <c r="U150" s="6292"/>
      <c r="V150" s="6292"/>
      <c r="W150" s="6292"/>
      <c r="X150" s="6292"/>
      <c r="Y150" s="6292"/>
      <c r="Z150" s="6292"/>
      <c r="AA150" s="6292"/>
      <c r="AB150" s="6292"/>
      <c r="AC150" s="6292"/>
      <c r="AD150" s="6292"/>
      <c r="AE150" s="6292"/>
      <c r="AF150" s="6292"/>
      <c r="AG150" s="6292"/>
      <c r="AH150" s="6292"/>
      <c r="AI150" s="1490"/>
      <c r="AK150" s="1490"/>
      <c r="AL150" s="1760"/>
      <c r="AM150" s="1760"/>
      <c r="AN150" s="1490"/>
      <c r="AO150" s="1490"/>
      <c r="AP150" s="1490"/>
      <c r="AQ150" s="1490"/>
      <c r="AR150" s="1760"/>
      <c r="AS150" s="1490"/>
      <c r="AT150" s="1490"/>
      <c r="AU150" s="668"/>
      <c r="AV150" s="1490"/>
      <c r="AW150" s="1490"/>
      <c r="AX150" s="1490"/>
      <c r="AY150" s="1490"/>
      <c r="AZ150" s="1490"/>
      <c r="BA150" s="1756"/>
      <c r="BB150" s="746"/>
      <c r="BC150" s="746"/>
      <c r="BD150" s="746"/>
      <c r="BE150" s="746"/>
      <c r="BF150" s="1765">
        <v>11</v>
      </c>
    </row>
    <row s="6292" customFormat="1" customHeight="1" ht="11.549999999999999">
      <c r="A151" s="1111"/>
      <c r="B151" s="1111"/>
      <c r="C151" s="1111"/>
      <c r="D151" s="1111"/>
      <c r="E151" s="1111"/>
      <c r="F151" s="1760"/>
      <c r="G151" s="1760"/>
      <c r="H151" s="475"/>
      <c r="N151" s="6292"/>
      <c r="O151" s="6292"/>
      <c r="P151" s="6292"/>
      <c r="Q151" s="6292"/>
      <c r="R151" s="6292"/>
      <c r="S151" s="6292"/>
      <c r="T151" s="6292"/>
      <c r="U151" s="6292"/>
      <c r="V151" s="6292"/>
      <c r="W151" s="6292"/>
      <c r="X151" s="6292"/>
      <c r="Y151" s="6292"/>
      <c r="Z151" s="6292"/>
      <c r="AA151" s="6292"/>
      <c r="AB151" s="6292"/>
      <c r="AC151" s="6292"/>
      <c r="AD151" s="6292"/>
      <c r="AE151" s="6292"/>
      <c r="AF151" s="6292"/>
      <c r="AG151" s="6292"/>
      <c r="AH151" s="6292"/>
      <c r="AI151" s="1490"/>
      <c r="AK151" s="1490"/>
      <c r="AL151" s="1760"/>
      <c r="AM151" s="1760"/>
      <c r="AN151" s="1490"/>
      <c r="AO151" s="1490"/>
      <c r="AP151" s="1490"/>
      <c r="AQ151" s="1490"/>
      <c r="AR151" s="1760"/>
      <c r="AS151" s="1490"/>
      <c r="AT151" s="1490"/>
      <c r="AU151" s="668"/>
      <c r="AV151" s="1490"/>
      <c r="AW151" s="1490"/>
      <c r="AX151" s="1490"/>
      <c r="AY151" s="1490"/>
      <c r="AZ151" s="1490"/>
      <c r="BA151" s="1756"/>
      <c r="BB151" s="746"/>
      <c r="BC151" s="746"/>
      <c r="BD151" s="746"/>
      <c r="BE151" s="746"/>
      <c r="BF151" s="1765">
        <v>11</v>
      </c>
    </row>
    <row s="6292" customFormat="1" customHeight="1" ht="11.549999999999999">
      <c r="A152" s="1111"/>
      <c r="B152" s="1111"/>
      <c r="C152" s="1111"/>
      <c r="D152" s="1111"/>
      <c r="E152" s="1111"/>
      <c r="F152" s="1760"/>
      <c r="G152" s="1760"/>
      <c r="H152" s="475"/>
      <c r="N152" s="6292"/>
      <c r="O152" s="6292"/>
      <c r="P152" s="6292"/>
      <c r="Q152" s="6292"/>
      <c r="R152" s="6292"/>
      <c r="S152" s="6292"/>
      <c r="T152" s="6292"/>
      <c r="U152" s="6292"/>
      <c r="V152" s="6292"/>
      <c r="W152" s="6292"/>
      <c r="X152" s="6292"/>
      <c r="Y152" s="6292"/>
      <c r="Z152" s="6292"/>
      <c r="AA152" s="6292"/>
      <c r="AB152" s="6292"/>
      <c r="AC152" s="6292"/>
      <c r="AD152" s="6292"/>
      <c r="AE152" s="6292"/>
      <c r="AF152" s="6292"/>
      <c r="AG152" s="6292"/>
      <c r="AH152" s="6292"/>
      <c r="AI152" s="1490"/>
      <c r="AK152" s="1490"/>
      <c r="AL152" s="1760"/>
      <c r="AM152" s="1760"/>
      <c r="AN152" s="1490"/>
      <c r="AO152" s="1490"/>
      <c r="AP152" s="1490"/>
      <c r="AQ152" s="1490"/>
      <c r="AR152" s="1760"/>
      <c r="AS152" s="1490"/>
      <c r="AT152" s="1490"/>
      <c r="AU152" s="668"/>
      <c r="AV152" s="1490"/>
      <c r="AW152" s="1490"/>
      <c r="AX152" s="1490"/>
      <c r="AY152" s="1490"/>
      <c r="AZ152" s="1490"/>
      <c r="BA152" s="1756"/>
      <c r="BB152" s="746"/>
      <c r="BC152" s="746"/>
      <c r="BD152" s="746"/>
      <c r="BE152" s="746"/>
      <c r="BF152" s="1765">
        <v>11</v>
      </c>
    </row>
    <row s="6292" customFormat="1" customHeight="1" ht="11.549999999999999">
      <c r="A153" s="1111"/>
      <c r="B153" s="1111"/>
      <c r="C153" s="1111"/>
      <c r="D153" s="1111"/>
      <c r="E153" s="1111"/>
      <c r="F153" s="1760"/>
      <c r="G153" s="1760"/>
      <c r="H153" s="475"/>
      <c r="N153" s="6292"/>
      <c r="O153" s="6292"/>
      <c r="P153" s="6292"/>
      <c r="Q153" s="6292"/>
      <c r="R153" s="6292"/>
      <c r="S153" s="6292"/>
      <c r="T153" s="6292"/>
      <c r="U153" s="6292"/>
      <c r="V153" s="6292"/>
      <c r="W153" s="6292"/>
      <c r="X153" s="6292"/>
      <c r="Y153" s="6292"/>
      <c r="Z153" s="6292"/>
      <c r="AA153" s="6292"/>
      <c r="AB153" s="6292"/>
      <c r="AC153" s="6292"/>
      <c r="AD153" s="6292"/>
      <c r="AE153" s="6292"/>
      <c r="AF153" s="6292"/>
      <c r="AG153" s="6292"/>
      <c r="AH153" s="6292"/>
      <c r="AI153" s="1490"/>
      <c r="AK153" s="1490"/>
      <c r="AL153" s="1760"/>
      <c r="AM153" s="1760"/>
      <c r="AN153" s="1490"/>
      <c r="AO153" s="1490"/>
      <c r="AP153" s="1490"/>
      <c r="AQ153" s="1490"/>
      <c r="AR153" s="1760"/>
      <c r="AS153" s="1490"/>
      <c r="AT153" s="1490"/>
      <c r="AU153" s="668"/>
      <c r="AV153" s="1490"/>
      <c r="AW153" s="1490"/>
      <c r="AX153" s="1490"/>
      <c r="AY153" s="1490"/>
      <c r="AZ153" s="1490"/>
      <c r="BA153" s="1756"/>
      <c r="BB153" s="746"/>
      <c r="BC153" s="746"/>
      <c r="BD153" s="746"/>
      <c r="BE153" s="746"/>
      <c r="BF153" s="1765">
        <v>11</v>
      </c>
    </row>
    <row s="6292" customFormat="1" customHeight="1" ht="11.549999999999999">
      <c r="A154" s="1111"/>
      <c r="B154" s="1111"/>
      <c r="C154" s="1111"/>
      <c r="D154" s="1111"/>
      <c r="E154" s="1111"/>
      <c r="F154" s="1760"/>
      <c r="G154" s="1760"/>
      <c r="H154" s="475"/>
      <c r="N154" s="6292"/>
      <c r="O154" s="6292"/>
      <c r="P154" s="6292"/>
      <c r="Q154" s="6292"/>
      <c r="R154" s="6292"/>
      <c r="S154" s="6292"/>
      <c r="T154" s="6292"/>
      <c r="U154" s="6292"/>
      <c r="V154" s="6292"/>
      <c r="W154" s="6292"/>
      <c r="X154" s="6292"/>
      <c r="Y154" s="6292"/>
      <c r="Z154" s="6292"/>
      <c r="AA154" s="6292"/>
      <c r="AB154" s="6292"/>
      <c r="AC154" s="6292"/>
      <c r="AD154" s="6292"/>
      <c r="AE154" s="6292"/>
      <c r="AF154" s="6292"/>
      <c r="AG154" s="6292"/>
      <c r="AH154" s="6292"/>
      <c r="AI154" s="1490"/>
      <c r="AK154" s="1490"/>
      <c r="AL154" s="1760"/>
      <c r="AM154" s="1760"/>
      <c r="AN154" s="1490"/>
      <c r="AO154" s="1490"/>
      <c r="AP154" s="1490"/>
      <c r="AQ154" s="1490"/>
      <c r="AR154" s="1760"/>
      <c r="AS154" s="1490"/>
      <c r="AT154" s="1490"/>
      <c r="AU154" s="668"/>
      <c r="AV154" s="1490"/>
      <c r="AW154" s="1490"/>
      <c r="AX154" s="1490"/>
      <c r="AY154" s="1490"/>
      <c r="AZ154" s="1490"/>
      <c r="BA154" s="1756"/>
      <c r="BB154" s="746"/>
      <c r="BC154" s="746"/>
      <c r="BD154" s="746"/>
      <c r="BE154" s="746"/>
      <c r="BF154" s="1765">
        <v>11</v>
      </c>
    </row>
    <row s="6292" customFormat="1" customHeight="1" ht="11.549999999999999">
      <c r="A155" s="1111"/>
      <c r="B155" s="1111"/>
      <c r="C155" s="1111"/>
      <c r="D155" s="1111"/>
      <c r="E155" s="1111"/>
      <c r="F155" s="1760"/>
      <c r="G155" s="1760"/>
      <c r="H155" s="475"/>
      <c r="N155" s="6292"/>
      <c r="O155" s="6292"/>
      <c r="P155" s="6292"/>
      <c r="Q155" s="6292"/>
      <c r="R155" s="6292"/>
      <c r="S155" s="6292"/>
      <c r="T155" s="6292"/>
      <c r="U155" s="6292"/>
      <c r="V155" s="6292"/>
      <c r="W155" s="6292"/>
      <c r="X155" s="6292"/>
      <c r="Y155" s="6292"/>
      <c r="Z155" s="6292"/>
      <c r="AA155" s="6292"/>
      <c r="AB155" s="6292"/>
      <c r="AC155" s="6292"/>
      <c r="AD155" s="6292"/>
      <c r="AE155" s="6292"/>
      <c r="AF155" s="6292"/>
      <c r="AG155" s="6292"/>
      <c r="AH155" s="6292"/>
      <c r="AI155" s="1490"/>
      <c r="AK155" s="1490"/>
      <c r="AL155" s="1760"/>
      <c r="AM155" s="1760"/>
      <c r="AN155" s="1490"/>
      <c r="AO155" s="1490"/>
      <c r="AP155" s="1490"/>
      <c r="AQ155" s="1490"/>
      <c r="AR155" s="1760"/>
      <c r="AS155" s="1490"/>
      <c r="AT155" s="1490"/>
      <c r="AU155" s="668"/>
      <c r="AV155" s="1490"/>
      <c r="AW155" s="1490"/>
      <c r="AX155" s="1490"/>
      <c r="AY155" s="1490"/>
      <c r="AZ155" s="1490"/>
      <c r="BA155" s="1756"/>
      <c r="BB155" s="746"/>
      <c r="BC155" s="746"/>
      <c r="BD155" s="746"/>
      <c r="BE155" s="746"/>
      <c r="BF155" s="1765">
        <v>11</v>
      </c>
    </row>
    <row s="6292" customFormat="1" customHeight="1" ht="11.549999999999999">
      <c r="A156" s="1111"/>
      <c r="B156" s="1111"/>
      <c r="C156" s="1111"/>
      <c r="D156" s="1111"/>
      <c r="E156" s="1111"/>
      <c r="F156" s="1760"/>
      <c r="G156" s="1760"/>
      <c r="H156" s="475"/>
      <c r="N156" s="6292"/>
      <c r="O156" s="6292"/>
      <c r="P156" s="6292"/>
      <c r="Q156" s="6292"/>
      <c r="R156" s="6292"/>
      <c r="S156" s="6292"/>
      <c r="T156" s="6292"/>
      <c r="U156" s="6292"/>
      <c r="V156" s="6292"/>
      <c r="W156" s="6292"/>
      <c r="X156" s="6292"/>
      <c r="Y156" s="6292"/>
      <c r="Z156" s="6292"/>
      <c r="AA156" s="6292"/>
      <c r="AB156" s="6292"/>
      <c r="AC156" s="6292"/>
      <c r="AD156" s="6292"/>
      <c r="AE156" s="6292"/>
      <c r="AF156" s="6292"/>
      <c r="AG156" s="6292"/>
      <c r="AH156" s="6292"/>
      <c r="AI156" s="1490"/>
      <c r="AK156" s="1490"/>
      <c r="AL156" s="1760"/>
      <c r="AM156" s="1760"/>
      <c r="AN156" s="1490"/>
      <c r="AO156" s="1490"/>
      <c r="AP156" s="1490"/>
      <c r="AQ156" s="1490"/>
      <c r="AR156" s="1760"/>
      <c r="AS156" s="1490"/>
      <c r="AT156" s="1490"/>
      <c r="AU156" s="668"/>
      <c r="AV156" s="1490"/>
      <c r="AW156" s="1490"/>
      <c r="AX156" s="1490"/>
      <c r="AY156" s="1490"/>
      <c r="AZ156" s="1490"/>
      <c r="BA156" s="1756"/>
      <c r="BB156" s="746"/>
      <c r="BC156" s="746"/>
      <c r="BD156" s="746"/>
      <c r="BE156" s="746"/>
      <c r="BF156" s="1765">
        <v>11</v>
      </c>
    </row>
    <row s="6292" customFormat="1" customHeight="1" ht="11.549999999999999">
      <c r="A157" s="1111"/>
      <c r="B157" s="1111"/>
      <c r="C157" s="1111"/>
      <c r="D157" s="1111"/>
      <c r="E157" s="1111"/>
      <c r="F157" s="1760"/>
      <c r="G157" s="1760"/>
      <c r="H157" s="475"/>
      <c r="N157" s="6292"/>
      <c r="O157" s="6292"/>
      <c r="P157" s="6292"/>
      <c r="Q157" s="6292"/>
      <c r="R157" s="6292"/>
      <c r="S157" s="6292"/>
      <c r="T157" s="6292"/>
      <c r="U157" s="6292"/>
      <c r="V157" s="6292"/>
      <c r="W157" s="6292"/>
      <c r="X157" s="6292"/>
      <c r="Y157" s="6292"/>
      <c r="Z157" s="6292"/>
      <c r="AA157" s="6292"/>
      <c r="AB157" s="6292"/>
      <c r="AC157" s="6292"/>
      <c r="AD157" s="6292"/>
      <c r="AE157" s="6292"/>
      <c r="AF157" s="6292"/>
      <c r="AG157" s="6292"/>
      <c r="AH157" s="6292"/>
      <c r="AI157" s="1490"/>
      <c r="AK157" s="1490"/>
      <c r="AL157" s="1760"/>
      <c r="AM157" s="1760"/>
      <c r="AN157" s="1490"/>
      <c r="AO157" s="1490"/>
      <c r="AP157" s="1490"/>
      <c r="AQ157" s="1490"/>
      <c r="AR157" s="1760"/>
      <c r="AS157" s="1490"/>
      <c r="AT157" s="1490"/>
      <c r="AU157" s="668"/>
      <c r="AV157" s="1490"/>
      <c r="AW157" s="1490"/>
      <c r="AX157" s="1490"/>
      <c r="AY157" s="1490"/>
      <c r="AZ157" s="1490"/>
      <c r="BA157" s="1756"/>
      <c r="BB157" s="746"/>
      <c r="BC157" s="746"/>
      <c r="BD157" s="746"/>
      <c r="BE157" s="746"/>
      <c r="BF157" s="1765">
        <v>11</v>
      </c>
    </row>
    <row s="6292" customFormat="1" customHeight="1" ht="11.549999999999999">
      <c r="A158" s="1111"/>
      <c r="B158" s="1111"/>
      <c r="C158" s="1111"/>
      <c r="D158" s="1111"/>
      <c r="E158" s="1111"/>
      <c r="F158" s="1760"/>
      <c r="G158" s="1760"/>
      <c r="H158" s="475"/>
      <c r="N158" s="6292"/>
      <c r="O158" s="6292"/>
      <c r="P158" s="6292"/>
      <c r="Q158" s="6292"/>
      <c r="R158" s="6292"/>
      <c r="S158" s="6292"/>
      <c r="T158" s="6292"/>
      <c r="U158" s="6292"/>
      <c r="V158" s="6292"/>
      <c r="W158" s="6292"/>
      <c r="X158" s="6292"/>
      <c r="Y158" s="6292"/>
      <c r="Z158" s="6292"/>
      <c r="AA158" s="6292"/>
      <c r="AB158" s="6292"/>
      <c r="AC158" s="6292"/>
      <c r="AD158" s="6292"/>
      <c r="AE158" s="6292"/>
      <c r="AF158" s="6292"/>
      <c r="AG158" s="6292"/>
      <c r="AH158" s="6292"/>
      <c r="AI158" s="1490"/>
      <c r="AK158" s="1490"/>
      <c r="AL158" s="1760"/>
      <c r="AM158" s="1760"/>
      <c r="AN158" s="1490"/>
      <c r="AO158" s="1490"/>
      <c r="AP158" s="1490"/>
      <c r="AQ158" s="1490"/>
      <c r="AR158" s="1760"/>
      <c r="AS158" s="1490"/>
      <c r="AT158" s="1490"/>
      <c r="AU158" s="668"/>
      <c r="AV158" s="1490"/>
      <c r="AW158" s="1490"/>
      <c r="AX158" s="1490"/>
      <c r="AY158" s="1490"/>
      <c r="AZ158" s="1490"/>
      <c r="BA158" s="1756"/>
      <c r="BB158" s="746"/>
      <c r="BC158" s="746"/>
      <c r="BD158" s="746"/>
      <c r="BE158" s="746"/>
      <c r="BF158" s="1765">
        <v>11</v>
      </c>
    </row>
    <row s="6292" customFormat="1" customHeight="1" ht="11.549999999999999">
      <c r="A159" s="1111"/>
      <c r="B159" s="1111"/>
      <c r="C159" s="1111"/>
      <c r="D159" s="1111"/>
      <c r="E159" s="1111"/>
      <c r="F159" s="1760"/>
      <c r="G159" s="1760"/>
      <c r="H159" s="475"/>
      <c r="N159" s="6292"/>
      <c r="O159" s="6292"/>
      <c r="P159" s="6292"/>
      <c r="Q159" s="6292"/>
      <c r="R159" s="6292"/>
      <c r="S159" s="6292"/>
      <c r="T159" s="6292"/>
      <c r="U159" s="6292"/>
      <c r="V159" s="6292"/>
      <c r="W159" s="6292"/>
      <c r="X159" s="6292"/>
      <c r="Y159" s="6292"/>
      <c r="Z159" s="6292"/>
      <c r="AA159" s="6292"/>
      <c r="AB159" s="6292"/>
      <c r="AC159" s="6292"/>
      <c r="AD159" s="6292"/>
      <c r="AE159" s="6292"/>
      <c r="AF159" s="6292"/>
      <c r="AG159" s="6292"/>
      <c r="AH159" s="6292"/>
      <c r="AI159" s="1490"/>
      <c r="AK159" s="1490"/>
      <c r="AL159" s="1760"/>
      <c r="AM159" s="1760"/>
      <c r="AN159" s="1490"/>
      <c r="AO159" s="1490"/>
      <c r="AP159" s="1490"/>
      <c r="AQ159" s="1490"/>
      <c r="AR159" s="1760"/>
      <c r="AS159" s="1490"/>
      <c r="AT159" s="1490"/>
      <c r="AU159" s="668"/>
      <c r="AV159" s="1490"/>
      <c r="AW159" s="1490"/>
      <c r="AX159" s="1490"/>
      <c r="AY159" s="1490"/>
      <c r="AZ159" s="1490"/>
      <c r="BA159" s="1756"/>
      <c r="BB159" s="746"/>
      <c r="BC159" s="746"/>
      <c r="BD159" s="746"/>
      <c r="BE159" s="746"/>
      <c r="BF159" s="1765">
        <v>11</v>
      </c>
    </row>
    <row s="6292" customFormat="1" customHeight="1" ht="11.549999999999999">
      <c r="A160" s="1111"/>
      <c r="B160" s="1111"/>
      <c r="C160" s="1111"/>
      <c r="D160" s="1111"/>
      <c r="E160" s="1111"/>
      <c r="F160" s="1760"/>
      <c r="G160" s="1760"/>
      <c r="H160" s="475"/>
      <c r="N160" s="6292"/>
      <c r="O160" s="6292"/>
      <c r="P160" s="6292"/>
      <c r="Q160" s="6292"/>
      <c r="R160" s="6292"/>
      <c r="S160" s="6292"/>
      <c r="T160" s="6292"/>
      <c r="U160" s="6292"/>
      <c r="V160" s="6292"/>
      <c r="W160" s="6292"/>
      <c r="X160" s="6292"/>
      <c r="Y160" s="6292"/>
      <c r="Z160" s="6292"/>
      <c r="AA160" s="6292"/>
      <c r="AB160" s="6292"/>
      <c r="AC160" s="6292"/>
      <c r="AD160" s="6292"/>
      <c r="AE160" s="6292"/>
      <c r="AF160" s="6292"/>
      <c r="AG160" s="6292"/>
      <c r="AH160" s="6292"/>
      <c r="AI160" s="1490"/>
      <c r="AK160" s="1490"/>
      <c r="AL160" s="1760"/>
      <c r="AM160" s="1760"/>
      <c r="AN160" s="1490"/>
      <c r="AO160" s="1490"/>
      <c r="AP160" s="1490"/>
      <c r="AQ160" s="1490"/>
      <c r="AR160" s="1760"/>
      <c r="AS160" s="1490"/>
      <c r="AT160" s="1490"/>
      <c r="AU160" s="668"/>
      <c r="AV160" s="1490"/>
      <c r="AW160" s="1490"/>
      <c r="AX160" s="1490"/>
      <c r="AY160" s="1490"/>
      <c r="AZ160" s="1490"/>
      <c r="BA160" s="1756"/>
      <c r="BB160" s="746"/>
      <c r="BC160" s="746"/>
      <c r="BD160" s="746"/>
      <c r="BE160" s="746"/>
      <c r="BF160" s="1765">
        <v>11</v>
      </c>
    </row>
    <row s="6292" customFormat="1" customHeight="1" ht="11.549999999999999">
      <c r="A161" s="1111"/>
      <c r="B161" s="1111"/>
      <c r="C161" s="1111"/>
      <c r="D161" s="1111"/>
      <c r="E161" s="1111"/>
      <c r="F161" s="1760"/>
      <c r="G161" s="1760"/>
      <c r="H161" s="475"/>
      <c r="N161" s="6292"/>
      <c r="O161" s="6292"/>
      <c r="P161" s="6292"/>
      <c r="Q161" s="6292"/>
      <c r="R161" s="6292"/>
      <c r="S161" s="6292"/>
      <c r="T161" s="6292"/>
      <c r="U161" s="6292"/>
      <c r="V161" s="6292"/>
      <c r="W161" s="6292"/>
      <c r="X161" s="6292"/>
      <c r="Y161" s="6292"/>
      <c r="Z161" s="6292"/>
      <c r="AA161" s="6292"/>
      <c r="AB161" s="6292"/>
      <c r="AC161" s="6292"/>
      <c r="AD161" s="6292"/>
      <c r="AE161" s="6292"/>
      <c r="AF161" s="6292"/>
      <c r="AG161" s="6292"/>
      <c r="AH161" s="6292"/>
      <c r="AI161" s="1490"/>
      <c r="AK161" s="1490"/>
      <c r="AL161" s="1760"/>
      <c r="AM161" s="1760"/>
      <c r="AN161" s="1490"/>
      <c r="AO161" s="1490"/>
      <c r="AP161" s="1490"/>
      <c r="AQ161" s="1490"/>
      <c r="AR161" s="1760"/>
      <c r="AS161" s="1490"/>
      <c r="AT161" s="1490"/>
      <c r="AU161" s="668"/>
      <c r="AV161" s="1490"/>
      <c r="AW161" s="1490"/>
      <c r="AX161" s="1490"/>
      <c r="AY161" s="1490"/>
      <c r="AZ161" s="1490"/>
      <c r="BA161" s="1756"/>
      <c r="BB161" s="746"/>
      <c r="BC161" s="746"/>
      <c r="BD161" s="746"/>
      <c r="BE161" s="746"/>
      <c r="BF161" s="1765">
        <v>11</v>
      </c>
    </row>
    <row s="6292" customFormat="1" customHeight="1" ht="11.549999999999999">
      <c r="A162" s="1111"/>
      <c r="B162" s="1111"/>
      <c r="C162" s="1111"/>
      <c r="D162" s="1111"/>
      <c r="E162" s="1111"/>
      <c r="F162" s="1760"/>
      <c r="G162" s="1760"/>
      <c r="H162" s="475"/>
      <c r="N162" s="6292"/>
      <c r="O162" s="6292"/>
      <c r="P162" s="6292"/>
      <c r="Q162" s="6292"/>
      <c r="R162" s="6292"/>
      <c r="S162" s="6292"/>
      <c r="T162" s="6292"/>
      <c r="U162" s="6292"/>
      <c r="V162" s="6292"/>
      <c r="W162" s="6292"/>
      <c r="X162" s="6292"/>
      <c r="Y162" s="6292"/>
      <c r="Z162" s="6292"/>
      <c r="AA162" s="6292"/>
      <c r="AB162" s="6292"/>
      <c r="AC162" s="6292"/>
      <c r="AD162" s="6292"/>
      <c r="AE162" s="6292"/>
      <c r="AF162" s="6292"/>
      <c r="AG162" s="6292"/>
      <c r="AH162" s="6292"/>
      <c r="AI162" s="1490"/>
      <c r="AK162" s="1490"/>
      <c r="AL162" s="1760"/>
      <c r="AM162" s="1760"/>
      <c r="AN162" s="1490"/>
      <c r="AO162" s="1490"/>
      <c r="AP162" s="1490"/>
      <c r="AQ162" s="1490"/>
      <c r="AR162" s="1760"/>
      <c r="AS162" s="1490"/>
      <c r="AT162" s="1490"/>
      <c r="AU162" s="668"/>
      <c r="AV162" s="1490"/>
      <c r="AW162" s="1490"/>
      <c r="AX162" s="1490"/>
      <c r="AY162" s="1490"/>
      <c r="AZ162" s="1490"/>
      <c r="BA162" s="1756"/>
      <c r="BB162" s="746"/>
      <c r="BC162" s="746"/>
      <c r="BD162" s="746"/>
      <c r="BE162" s="746"/>
      <c r="BF162" s="1765">
        <v>11</v>
      </c>
    </row>
    <row s="6292" customFormat="1" customHeight="1" ht="11.549999999999999">
      <c r="A163" s="1111"/>
      <c r="B163" s="1111"/>
      <c r="C163" s="1111"/>
      <c r="D163" s="1111"/>
      <c r="E163" s="1111"/>
      <c r="F163" s="1760"/>
      <c r="G163" s="1760"/>
      <c r="H163" s="475"/>
      <c r="N163" s="6292"/>
      <c r="O163" s="6292"/>
      <c r="P163" s="6292"/>
      <c r="Q163" s="6292"/>
      <c r="R163" s="6292"/>
      <c r="S163" s="6292"/>
      <c r="T163" s="6292"/>
      <c r="U163" s="6292"/>
      <c r="V163" s="6292"/>
      <c r="W163" s="6292"/>
      <c r="X163" s="6292"/>
      <c r="Y163" s="6292"/>
      <c r="Z163" s="6292"/>
      <c r="AA163" s="6292"/>
      <c r="AB163" s="6292"/>
      <c r="AC163" s="6292"/>
      <c r="AD163" s="6292"/>
      <c r="AE163" s="6292"/>
      <c r="AF163" s="6292"/>
      <c r="AG163" s="6292"/>
      <c r="AH163" s="6292"/>
      <c r="AI163" s="1490"/>
      <c r="AK163" s="1490"/>
      <c r="AL163" s="1760"/>
      <c r="AM163" s="1760"/>
      <c r="AN163" s="1490"/>
      <c r="AO163" s="1490"/>
      <c r="AP163" s="1490"/>
      <c r="AQ163" s="1490"/>
      <c r="AR163" s="1760"/>
      <c r="AS163" s="1490"/>
      <c r="AT163" s="1490"/>
      <c r="AU163" s="668"/>
      <c r="AV163" s="1490"/>
      <c r="AW163" s="1490"/>
      <c r="AX163" s="1490"/>
      <c r="AY163" s="1490"/>
      <c r="AZ163" s="1490"/>
      <c r="BA163" s="1756"/>
      <c r="BB163" s="746"/>
      <c r="BC163" s="746"/>
      <c r="BD163" s="746"/>
      <c r="BE163" s="746"/>
      <c r="BF163" s="1765">
        <v>11</v>
      </c>
    </row>
    <row s="6292" customFormat="1" customHeight="1" ht="11.549999999999999">
      <c r="A164" s="1111"/>
      <c r="B164" s="1111"/>
      <c r="C164" s="1111"/>
      <c r="D164" s="1111"/>
      <c r="E164" s="1111"/>
      <c r="F164" s="1760"/>
      <c r="G164" s="1760"/>
      <c r="H164" s="475"/>
      <c r="N164" s="6292"/>
      <c r="O164" s="6292"/>
      <c r="P164" s="6292"/>
      <c r="Q164" s="6292"/>
      <c r="R164" s="6292"/>
      <c r="S164" s="6292"/>
      <c r="T164" s="6292"/>
      <c r="U164" s="6292"/>
      <c r="V164" s="6292"/>
      <c r="W164" s="6292"/>
      <c r="X164" s="6292"/>
      <c r="Y164" s="6292"/>
      <c r="Z164" s="6292"/>
      <c r="AA164" s="6292"/>
      <c r="AB164" s="6292"/>
      <c r="AC164" s="6292"/>
      <c r="AD164" s="6292"/>
      <c r="AE164" s="6292"/>
      <c r="AF164" s="6292"/>
      <c r="AG164" s="6292"/>
      <c r="AH164" s="6292"/>
      <c r="AI164" s="1490"/>
      <c r="AK164" s="1490"/>
      <c r="AL164" s="1760"/>
      <c r="AM164" s="1760"/>
      <c r="AN164" s="1490"/>
      <c r="AO164" s="1490"/>
      <c r="AP164" s="1490"/>
      <c r="AQ164" s="1490"/>
      <c r="AR164" s="1760"/>
      <c r="AS164" s="1490"/>
      <c r="AT164" s="1490"/>
      <c r="AU164" s="668"/>
      <c r="AV164" s="1490"/>
      <c r="AW164" s="1490"/>
      <c r="AX164" s="1490"/>
      <c r="AY164" s="1490"/>
      <c r="AZ164" s="1490"/>
      <c r="BA164" s="1756"/>
      <c r="BB164" s="746"/>
      <c r="BC164" s="746"/>
      <c r="BD164" s="746"/>
      <c r="BE164" s="746"/>
      <c r="BF164" s="1765">
        <v>11</v>
      </c>
    </row>
    <row s="6292" customFormat="1" customHeight="1" ht="11.549999999999999">
      <c r="A165" s="1111"/>
      <c r="B165" s="1111"/>
      <c r="C165" s="1111"/>
      <c r="D165" s="1111"/>
      <c r="E165" s="1111"/>
      <c r="F165" s="1760"/>
      <c r="G165" s="1760"/>
      <c r="H165" s="475"/>
      <c r="N165" s="6292"/>
      <c r="O165" s="6292"/>
      <c r="P165" s="6292"/>
      <c r="Q165" s="6292"/>
      <c r="R165" s="6292"/>
      <c r="S165" s="6292"/>
      <c r="T165" s="6292"/>
      <c r="U165" s="6292"/>
      <c r="V165" s="6292"/>
      <c r="W165" s="6292"/>
      <c r="X165" s="6292"/>
      <c r="Y165" s="6292"/>
      <c r="Z165" s="6292"/>
      <c r="AA165" s="6292"/>
      <c r="AB165" s="6292"/>
      <c r="AC165" s="6292"/>
      <c r="AD165" s="6292"/>
      <c r="AE165" s="6292"/>
      <c r="AF165" s="6292"/>
      <c r="AG165" s="6292"/>
      <c r="AH165" s="6292"/>
      <c r="AI165" s="1490"/>
      <c r="AK165" s="1490"/>
      <c r="AL165" s="1760"/>
      <c r="AM165" s="1760"/>
      <c r="AN165" s="1490"/>
      <c r="AO165" s="1490"/>
      <c r="AP165" s="1490"/>
      <c r="AQ165" s="1490"/>
      <c r="AR165" s="1760"/>
      <c r="AS165" s="1490"/>
      <c r="AT165" s="1490"/>
      <c r="AU165" s="668"/>
      <c r="AV165" s="1490"/>
      <c r="AW165" s="1490"/>
      <c r="AX165" s="1490"/>
      <c r="AY165" s="1490"/>
      <c r="AZ165" s="1490"/>
      <c r="BA165" s="1756"/>
      <c r="BB165" s="746"/>
      <c r="BC165" s="746"/>
      <c r="BD165" s="746"/>
      <c r="BE165" s="746"/>
      <c r="BF165" s="1765">
        <v>11</v>
      </c>
    </row>
    <row s="6292" customFormat="1" customHeight="1" ht="11.549999999999999">
      <c r="A166" s="1111"/>
      <c r="B166" s="1111"/>
      <c r="C166" s="1111"/>
      <c r="D166" s="1111"/>
      <c r="E166" s="1111"/>
      <c r="F166" s="1760"/>
      <c r="G166" s="1760"/>
      <c r="H166" s="475"/>
      <c r="N166" s="6292"/>
      <c r="O166" s="6292"/>
      <c r="P166" s="6292"/>
      <c r="Q166" s="6292"/>
      <c r="R166" s="6292"/>
      <c r="S166" s="6292"/>
      <c r="T166" s="6292"/>
      <c r="U166" s="6292"/>
      <c r="V166" s="6292"/>
      <c r="W166" s="6292"/>
      <c r="X166" s="6292"/>
      <c r="Y166" s="6292"/>
      <c r="Z166" s="6292"/>
      <c r="AA166" s="6292"/>
      <c r="AB166" s="6292"/>
      <c r="AC166" s="6292"/>
      <c r="AD166" s="6292"/>
      <c r="AE166" s="6292"/>
      <c r="AF166" s="6292"/>
      <c r="AG166" s="6292"/>
      <c r="AH166" s="6292"/>
      <c r="AI166" s="1490"/>
      <c r="AK166" s="1490"/>
      <c r="AL166" s="1760"/>
      <c r="AM166" s="1760"/>
      <c r="AN166" s="1490"/>
      <c r="AO166" s="1490"/>
      <c r="AP166" s="1490"/>
      <c r="AQ166" s="1490"/>
      <c r="AR166" s="1760"/>
      <c r="AS166" s="1490"/>
      <c r="AT166" s="1490"/>
      <c r="AU166" s="668"/>
      <c r="AV166" s="1490"/>
      <c r="AW166" s="1490"/>
      <c r="AX166" s="1490"/>
      <c r="AY166" s="1490"/>
      <c r="AZ166" s="1490"/>
      <c r="BA166" s="1756"/>
      <c r="BB166" s="746"/>
      <c r="BC166" s="746"/>
      <c r="BD166" s="746"/>
      <c r="BE166" s="746"/>
      <c r="BF166" s="1765">
        <v>11</v>
      </c>
    </row>
    <row s="6292" customFormat="1" customHeight="1" ht="11.549999999999999">
      <c r="A167" s="1111"/>
      <c r="B167" s="1111"/>
      <c r="C167" s="1111"/>
      <c r="D167" s="1111"/>
      <c r="E167" s="1111"/>
      <c r="F167" s="1760"/>
      <c r="G167" s="1760"/>
      <c r="H167" s="475"/>
      <c r="N167" s="6292"/>
      <c r="O167" s="6292"/>
      <c r="P167" s="6292"/>
      <c r="Q167" s="6292"/>
      <c r="R167" s="6292"/>
      <c r="S167" s="6292"/>
      <c r="T167" s="6292"/>
      <c r="U167" s="6292"/>
      <c r="V167" s="6292"/>
      <c r="W167" s="6292"/>
      <c r="X167" s="6292"/>
      <c r="Y167" s="6292"/>
      <c r="Z167" s="6292"/>
      <c r="AA167" s="6292"/>
      <c r="AB167" s="6292"/>
      <c r="AC167" s="6292"/>
      <c r="AD167" s="6292"/>
      <c r="AE167" s="6292"/>
      <c r="AF167" s="6292"/>
      <c r="AG167" s="6292"/>
      <c r="AH167" s="6292"/>
      <c r="AI167" s="1490"/>
      <c r="AK167" s="1490"/>
      <c r="AL167" s="1760"/>
      <c r="AM167" s="1760"/>
      <c r="AN167" s="1490"/>
      <c r="AO167" s="1490"/>
      <c r="AP167" s="1490"/>
      <c r="AQ167" s="1490"/>
      <c r="AR167" s="1760"/>
      <c r="AS167" s="1490"/>
      <c r="AT167" s="1490"/>
      <c r="AU167" s="668"/>
      <c r="AV167" s="1490"/>
      <c r="AW167" s="1490"/>
      <c r="AX167" s="1490"/>
      <c r="AY167" s="1490"/>
      <c r="AZ167" s="1490"/>
      <c r="BA167" s="1756"/>
      <c r="BB167" s="746"/>
      <c r="BC167" s="746"/>
      <c r="BD167" s="746"/>
      <c r="BE167" s="746"/>
      <c r="BF167" s="1765">
        <v>11</v>
      </c>
    </row>
    <row s="6292" customFormat="1" customHeight="1" ht="11.549999999999999">
      <c r="A168" s="1111"/>
      <c r="B168" s="1111"/>
      <c r="C168" s="1111"/>
      <c r="D168" s="1111"/>
      <c r="E168" s="1111"/>
      <c r="F168" s="1760"/>
      <c r="G168" s="1760"/>
      <c r="H168" s="475"/>
      <c r="N168" s="6292"/>
      <c r="O168" s="6292"/>
      <c r="P168" s="6292"/>
      <c r="Q168" s="6292"/>
      <c r="R168" s="6292"/>
      <c r="S168" s="6292"/>
      <c r="T168" s="6292"/>
      <c r="U168" s="6292"/>
      <c r="V168" s="6292"/>
      <c r="W168" s="6292"/>
      <c r="X168" s="6292"/>
      <c r="Y168" s="6292"/>
      <c r="Z168" s="6292"/>
      <c r="AA168" s="6292"/>
      <c r="AB168" s="6292"/>
      <c r="AC168" s="6292"/>
      <c r="AD168" s="6292"/>
      <c r="AE168" s="6292"/>
      <c r="AF168" s="6292"/>
      <c r="AG168" s="6292"/>
      <c r="AH168" s="6292"/>
      <c r="AI168" s="1490"/>
      <c r="AK168" s="1490"/>
      <c r="AL168" s="1760"/>
      <c r="AM168" s="1760"/>
      <c r="AN168" s="1490"/>
      <c r="AO168" s="1490"/>
      <c r="AP168" s="1490"/>
      <c r="AQ168" s="1490"/>
      <c r="AR168" s="1760"/>
      <c r="AS168" s="1490"/>
      <c r="AT168" s="1490"/>
      <c r="AU168" s="668"/>
      <c r="AV168" s="1490"/>
      <c r="AW168" s="1490"/>
      <c r="AX168" s="1490"/>
      <c r="AY168" s="1490"/>
      <c r="AZ168" s="1490"/>
      <c r="BA168" s="1756"/>
      <c r="BB168" s="746"/>
      <c r="BC168" s="746"/>
      <c r="BD168" s="746"/>
      <c r="BE168" s="746"/>
      <c r="BF168" s="1765">
        <v>11</v>
      </c>
    </row>
    <row s="6292" customFormat="1" customHeight="1" ht="11.549999999999999">
      <c r="A169" s="1111"/>
      <c r="B169" s="1111"/>
      <c r="C169" s="1111"/>
      <c r="D169" s="1111"/>
      <c r="E169" s="1111"/>
      <c r="F169" s="1760"/>
      <c r="G169" s="1760"/>
      <c r="H169" s="475"/>
      <c r="N169" s="6292"/>
      <c r="O169" s="6292"/>
      <c r="P169" s="6292"/>
      <c r="Q169" s="6292"/>
      <c r="R169" s="6292"/>
      <c r="S169" s="6292"/>
      <c r="T169" s="6292"/>
      <c r="U169" s="6292"/>
      <c r="V169" s="6292"/>
      <c r="W169" s="6292"/>
      <c r="X169" s="6292"/>
      <c r="Y169" s="6292"/>
      <c r="Z169" s="6292"/>
      <c r="AA169" s="6292"/>
      <c r="AB169" s="6292"/>
      <c r="AC169" s="6292"/>
      <c r="AD169" s="6292"/>
      <c r="AE169" s="6292"/>
      <c r="AF169" s="6292"/>
      <c r="AG169" s="6292"/>
      <c r="AH169" s="6292"/>
      <c r="AI169" s="1490"/>
      <c r="AK169" s="1490"/>
      <c r="AL169" s="1760"/>
      <c r="AM169" s="1760"/>
      <c r="AN169" s="1490"/>
      <c r="AO169" s="1490"/>
      <c r="AP169" s="1490"/>
      <c r="AQ169" s="1490"/>
      <c r="AR169" s="1760"/>
      <c r="AS169" s="1490"/>
      <c r="AT169" s="1490"/>
      <c r="AU169" s="668"/>
      <c r="AV169" s="1490"/>
      <c r="AW169" s="1490"/>
      <c r="AX169" s="1490"/>
      <c r="AY169" s="1490"/>
      <c r="AZ169" s="1490"/>
      <c r="BA169" s="1756"/>
      <c r="BB169" s="746"/>
      <c r="BC169" s="746"/>
      <c r="BD169" s="746"/>
      <c r="BE169" s="746"/>
      <c r="BF169" s="1765">
        <v>11</v>
      </c>
    </row>
    <row s="6292" customFormat="1" customHeight="1" ht="11.549999999999999">
      <c r="A170" s="1111"/>
      <c r="B170" s="1111"/>
      <c r="C170" s="1111"/>
      <c r="D170" s="1111"/>
      <c r="E170" s="1111"/>
      <c r="F170" s="1760"/>
      <c r="G170" s="1760"/>
      <c r="H170" s="475"/>
      <c r="N170" s="6292"/>
      <c r="O170" s="6292"/>
      <c r="P170" s="6292"/>
      <c r="Q170" s="6292"/>
      <c r="R170" s="6292"/>
      <c r="S170" s="6292"/>
      <c r="T170" s="6292"/>
      <c r="U170" s="6292"/>
      <c r="V170" s="6292"/>
      <c r="W170" s="6292"/>
      <c r="X170" s="6292"/>
      <c r="Y170" s="6292"/>
      <c r="Z170" s="6292"/>
      <c r="AA170" s="6292"/>
      <c r="AB170" s="6292"/>
      <c r="AC170" s="6292"/>
      <c r="AD170" s="6292"/>
      <c r="AE170" s="6292"/>
      <c r="AF170" s="6292"/>
      <c r="AG170" s="6292"/>
      <c r="AH170" s="6292"/>
      <c r="AI170" s="1490"/>
      <c r="AK170" s="1490"/>
      <c r="AL170" s="1760"/>
      <c r="AM170" s="1760"/>
      <c r="AN170" s="1490"/>
      <c r="AO170" s="1490"/>
      <c r="AP170" s="1490"/>
      <c r="AQ170" s="1490"/>
      <c r="AR170" s="1760"/>
      <c r="AS170" s="1490"/>
      <c r="AT170" s="1490"/>
      <c r="AU170" s="668"/>
      <c r="AV170" s="1490"/>
      <c r="AW170" s="1490"/>
      <c r="AX170" s="1490"/>
      <c r="AY170" s="1490"/>
      <c r="AZ170" s="1490"/>
      <c r="BA170" s="1756"/>
      <c r="BB170" s="746"/>
      <c r="BC170" s="746"/>
      <c r="BD170" s="746"/>
      <c r="BE170" s="746"/>
      <c r="BF170" s="1765">
        <v>11</v>
      </c>
    </row>
    <row s="6292" customFormat="1" customHeight="1" ht="11.549999999999999">
      <c r="A171" s="1111"/>
      <c r="B171" s="1111"/>
      <c r="C171" s="1111"/>
      <c r="D171" s="1111"/>
      <c r="E171" s="1111"/>
      <c r="F171" s="1760"/>
      <c r="G171" s="1760"/>
      <c r="H171" s="475"/>
      <c r="N171" s="6292"/>
      <c r="O171" s="6292"/>
      <c r="P171" s="6292"/>
      <c r="Q171" s="6292"/>
      <c r="R171" s="6292"/>
      <c r="S171" s="6292"/>
      <c r="T171" s="6292"/>
      <c r="U171" s="6292"/>
      <c r="V171" s="6292"/>
      <c r="W171" s="6292"/>
      <c r="X171" s="6292"/>
      <c r="Y171" s="6292"/>
      <c r="Z171" s="6292"/>
      <c r="AA171" s="6292"/>
      <c r="AB171" s="6292"/>
      <c r="AC171" s="6292"/>
      <c r="AD171" s="6292"/>
      <c r="AE171" s="6292"/>
      <c r="AF171" s="6292"/>
      <c r="AG171" s="6292"/>
      <c r="AH171" s="6292"/>
      <c r="AI171" s="1490"/>
      <c r="AK171" s="1490"/>
      <c r="AL171" s="1760"/>
      <c r="AM171" s="1760"/>
      <c r="AN171" s="1490"/>
      <c r="AO171" s="1490"/>
      <c r="AP171" s="1490"/>
      <c r="AQ171" s="1490"/>
      <c r="AR171" s="1760"/>
      <c r="AS171" s="1490"/>
      <c r="AT171" s="1490"/>
      <c r="AU171" s="668"/>
      <c r="AV171" s="1490"/>
      <c r="AW171" s="1490"/>
      <c r="AX171" s="1490"/>
      <c r="AY171" s="1490"/>
      <c r="AZ171" s="1490"/>
      <c r="BA171" s="1756"/>
      <c r="BB171" s="746"/>
      <c r="BC171" s="746"/>
      <c r="BD171" s="746"/>
      <c r="BE171" s="746"/>
      <c r="BF171" s="1765">
        <v>11</v>
      </c>
    </row>
    <row s="6292" customFormat="1" customHeight="1" ht="11.549999999999999">
      <c r="A172" s="1111"/>
      <c r="B172" s="1111"/>
      <c r="C172" s="1111"/>
      <c r="D172" s="1111"/>
      <c r="E172" s="1111"/>
      <c r="F172" s="1760"/>
      <c r="G172" s="1760"/>
      <c r="H172" s="475"/>
      <c r="N172" s="6292"/>
      <c r="O172" s="6292"/>
      <c r="P172" s="6292"/>
      <c r="Q172" s="6292"/>
      <c r="R172" s="6292"/>
      <c r="S172" s="6292"/>
      <c r="T172" s="6292"/>
      <c r="U172" s="6292"/>
      <c r="V172" s="6292"/>
      <c r="W172" s="6292"/>
      <c r="X172" s="6292"/>
      <c r="Y172" s="6292"/>
      <c r="Z172" s="6292"/>
      <c r="AA172" s="6292"/>
      <c r="AB172" s="6292"/>
      <c r="AC172" s="6292"/>
      <c r="AD172" s="6292"/>
      <c r="AE172" s="6292"/>
      <c r="AF172" s="6292"/>
      <c r="AG172" s="6292"/>
      <c r="AH172" s="6292"/>
      <c r="AI172" s="1490"/>
      <c r="AK172" s="1490"/>
      <c r="AL172" s="1760"/>
      <c r="AM172" s="1760"/>
      <c r="AN172" s="1490"/>
      <c r="AO172" s="1490"/>
      <c r="AP172" s="1490"/>
      <c r="AQ172" s="1490"/>
      <c r="AR172" s="1760"/>
      <c r="AS172" s="1490"/>
      <c r="AT172" s="1490"/>
      <c r="AU172" s="668"/>
      <c r="AV172" s="1490"/>
      <c r="AW172" s="1490"/>
      <c r="AX172" s="1490"/>
      <c r="AY172" s="1490"/>
      <c r="AZ172" s="1490"/>
      <c r="BA172" s="1756"/>
      <c r="BB172" s="746"/>
      <c r="BC172" s="746"/>
      <c r="BD172" s="746"/>
      <c r="BE172" s="746"/>
      <c r="BF172" s="1765">
        <v>11</v>
      </c>
    </row>
    <row s="6292" customFormat="1" customHeight="1" ht="11.549999999999999">
      <c r="A173" s="1111"/>
      <c r="B173" s="1111"/>
      <c r="C173" s="1111"/>
      <c r="D173" s="1111"/>
      <c r="E173" s="1111"/>
      <c r="F173" s="1760"/>
      <c r="G173" s="1760"/>
      <c r="H173" s="475"/>
      <c r="N173" s="6292"/>
      <c r="O173" s="6292"/>
      <c r="P173" s="6292"/>
      <c r="Q173" s="6292"/>
      <c r="R173" s="6292"/>
      <c r="S173" s="6292"/>
      <c r="T173" s="6292"/>
      <c r="U173" s="6292"/>
      <c r="V173" s="6292"/>
      <c r="W173" s="6292"/>
      <c r="X173" s="6292"/>
      <c r="Y173" s="6292"/>
      <c r="Z173" s="6292"/>
      <c r="AA173" s="6292"/>
      <c r="AB173" s="6292"/>
      <c r="AC173" s="6292"/>
      <c r="AD173" s="6292"/>
      <c r="AE173" s="6292"/>
      <c r="AF173" s="6292"/>
      <c r="AG173" s="6292"/>
      <c r="AH173" s="6292"/>
      <c r="AI173" s="1490"/>
      <c r="AK173" s="1490"/>
      <c r="AL173" s="1760"/>
      <c r="AM173" s="1760"/>
      <c r="AN173" s="1490"/>
      <c r="AO173" s="1490"/>
      <c r="AP173" s="1490"/>
      <c r="AQ173" s="1490"/>
      <c r="AR173" s="1760"/>
      <c r="AS173" s="1490"/>
      <c r="AT173" s="1490"/>
      <c r="AU173" s="668"/>
      <c r="AV173" s="1490"/>
      <c r="AW173" s="1490"/>
      <c r="AX173" s="1490"/>
      <c r="AY173" s="1490"/>
      <c r="AZ173" s="1490"/>
      <c r="BA173" s="1756"/>
      <c r="BB173" s="746"/>
      <c r="BC173" s="746"/>
      <c r="BD173" s="746"/>
      <c r="BE173" s="746"/>
      <c r="BF173" s="1765">
        <v>11</v>
      </c>
    </row>
    <row s="6292" customFormat="1" customHeight="1" ht="11.549999999999999">
      <c r="A174" s="1111"/>
      <c r="B174" s="1111"/>
      <c r="C174" s="1111"/>
      <c r="D174" s="1111"/>
      <c r="E174" s="1111"/>
      <c r="F174" s="1760"/>
      <c r="G174" s="1760"/>
      <c r="H174" s="475"/>
      <c r="N174" s="6292"/>
      <c r="O174" s="6292"/>
      <c r="P174" s="6292"/>
      <c r="Q174" s="6292"/>
      <c r="R174" s="6292"/>
      <c r="S174" s="6292"/>
      <c r="T174" s="6292"/>
      <c r="U174" s="6292"/>
      <c r="V174" s="6292"/>
      <c r="W174" s="6292"/>
      <c r="X174" s="6292"/>
      <c r="Y174" s="6292"/>
      <c r="Z174" s="6292"/>
      <c r="AA174" s="6292"/>
      <c r="AB174" s="6292"/>
      <c r="AC174" s="6292"/>
      <c r="AD174" s="6292"/>
      <c r="AE174" s="6292"/>
      <c r="AF174" s="6292"/>
      <c r="AG174" s="6292"/>
      <c r="AH174" s="6292"/>
      <c r="AI174" s="1490"/>
      <c r="AK174" s="1490"/>
      <c r="AL174" s="1760"/>
      <c r="AM174" s="1760"/>
      <c r="AN174" s="1490"/>
      <c r="AO174" s="1490"/>
      <c r="AP174" s="1490"/>
      <c r="AQ174" s="1490"/>
      <c r="AR174" s="1760"/>
      <c r="AS174" s="1490"/>
      <c r="AT174" s="1490"/>
      <c r="AU174" s="668"/>
      <c r="AV174" s="1490"/>
      <c r="AW174" s="1490"/>
      <c r="AX174" s="1490"/>
      <c r="AY174" s="1490"/>
      <c r="AZ174" s="1490"/>
      <c r="BA174" s="1756"/>
      <c r="BB174" s="746"/>
      <c r="BC174" s="746"/>
      <c r="BD174" s="746"/>
      <c r="BE174" s="746"/>
      <c r="BF174" s="1765">
        <v>11</v>
      </c>
    </row>
    <row s="6292" customFormat="1" customHeight="1" ht="11.549999999999999">
      <c r="A175" s="1111"/>
      <c r="B175" s="1111"/>
      <c r="C175" s="1111"/>
      <c r="D175" s="1111"/>
      <c r="E175" s="1111"/>
      <c r="F175" s="1760"/>
      <c r="G175" s="1760"/>
      <c r="H175" s="475"/>
      <c r="N175" s="6292"/>
      <c r="O175" s="6292"/>
      <c r="P175" s="6292"/>
      <c r="Q175" s="6292"/>
      <c r="R175" s="6292"/>
      <c r="S175" s="6292"/>
      <c r="T175" s="6292"/>
      <c r="U175" s="6292"/>
      <c r="V175" s="6292"/>
      <c r="W175" s="6292"/>
      <c r="X175" s="6292"/>
      <c r="Y175" s="6292"/>
      <c r="Z175" s="6292"/>
      <c r="AA175" s="6292"/>
      <c r="AB175" s="6292"/>
      <c r="AC175" s="6292"/>
      <c r="AD175" s="6292"/>
      <c r="AE175" s="6292"/>
      <c r="AF175" s="6292"/>
      <c r="AG175" s="6292"/>
      <c r="AH175" s="6292"/>
      <c r="AI175" s="1490"/>
      <c r="AK175" s="1490"/>
      <c r="AL175" s="1760"/>
      <c r="AM175" s="1760"/>
      <c r="AN175" s="1490"/>
      <c r="AO175" s="1490"/>
      <c r="AP175" s="1490"/>
      <c r="AQ175" s="1490"/>
      <c r="AR175" s="1760"/>
      <c r="AS175" s="1490"/>
      <c r="AT175" s="1490"/>
      <c r="AU175" s="668"/>
      <c r="AV175" s="1490"/>
      <c r="AW175" s="1490"/>
      <c r="AX175" s="1490"/>
      <c r="AY175" s="1490"/>
      <c r="AZ175" s="1490"/>
      <c r="BA175" s="1756"/>
      <c r="BB175" s="746"/>
      <c r="BC175" s="746"/>
      <c r="BD175" s="746"/>
      <c r="BE175" s="746"/>
      <c r="BF175" s="1765">
        <v>11</v>
      </c>
    </row>
    <row s="6292" customFormat="1" customHeight="1" ht="11.549999999999999">
      <c r="A176" s="1111"/>
      <c r="B176" s="1111"/>
      <c r="C176" s="1111"/>
      <c r="D176" s="1111"/>
      <c r="E176" s="1111"/>
      <c r="F176" s="1760"/>
      <c r="G176" s="1760"/>
      <c r="H176" s="475"/>
      <c r="N176" s="6292"/>
      <c r="O176" s="6292"/>
      <c r="P176" s="6292"/>
      <c r="Q176" s="6292"/>
      <c r="R176" s="6292"/>
      <c r="S176" s="6292"/>
      <c r="T176" s="6292"/>
      <c r="U176" s="6292"/>
      <c r="V176" s="6292"/>
      <c r="W176" s="6292"/>
      <c r="X176" s="6292"/>
      <c r="Y176" s="6292"/>
      <c r="Z176" s="6292"/>
      <c r="AA176" s="6292"/>
      <c r="AB176" s="6292"/>
      <c r="AC176" s="6292"/>
      <c r="AD176" s="6292"/>
      <c r="AE176" s="6292"/>
      <c r="AF176" s="6292"/>
      <c r="AG176" s="6292"/>
      <c r="AH176" s="6292"/>
      <c r="AI176" s="1490"/>
      <c r="AK176" s="1490"/>
      <c r="AL176" s="1760"/>
      <c r="AM176" s="1760"/>
      <c r="AN176" s="1490"/>
      <c r="AO176" s="1490"/>
      <c r="AP176" s="1490"/>
      <c r="AQ176" s="1490"/>
      <c r="AR176" s="1760"/>
      <c r="AS176" s="1490"/>
      <c r="AT176" s="1490"/>
      <c r="AU176" s="668"/>
      <c r="AV176" s="1490"/>
      <c r="AW176" s="1490"/>
      <c r="AX176" s="1490"/>
      <c r="AY176" s="1490"/>
      <c r="AZ176" s="1490"/>
      <c r="BA176" s="1756"/>
      <c r="BB176" s="746"/>
      <c r="BC176" s="746"/>
      <c r="BD176" s="746"/>
      <c r="BE176" s="746"/>
      <c r="BF176" s="1765">
        <v>11</v>
      </c>
    </row>
    <row s="6292" customFormat="1" customHeight="1" ht="11.549999999999999">
      <c r="A177" s="1111"/>
      <c r="B177" s="1111"/>
      <c r="C177" s="1111"/>
      <c r="D177" s="1111"/>
      <c r="E177" s="1111"/>
      <c r="F177" s="1760"/>
      <c r="G177" s="1760"/>
      <c r="H177" s="475"/>
      <c r="N177" s="6292"/>
      <c r="O177" s="6292"/>
      <c r="P177" s="6292"/>
      <c r="Q177" s="6292"/>
      <c r="R177" s="6292"/>
      <c r="S177" s="6292"/>
      <c r="T177" s="6292"/>
      <c r="U177" s="6292"/>
      <c r="V177" s="6292"/>
      <c r="W177" s="6292"/>
      <c r="X177" s="6292"/>
      <c r="Y177" s="6292"/>
      <c r="Z177" s="6292"/>
      <c r="AA177" s="6292"/>
      <c r="AB177" s="6292"/>
      <c r="AC177" s="6292"/>
      <c r="AD177" s="6292"/>
      <c r="AE177" s="6292"/>
      <c r="AF177" s="6292"/>
      <c r="AG177" s="6292"/>
      <c r="AH177" s="6292"/>
      <c r="AI177" s="1490"/>
      <c r="AK177" s="1490"/>
      <c r="AL177" s="1760"/>
      <c r="AM177" s="1760"/>
      <c r="AN177" s="1490"/>
      <c r="AO177" s="1490"/>
      <c r="AP177" s="1490"/>
      <c r="AQ177" s="1490"/>
      <c r="AR177" s="1760"/>
      <c r="AS177" s="1490"/>
      <c r="AT177" s="1490"/>
      <c r="AU177" s="668"/>
      <c r="AV177" s="1490"/>
      <c r="AW177" s="1490"/>
      <c r="AX177" s="1490"/>
      <c r="AY177" s="1490"/>
      <c r="AZ177" s="1490"/>
      <c r="BA177" s="1756"/>
      <c r="BB177" s="746"/>
      <c r="BC177" s="746"/>
      <c r="BD177" s="746"/>
      <c r="BE177" s="746"/>
      <c r="BF177" s="1765">
        <v>11</v>
      </c>
    </row>
    <row s="6292" customFormat="1" customHeight="1" ht="11.549999999999999">
      <c r="A178" s="1111"/>
      <c r="B178" s="1111"/>
      <c r="C178" s="1111"/>
      <c r="D178" s="1111"/>
      <c r="E178" s="1111"/>
      <c r="F178" s="1760"/>
      <c r="G178" s="1760"/>
      <c r="H178" s="475"/>
      <c r="N178" s="6292"/>
      <c r="O178" s="6292"/>
      <c r="P178" s="6292"/>
      <c r="Q178" s="6292"/>
      <c r="R178" s="6292"/>
      <c r="S178" s="6292"/>
      <c r="T178" s="6292"/>
      <c r="U178" s="6292"/>
      <c r="V178" s="6292"/>
      <c r="W178" s="6292"/>
      <c r="X178" s="6292"/>
      <c r="Y178" s="6292"/>
      <c r="Z178" s="6292"/>
      <c r="AA178" s="6292"/>
      <c r="AB178" s="6292"/>
      <c r="AC178" s="6292"/>
      <c r="AD178" s="6292"/>
      <c r="AE178" s="6292"/>
      <c r="AF178" s="6292"/>
      <c r="AG178" s="6292"/>
      <c r="AH178" s="6292"/>
      <c r="AI178" s="1490"/>
      <c r="AK178" s="1490"/>
      <c r="AL178" s="1760"/>
      <c r="AM178" s="1760"/>
      <c r="AN178" s="1490"/>
      <c r="AO178" s="1490"/>
      <c r="AP178" s="1490"/>
      <c r="AQ178" s="1490"/>
      <c r="AR178" s="1760"/>
      <c r="AS178" s="1490"/>
      <c r="AT178" s="1490"/>
      <c r="AU178" s="668"/>
      <c r="AV178" s="1490"/>
      <c r="AW178" s="1490"/>
      <c r="AX178" s="1490"/>
      <c r="AY178" s="1490"/>
      <c r="AZ178" s="1490"/>
      <c r="BA178" s="1756"/>
      <c r="BB178" s="746"/>
      <c r="BC178" s="746"/>
      <c r="BD178" s="746"/>
      <c r="BE178" s="746"/>
      <c r="BF178" s="1765">
        <v>11</v>
      </c>
    </row>
    <row s="6292" customFormat="1" customHeight="1" ht="11.549999999999999">
      <c r="A179" s="1111"/>
      <c r="B179" s="1111"/>
      <c r="C179" s="1111"/>
      <c r="D179" s="1111"/>
      <c r="E179" s="1111"/>
      <c r="F179" s="1760"/>
      <c r="G179" s="1760"/>
      <c r="H179" s="475"/>
      <c r="N179" s="6292"/>
      <c r="O179" s="6292"/>
      <c r="P179" s="6292"/>
      <c r="Q179" s="6292"/>
      <c r="R179" s="6292"/>
      <c r="S179" s="6292"/>
      <c r="T179" s="6292"/>
      <c r="U179" s="6292"/>
      <c r="V179" s="6292"/>
      <c r="W179" s="6292"/>
      <c r="X179" s="6292"/>
      <c r="Y179" s="6292"/>
      <c r="Z179" s="6292"/>
      <c r="AA179" s="6292"/>
      <c r="AB179" s="6292"/>
      <c r="AC179" s="6292"/>
      <c r="AD179" s="6292"/>
      <c r="AE179" s="6292"/>
      <c r="AF179" s="6292"/>
      <c r="AG179" s="6292"/>
      <c r="AH179" s="6292"/>
      <c r="AI179" s="1490"/>
      <c r="AK179" s="1490"/>
      <c r="AL179" s="1760"/>
      <c r="AM179" s="1760"/>
      <c r="AN179" s="1490"/>
      <c r="AO179" s="1490"/>
      <c r="AP179" s="1490"/>
      <c r="AQ179" s="1490"/>
      <c r="AR179" s="1760"/>
      <c r="AS179" s="1490"/>
      <c r="AT179" s="1490"/>
      <c r="AU179" s="668"/>
      <c r="AV179" s="1490"/>
      <c r="AW179" s="1490"/>
      <c r="AX179" s="1490"/>
      <c r="AY179" s="1490"/>
      <c r="AZ179" s="1490"/>
      <c r="BA179" s="1756"/>
      <c r="BB179" s="746"/>
      <c r="BC179" s="746"/>
      <c r="BD179" s="746"/>
      <c r="BE179" s="746"/>
      <c r="BF179" s="1765">
        <v>11</v>
      </c>
    </row>
    <row s="6292" customFormat="1" customHeight="1" ht="11.549999999999999">
      <c r="A180" s="1111"/>
      <c r="B180" s="1111"/>
      <c r="C180" s="1111"/>
      <c r="D180" s="1111"/>
      <c r="E180" s="1111"/>
      <c r="F180" s="1760"/>
      <c r="G180" s="1760"/>
      <c r="H180" s="475"/>
      <c r="N180" s="6292"/>
      <c r="O180" s="6292"/>
      <c r="P180" s="6292"/>
      <c r="Q180" s="6292"/>
      <c r="R180" s="6292"/>
      <c r="S180" s="6292"/>
      <c r="T180" s="6292"/>
      <c r="U180" s="6292"/>
      <c r="V180" s="6292"/>
      <c r="W180" s="6292"/>
      <c r="X180" s="6292"/>
      <c r="Y180" s="6292"/>
      <c r="Z180" s="6292"/>
      <c r="AA180" s="6292"/>
      <c r="AB180" s="6292"/>
      <c r="AC180" s="6292"/>
      <c r="AD180" s="6292"/>
      <c r="AE180" s="6292"/>
      <c r="AF180" s="6292"/>
      <c r="AG180" s="6292"/>
      <c r="AH180" s="6292"/>
      <c r="AI180" s="1490"/>
      <c r="AK180" s="1490"/>
      <c r="AL180" s="1760"/>
      <c r="AM180" s="1760"/>
      <c r="AN180" s="1490"/>
      <c r="AO180" s="1490"/>
      <c r="AP180" s="1490"/>
      <c r="AQ180" s="1490"/>
      <c r="AR180" s="1760"/>
      <c r="AS180" s="1490"/>
      <c r="AT180" s="1490"/>
      <c r="AU180" s="668"/>
      <c r="AV180" s="1490"/>
      <c r="AW180" s="1490"/>
      <c r="AX180" s="1490"/>
      <c r="AY180" s="1490"/>
      <c r="AZ180" s="1490"/>
      <c r="BA180" s="1756"/>
      <c r="BB180" s="746"/>
      <c r="BC180" s="746"/>
      <c r="BD180" s="746"/>
      <c r="BE180" s="746"/>
      <c r="BF180" s="1765">
        <v>11</v>
      </c>
    </row>
    <row s="6292" customFormat="1" customHeight="1" ht="11.549999999999999">
      <c r="A181" s="1111"/>
      <c r="B181" s="1111"/>
      <c r="C181" s="1111"/>
      <c r="D181" s="1111"/>
      <c r="E181" s="1111"/>
      <c r="F181" s="1760"/>
      <c r="G181" s="1760"/>
      <c r="H181" s="475"/>
      <c r="N181" s="6292"/>
      <c r="O181" s="6292"/>
      <c r="P181" s="6292"/>
      <c r="Q181" s="6292"/>
      <c r="R181" s="6292"/>
      <c r="S181" s="6292"/>
      <c r="T181" s="6292"/>
      <c r="U181" s="6292"/>
      <c r="V181" s="6292"/>
      <c r="W181" s="6292"/>
      <c r="X181" s="6292"/>
      <c r="Y181" s="6292"/>
      <c r="Z181" s="6292"/>
      <c r="AA181" s="6292"/>
      <c r="AB181" s="6292"/>
      <c r="AC181" s="6292"/>
      <c r="AD181" s="6292"/>
      <c r="AE181" s="6292"/>
      <c r="AF181" s="6292"/>
      <c r="AG181" s="6292"/>
      <c r="AH181" s="6292"/>
      <c r="AI181" s="1490"/>
      <c r="AK181" s="1490"/>
      <c r="AL181" s="1760"/>
      <c r="AM181" s="1760"/>
      <c r="AN181" s="1490"/>
      <c r="AO181" s="1490"/>
      <c r="AP181" s="1490"/>
      <c r="AQ181" s="1490"/>
      <c r="AR181" s="1760"/>
      <c r="AS181" s="1490"/>
      <c r="AT181" s="1490"/>
      <c r="AU181" s="668"/>
      <c r="AV181" s="1490"/>
      <c r="AW181" s="1490"/>
      <c r="AX181" s="1490"/>
      <c r="AY181" s="1490"/>
      <c r="AZ181" s="1490"/>
      <c r="BA181" s="1756"/>
      <c r="BB181" s="746"/>
      <c r="BC181" s="746"/>
      <c r="BD181" s="746"/>
      <c r="BE181" s="746"/>
      <c r="BF181" s="1765">
        <v>11</v>
      </c>
    </row>
    <row s="6292" customFormat="1" customHeight="1" ht="11.549999999999999">
      <c r="A182" s="1111"/>
      <c r="B182" s="1111"/>
      <c r="C182" s="1111"/>
      <c r="D182" s="1111"/>
      <c r="E182" s="1111"/>
      <c r="F182" s="1760"/>
      <c r="G182" s="1760"/>
      <c r="H182" s="475"/>
      <c r="N182" s="6292"/>
      <c r="O182" s="6292"/>
      <c r="P182" s="6292"/>
      <c r="Q182" s="6292"/>
      <c r="R182" s="6292"/>
      <c r="S182" s="6292"/>
      <c r="T182" s="6292"/>
      <c r="U182" s="6292"/>
      <c r="V182" s="6292"/>
      <c r="W182" s="6292"/>
      <c r="X182" s="6292"/>
      <c r="Y182" s="6292"/>
      <c r="Z182" s="6292"/>
      <c r="AA182" s="6292"/>
      <c r="AB182" s="6292"/>
      <c r="AC182" s="6292"/>
      <c r="AD182" s="6292"/>
      <c r="AE182" s="6292"/>
      <c r="AF182" s="6292"/>
      <c r="AG182" s="6292"/>
      <c r="AH182" s="6292"/>
      <c r="AI182" s="1490"/>
      <c r="AK182" s="1490"/>
      <c r="AL182" s="1760"/>
      <c r="AM182" s="1760"/>
      <c r="AN182" s="1490"/>
      <c r="AO182" s="1490"/>
      <c r="AP182" s="1490"/>
      <c r="AQ182" s="1490"/>
      <c r="AR182" s="1760"/>
      <c r="AS182" s="1490"/>
      <c r="AT182" s="1490"/>
      <c r="AU182" s="668"/>
      <c r="AV182" s="1490"/>
      <c r="AW182" s="1490"/>
      <c r="AX182" s="1490"/>
      <c r="AY182" s="1490"/>
      <c r="AZ182" s="1490"/>
      <c r="BA182" s="1756"/>
      <c r="BB182" s="746"/>
      <c r="BC182" s="746"/>
      <c r="BD182" s="746"/>
      <c r="BE182" s="746"/>
      <c r="BF182" s="1765">
        <v>11</v>
      </c>
    </row>
    <row s="6292" customFormat="1" customHeight="1" ht="11.549999999999999">
      <c r="A183" s="1111"/>
      <c r="B183" s="1111"/>
      <c r="C183" s="1111"/>
      <c r="D183" s="1111"/>
      <c r="E183" s="1111"/>
      <c r="F183" s="1760"/>
      <c r="G183" s="1760"/>
      <c r="H183" s="475"/>
      <c r="N183" s="6292"/>
      <c r="O183" s="6292"/>
      <c r="P183" s="6292"/>
      <c r="Q183" s="6292"/>
      <c r="R183" s="6292"/>
      <c r="S183" s="6292"/>
      <c r="T183" s="6292"/>
      <c r="U183" s="6292"/>
      <c r="V183" s="6292"/>
      <c r="W183" s="6292"/>
      <c r="X183" s="6292"/>
      <c r="Y183" s="6292"/>
      <c r="Z183" s="6292"/>
      <c r="AA183" s="6292"/>
      <c r="AB183" s="6292"/>
      <c r="AC183" s="6292"/>
      <c r="AD183" s="6292"/>
      <c r="AE183" s="6292"/>
      <c r="AF183" s="6292"/>
      <c r="AG183" s="6292"/>
      <c r="AH183" s="6292"/>
      <c r="AI183" s="1490"/>
      <c r="AK183" s="1490"/>
      <c r="AL183" s="1760"/>
      <c r="AM183" s="1760"/>
      <c r="AN183" s="1490"/>
      <c r="AO183" s="1490"/>
      <c r="AP183" s="1490"/>
      <c r="AQ183" s="1490"/>
      <c r="AR183" s="1760"/>
      <c r="AS183" s="1490"/>
      <c r="AT183" s="1490"/>
      <c r="AU183" s="668"/>
      <c r="AV183" s="1490"/>
      <c r="AW183" s="1490"/>
      <c r="AX183" s="1490"/>
      <c r="AY183" s="1490"/>
      <c r="AZ183" s="1490"/>
      <c r="BA183" s="1756"/>
      <c r="BB183" s="746"/>
      <c r="BC183" s="746"/>
      <c r="BD183" s="746"/>
      <c r="BE183" s="746"/>
      <c r="BF183" s="1765">
        <v>11</v>
      </c>
    </row>
    <row s="6292" customFormat="1" customHeight="1" ht="11.549999999999999">
      <c r="A184" s="1111"/>
      <c r="B184" s="1111"/>
      <c r="C184" s="1111"/>
      <c r="D184" s="1111"/>
      <c r="E184" s="1111"/>
      <c r="F184" s="1760"/>
      <c r="G184" s="1760"/>
      <c r="H184" s="475"/>
      <c r="N184" s="6292"/>
      <c r="O184" s="6292"/>
      <c r="P184" s="6292"/>
      <c r="Q184" s="6292"/>
      <c r="R184" s="6292"/>
      <c r="S184" s="6292"/>
      <c r="T184" s="6292"/>
      <c r="U184" s="6292"/>
      <c r="V184" s="6292"/>
      <c r="W184" s="6292"/>
      <c r="X184" s="6292"/>
      <c r="Y184" s="6292"/>
      <c r="Z184" s="6292"/>
      <c r="AA184" s="6292"/>
      <c r="AB184" s="6292"/>
      <c r="AC184" s="6292"/>
      <c r="AD184" s="6292"/>
      <c r="AE184" s="6292"/>
      <c r="AF184" s="6292"/>
      <c r="AG184" s="6292"/>
      <c r="AH184" s="6292"/>
      <c r="AI184" s="1490"/>
      <c r="AK184" s="1490"/>
      <c r="AL184" s="1760"/>
      <c r="AM184" s="1760"/>
      <c r="AN184" s="1490"/>
      <c r="AO184" s="1490"/>
      <c r="AP184" s="1490"/>
      <c r="AQ184" s="1490"/>
      <c r="AR184" s="1760"/>
      <c r="AS184" s="1490"/>
      <c r="AT184" s="1490"/>
      <c r="AU184" s="668"/>
      <c r="AV184" s="1490"/>
      <c r="AW184" s="1490"/>
      <c r="AX184" s="1490"/>
      <c r="AY184" s="1490"/>
      <c r="AZ184" s="1490"/>
      <c r="BA184" s="1756"/>
      <c r="BB184" s="746"/>
      <c r="BC184" s="746"/>
      <c r="BD184" s="746"/>
      <c r="BE184" s="746"/>
      <c r="BF184" s="1765">
        <v>11</v>
      </c>
    </row>
    <row s="6292" customFormat="1" customHeight="1" ht="11.549999999999999">
      <c r="A185" s="1111"/>
      <c r="B185" s="1111"/>
      <c r="C185" s="1111"/>
      <c r="D185" s="1111"/>
      <c r="E185" s="1111"/>
      <c r="F185" s="1760"/>
      <c r="G185" s="1760"/>
      <c r="H185" s="475"/>
      <c r="N185" s="6292"/>
      <c r="O185" s="6292"/>
      <c r="P185" s="6292"/>
      <c r="Q185" s="6292"/>
      <c r="R185" s="6292"/>
      <c r="S185" s="6292"/>
      <c r="T185" s="6292"/>
      <c r="U185" s="6292"/>
      <c r="V185" s="6292"/>
      <c r="W185" s="6292"/>
      <c r="X185" s="6292"/>
      <c r="Y185" s="6292"/>
      <c r="Z185" s="6292"/>
      <c r="AA185" s="6292"/>
      <c r="AB185" s="6292"/>
      <c r="AC185" s="6292"/>
      <c r="AD185" s="6292"/>
      <c r="AE185" s="6292"/>
      <c r="AF185" s="6292"/>
      <c r="AG185" s="6292"/>
      <c r="AH185" s="6292"/>
      <c r="AI185" s="1490"/>
      <c r="AK185" s="1490"/>
      <c r="AL185" s="1760"/>
      <c r="AM185" s="1760"/>
      <c r="AN185" s="1490"/>
      <c r="AO185" s="1490"/>
      <c r="AP185" s="1490"/>
      <c r="AQ185" s="1490"/>
      <c r="AR185" s="1760"/>
      <c r="AS185" s="1490"/>
      <c r="AT185" s="1490"/>
      <c r="AU185" s="668"/>
      <c r="AV185" s="1490"/>
      <c r="AW185" s="1490"/>
      <c r="AX185" s="1490"/>
      <c r="AY185" s="1490"/>
      <c r="AZ185" s="1490"/>
      <c r="BA185" s="1756"/>
      <c r="BB185" s="746"/>
      <c r="BC185" s="746"/>
      <c r="BD185" s="746"/>
      <c r="BE185" s="746"/>
      <c r="BF185" s="1765">
        <v>11</v>
      </c>
    </row>
    <row s="6292" customFormat="1" customHeight="1" ht="11.549999999999999">
      <c r="A186" s="1111"/>
      <c r="B186" s="1111"/>
      <c r="C186" s="1111"/>
      <c r="D186" s="1111"/>
      <c r="E186" s="1111"/>
      <c r="F186" s="1760"/>
      <c r="G186" s="1760"/>
      <c r="H186" s="475"/>
      <c r="N186" s="6292"/>
      <c r="O186" s="6292"/>
      <c r="P186" s="6292"/>
      <c r="Q186" s="6292"/>
      <c r="R186" s="6292"/>
      <c r="S186" s="6292"/>
      <c r="T186" s="6292"/>
      <c r="U186" s="6292"/>
      <c r="V186" s="6292"/>
      <c r="W186" s="6292"/>
      <c r="X186" s="6292"/>
      <c r="Y186" s="6292"/>
      <c r="Z186" s="6292"/>
      <c r="AA186" s="6292"/>
      <c r="AB186" s="6292"/>
      <c r="AC186" s="6292"/>
      <c r="AD186" s="6292"/>
      <c r="AE186" s="6292"/>
      <c r="AF186" s="6292"/>
      <c r="AG186" s="6292"/>
      <c r="AH186" s="6292"/>
      <c r="AI186" s="1490"/>
      <c r="AK186" s="1490"/>
      <c r="AL186" s="1760"/>
      <c r="AM186" s="1760"/>
      <c r="AN186" s="1490"/>
      <c r="AO186" s="1490"/>
      <c r="AP186" s="1490"/>
      <c r="AQ186" s="1490"/>
      <c r="AR186" s="1760"/>
      <c r="AS186" s="1490"/>
      <c r="AT186" s="1490"/>
      <c r="AU186" s="668"/>
      <c r="AV186" s="1490"/>
      <c r="AW186" s="1490"/>
      <c r="AX186" s="1490"/>
      <c r="AY186" s="1490"/>
      <c r="AZ186" s="1490"/>
      <c r="BA186" s="1756"/>
      <c r="BB186" s="746"/>
      <c r="BC186" s="746"/>
      <c r="BD186" s="746"/>
      <c r="BE186" s="746"/>
      <c r="BF186" s="1765">
        <v>11</v>
      </c>
    </row>
    <row s="6292" customFormat="1" customHeight="1" ht="11.549999999999999">
      <c r="A187" s="1111"/>
      <c r="B187" s="1111"/>
      <c r="C187" s="1111"/>
      <c r="D187" s="1111"/>
      <c r="E187" s="1111"/>
      <c r="F187" s="1760"/>
      <c r="G187" s="1760"/>
      <c r="H187" s="475"/>
      <c r="N187" s="6292"/>
      <c r="O187" s="6292"/>
      <c r="P187" s="6292"/>
      <c r="Q187" s="6292"/>
      <c r="R187" s="6292"/>
      <c r="S187" s="6292"/>
      <c r="T187" s="6292"/>
      <c r="U187" s="6292"/>
      <c r="V187" s="6292"/>
      <c r="W187" s="6292"/>
      <c r="X187" s="6292"/>
      <c r="Y187" s="6292"/>
      <c r="Z187" s="6292"/>
      <c r="AA187" s="6292"/>
      <c r="AB187" s="6292"/>
      <c r="AC187" s="6292"/>
      <c r="AD187" s="6292"/>
      <c r="AE187" s="6292"/>
      <c r="AF187" s="6292"/>
      <c r="AG187" s="6292"/>
      <c r="AH187" s="6292"/>
      <c r="AI187" s="1490"/>
      <c r="AK187" s="1490"/>
      <c r="AL187" s="1760"/>
      <c r="AM187" s="1760"/>
      <c r="AN187" s="1490"/>
      <c r="AO187" s="1490"/>
      <c r="AP187" s="1490"/>
      <c r="AQ187" s="1490"/>
      <c r="AR187" s="1760"/>
      <c r="AS187" s="1490"/>
      <c r="AT187" s="1490"/>
      <c r="AU187" s="668"/>
      <c r="AV187" s="1490"/>
      <c r="AW187" s="1490"/>
      <c r="AX187" s="1490"/>
      <c r="AY187" s="1490"/>
      <c r="AZ187" s="1490"/>
      <c r="BA187" s="1756"/>
      <c r="BB187" s="746"/>
      <c r="BC187" s="746"/>
      <c r="BD187" s="746"/>
      <c r="BE187" s="746"/>
      <c r="BF187" s="1765">
        <v>11</v>
      </c>
    </row>
    <row s="6292" customFormat="1" customHeight="1" ht="11.549999999999999">
      <c r="A188" s="1111"/>
      <c r="B188" s="1111"/>
      <c r="C188" s="1111"/>
      <c r="D188" s="1111"/>
      <c r="E188" s="1111"/>
      <c r="F188" s="1760"/>
      <c r="G188" s="1760"/>
      <c r="H188" s="475"/>
      <c r="N188" s="6292"/>
      <c r="O188" s="6292"/>
      <c r="P188" s="6292"/>
      <c r="Q188" s="6292"/>
      <c r="R188" s="6292"/>
      <c r="S188" s="6292"/>
      <c r="T188" s="6292"/>
      <c r="U188" s="6292"/>
      <c r="V188" s="6292"/>
      <c r="W188" s="6292"/>
      <c r="X188" s="6292"/>
      <c r="Y188" s="6292"/>
      <c r="Z188" s="6292"/>
      <c r="AA188" s="6292"/>
      <c r="AB188" s="6292"/>
      <c r="AC188" s="6292"/>
      <c r="AD188" s="6292"/>
      <c r="AE188" s="6292"/>
      <c r="AF188" s="6292"/>
      <c r="AG188" s="6292"/>
      <c r="AH188" s="6292"/>
      <c r="AI188" s="1490"/>
      <c r="AK188" s="1490"/>
      <c r="AL188" s="1760"/>
      <c r="AM188" s="1760"/>
      <c r="AN188" s="1490"/>
      <c r="AO188" s="1490"/>
      <c r="AP188" s="1490"/>
      <c r="AQ188" s="1490"/>
      <c r="AR188" s="1760"/>
      <c r="AS188" s="1490"/>
      <c r="AT188" s="1490"/>
      <c r="AU188" s="668"/>
      <c r="AV188" s="1490"/>
      <c r="AW188" s="1490"/>
      <c r="AX188" s="1490"/>
      <c r="AY188" s="1490"/>
      <c r="AZ188" s="1490"/>
      <c r="BA188" s="1756"/>
      <c r="BB188" s="746"/>
      <c r="BC188" s="746"/>
      <c r="BD188" s="746"/>
      <c r="BE188" s="746"/>
      <c r="BF188" s="1765">
        <v>11</v>
      </c>
    </row>
    <row s="6292" customFormat="1" customHeight="1" ht="11.549999999999999">
      <c r="A189" s="1111"/>
      <c r="B189" s="1111"/>
      <c r="C189" s="1111"/>
      <c r="D189" s="1111"/>
      <c r="E189" s="1111"/>
      <c r="F189" s="1760"/>
      <c r="G189" s="1760"/>
      <c r="H189" s="475"/>
      <c r="N189" s="6292"/>
      <c r="O189" s="6292"/>
      <c r="P189" s="6292"/>
      <c r="Q189" s="6292"/>
      <c r="R189" s="6292"/>
      <c r="S189" s="6292"/>
      <c r="T189" s="6292"/>
      <c r="U189" s="6292"/>
      <c r="V189" s="6292"/>
      <c r="W189" s="6292"/>
      <c r="X189" s="6292"/>
      <c r="Y189" s="6292"/>
      <c r="Z189" s="6292"/>
      <c r="AA189" s="6292"/>
      <c r="AB189" s="6292"/>
      <c r="AC189" s="6292"/>
      <c r="AD189" s="6292"/>
      <c r="AE189" s="6292"/>
      <c r="AF189" s="6292"/>
      <c r="AG189" s="6292"/>
      <c r="AH189" s="6292"/>
      <c r="AI189" s="1490"/>
      <c r="AK189" s="1490"/>
      <c r="AL189" s="1760"/>
      <c r="AM189" s="1760"/>
      <c r="AN189" s="1490"/>
      <c r="AO189" s="1490"/>
      <c r="AP189" s="1490"/>
      <c r="AQ189" s="1490"/>
      <c r="AR189" s="1760"/>
      <c r="AS189" s="1490"/>
      <c r="AT189" s="1490"/>
      <c r="AU189" s="668"/>
      <c r="AV189" s="1490"/>
      <c r="AW189" s="1490"/>
      <c r="AX189" s="1490"/>
      <c r="AY189" s="1490"/>
      <c r="AZ189" s="1490"/>
      <c r="BA189" s="1756"/>
      <c r="BB189" s="746"/>
      <c r="BC189" s="746"/>
      <c r="BD189" s="746"/>
      <c r="BE189" s="746"/>
      <c r="BF189" s="1765">
        <v>11</v>
      </c>
    </row>
    <row customHeight="1" ht="11.549999999999999">
      <c r="N190" s="7213"/>
      <c r="O190" s="7213"/>
      <c r="P190" s="7213"/>
      <c r="Q190" s="7213"/>
      <c r="R190" s="7213"/>
      <c r="S190" s="7213"/>
      <c r="T190" s="7213"/>
      <c r="U190" s="7213"/>
      <c r="V190" s="7213"/>
      <c r="W190" s="7213"/>
      <c r="X190" s="7213"/>
      <c r="Y190" s="7213"/>
      <c r="Z190" s="7213"/>
      <c r="AA190" s="7213"/>
      <c r="AB190" s="7213"/>
      <c r="AC190" s="7213"/>
      <c r="AD190" s="7213"/>
      <c r="AE190" s="7213"/>
      <c r="AF190" s="7213"/>
      <c r="AG190" s="7213"/>
      <c r="AH190" s="7213"/>
      <c r="BF190" s="1755">
        <v>11</v>
      </c>
    </row>
    <row customHeight="1" ht="11.549999999999999">
      <c r="N191" s="7213"/>
      <c r="O191" s="7213"/>
      <c r="P191" s="7213"/>
      <c r="Q191" s="7213"/>
      <c r="R191" s="7213"/>
      <c r="S191" s="7213"/>
      <c r="T191" s="7213"/>
      <c r="U191" s="7213"/>
      <c r="V191" s="7213"/>
      <c r="W191" s="7213"/>
      <c r="X191" s="7213"/>
      <c r="Y191" s="7213"/>
      <c r="Z191" s="7213"/>
      <c r="AA191" s="7213"/>
      <c r="AB191" s="7213"/>
      <c r="AC191" s="7213"/>
      <c r="AD191" s="7213"/>
      <c r="AE191" s="7213"/>
      <c r="AF191" s="7213"/>
      <c r="AG191" s="7213"/>
      <c r="AH191" s="7213"/>
      <c r="BF191" s="1755">
        <v>11</v>
      </c>
    </row>
    <row customHeight="1" ht="11.549999999999999">
      <c r="N192" s="7213"/>
      <c r="O192" s="7213"/>
      <c r="P192" s="7213"/>
      <c r="Q192" s="7213"/>
      <c r="R192" s="7213"/>
      <c r="S192" s="7213"/>
      <c r="T192" s="7213"/>
      <c r="U192" s="7213"/>
      <c r="V192" s="7213"/>
      <c r="W192" s="7213"/>
      <c r="X192" s="7213"/>
      <c r="Y192" s="7213"/>
      <c r="Z192" s="7213"/>
      <c r="AA192" s="7213"/>
      <c r="AB192" s="7213"/>
      <c r="AC192" s="7213"/>
      <c r="AD192" s="7213"/>
      <c r="AE192" s="7213"/>
      <c r="AF192" s="7213"/>
      <c r="AG192" s="7213"/>
      <c r="AH192" s="7213"/>
      <c r="BF192" s="1755">
        <v>11</v>
      </c>
    </row>
    <row customHeight="1" ht="11.549999999999999">
      <c r="A193" s="1114"/>
      <c r="B193" s="1114"/>
      <c r="C193" s="1114"/>
      <c r="D193" s="1114"/>
      <c r="E193" s="1114"/>
      <c r="F193" s="1755"/>
      <c r="H193" s="1755"/>
      <c r="N193" s="7213"/>
      <c r="O193" s="7213"/>
      <c r="P193" s="7213"/>
      <c r="Q193" s="7213"/>
      <c r="R193" s="7213"/>
      <c r="S193" s="7213"/>
      <c r="T193" s="7213"/>
      <c r="U193" s="7213"/>
      <c r="V193" s="7213"/>
      <c r="W193" s="7213"/>
      <c r="X193" s="7213"/>
      <c r="Y193" s="7213"/>
      <c r="Z193" s="7213"/>
      <c r="AA193" s="7213"/>
      <c r="AB193" s="7213"/>
      <c r="AC193" s="7213"/>
      <c r="AD193" s="7213"/>
      <c r="AE193" s="7213"/>
      <c r="AF193" s="7213"/>
      <c r="AG193" s="7213"/>
      <c r="AH193" s="7213"/>
      <c r="AI193" s="1755"/>
      <c r="AK193" s="1755"/>
      <c r="AN193" s="1755"/>
      <c r="AO193" s="1755"/>
      <c r="AP193" s="1755"/>
      <c r="AQ193" s="1755"/>
      <c r="AS193" s="1755"/>
      <c r="AT193" s="1755"/>
      <c r="AU193" s="1755"/>
      <c r="AV193" s="1755"/>
      <c r="AW193" s="1755"/>
      <c r="AX193" s="1755"/>
      <c r="AY193" s="1755"/>
      <c r="AZ193" s="1755"/>
      <c r="BA193" s="1755"/>
      <c r="BB193" s="1755"/>
      <c r="BC193" s="1755"/>
      <c r="BD193" s="1755"/>
      <c r="BE193" s="1755"/>
      <c r="BF193" s="1755">
        <v>11</v>
      </c>
    </row>
    <row customHeight="1" ht="11.549999999999999">
      <c r="A194" s="1114"/>
      <c r="B194" s="1114"/>
      <c r="C194" s="1114"/>
      <c r="D194" s="1114"/>
      <c r="E194" s="1114"/>
      <c r="F194" s="1755"/>
      <c r="H194" s="1755"/>
      <c r="N194" s="7213"/>
      <c r="O194" s="7213"/>
      <c r="P194" s="7213"/>
      <c r="Q194" s="7213"/>
      <c r="R194" s="7213"/>
      <c r="S194" s="7213"/>
      <c r="T194" s="7213"/>
      <c r="U194" s="7213"/>
      <c r="V194" s="7213"/>
      <c r="W194" s="7213"/>
      <c r="X194" s="7213"/>
      <c r="Y194" s="7213"/>
      <c r="Z194" s="7213"/>
      <c r="AA194" s="7213"/>
      <c r="AB194" s="7213"/>
      <c r="AC194" s="7213"/>
      <c r="AD194" s="7213"/>
      <c r="AE194" s="7213"/>
      <c r="AF194" s="7213"/>
      <c r="AG194" s="7213"/>
      <c r="AH194" s="7213"/>
      <c r="AI194" s="1755"/>
      <c r="AK194" s="1755"/>
      <c r="AN194" s="1755"/>
      <c r="AO194" s="1755"/>
      <c r="AP194" s="1755"/>
      <c r="AQ194" s="1755"/>
      <c r="AS194" s="1755"/>
      <c r="AT194" s="1755"/>
      <c r="AU194" s="1755"/>
      <c r="AV194" s="1755"/>
      <c r="AW194" s="1755"/>
      <c r="AX194" s="1755"/>
      <c r="AY194" s="1755"/>
      <c r="AZ194" s="1755"/>
      <c r="BA194" s="1755"/>
      <c r="BB194" s="1755"/>
      <c r="BC194" s="1755"/>
      <c r="BD194" s="1755"/>
      <c r="BE194" s="1755"/>
      <c r="BF194" s="1755">
        <v>11</v>
      </c>
    </row>
    <row customHeight="1" ht="11.549999999999999">
      <c r="A195" s="1114"/>
      <c r="B195" s="1114"/>
      <c r="C195" s="1114"/>
      <c r="D195" s="1114"/>
      <c r="E195" s="1114"/>
      <c r="F195" s="1755"/>
      <c r="H195" s="1755"/>
      <c r="N195" s="7213"/>
      <c r="O195" s="7213"/>
      <c r="P195" s="7213"/>
      <c r="Q195" s="7213"/>
      <c r="R195" s="7213"/>
      <c r="S195" s="7213"/>
      <c r="T195" s="7213"/>
      <c r="U195" s="7213"/>
      <c r="V195" s="7213"/>
      <c r="W195" s="7213"/>
      <c r="X195" s="7213"/>
      <c r="Y195" s="7213"/>
      <c r="Z195" s="7213"/>
      <c r="AA195" s="7213"/>
      <c r="AB195" s="7213"/>
      <c r="AC195" s="7213"/>
      <c r="AD195" s="7213"/>
      <c r="AE195" s="7213"/>
      <c r="AF195" s="7213"/>
      <c r="AG195" s="7213"/>
      <c r="AH195" s="7213"/>
      <c r="AI195" s="1755"/>
      <c r="AK195" s="1755"/>
      <c r="AN195" s="1755"/>
      <c r="AO195" s="1755"/>
      <c r="AP195" s="1755"/>
      <c r="AQ195" s="1755"/>
      <c r="AS195" s="1755"/>
      <c r="AT195" s="1755"/>
      <c r="AU195" s="1755"/>
      <c r="AV195" s="1755"/>
      <c r="AW195" s="1755"/>
      <c r="AX195" s="1755"/>
      <c r="AY195" s="1755"/>
      <c r="AZ195" s="1755"/>
      <c r="BA195" s="1755"/>
      <c r="BB195" s="1755"/>
      <c r="BC195" s="1755"/>
      <c r="BD195" s="1755"/>
      <c r="BE195" s="1755"/>
      <c r="BF195" s="1755">
        <v>11</v>
      </c>
    </row>
    <row customHeight="1" ht="11.549999999999999">
      <c r="A196" s="1114"/>
      <c r="B196" s="1114"/>
      <c r="C196" s="1114"/>
      <c r="D196" s="1114"/>
      <c r="E196" s="1114"/>
      <c r="F196" s="1755"/>
      <c r="H196" s="1755"/>
      <c r="N196" s="7213"/>
      <c r="O196" s="7213"/>
      <c r="P196" s="7213"/>
      <c r="Q196" s="7213"/>
      <c r="R196" s="7213"/>
      <c r="S196" s="7213"/>
      <c r="T196" s="7213"/>
      <c r="U196" s="7213"/>
      <c r="V196" s="7213"/>
      <c r="W196" s="7213"/>
      <c r="X196" s="7213"/>
      <c r="Y196" s="7213"/>
      <c r="Z196" s="7213"/>
      <c r="AA196" s="7213"/>
      <c r="AB196" s="7213"/>
      <c r="AC196" s="7213"/>
      <c r="AD196" s="7213"/>
      <c r="AE196" s="7213"/>
      <c r="AF196" s="7213"/>
      <c r="AG196" s="7213"/>
      <c r="AH196" s="7213"/>
      <c r="AI196" s="1755"/>
      <c r="AK196" s="1755"/>
      <c r="AN196" s="1755"/>
      <c r="AO196" s="1755"/>
      <c r="AP196" s="1755"/>
      <c r="AQ196" s="1755"/>
      <c r="AS196" s="1755"/>
      <c r="AT196" s="1755"/>
      <c r="AU196" s="1755"/>
      <c r="AV196" s="1755"/>
      <c r="AW196" s="1755"/>
      <c r="AX196" s="1755"/>
      <c r="AY196" s="1755"/>
      <c r="AZ196" s="1755"/>
      <c r="BA196" s="1755"/>
      <c r="BB196" s="1755"/>
      <c r="BC196" s="1755"/>
      <c r="BD196" s="1755"/>
      <c r="BE196" s="1755"/>
      <c r="BF196" s="1755">
        <v>11</v>
      </c>
    </row>
    <row customHeight="1" ht="11.549999999999999">
      <c r="A197" s="1114"/>
      <c r="B197" s="1114"/>
      <c r="C197" s="1114"/>
      <c r="D197" s="1114"/>
      <c r="E197" s="1114"/>
      <c r="F197" s="1755"/>
      <c r="H197" s="1755"/>
      <c r="N197" s="7213"/>
      <c r="O197" s="7213"/>
      <c r="P197" s="7213"/>
      <c r="Q197" s="7213"/>
      <c r="R197" s="7213"/>
      <c r="S197" s="7213"/>
      <c r="T197" s="7213"/>
      <c r="U197" s="7213"/>
      <c r="V197" s="7213"/>
      <c r="W197" s="7213"/>
      <c r="X197" s="7213"/>
      <c r="Y197" s="7213"/>
      <c r="Z197" s="7213"/>
      <c r="AA197" s="7213"/>
      <c r="AB197" s="7213"/>
      <c r="AC197" s="7213"/>
      <c r="AD197" s="7213"/>
      <c r="AE197" s="7213"/>
      <c r="AF197" s="7213"/>
      <c r="AG197" s="7213"/>
      <c r="AH197" s="7213"/>
      <c r="AI197" s="1755"/>
      <c r="AK197" s="1755"/>
      <c r="AN197" s="1755"/>
      <c r="AO197" s="1755"/>
      <c r="AP197" s="1755"/>
      <c r="AQ197" s="1755"/>
      <c r="AS197" s="1755"/>
      <c r="AT197" s="1755"/>
      <c r="AU197" s="1755"/>
      <c r="AV197" s="1755"/>
      <c r="AW197" s="1755"/>
      <c r="AX197" s="1755"/>
      <c r="AY197" s="1755"/>
      <c r="AZ197" s="1755"/>
      <c r="BA197" s="1755"/>
      <c r="BB197" s="1755"/>
      <c r="BC197" s="1755"/>
      <c r="BD197" s="1755"/>
      <c r="BE197" s="1755"/>
      <c r="BF197" s="1755">
        <v>11</v>
      </c>
    </row>
    <row customHeight="1" ht="11.549999999999999">
      <c r="A198" s="1114"/>
      <c r="B198" s="1114"/>
      <c r="C198" s="1114"/>
      <c r="D198" s="1114"/>
      <c r="E198" s="1114"/>
      <c r="F198" s="1755"/>
      <c r="H198" s="1755"/>
      <c r="N198" s="7213"/>
      <c r="O198" s="7213"/>
      <c r="P198" s="7213"/>
      <c r="Q198" s="7213"/>
      <c r="R198" s="7213"/>
      <c r="S198" s="7213"/>
      <c r="T198" s="7213"/>
      <c r="U198" s="7213"/>
      <c r="V198" s="7213"/>
      <c r="W198" s="7213"/>
      <c r="X198" s="7213"/>
      <c r="Y198" s="7213"/>
      <c r="Z198" s="7213"/>
      <c r="AA198" s="7213"/>
      <c r="AB198" s="7213"/>
      <c r="AC198" s="7213"/>
      <c r="AD198" s="7213"/>
      <c r="AE198" s="7213"/>
      <c r="AF198" s="7213"/>
      <c r="AG198" s="7213"/>
      <c r="AH198" s="7213"/>
      <c r="AI198" s="1755"/>
      <c r="AK198" s="1755"/>
      <c r="AN198" s="1755"/>
      <c r="AO198" s="1755"/>
      <c r="AP198" s="1755"/>
      <c r="AQ198" s="1755"/>
      <c r="AS198" s="1755"/>
      <c r="AT198" s="1755"/>
      <c r="AU198" s="1755"/>
      <c r="AV198" s="1755"/>
      <c r="AW198" s="1755"/>
      <c r="AX198" s="1755"/>
      <c r="AY198" s="1755"/>
      <c r="AZ198" s="1755"/>
      <c r="BA198" s="1755"/>
      <c r="BB198" s="1755"/>
      <c r="BC198" s="1755"/>
      <c r="BD198" s="1755"/>
      <c r="BE198" s="1755"/>
      <c r="BF198" s="1755">
        <v>11</v>
      </c>
    </row>
    <row customHeight="1" ht="11.549999999999999">
      <c r="A199" s="1114"/>
      <c r="B199" s="1114"/>
      <c r="C199" s="1114"/>
      <c r="D199" s="1114"/>
      <c r="E199" s="1114"/>
      <c r="F199" s="1755"/>
      <c r="H199" s="1755"/>
      <c r="N199" s="7213"/>
      <c r="O199" s="7213"/>
      <c r="P199" s="7213"/>
      <c r="Q199" s="7213"/>
      <c r="R199" s="7213"/>
      <c r="S199" s="7213"/>
      <c r="T199" s="7213"/>
      <c r="U199" s="7213"/>
      <c r="V199" s="7213"/>
      <c r="W199" s="7213"/>
      <c r="X199" s="7213"/>
      <c r="Y199" s="7213"/>
      <c r="Z199" s="7213"/>
      <c r="AA199" s="7213"/>
      <c r="AB199" s="7213"/>
      <c r="AC199" s="7213"/>
      <c r="AD199" s="7213"/>
      <c r="AE199" s="7213"/>
      <c r="AF199" s="7213"/>
      <c r="AG199" s="7213"/>
      <c r="AH199" s="7213"/>
      <c r="AI199" s="1755"/>
      <c r="AK199" s="1755"/>
      <c r="AN199" s="1755"/>
      <c r="AO199" s="1755"/>
      <c r="AP199" s="1755"/>
      <c r="AQ199" s="1755"/>
      <c r="AS199" s="1755"/>
      <c r="AT199" s="1755"/>
      <c r="AU199" s="1755"/>
      <c r="AV199" s="1755"/>
      <c r="AW199" s="1755"/>
      <c r="AX199" s="1755"/>
      <c r="AY199" s="1755"/>
      <c r="AZ199" s="1755"/>
      <c r="BA199" s="1755"/>
      <c r="BB199" s="1755"/>
      <c r="BC199" s="1755"/>
      <c r="BD199" s="1755"/>
      <c r="BE199" s="1755"/>
      <c r="BF199" s="1755">
        <v>11</v>
      </c>
    </row>
    <row customHeight="1" ht="11.549999999999999">
      <c r="A200" s="1114"/>
      <c r="B200" s="1114"/>
      <c r="C200" s="1114"/>
      <c r="D200" s="1114"/>
      <c r="E200" s="1114"/>
      <c r="F200" s="1755"/>
      <c r="H200" s="1755"/>
      <c r="N200" s="7213"/>
      <c r="O200" s="7213"/>
      <c r="P200" s="7213"/>
      <c r="Q200" s="7213"/>
      <c r="R200" s="7213"/>
      <c r="S200" s="7213"/>
      <c r="T200" s="7213"/>
      <c r="U200" s="7213"/>
      <c r="V200" s="7213"/>
      <c r="W200" s="7213"/>
      <c r="X200" s="7213"/>
      <c r="Y200" s="7213"/>
      <c r="Z200" s="7213"/>
      <c r="AA200" s="7213"/>
      <c r="AB200" s="7213"/>
      <c r="AC200" s="7213"/>
      <c r="AD200" s="7213"/>
      <c r="AE200" s="7213"/>
      <c r="AF200" s="7213"/>
      <c r="AG200" s="7213"/>
      <c r="AH200" s="7213"/>
      <c r="AI200" s="1755"/>
      <c r="AK200" s="1755"/>
      <c r="AN200" s="1755"/>
      <c r="AO200" s="1755"/>
      <c r="AP200" s="1755"/>
      <c r="AQ200" s="1755"/>
      <c r="AS200" s="1755"/>
      <c r="AT200" s="1755"/>
      <c r="AU200" s="1755"/>
      <c r="AV200" s="1755"/>
      <c r="AW200" s="1755"/>
      <c r="AX200" s="1755"/>
      <c r="AY200" s="1755"/>
      <c r="AZ200" s="1755"/>
      <c r="BA200" s="1755"/>
      <c r="BB200" s="1755"/>
      <c r="BC200" s="1755"/>
      <c r="BD200" s="1755"/>
      <c r="BE200" s="1755"/>
      <c r="BF200" s="1755">
        <v>11</v>
      </c>
    </row>
    <row customHeight="1" ht="11.549999999999999">
      <c r="A201" s="1114"/>
      <c r="B201" s="1114"/>
      <c r="C201" s="1114"/>
      <c r="D201" s="1114"/>
      <c r="E201" s="1114"/>
      <c r="F201" s="1755"/>
      <c r="H201" s="1755"/>
      <c r="N201" s="7213"/>
      <c r="O201" s="7213"/>
      <c r="P201" s="7213"/>
      <c r="Q201" s="7213"/>
      <c r="R201" s="7213"/>
      <c r="S201" s="7213"/>
      <c r="T201" s="7213"/>
      <c r="U201" s="7213"/>
      <c r="V201" s="7213"/>
      <c r="W201" s="7213"/>
      <c r="X201" s="7213"/>
      <c r="Y201" s="7213"/>
      <c r="Z201" s="7213"/>
      <c r="AA201" s="7213"/>
      <c r="AB201" s="7213"/>
      <c r="AC201" s="7213"/>
      <c r="AD201" s="7213"/>
      <c r="AE201" s="7213"/>
      <c r="AF201" s="7213"/>
      <c r="AG201" s="7213"/>
      <c r="AH201" s="7213"/>
      <c r="AI201" s="1755"/>
      <c r="AK201" s="1755"/>
      <c r="AN201" s="1755"/>
      <c r="AO201" s="1755"/>
      <c r="AP201" s="1755"/>
      <c r="AQ201" s="1755"/>
      <c r="AS201" s="1755"/>
      <c r="AT201" s="1755"/>
      <c r="AU201" s="1755"/>
      <c r="AV201" s="1755"/>
      <c r="AW201" s="1755"/>
      <c r="AX201" s="1755"/>
      <c r="AY201" s="1755"/>
      <c r="AZ201" s="1755"/>
      <c r="BA201" s="1755"/>
      <c r="BB201" s="1755"/>
      <c r="BC201" s="1755"/>
      <c r="BD201" s="1755"/>
      <c r="BE201" s="1755"/>
      <c r="BF201" s="1755">
        <v>11</v>
      </c>
    </row>
    <row customHeight="1" ht="11.549999999999999">
      <c r="A202" s="1114"/>
      <c r="B202" s="1114"/>
      <c r="C202" s="1114"/>
      <c r="D202" s="1114"/>
      <c r="E202" s="1114"/>
      <c r="F202" s="1755"/>
      <c r="H202" s="1755"/>
      <c r="N202" s="7213"/>
      <c r="O202" s="7213"/>
      <c r="P202" s="7213"/>
      <c r="Q202" s="7213"/>
      <c r="R202" s="7213"/>
      <c r="S202" s="7213"/>
      <c r="T202" s="7213"/>
      <c r="U202" s="7213"/>
      <c r="V202" s="7213"/>
      <c r="W202" s="7213"/>
      <c r="X202" s="7213"/>
      <c r="Y202" s="7213"/>
      <c r="Z202" s="7213"/>
      <c r="AA202" s="7213"/>
      <c r="AB202" s="7213"/>
      <c r="AC202" s="7213"/>
      <c r="AD202" s="7213"/>
      <c r="AE202" s="7213"/>
      <c r="AF202" s="7213"/>
      <c r="AG202" s="7213"/>
      <c r="AH202" s="7213"/>
      <c r="AI202" s="1755"/>
      <c r="AK202" s="1755"/>
      <c r="AN202" s="1755"/>
      <c r="AO202" s="1755"/>
      <c r="AP202" s="1755"/>
      <c r="AQ202" s="1755"/>
      <c r="AS202" s="1755"/>
      <c r="AT202" s="1755"/>
      <c r="AU202" s="1755"/>
      <c r="AV202" s="1755"/>
      <c r="AW202" s="1755"/>
      <c r="AX202" s="1755"/>
      <c r="AY202" s="1755"/>
      <c r="AZ202" s="1755"/>
      <c r="BA202" s="1755"/>
      <c r="BB202" s="1755"/>
      <c r="BC202" s="1755"/>
      <c r="BD202" s="1755"/>
      <c r="BE202" s="1755"/>
      <c r="BF202" s="1755">
        <v>11</v>
      </c>
    </row>
    <row customHeight="1" ht="11.549999999999999">
      <c r="A203" s="1114"/>
      <c r="B203" s="1114"/>
      <c r="C203" s="1114"/>
      <c r="D203" s="1114"/>
      <c r="E203" s="1114"/>
      <c r="F203" s="1755"/>
      <c r="H203" s="1755"/>
      <c r="N203" s="7213"/>
      <c r="O203" s="7213"/>
      <c r="P203" s="7213"/>
      <c r="Q203" s="7213"/>
      <c r="R203" s="7213"/>
      <c r="S203" s="7213"/>
      <c r="T203" s="7213"/>
      <c r="U203" s="7213"/>
      <c r="V203" s="7213"/>
      <c r="W203" s="7213"/>
      <c r="X203" s="7213"/>
      <c r="Y203" s="7213"/>
      <c r="Z203" s="7213"/>
      <c r="AA203" s="7213"/>
      <c r="AB203" s="7213"/>
      <c r="AC203" s="7213"/>
      <c r="AD203" s="7213"/>
      <c r="AE203" s="7213"/>
      <c r="AF203" s="7213"/>
      <c r="AG203" s="7213"/>
      <c r="AH203" s="7213"/>
      <c r="AI203" s="1755"/>
      <c r="AK203" s="1755"/>
      <c r="AN203" s="1755"/>
      <c r="AO203" s="1755"/>
      <c r="AP203" s="1755"/>
      <c r="AQ203" s="1755"/>
      <c r="AS203" s="1755"/>
      <c r="AT203" s="1755"/>
      <c r="AU203" s="1755"/>
      <c r="AV203" s="1755"/>
      <c r="AW203" s="1755"/>
      <c r="AX203" s="1755"/>
      <c r="AY203" s="1755"/>
      <c r="AZ203" s="1755"/>
      <c r="BA203" s="1755"/>
      <c r="BB203" s="1755"/>
      <c r="BC203" s="1755"/>
      <c r="BD203" s="1755"/>
      <c r="BE203" s="1755"/>
      <c r="BF203" s="1755">
        <v>11</v>
      </c>
    </row>
    <row customHeight="1" ht="12.75" hidden="1">
      <c r="A204" s="1111" t="s">
        <v>82</v>
      </c>
      <c r="B204" s="1111" t="s">
        <v>139</v>
      </c>
      <c r="C204" s="1111" t="s">
        <v>139</v>
      </c>
      <c r="D204" s="1111" t="s">
        <v>139</v>
      </c>
      <c r="E204" s="1111" t="s">
        <v>139</v>
      </c>
      <c r="F204" s="1759">
        <v>16</v>
      </c>
      <c r="G204" s="1760">
        <v>0</v>
      </c>
      <c r="H204" s="1759">
        <v>3</v>
      </c>
      <c r="I204" s="1755">
        <v>7</v>
      </c>
      <c r="J204" s="1755">
        <v>56</v>
      </c>
      <c r="K204" s="1755">
        <v>10</v>
      </c>
      <c r="L204" s="1755">
        <v>40</v>
      </c>
      <c r="M204" s="1755">
        <v>40</v>
      </c>
      <c r="N204" s="7213">
        <v>40</v>
      </c>
      <c r="O204" s="7213">
        <v>40</v>
      </c>
      <c r="P204" s="7213">
        <v>40</v>
      </c>
      <c r="Q204" s="7213">
        <v>40</v>
      </c>
      <c r="R204" s="7213">
        <v>40</v>
      </c>
      <c r="S204" s="7213">
        <v>40</v>
      </c>
      <c r="T204" s="7213">
        <v>40</v>
      </c>
      <c r="U204" s="7213">
        <v>40</v>
      </c>
      <c r="V204" s="7213">
        <v>40</v>
      </c>
      <c r="W204" s="7213">
        <v>40</v>
      </c>
      <c r="X204" s="7213">
        <v>40</v>
      </c>
      <c r="Y204" s="7213">
        <v>40</v>
      </c>
      <c r="Z204" s="7213">
        <v>40</v>
      </c>
      <c r="AA204" s="7213">
        <v>40</v>
      </c>
      <c r="AB204" s="7213">
        <v>40</v>
      </c>
      <c r="AC204" s="7213">
        <v>40</v>
      </c>
      <c r="AD204" s="7213">
        <v>40</v>
      </c>
      <c r="AE204" s="7213">
        <v>40</v>
      </c>
      <c r="AF204" s="7213">
        <v>40</v>
      </c>
      <c r="AG204" s="7213">
        <v>40</v>
      </c>
      <c r="AH204" s="7213">
        <v>40</v>
      </c>
      <c r="AI204" s="1490">
        <v>9</v>
      </c>
      <c r="AJ204" s="1755">
        <v>102</v>
      </c>
      <c r="AK204" s="1490">
        <v>9</v>
      </c>
      <c r="AL204" s="1760">
        <v>5</v>
      </c>
      <c r="AM204" s="1760">
        <v>3</v>
      </c>
      <c r="AN204" s="1490">
        <v>3</v>
      </c>
      <c r="AO204" s="1490">
        <v>3</v>
      </c>
      <c r="AP204" s="1490">
        <v>3</v>
      </c>
      <c r="AQ204" s="1490">
        <v>3</v>
      </c>
      <c r="AR204" s="1760">
        <v>10</v>
      </c>
      <c r="AS204" s="1490">
        <v>34</v>
      </c>
      <c r="AT204" s="1490">
        <v>9</v>
      </c>
      <c r="AU204" s="668">
        <v>8</v>
      </c>
      <c r="AV204" s="1490">
        <v>8</v>
      </c>
      <c r="AW204" s="1490">
        <v>8</v>
      </c>
      <c r="AX204" s="1490">
        <v>8</v>
      </c>
      <c r="AY204" s="1490">
        <v>8</v>
      </c>
      <c r="AZ204" s="1490">
        <v>8</v>
      </c>
      <c r="BA204" s="1756">
        <v>8</v>
      </c>
      <c r="BB204" s="1756">
        <v>8</v>
      </c>
      <c r="BC204" s="1756">
        <v>8</v>
      </c>
      <c r="BD204" s="1756">
        <v>8</v>
      </c>
      <c r="BE204" s="1756">
        <v>8</v>
      </c>
      <c r="BF204" s="1755">
        <v>11</v>
      </c>
    </row>
  </sheetData>
  <sheetProtection sort="0" autoFilter="0" insertRows="0" insertColumns="1" deleteRows="0" deleteColumns="0"/>
  <mergeCells count="7">
    <mergeCell ref="I6:M6"/>
    <mergeCell ref="I7:M7"/>
    <mergeCell ref="J10:K10"/>
    <mergeCell ref="AJ10:AJ14"/>
    <mergeCell ref="J11:K11"/>
    <mergeCell ref="J12:K12"/>
    <mergeCell ref="I13:K13"/>
  </mergeCells>
  <dataValidations count="4">
    <dataValidation type="decimal" allowBlank="1" showErrorMessage="1" errorTitle="Ошибка" error="Допускается ввод только неотрицательных чисел!" sqref="L32:AH33 L19:AH29 L16:AH16 L2:AH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H17">
      <formula1>900</formula1>
    </dataValidation>
    <dataValidation type="whole" allowBlank="1" showErrorMessage="1" errorTitle="Ошибка" error="Допускается ввод только неотрицательных целых чисел!" sqref="L30:A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H15 L34:AH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E9B007-6368-5173-3C18-BDC87318863B}"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7213" width="10.57421875" hidden="1"/>
    <col min="5" max="5" style="7916" width="9.140625" hidden="1" customWidth="1"/>
    <col min="6" max="7" style="7158" width="9.140625" hidden="1" customWidth="1"/>
    <col min="8" max="8" style="7183" width="3.00390625" customWidth="1"/>
    <col min="9" max="9" style="7213" width="6.00390625" customWidth="1"/>
    <col min="10" max="10" style="7213" width="63.00390625" customWidth="1"/>
    <col min="11" max="11" style="7213" width="9.00390625" customWidth="1"/>
    <col min="12" max="12" style="7213" width="39.00390625" customWidth="1"/>
    <col min="13" max="13" style="7213" width="89.00390625" customWidth="1"/>
    <col min="14" max="14" style="7213" width="10.00390625" customWidth="1"/>
    <col min="15" max="16" style="7161" width="10.00390625" customWidth="1"/>
    <col min="17" max="22" style="7213" width="10.00390625" customWidth="1"/>
    <col min="23" max="23" style="7213" width="10.57421875" hidden="1"/>
  </cols>
  <sheetData>
    <row customHeight="1" ht="22.5" hidden="1">
      <c r="S1" s="379"/>
      <c r="T1" s="379"/>
      <c r="V1" s="379"/>
      <c r="W1" s="1755" t="s">
        <v>14</v>
      </c>
    </row>
    <row customHeight="1" ht="22.5" hidden="1">
      <c r="B2" s="2174" t="s">
        <v>844</v>
      </c>
      <c r="C2" s="2174" t="s">
        <v>845</v>
      </c>
      <c r="D2" s="2173" t="s">
        <v>784</v>
      </c>
      <c r="E2" s="2179">
        <f>I2-3</f>
        <v>-3</v>
      </c>
      <c r="F2" s="2179">
        <f>J2</f>
        <v>0</v>
      </c>
      <c r="H2" s="1853" t="s">
        <v>103</v>
      </c>
      <c r="I2" s="2145"/>
      <c r="J2" s="1805"/>
      <c r="K2" s="2139" t="s">
        <v>418</v>
      </c>
      <c r="L2" s="1288"/>
      <c r="M2" s="421"/>
      <c r="N2" s="1748"/>
      <c r="P2" s="1755"/>
      <c r="W2" s="1755">
        <v>0</v>
      </c>
    </row>
    <row customHeight="1" ht="14.25" hidden="1">
      <c r="W3" s="1755">
        <v>0</v>
      </c>
    </row>
    <row customHeight="1" ht="6.3">
      <c r="H4" s="500"/>
      <c r="I4" s="581"/>
      <c r="J4" s="581"/>
      <c r="K4" s="581"/>
      <c r="L4" s="209"/>
      <c r="M4" s="209"/>
      <c r="W4" s="1755">
        <v>6</v>
      </c>
    </row>
    <row customHeight="1" ht="50.25">
      <c r="H5" s="500"/>
      <c r="I5" s="2385" t="s">
        <v>846</v>
      </c>
      <c r="J5" s="2385"/>
      <c r="K5" s="2385"/>
      <c r="L5" s="2385"/>
      <c r="M5" s="390"/>
      <c r="W5" s="1755">
        <v>48</v>
      </c>
    </row>
    <row customHeight="1" ht="18">
      <c r="H6" s="500"/>
      <c r="I6" s="2386" t="str">
        <f>IF(org=0,"Не определено",org)</f>
        <v>ООО "СамРЭК-Эксплуатация"</v>
      </c>
      <c r="J6" s="2386"/>
      <c r="K6" s="2386"/>
      <c r="L6" s="2386"/>
      <c r="M6" s="390"/>
      <c r="W6" s="1755">
        <v>17</v>
      </c>
    </row>
    <row customHeight="1" ht="14.699999999999998">
      <c r="H7" s="500"/>
      <c r="I7" s="581"/>
      <c r="J7" s="587"/>
      <c r="K7" s="587"/>
      <c r="L7" s="876"/>
      <c r="M7" s="317"/>
      <c r="W7" s="1755">
        <v>14</v>
      </c>
    </row>
    <row customHeight="1" ht="14.699999999999998">
      <c r="H8" s="500"/>
      <c r="I8" s="2523" t="s">
        <v>412</v>
      </c>
      <c r="J8" s="2524"/>
      <c r="K8" s="2524"/>
      <c r="L8" s="2525"/>
      <c r="M8" s="2526" t="s">
        <v>413</v>
      </c>
      <c r="W8" s="1755">
        <v>14</v>
      </c>
    </row>
    <row customHeight="1" ht="35.699999999999996">
      <c r="E9" s="2172" t="s">
        <v>775</v>
      </c>
      <c r="F9" s="2172" t="s">
        <v>781</v>
      </c>
      <c r="H9" s="500"/>
      <c r="I9" s="2146" t="s">
        <v>88</v>
      </c>
      <c r="J9" s="2147" t="s">
        <v>414</v>
      </c>
      <c r="K9" s="2185" t="s">
        <v>678</v>
      </c>
      <c r="L9" s="2186" t="s">
        <v>415</v>
      </c>
      <c r="M9" s="2526"/>
      <c r="W9" s="1755">
        <v>34</v>
      </c>
    </row>
    <row customHeight="1" ht="35.699999999999996">
      <c r="B10" s="2174" t="s">
        <v>847</v>
      </c>
      <c r="C10" s="2174" t="s">
        <v>848</v>
      </c>
      <c r="D10" s="2173" t="s">
        <v>784</v>
      </c>
      <c r="E10" s="2177" t="s">
        <v>785</v>
      </c>
      <c r="F10" s="2177" t="s">
        <v>785</v>
      </c>
      <c r="H10" s="500"/>
      <c r="I10" s="2145" t="s">
        <v>210</v>
      </c>
      <c r="J10" s="2007" t="s">
        <v>849</v>
      </c>
      <c r="K10" s="2139" t="s">
        <v>418</v>
      </c>
      <c r="L10" s="942"/>
      <c r="M10" s="421" t="s">
        <v>850</v>
      </c>
      <c r="W10" s="1755">
        <v>34</v>
      </c>
    </row>
    <row customHeight="1" ht="50.25">
      <c r="B11" s="2174" t="s">
        <v>851</v>
      </c>
      <c r="C11" s="2174" t="s">
        <v>852</v>
      </c>
      <c r="D11" s="2173" t="s">
        <v>784</v>
      </c>
      <c r="E11" s="2177" t="s">
        <v>785</v>
      </c>
      <c r="F11" s="2177" t="s">
        <v>785</v>
      </c>
      <c r="H11" s="500"/>
      <c r="I11" s="2145" t="s">
        <v>102</v>
      </c>
      <c r="J11" s="2007" t="s">
        <v>853</v>
      </c>
      <c r="K11" s="2139" t="s">
        <v>418</v>
      </c>
      <c r="L11" s="942"/>
      <c r="M11" s="421" t="s">
        <v>850</v>
      </c>
      <c r="W11" s="1755">
        <v>48</v>
      </c>
    </row>
    <row customHeight="1" ht="48.29999999999999">
      <c r="B12" s="2174" t="s">
        <v>854</v>
      </c>
      <c r="C12" s="2174" t="s">
        <v>855</v>
      </c>
      <c r="D12" s="2173" t="s">
        <v>784</v>
      </c>
      <c r="E12" s="2177" t="s">
        <v>785</v>
      </c>
      <c r="F12" s="2177" t="s">
        <v>785</v>
      </c>
      <c r="H12" s="1811"/>
      <c r="I12" s="2145" t="s">
        <v>90</v>
      </c>
      <c r="J12" s="2152" t="s">
        <v>856</v>
      </c>
      <c r="K12" s="2139" t="s">
        <v>418</v>
      </c>
      <c r="L12" s="942"/>
      <c r="M12" s="421" t="s">
        <v>857</v>
      </c>
      <c r="N12" s="1748"/>
      <c r="P12" s="1755"/>
      <c r="W12" s="1755">
        <v>46</v>
      </c>
    </row>
    <row customHeight="1" ht="14.699999999999998">
      <c r="E13" s="467"/>
      <c r="H13" s="500"/>
      <c r="I13" s="471"/>
      <c r="J13" s="775" t="s">
        <v>858</v>
      </c>
      <c r="K13" s="695"/>
      <c r="L13" s="338"/>
      <c r="M13" s="421"/>
      <c r="W13" s="1755">
        <v>14</v>
      </c>
    </row>
    <row customHeight="1" ht="14.699999999999998">
      <c r="E14" s="467"/>
      <c r="H14" s="500"/>
      <c r="I14" s="1181"/>
      <c r="J14" s="1800"/>
      <c r="K14" s="1801"/>
      <c r="L14" s="1802"/>
      <c r="M14" s="2149"/>
      <c r="W14" s="1755">
        <v>14</v>
      </c>
    </row>
    <row customHeight="1" ht="14.699999999999998">
      <c r="I15" s="1804"/>
      <c r="J15" s="2522"/>
      <c r="K15" s="2522"/>
      <c r="L15" s="2522"/>
      <c r="M15" s="2522"/>
      <c r="W15" s="1755">
        <v>14</v>
      </c>
    </row>
    <row customHeight="1" ht="21" hidden="1">
      <c r="A16" s="2151" t="s">
        <v>82</v>
      </c>
      <c r="B16" s="1755">
        <v>9</v>
      </c>
      <c r="C16" s="1755">
        <v>9</v>
      </c>
      <c r="D16" s="1755">
        <v>9</v>
      </c>
      <c r="E16" s="2151" t="s">
        <v>134</v>
      </c>
      <c r="F16" s="2176" t="s">
        <v>134</v>
      </c>
      <c r="G16" s="2178"/>
      <c r="H16" s="468">
        <v>3</v>
      </c>
      <c r="I16" s="1755">
        <v>6</v>
      </c>
      <c r="J16" s="1755">
        <v>63</v>
      </c>
      <c r="K16" s="1755">
        <v>9</v>
      </c>
      <c r="L16" s="1755">
        <v>39</v>
      </c>
      <c r="M16" s="1755">
        <v>89</v>
      </c>
      <c r="N16" s="1755">
        <v>10</v>
      </c>
      <c r="O16" s="1748">
        <v>10</v>
      </c>
      <c r="P16" s="1748">
        <v>10</v>
      </c>
      <c r="Q16" s="1755">
        <v>10</v>
      </c>
      <c r="R16" s="1755">
        <v>10</v>
      </c>
      <c r="S16" s="1755">
        <v>10</v>
      </c>
      <c r="T16" s="1755">
        <v>10</v>
      </c>
      <c r="U16" s="1755">
        <v>10</v>
      </c>
      <c r="V16" s="1755">
        <v>10</v>
      </c>
      <c r="W16" s="175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0EA038-929D-18D7-36D8-3BB617AB24C8}" mc:Ignorable="x14ac xr xr2 xr3">
  <sheetPr>
    <tabColor theme="9" tint="-0.25"/>
  </sheetPr>
  <dimension ref="A1:BA219"/>
  <sheetViews>
    <sheetView showGridLines="0" zoomScale="90" workbookViewId="0">
      <pane xSplit="8" ySplit="14" topLeftCell="AE15" activePane="bottomRight" state="frozen"/>
      <selection pane="bottomLeft" activeCell="A15" sqref="A15"/>
      <selection pane="topRight" activeCell="I1" sqref="I1"/>
      <selection pane="bottomRight" activeCell="AE9" sqref="AE9"/>
    </sheetView>
  </sheetViews>
  <sheetFormatPr defaultColWidth="9.140625" customHeight="1" defaultRowHeight="11.25"/>
  <cols>
    <col min="1" max="1" style="6675" width="10.7109375" hidden="1" customWidth="1"/>
    <col min="2" max="2" style="7158" width="16.8515625" hidden="1" customWidth="1"/>
    <col min="3" max="3" style="6698" width="5.57421875" hidden="1" customWidth="1"/>
    <col min="4" max="4" style="7213" width="3.00390625" customWidth="1"/>
    <col min="5" max="5" style="7213" width="7.00390625" customWidth="1"/>
    <col min="6" max="6" style="7213" width="56.00390625" customWidth="1"/>
    <col min="7" max="7" style="7213" width="10.00390625" customWidth="1"/>
    <col min="8" max="8" style="7213" width="40.7109375" hidden="1" customWidth="1"/>
    <col min="9" max="9" style="7213" width="40.00390625" customWidth="1"/>
    <col min="10" max="30" style="7213" width="40.7109375" customWidth="1"/>
    <col min="31" max="31" style="7213" width="102.00390625" customWidth="1"/>
    <col min="32" max="32" style="7158" width="9.00390625" customWidth="1"/>
    <col min="33" max="33" style="6698" width="5.00390625" customWidth="1"/>
    <col min="34" max="34" style="6698" width="3.00390625" customWidth="1"/>
    <col min="35" max="38" style="7158" width="3.00390625" customWidth="1"/>
    <col min="39" max="39" style="6698" width="10.00390625" customWidth="1"/>
    <col min="40" max="40" style="7158" width="34.00390625" customWidth="1"/>
    <col min="41" max="41" style="7158" width="9.00390625" customWidth="1"/>
    <col min="42" max="42" style="6676" width="8.00390625" customWidth="1"/>
    <col min="43" max="47" style="7158" width="8.00390625" customWidth="1"/>
    <col min="48" max="52" style="7464" width="8.00390625" customWidth="1"/>
    <col min="53" max="53" style="7213" width="10.421875" hidden="1" customWidth="1"/>
  </cols>
  <sheetData>
    <row s="7158" customFormat="1" customHeight="1" ht="22.5" hidden="1">
      <c r="A1" s="1111"/>
      <c r="C1" s="1760"/>
      <c r="D1" s="661"/>
      <c r="H1" s="1284">
        <v>4</v>
      </c>
      <c r="I1" s="1284">
        <v>4</v>
      </c>
      <c r="J1" s="7158">
        <v>4</v>
      </c>
      <c r="K1" s="7158">
        <v>4</v>
      </c>
      <c r="L1" s="7158">
        <v>4</v>
      </c>
      <c r="M1" s="7158">
        <v>4</v>
      </c>
      <c r="N1" s="7158">
        <v>4</v>
      </c>
      <c r="O1" s="7158">
        <v>4</v>
      </c>
      <c r="P1" s="7158">
        <v>4</v>
      </c>
      <c r="Q1" s="7158">
        <v>4</v>
      </c>
      <c r="R1" s="7158">
        <v>4</v>
      </c>
      <c r="S1" s="7158">
        <v>4</v>
      </c>
      <c r="T1" s="7158">
        <v>4</v>
      </c>
      <c r="U1" s="7158">
        <v>4</v>
      </c>
      <c r="V1" s="7158">
        <v>4</v>
      </c>
      <c r="W1" s="7158">
        <v>4</v>
      </c>
      <c r="X1" s="7158">
        <v>4</v>
      </c>
      <c r="Y1" s="7158">
        <v>4</v>
      </c>
      <c r="Z1" s="7158">
        <v>4</v>
      </c>
      <c r="AA1" s="7158">
        <v>4</v>
      </c>
      <c r="AB1" s="7158">
        <v>4</v>
      </c>
      <c r="AC1" s="7158">
        <v>4</v>
      </c>
      <c r="AD1" s="7158">
        <v>4</v>
      </c>
      <c r="AG1" s="1760"/>
      <c r="AH1" s="1760"/>
      <c r="AM1" s="1760"/>
      <c r="BA1" s="1284" t="s">
        <v>14</v>
      </c>
    </row>
    <row s="7158" customFormat="1" customHeight="1" ht="22.5" hidden="1">
      <c r="A2" s="1111"/>
      <c r="C2" s="1760"/>
      <c r="D2" s="662"/>
      <c r="E2" s="1761"/>
      <c r="F2" s="664"/>
      <c r="G2" s="1763" t="s">
        <v>664</v>
      </c>
      <c r="H2" s="665"/>
      <c r="I2" s="665"/>
      <c r="J2" s="6566"/>
      <c r="K2" s="6566"/>
      <c r="L2" s="6566"/>
      <c r="M2" s="6566"/>
      <c r="N2" s="6566"/>
      <c r="O2" s="6566"/>
      <c r="P2" s="6566"/>
      <c r="Q2" s="6566"/>
      <c r="R2" s="6566"/>
      <c r="S2" s="6566"/>
      <c r="T2" s="6566"/>
      <c r="U2" s="6566"/>
      <c r="V2" s="6566"/>
      <c r="W2" s="6566"/>
      <c r="X2" s="6566"/>
      <c r="Y2" s="6566"/>
      <c r="Z2" s="6566"/>
      <c r="AA2" s="6566"/>
      <c r="AB2" s="6566"/>
      <c r="AC2" s="6566"/>
      <c r="AD2" s="6566"/>
      <c r="AE2" s="666" t="s">
        <v>859</v>
      </c>
      <c r="AF2" s="667"/>
      <c r="AG2" s="1760"/>
      <c r="AH2" s="1760"/>
      <c r="AM2" s="1760"/>
      <c r="AP2" s="668"/>
      <c r="AV2" s="1756"/>
      <c r="AW2" s="1756"/>
      <c r="AX2" s="1756"/>
      <c r="AY2" s="1756"/>
      <c r="AZ2" s="1756"/>
      <c r="BA2" s="1284">
        <v>0</v>
      </c>
    </row>
    <row customHeight="1" ht="11.25" hidden="1">
      <c r="J3" s="7213"/>
      <c r="K3" s="7213"/>
      <c r="L3" s="7213"/>
      <c r="M3" s="7213"/>
      <c r="N3" s="7213"/>
      <c r="O3" s="7213"/>
      <c r="P3" s="7213"/>
      <c r="Q3" s="7213"/>
      <c r="R3" s="7213"/>
      <c r="S3" s="7213"/>
      <c r="T3" s="7213"/>
      <c r="U3" s="7213"/>
      <c r="V3" s="7213"/>
      <c r="W3" s="7213"/>
      <c r="X3" s="7213"/>
      <c r="Y3" s="7213"/>
      <c r="Z3" s="7213"/>
      <c r="AA3" s="7213"/>
      <c r="AB3" s="7213"/>
      <c r="AC3" s="7213"/>
      <c r="AD3" s="7213"/>
      <c r="BA3" s="1755">
        <v>0</v>
      </c>
    </row>
    <row s="7464" customFormat="1" customHeight="1" ht="11.25" hidden="1">
      <c r="A4" s="1111"/>
      <c r="B4" s="1284"/>
      <c r="C4" s="1760"/>
      <c r="D4" s="486"/>
      <c r="J4" s="7464"/>
      <c r="K4" s="7464"/>
      <c r="L4" s="7464"/>
      <c r="M4" s="7464"/>
      <c r="N4" s="7464"/>
      <c r="O4" s="7464"/>
      <c r="P4" s="7464"/>
      <c r="Q4" s="7464"/>
      <c r="R4" s="7464"/>
      <c r="S4" s="7464"/>
      <c r="T4" s="7464"/>
      <c r="U4" s="7464"/>
      <c r="V4" s="7464"/>
      <c r="W4" s="7464"/>
      <c r="X4" s="7464"/>
      <c r="Y4" s="7464"/>
      <c r="Z4" s="7464"/>
      <c r="AA4" s="7464"/>
      <c r="AB4" s="7464"/>
      <c r="AC4" s="7464"/>
      <c r="AD4" s="7464"/>
      <c r="AE4" s="1756">
        <v>4</v>
      </c>
      <c r="AF4" s="1284"/>
      <c r="AG4" s="1760"/>
      <c r="AH4" s="1760"/>
      <c r="AI4" s="1284"/>
      <c r="AJ4" s="1284"/>
      <c r="AK4" s="1284"/>
      <c r="AL4" s="1284"/>
      <c r="AM4" s="1760"/>
      <c r="AN4" s="1284"/>
      <c r="AO4" s="1284"/>
      <c r="AP4" s="668"/>
      <c r="AQ4" s="1284"/>
      <c r="AR4" s="1284"/>
      <c r="AS4" s="1284"/>
      <c r="AT4" s="1284"/>
      <c r="AU4" s="1284"/>
      <c r="BA4" s="1756">
        <v>0</v>
      </c>
    </row>
    <row customHeight="1" ht="11.549999999999999">
      <c r="J5" s="7213"/>
      <c r="K5" s="7213"/>
      <c r="L5" s="7213"/>
      <c r="M5" s="7213"/>
      <c r="N5" s="7213"/>
      <c r="O5" s="7213"/>
      <c r="P5" s="7213"/>
      <c r="Q5" s="7213"/>
      <c r="R5" s="7213"/>
      <c r="S5" s="7213"/>
      <c r="T5" s="7213"/>
      <c r="U5" s="7213"/>
      <c r="V5" s="7213"/>
      <c r="W5" s="7213"/>
      <c r="X5" s="7213"/>
      <c r="Y5" s="7213"/>
      <c r="Z5" s="7213"/>
      <c r="AA5" s="7213"/>
      <c r="AB5" s="7213"/>
      <c r="AC5" s="7213"/>
      <c r="AD5" s="7213"/>
      <c r="BA5" s="1755">
        <v>11</v>
      </c>
    </row>
    <row customHeight="1" ht="31.5">
      <c r="E6" s="2444" t="s">
        <v>860</v>
      </c>
      <c r="F6" s="2444"/>
      <c r="G6" s="2444"/>
      <c r="H6" s="2444"/>
      <c r="I6" s="2444"/>
      <c r="J6" s="6341"/>
      <c r="K6" s="6341"/>
      <c r="L6" s="6341"/>
      <c r="M6" s="6341"/>
      <c r="N6" s="6341"/>
      <c r="O6" s="6341"/>
      <c r="P6" s="6341"/>
      <c r="Q6" s="6341"/>
      <c r="R6" s="6341"/>
      <c r="S6" s="6341"/>
      <c r="T6" s="6341"/>
      <c r="U6" s="6341"/>
      <c r="V6" s="6341"/>
      <c r="W6" s="6341"/>
      <c r="X6" s="6341"/>
      <c r="Y6" s="6341"/>
      <c r="Z6" s="6341"/>
      <c r="AA6" s="6341"/>
      <c r="AB6" s="6341"/>
      <c r="AC6" s="6341"/>
      <c r="AD6" s="6341"/>
      <c r="AE6" s="680"/>
      <c r="BA6" s="1755">
        <v>30</v>
      </c>
    </row>
    <row customHeight="1" ht="11.549999999999999">
      <c r="E7" s="2386" t="str">
        <f>IF(org=0,"Не определено",org)</f>
        <v>ООО "СамРЭК-Эксплуатация"</v>
      </c>
      <c r="F7" s="2386"/>
      <c r="G7" s="2386"/>
      <c r="H7" s="2386"/>
      <c r="I7" s="2386"/>
      <c r="J7" s="6182"/>
      <c r="K7" s="6182"/>
      <c r="L7" s="6182"/>
      <c r="M7" s="6182"/>
      <c r="N7" s="6182"/>
      <c r="O7" s="6182"/>
      <c r="P7" s="6182"/>
      <c r="Q7" s="6182"/>
      <c r="R7" s="6182"/>
      <c r="S7" s="6182"/>
      <c r="T7" s="6182"/>
      <c r="U7" s="6182"/>
      <c r="V7" s="6182"/>
      <c r="W7" s="6182"/>
      <c r="X7" s="6182"/>
      <c r="Y7" s="6182"/>
      <c r="Z7" s="6182"/>
      <c r="AA7" s="6182"/>
      <c r="AB7" s="6182"/>
      <c r="AC7" s="6182"/>
      <c r="AD7" s="6182"/>
      <c r="BA7" s="1755">
        <v>11</v>
      </c>
    </row>
    <row customHeight="1" ht="11.549999999999999">
      <c r="E8" s="1259"/>
      <c r="F8" s="1259"/>
      <c r="G8" s="1259"/>
      <c r="H8" s="1259"/>
      <c r="I8" s="1259"/>
      <c r="J8" s="6969" t="s">
        <v>22</v>
      </c>
      <c r="K8" s="6969" t="s">
        <v>22</v>
      </c>
      <c r="L8" s="6969" t="s">
        <v>22</v>
      </c>
      <c r="M8" s="6969" t="s">
        <v>22</v>
      </c>
      <c r="N8" s="6969" t="s">
        <v>22</v>
      </c>
      <c r="O8" s="6969" t="s">
        <v>22</v>
      </c>
      <c r="P8" s="6969" t="s">
        <v>22</v>
      </c>
      <c r="Q8" s="6969" t="s">
        <v>22</v>
      </c>
      <c r="R8" s="6969" t="s">
        <v>22</v>
      </c>
      <c r="S8" s="6969" t="s">
        <v>22</v>
      </c>
      <c r="T8" s="6969" t="s">
        <v>22</v>
      </c>
      <c r="U8" s="6969" t="s">
        <v>22</v>
      </c>
      <c r="V8" s="6969" t="s">
        <v>22</v>
      </c>
      <c r="W8" s="6969" t="s">
        <v>22</v>
      </c>
      <c r="X8" s="6969" t="s">
        <v>22</v>
      </c>
      <c r="Y8" s="6969" t="s">
        <v>22</v>
      </c>
      <c r="Z8" s="6969" t="s">
        <v>22</v>
      </c>
      <c r="AA8" s="6969" t="s">
        <v>22</v>
      </c>
      <c r="AB8" s="6969" t="s">
        <v>22</v>
      </c>
      <c r="AC8" s="6969" t="s">
        <v>22</v>
      </c>
      <c r="AD8" s="6969" t="s">
        <v>22</v>
      </c>
      <c r="BA8" s="1755">
        <v>11</v>
      </c>
    </row>
    <row s="6698" customFormat="1" customHeight="1" ht="4.2">
      <c r="A9" s="1291"/>
      <c r="D9" s="1766"/>
      <c r="H9" s="1013"/>
      <c r="I9" s="1013" t="s">
        <v>215</v>
      </c>
      <c r="J9" s="6579" t="s">
        <v>219</v>
      </c>
      <c r="K9" s="6579" t="s">
        <v>220</v>
      </c>
      <c r="L9" s="6579" t="s">
        <v>221</v>
      </c>
      <c r="M9" s="6579" t="s">
        <v>222</v>
      </c>
      <c r="N9" s="6579" t="s">
        <v>223</v>
      </c>
      <c r="O9" s="6579" t="s">
        <v>224</v>
      </c>
      <c r="P9" s="6579" t="s">
        <v>225</v>
      </c>
      <c r="Q9" s="6579" t="s">
        <v>226</v>
      </c>
      <c r="R9" s="6579" t="s">
        <v>227</v>
      </c>
      <c r="S9" s="6579" t="s">
        <v>228</v>
      </c>
      <c r="T9" s="6579" t="s">
        <v>229</v>
      </c>
      <c r="U9" s="6579" t="s">
        <v>230</v>
      </c>
      <c r="V9" s="6579" t="s">
        <v>231</v>
      </c>
      <c r="W9" s="6579" t="s">
        <v>232</v>
      </c>
      <c r="X9" s="6579" t="s">
        <v>233</v>
      </c>
      <c r="Y9" s="6579" t="s">
        <v>234</v>
      </c>
      <c r="Z9" s="6579" t="s">
        <v>235</v>
      </c>
      <c r="AA9" s="6579" t="s">
        <v>236</v>
      </c>
      <c r="AB9" s="6579" t="s">
        <v>237</v>
      </c>
      <c r="AC9" s="6579" t="s">
        <v>238</v>
      </c>
      <c r="AD9" s="6579" t="s">
        <v>239</v>
      </c>
      <c r="BA9" s="1760">
        <v>4</v>
      </c>
    </row>
    <row customHeight="1" ht="11.549999999999999">
      <c r="E10" s="835"/>
      <c r="F10" s="2504" t="s">
        <v>206</v>
      </c>
      <c r="G10" s="2505"/>
      <c r="H10" s="1676" t="str">
        <f>IF(H9="","",INDEX(DIFFERENTIATION_UNMERGE_VD,MATCH(H9,DIFFERENTIATION_ID_DIFF,0)))</f>
        <v/>
      </c>
      <c r="I10" s="1676" t="str">
        <f>IF(I9="","",INDEX(DIFFERENTIATION_UNMERGE_VD,MATCH(I9,DIFFERENTIATION_ID_DIFF,0)))</f>
        <v>Производство тепловой энергии. Некомбинированная выработка</v>
      </c>
      <c r="J10" s="6847" t="str">
        <f>IF(J9="","",INDEX(DIFFERENTIATION_UNMERGE_VD,MATCH(J9,DIFFERENTIATION_ID_DIFF,0)))</f>
        <v>Производство тепловой энергии. Некомбинированная выработка</v>
      </c>
      <c r="K10" s="6847" t="str">
        <f>IF(K9="","",INDEX(DIFFERENTIATION_UNMERGE_VD,MATCH(K9,DIFFERENTIATION_ID_DIFF,0)))</f>
        <v>Производство тепловой энергии. Некомбинированная выработка</v>
      </c>
      <c r="L10" s="6847" t="str">
        <f>IF(L9="","",INDEX(DIFFERENTIATION_UNMERGE_VD,MATCH(L9,DIFFERENTIATION_ID_DIFF,0)))</f>
        <v>Производство тепловой энергии. Некомбинированная выработка</v>
      </c>
      <c r="M10" s="6847" t="str">
        <f>IF(M9="","",INDEX(DIFFERENTIATION_UNMERGE_VD,MATCH(M9,DIFFERENTIATION_ID_DIFF,0)))</f>
        <v>Производство тепловой энергии. Некомбинированная выработка</v>
      </c>
      <c r="N10" s="6847" t="str">
        <f>IF(N9="","",INDEX(DIFFERENTIATION_UNMERGE_VD,MATCH(N9,DIFFERENTIATION_ID_DIFF,0)))</f>
        <v>Производство тепловой энергии. Некомбинированная выработка</v>
      </c>
      <c r="O10" s="6847" t="str">
        <f>IF(O9="","",INDEX(DIFFERENTIATION_UNMERGE_VD,MATCH(O9,DIFFERENTIATION_ID_DIFF,0)))</f>
        <v>Производство тепловой энергии. Некомбинированная выработка</v>
      </c>
      <c r="P10" s="6847" t="str">
        <f>IF(P9="","",INDEX(DIFFERENTIATION_UNMERGE_VD,MATCH(P9,DIFFERENTIATION_ID_DIFF,0)))</f>
        <v>Производство тепловой энергии. Некомбинированная выработка</v>
      </c>
      <c r="Q10" s="6847" t="str">
        <f>IF(Q9="","",INDEX(DIFFERENTIATION_UNMERGE_VD,MATCH(Q9,DIFFERENTIATION_ID_DIFF,0)))</f>
        <v>Производство тепловой энергии. Некомбинированная выработка</v>
      </c>
      <c r="R10" s="6847" t="str">
        <f>IF(R9="","",INDEX(DIFFERENTIATION_UNMERGE_VD,MATCH(R9,DIFFERENTIATION_ID_DIFF,0)))</f>
        <v>Производство тепловой энергии. Некомбинированная выработка</v>
      </c>
      <c r="S10" s="6847" t="str">
        <f>IF(S9="","",INDEX(DIFFERENTIATION_UNMERGE_VD,MATCH(S9,DIFFERENTIATION_ID_DIFF,0)))</f>
        <v>Производство тепловой энергии. Некомбинированная выработка</v>
      </c>
      <c r="T10" s="6847" t="str">
        <f>IF(T9="","",INDEX(DIFFERENTIATION_UNMERGE_VD,MATCH(T9,DIFFERENTIATION_ID_DIFF,0)))</f>
        <v>Производство тепловой энергии. Некомбинированная выработка</v>
      </c>
      <c r="U10" s="6847" t="str">
        <f>IF(U9="","",INDEX(DIFFERENTIATION_UNMERGE_VD,MATCH(U9,DIFFERENTIATION_ID_DIFF,0)))</f>
        <v>Производство тепловой энергии. Некомбинированная выработка</v>
      </c>
      <c r="V10" s="6847" t="str">
        <f>IF(V9="","",INDEX(DIFFERENTIATION_UNMERGE_VD,MATCH(V9,DIFFERENTIATION_ID_DIFF,0)))</f>
        <v>Производство тепловой энергии. Некомбинированная выработка</v>
      </c>
      <c r="W10" s="6847" t="str">
        <f>IF(W9="","",INDEX(DIFFERENTIATION_UNMERGE_VD,MATCH(W9,DIFFERENTIATION_ID_DIFF,0)))</f>
        <v>Производство тепловой энергии. Некомбинированная выработка</v>
      </c>
      <c r="X10" s="6847" t="str">
        <f>IF(X9="","",INDEX(DIFFERENTIATION_UNMERGE_VD,MATCH(X9,DIFFERENTIATION_ID_DIFF,0)))</f>
        <v>Производство тепловой энергии. Некомбинированная выработка</v>
      </c>
      <c r="Y10" s="6847" t="str">
        <f>IF(Y9="","",INDEX(DIFFERENTIATION_UNMERGE_VD,MATCH(Y9,DIFFERENTIATION_ID_DIFF,0)))</f>
        <v>Производство тепловой энергии. Некомбинированная выработка</v>
      </c>
      <c r="Z10" s="6847" t="str">
        <f>IF(Z9="","",INDEX(DIFFERENTIATION_UNMERGE_VD,MATCH(Z9,DIFFERENTIATION_ID_DIFF,0)))</f>
        <v>Производство тепловой энергии. Некомбинированная выработка</v>
      </c>
      <c r="AA10" s="6847" t="str">
        <f>IF(AA9="","",INDEX(DIFFERENTIATION_UNMERGE_VD,MATCH(AA9,DIFFERENTIATION_ID_DIFF,0)))</f>
        <v>Производство тепловой энергии. Некомбинированная выработка</v>
      </c>
      <c r="AB10" s="6847" t="str">
        <f>IF(AB9="","",INDEX(DIFFERENTIATION_UNMERGE_VD,MATCH(AB9,DIFFERENTIATION_ID_DIFF,0)))</f>
        <v>Производство тепловой энергии. Некомбинированная выработка</v>
      </c>
      <c r="AC10" s="6847" t="str">
        <f>IF(AC9="","",INDEX(DIFFERENTIATION_UNMERGE_VD,MATCH(AC9,DIFFERENTIATION_ID_DIFF,0)))</f>
        <v>Производство тепловой энергии. Некомбинированная выработка</v>
      </c>
      <c r="AD10" s="6847" t="str">
        <f>IF(AD9="","",INDEX(DIFFERENTIATION_UNMERGE_VD,MATCH(AD9,DIFFERENTIATION_ID_DIFF,0)))</f>
        <v>Производство тепловой энергии. Некомбинированная выработка</v>
      </c>
      <c r="AE10" s="2264" t="s">
        <v>413</v>
      </c>
      <c r="BA10" s="1755">
        <v>11</v>
      </c>
    </row>
    <row customHeight="1" ht="11.549999999999999">
      <c r="E11" s="835"/>
      <c r="F11" s="2504" t="s">
        <v>676</v>
      </c>
      <c r="G11" s="2505"/>
      <c r="H11" s="1676" t="str">
        <f>IF(H9="","",INDEX(DIFFERENTIATION_UNMERGE_AREA,MATCH(H9,DIFFERENTIATION_ID_DIFF,0)))</f>
        <v/>
      </c>
      <c r="I11" s="1676" t="str">
        <f>IF(I9="","",INDEX(DIFFERENTIATION_UNMERGE_AREA,MATCH(I9,DIFFERENTIATION_ID_DIFF,0)))</f>
        <v>Территория 1</v>
      </c>
      <c r="J11" s="6847" t="str">
        <f>IF(J9="","",INDEX(DIFFERENTIATION_UNMERGE_AREA,MATCH(J9,DIFFERENTIATION_ID_DIFF,0)))</f>
        <v>Территория 2</v>
      </c>
      <c r="K11" s="6847" t="str">
        <f>IF(K9="","",INDEX(DIFFERENTIATION_UNMERGE_AREA,MATCH(K9,DIFFERENTIATION_ID_DIFF,0)))</f>
        <v>Территория 3</v>
      </c>
      <c r="L11" s="6847" t="str">
        <f>IF(L9="","",INDEX(DIFFERENTIATION_UNMERGE_AREA,MATCH(L9,DIFFERENTIATION_ID_DIFF,0)))</f>
        <v>Территория 4</v>
      </c>
      <c r="M11" s="6847" t="str">
        <f>IF(M9="","",INDEX(DIFFERENTIATION_UNMERGE_AREA,MATCH(M9,DIFFERENTIATION_ID_DIFF,0)))</f>
        <v>Территория 5</v>
      </c>
      <c r="N11" s="6847" t="str">
        <f>IF(N9="","",INDEX(DIFFERENTIATION_UNMERGE_AREA,MATCH(N9,DIFFERENTIATION_ID_DIFF,0)))</f>
        <v>Территория 6</v>
      </c>
      <c r="O11" s="6847" t="str">
        <f>IF(O9="","",INDEX(DIFFERENTIATION_UNMERGE_AREA,MATCH(O9,DIFFERENTIATION_ID_DIFF,0)))</f>
        <v>Территория 7</v>
      </c>
      <c r="P11" s="6847" t="str">
        <f>IF(P9="","",INDEX(DIFFERENTIATION_UNMERGE_AREA,MATCH(P9,DIFFERENTIATION_ID_DIFF,0)))</f>
        <v>Территория 8</v>
      </c>
      <c r="Q11" s="6847" t="str">
        <f>IF(Q9="","",INDEX(DIFFERENTIATION_UNMERGE_AREA,MATCH(Q9,DIFFERENTIATION_ID_DIFF,0)))</f>
        <v>Территория 9</v>
      </c>
      <c r="R11" s="6847" t="str">
        <f>IF(R9="","",INDEX(DIFFERENTIATION_UNMERGE_AREA,MATCH(R9,DIFFERENTIATION_ID_DIFF,0)))</f>
        <v>Территория 10</v>
      </c>
      <c r="S11" s="6847" t="str">
        <f>IF(S9="","",INDEX(DIFFERENTIATION_UNMERGE_AREA,MATCH(S9,DIFFERENTIATION_ID_DIFF,0)))</f>
        <v>Территория 11</v>
      </c>
      <c r="T11" s="6847" t="str">
        <f>IF(T9="","",INDEX(DIFFERENTIATION_UNMERGE_AREA,MATCH(T9,DIFFERENTIATION_ID_DIFF,0)))</f>
        <v>Территория 12</v>
      </c>
      <c r="U11" s="6847" t="str">
        <f>IF(U9="","",INDEX(DIFFERENTIATION_UNMERGE_AREA,MATCH(U9,DIFFERENTIATION_ID_DIFF,0)))</f>
        <v>Территория 13</v>
      </c>
      <c r="V11" s="6847" t="str">
        <f>IF(V9="","",INDEX(DIFFERENTIATION_UNMERGE_AREA,MATCH(V9,DIFFERENTIATION_ID_DIFF,0)))</f>
        <v>Территория 14</v>
      </c>
      <c r="W11" s="6847" t="str">
        <f>IF(W9="","",INDEX(DIFFERENTIATION_UNMERGE_AREA,MATCH(W9,DIFFERENTIATION_ID_DIFF,0)))</f>
        <v>Территория 15</v>
      </c>
      <c r="X11" s="6847" t="str">
        <f>IF(X9="","",INDEX(DIFFERENTIATION_UNMERGE_AREA,MATCH(X9,DIFFERENTIATION_ID_DIFF,0)))</f>
        <v>Территория 16</v>
      </c>
      <c r="Y11" s="6847" t="str">
        <f>IF(Y9="","",INDEX(DIFFERENTIATION_UNMERGE_AREA,MATCH(Y9,DIFFERENTIATION_ID_DIFF,0)))</f>
        <v>Территория 17</v>
      </c>
      <c r="Z11" s="6847" t="str">
        <f>IF(Z9="","",INDEX(DIFFERENTIATION_UNMERGE_AREA,MATCH(Z9,DIFFERENTIATION_ID_DIFF,0)))</f>
        <v>Территория 18</v>
      </c>
      <c r="AA11" s="6847" t="str">
        <f>IF(AA9="","",INDEX(DIFFERENTIATION_UNMERGE_AREA,MATCH(AA9,DIFFERENTIATION_ID_DIFF,0)))</f>
        <v>Территория 19</v>
      </c>
      <c r="AB11" s="6847" t="str">
        <f>IF(AB9="","",INDEX(DIFFERENTIATION_UNMERGE_AREA,MATCH(AB9,DIFFERENTIATION_ID_DIFF,0)))</f>
        <v>Территория 20</v>
      </c>
      <c r="AC11" s="6847" t="str">
        <f>IF(AC9="","",INDEX(DIFFERENTIATION_UNMERGE_AREA,MATCH(AC9,DIFFERENTIATION_ID_DIFF,0)))</f>
        <v>Территория 21</v>
      </c>
      <c r="AD11" s="6847" t="str">
        <f>IF(AD9="","",INDEX(DIFFERENTIATION_UNMERGE_AREA,MATCH(AD9,DIFFERENTIATION_ID_DIFF,0)))</f>
        <v>Территория 22</v>
      </c>
      <c r="AE11" s="2264"/>
      <c r="BA11" s="1755">
        <v>11</v>
      </c>
    </row>
    <row customHeight="1" ht="1.05">
      <c r="E12" s="1786"/>
      <c r="F12" s="2527" t="s">
        <v>677</v>
      </c>
      <c r="G12" s="2528"/>
      <c r="H12" s="1787" t="str">
        <f>IF(H9="","",INDEX(DIFFERENTIATION_UNMERGE_SYSTEM,MATCH(H9,DIFFERENTIATION_ID_DIFF,0)))</f>
        <v/>
      </c>
      <c r="I12" s="1787" t="str">
        <f>IF(I9="","",INDEX(DIFFERENTIATION_UNMERGE_SYSTEM,MATCH(I9,DIFFERENTIATION_ID_DIFF,0)))</f>
        <v>без дифференциации</v>
      </c>
      <c r="J12" s="6816" t="str">
        <f>IF(J9="","",INDEX(DIFFERENTIATION_UNMERGE_SYSTEM,MATCH(J9,DIFFERENTIATION_ID_DIFF,0)))</f>
        <v>без дифференциации</v>
      </c>
      <c r="K12" s="6816" t="str">
        <f>IF(K9="","",INDEX(DIFFERENTIATION_UNMERGE_SYSTEM,MATCH(K9,DIFFERENTIATION_ID_DIFF,0)))</f>
        <v>без дифференциации</v>
      </c>
      <c r="L12" s="6816" t="str">
        <f>IF(L9="","",INDEX(DIFFERENTIATION_UNMERGE_SYSTEM,MATCH(L9,DIFFERENTIATION_ID_DIFF,0)))</f>
        <v>без дифференциации</v>
      </c>
      <c r="M12" s="6816" t="str">
        <f>IF(M9="","",INDEX(DIFFERENTIATION_UNMERGE_SYSTEM,MATCH(M9,DIFFERENTIATION_ID_DIFF,0)))</f>
        <v>без дифференциации</v>
      </c>
      <c r="N12" s="6816" t="str">
        <f>IF(N9="","",INDEX(DIFFERENTIATION_UNMERGE_SYSTEM,MATCH(N9,DIFFERENTIATION_ID_DIFF,0)))</f>
        <v>без дифференциации</v>
      </c>
      <c r="O12" s="6816" t="str">
        <f>IF(O9="","",INDEX(DIFFERENTIATION_UNMERGE_SYSTEM,MATCH(O9,DIFFERENTIATION_ID_DIFF,0)))</f>
        <v>без дифференциации</v>
      </c>
      <c r="P12" s="6816" t="str">
        <f>IF(P9="","",INDEX(DIFFERENTIATION_UNMERGE_SYSTEM,MATCH(P9,DIFFERENTIATION_ID_DIFF,0)))</f>
        <v>без дифференциации</v>
      </c>
      <c r="Q12" s="6816" t="str">
        <f>IF(Q9="","",INDEX(DIFFERENTIATION_UNMERGE_SYSTEM,MATCH(Q9,DIFFERENTIATION_ID_DIFF,0)))</f>
        <v>без дифференциации</v>
      </c>
      <c r="R12" s="6816" t="str">
        <f>IF(R9="","",INDEX(DIFFERENTIATION_UNMERGE_SYSTEM,MATCH(R9,DIFFERENTIATION_ID_DIFF,0)))</f>
        <v>без дифференциации</v>
      </c>
      <c r="S12" s="6816" t="str">
        <f>IF(S9="","",INDEX(DIFFERENTIATION_UNMERGE_SYSTEM,MATCH(S9,DIFFERENTIATION_ID_DIFF,0)))</f>
        <v>без дифференциации</v>
      </c>
      <c r="T12" s="6816" t="str">
        <f>IF(T9="","",INDEX(DIFFERENTIATION_UNMERGE_SYSTEM,MATCH(T9,DIFFERENTIATION_ID_DIFF,0)))</f>
        <v>без дифференциации</v>
      </c>
      <c r="U12" s="6816" t="str">
        <f>IF(U9="","",INDEX(DIFFERENTIATION_UNMERGE_SYSTEM,MATCH(U9,DIFFERENTIATION_ID_DIFF,0)))</f>
        <v>без дифференциации</v>
      </c>
      <c r="V12" s="6816" t="str">
        <f>IF(V9="","",INDEX(DIFFERENTIATION_UNMERGE_SYSTEM,MATCH(V9,DIFFERENTIATION_ID_DIFF,0)))</f>
        <v>без дифференциации</v>
      </c>
      <c r="W12" s="6816" t="str">
        <f>IF(W9="","",INDEX(DIFFERENTIATION_UNMERGE_SYSTEM,MATCH(W9,DIFFERENTIATION_ID_DIFF,0)))</f>
        <v>без дифференциации</v>
      </c>
      <c r="X12" s="6816" t="str">
        <f>IF(X9="","",INDEX(DIFFERENTIATION_UNMERGE_SYSTEM,MATCH(X9,DIFFERENTIATION_ID_DIFF,0)))</f>
        <v>без дифференциации</v>
      </c>
      <c r="Y12" s="6816" t="str">
        <f>IF(Y9="","",INDEX(DIFFERENTIATION_UNMERGE_SYSTEM,MATCH(Y9,DIFFERENTIATION_ID_DIFF,0)))</f>
        <v>без дифференциации</v>
      </c>
      <c r="Z12" s="6816" t="str">
        <f>IF(Z9="","",INDEX(DIFFERENTIATION_UNMERGE_SYSTEM,MATCH(Z9,DIFFERENTIATION_ID_DIFF,0)))</f>
        <v>без дифференциации</v>
      </c>
      <c r="AA12" s="6816" t="str">
        <f>IF(AA9="","",INDEX(DIFFERENTIATION_UNMERGE_SYSTEM,MATCH(AA9,DIFFERENTIATION_ID_DIFF,0)))</f>
        <v>без дифференциации</v>
      </c>
      <c r="AB12" s="6816" t="str">
        <f>IF(AB9="","",INDEX(DIFFERENTIATION_UNMERGE_SYSTEM,MATCH(AB9,DIFFERENTIATION_ID_DIFF,0)))</f>
        <v>без дифференциации</v>
      </c>
      <c r="AC12" s="6816" t="str">
        <f>IF(AC9="","",INDEX(DIFFERENTIATION_UNMERGE_SYSTEM,MATCH(AC9,DIFFERENTIATION_ID_DIFF,0)))</f>
        <v>без дифференциации</v>
      </c>
      <c r="AD12" s="6816" t="str">
        <f>IF(AD9="","",INDEX(DIFFERENTIATION_UNMERGE_SYSTEM,MATCH(AD9,DIFFERENTIATION_ID_DIFF,0)))</f>
        <v>без дифференциации</v>
      </c>
      <c r="AE12" s="2264"/>
      <c r="BA12" s="1755">
        <v>1</v>
      </c>
    </row>
    <row customHeight="1" ht="11.549999999999999">
      <c r="E13" s="2506" t="s">
        <v>412</v>
      </c>
      <c r="F13" s="2507"/>
      <c r="G13" s="2507"/>
      <c r="H13" s="1675"/>
      <c r="I13" s="1675"/>
      <c r="J13" s="6920"/>
      <c r="K13" s="6920"/>
      <c r="L13" s="6920"/>
      <c r="M13" s="6920"/>
      <c r="N13" s="6920"/>
      <c r="O13" s="6920"/>
      <c r="P13" s="6920"/>
      <c r="Q13" s="6920"/>
      <c r="R13" s="6920"/>
      <c r="S13" s="6920"/>
      <c r="T13" s="6920"/>
      <c r="U13" s="6920"/>
      <c r="V13" s="6920"/>
      <c r="W13" s="6920"/>
      <c r="X13" s="6920"/>
      <c r="Y13" s="6920"/>
      <c r="Z13" s="6920"/>
      <c r="AA13" s="6920"/>
      <c r="AB13" s="6920"/>
      <c r="AC13" s="6920"/>
      <c r="AD13" s="6920"/>
      <c r="AE13" s="2264"/>
      <c r="BA13" s="1755">
        <v>11</v>
      </c>
    </row>
    <row customHeight="1" ht="24">
      <c r="E14" s="1763" t="s">
        <v>88</v>
      </c>
      <c r="F14" s="1758" t="s">
        <v>414</v>
      </c>
      <c r="G14" s="1758" t="s">
        <v>678</v>
      </c>
      <c r="H14" s="1758" t="s">
        <v>415</v>
      </c>
      <c r="I14" s="1758" t="s">
        <v>415</v>
      </c>
      <c r="J14" s="7577" t="s">
        <v>415</v>
      </c>
      <c r="K14" s="7577" t="s">
        <v>415</v>
      </c>
      <c r="L14" s="7577" t="s">
        <v>415</v>
      </c>
      <c r="M14" s="7577" t="s">
        <v>415</v>
      </c>
      <c r="N14" s="7577" t="s">
        <v>415</v>
      </c>
      <c r="O14" s="7577" t="s">
        <v>415</v>
      </c>
      <c r="P14" s="7577" t="s">
        <v>415</v>
      </c>
      <c r="Q14" s="7577" t="s">
        <v>415</v>
      </c>
      <c r="R14" s="7577" t="s">
        <v>415</v>
      </c>
      <c r="S14" s="7577" t="s">
        <v>415</v>
      </c>
      <c r="T14" s="7577" t="s">
        <v>415</v>
      </c>
      <c r="U14" s="7577" t="s">
        <v>415</v>
      </c>
      <c r="V14" s="7577" t="s">
        <v>415</v>
      </c>
      <c r="W14" s="7577" t="s">
        <v>415</v>
      </c>
      <c r="X14" s="7577" t="s">
        <v>415</v>
      </c>
      <c r="Y14" s="7577" t="s">
        <v>415</v>
      </c>
      <c r="Z14" s="7577" t="s">
        <v>415</v>
      </c>
      <c r="AA14" s="7577" t="s">
        <v>415</v>
      </c>
      <c r="AB14" s="7577" t="s">
        <v>415</v>
      </c>
      <c r="AC14" s="7577" t="s">
        <v>415</v>
      </c>
      <c r="AD14" s="7577" t="s">
        <v>415</v>
      </c>
      <c r="AE14" s="2264"/>
      <c r="BA14" s="1755">
        <v>23</v>
      </c>
    </row>
    <row customHeight="1" ht="19.95">
      <c r="D15" s="1762"/>
      <c r="E15" s="1754" t="s">
        <v>210</v>
      </c>
      <c r="F15" s="831" t="s">
        <v>861</v>
      </c>
      <c r="G15" s="1770" t="s">
        <v>664</v>
      </c>
      <c r="H15" s="681"/>
      <c r="I15" s="681"/>
      <c r="J15" s="6590"/>
      <c r="K15" s="6590"/>
      <c r="L15" s="6590"/>
      <c r="M15" s="6590"/>
      <c r="N15" s="6590"/>
      <c r="O15" s="6590"/>
      <c r="P15" s="6590"/>
      <c r="Q15" s="6590"/>
      <c r="R15" s="6590"/>
      <c r="S15" s="6590"/>
      <c r="T15" s="6590"/>
      <c r="U15" s="6590"/>
      <c r="V15" s="6590"/>
      <c r="W15" s="6590"/>
      <c r="X15" s="6590"/>
      <c r="Y15" s="6590"/>
      <c r="Z15" s="6590"/>
      <c r="AA15" s="6590"/>
      <c r="AB15" s="6590"/>
      <c r="AC15" s="6590"/>
      <c r="AD15" s="6590"/>
      <c r="AE15" s="413" t="s">
        <v>862</v>
      </c>
      <c r="AF15" s="667" t="s">
        <v>787</v>
      </c>
      <c r="BA15" s="1755">
        <v>19</v>
      </c>
    </row>
    <row customHeight="1" ht="35.699999999999996">
      <c r="D16" s="1762"/>
      <c r="E16" s="1754" t="s">
        <v>102</v>
      </c>
      <c r="F16" s="831" t="s">
        <v>863</v>
      </c>
      <c r="G16" s="1770" t="s">
        <v>664</v>
      </c>
      <c r="H16" s="682">
        <f>SUM(H17,H20,H23,H26,H29:H32,H35)</f>
        <v>0</v>
      </c>
      <c r="I16" s="682">
        <f>SUM(I17,I20,I23,I26,I29:I32,I35)</f>
        <v>0</v>
      </c>
      <c r="J16" s="6591">
        <f>SUM(J17,J20,J23,J26,J29:J32,J35)</f>
        <v>0</v>
      </c>
      <c r="K16" s="6591">
        <f>SUM(K17,K20,K23,K26,K29:K32,K35)</f>
        <v>0</v>
      </c>
      <c r="L16" s="6591">
        <f>SUM(L17,L20,L23,L26,L29:L32,L35)</f>
        <v>0</v>
      </c>
      <c r="M16" s="6591">
        <f>SUM(M17,M20,M23,M26,M29:M32,M35)</f>
        <v>0</v>
      </c>
      <c r="N16" s="6591">
        <f>SUM(N17,N20,N23,N26,N29:N32,N35)</f>
        <v>0</v>
      </c>
      <c r="O16" s="6591">
        <f>SUM(O17,O20,O23,O26,O29:O32,O35)</f>
        <v>0</v>
      </c>
      <c r="P16" s="6591">
        <f>SUM(P17,P20,P23,P26,P29:P32,P35)</f>
        <v>0</v>
      </c>
      <c r="Q16" s="6591">
        <f>SUM(Q17,Q20,Q23,Q26,Q29:Q32,Q35)</f>
        <v>0</v>
      </c>
      <c r="R16" s="6591">
        <f>SUM(R17,R20,R23,R26,R29:R32,R35)</f>
        <v>0</v>
      </c>
      <c r="S16" s="6591">
        <f>SUM(S17,S20,S23,S26,S29:S32,S35)</f>
        <v>0</v>
      </c>
      <c r="T16" s="6591">
        <f>SUM(T17,T20,T23,T26,T29:T32,T35)</f>
        <v>0</v>
      </c>
      <c r="U16" s="6591">
        <f>SUM(U17,U20,U23,U26,U29:U32,U35)</f>
        <v>0</v>
      </c>
      <c r="V16" s="6591">
        <f>SUM(V17,V20,V23,V26,V29:V32,V35)</f>
        <v>0</v>
      </c>
      <c r="W16" s="6591">
        <f>SUM(W17,W20,W23,W26,W29:W32,W35)</f>
        <v>0</v>
      </c>
      <c r="X16" s="6591">
        <f>SUM(X17,X20,X23,X26,X29:X32,X35)</f>
        <v>0</v>
      </c>
      <c r="Y16" s="6591">
        <f>SUM(Y17,Y20,Y23,Y26,Y29:Y32,Y35)</f>
        <v>0</v>
      </c>
      <c r="Z16" s="6591">
        <f>SUM(Z17,Z20,Z23,Z26,Z29:Z32,Z35)</f>
        <v>0</v>
      </c>
      <c r="AA16" s="6591">
        <f>SUM(AA17,AA20,AA23,AA26,AA29:AA32,AA35)</f>
        <v>0</v>
      </c>
      <c r="AB16" s="6591">
        <f>SUM(AB17,AB20,AB23,AB26,AB29:AB32,AB35)</f>
        <v>0</v>
      </c>
      <c r="AC16" s="6591">
        <f>SUM(AC17,AC20,AC23,AC26,AC29:AC32,AC35)</f>
        <v>0</v>
      </c>
      <c r="AD16" s="6591">
        <f>SUM(AD17,AD20,AD23,AD26,AD29:AD32,AD35)</f>
        <v>0</v>
      </c>
      <c r="AE16" s="413" t="s">
        <v>864</v>
      </c>
      <c r="AF16" s="667" t="s">
        <v>787</v>
      </c>
      <c r="BA16" s="1755">
        <v>34</v>
      </c>
    </row>
    <row customHeight="1" ht="19.95">
      <c r="D17" s="1762"/>
      <c r="E17" s="1788" t="s">
        <v>865</v>
      </c>
      <c r="F17" s="1078" t="s">
        <v>866</v>
      </c>
      <c r="G17" s="1767" t="s">
        <v>664</v>
      </c>
      <c r="H17" s="681"/>
      <c r="I17" s="681"/>
      <c r="J17" s="6590"/>
      <c r="K17" s="6590"/>
      <c r="L17" s="6590"/>
      <c r="M17" s="6590"/>
      <c r="N17" s="6590"/>
      <c r="O17" s="6590"/>
      <c r="P17" s="6590"/>
      <c r="Q17" s="6590"/>
      <c r="R17" s="6590"/>
      <c r="S17" s="6590"/>
      <c r="T17" s="6590"/>
      <c r="U17" s="6590"/>
      <c r="V17" s="6590"/>
      <c r="W17" s="6590"/>
      <c r="X17" s="6590"/>
      <c r="Y17" s="6590"/>
      <c r="Z17" s="6590"/>
      <c r="AA17" s="6590"/>
      <c r="AB17" s="6590"/>
      <c r="AC17" s="6590"/>
      <c r="AD17" s="6590"/>
      <c r="AE17" s="413" t="s">
        <v>867</v>
      </c>
      <c r="AF17" s="667"/>
      <c r="BA17" s="1755">
        <v>19</v>
      </c>
    </row>
    <row customHeight="1" ht="24">
      <c r="D18" s="1762"/>
      <c r="E18" s="1788" t="s">
        <v>868</v>
      </c>
      <c r="F18" s="1774" t="s">
        <v>869</v>
      </c>
      <c r="G18" s="1767" t="s">
        <v>664</v>
      </c>
      <c r="H18" s="681"/>
      <c r="I18" s="681"/>
      <c r="J18" s="6590"/>
      <c r="K18" s="6590"/>
      <c r="L18" s="6590"/>
      <c r="M18" s="6590"/>
      <c r="N18" s="6590"/>
      <c r="O18" s="6590"/>
      <c r="P18" s="6590"/>
      <c r="Q18" s="6590"/>
      <c r="R18" s="6590"/>
      <c r="S18" s="6590"/>
      <c r="T18" s="6590"/>
      <c r="U18" s="6590"/>
      <c r="V18" s="6590"/>
      <c r="W18" s="6590"/>
      <c r="X18" s="6590"/>
      <c r="Y18" s="6590"/>
      <c r="Z18" s="6590"/>
      <c r="AA18" s="6590"/>
      <c r="AB18" s="6590"/>
      <c r="AC18" s="6590"/>
      <c r="AD18" s="6590"/>
      <c r="AE18" s="413" t="s">
        <v>870</v>
      </c>
      <c r="AF18" s="667"/>
      <c r="BA18" s="1755">
        <v>23</v>
      </c>
    </row>
    <row customHeight="1" ht="35.699999999999996">
      <c r="D19" s="1762"/>
      <c r="E19" s="1788" t="s">
        <v>871</v>
      </c>
      <c r="F19" s="1774" t="s">
        <v>872</v>
      </c>
      <c r="G19" s="1767" t="s">
        <v>664</v>
      </c>
      <c r="H19" s="681"/>
      <c r="I19" s="681"/>
      <c r="J19" s="6590"/>
      <c r="K19" s="6590"/>
      <c r="L19" s="6590"/>
      <c r="M19" s="6590"/>
      <c r="N19" s="6590"/>
      <c r="O19" s="6590"/>
      <c r="P19" s="6590"/>
      <c r="Q19" s="6590"/>
      <c r="R19" s="6590"/>
      <c r="S19" s="6590"/>
      <c r="T19" s="6590"/>
      <c r="U19" s="6590"/>
      <c r="V19" s="6590"/>
      <c r="W19" s="6590"/>
      <c r="X19" s="6590"/>
      <c r="Y19" s="6590"/>
      <c r="Z19" s="6590"/>
      <c r="AA19" s="6590"/>
      <c r="AB19" s="6590"/>
      <c r="AC19" s="6590"/>
      <c r="AD19" s="6590"/>
      <c r="AE19" s="413"/>
      <c r="AF19" s="667"/>
      <c r="BA19" s="1755">
        <v>34</v>
      </c>
    </row>
    <row customHeight="1" ht="19.95">
      <c r="D20" s="1762"/>
      <c r="E20" s="1788" t="s">
        <v>419</v>
      </c>
      <c r="F20" s="1078" t="s">
        <v>873</v>
      </c>
      <c r="G20" s="1767" t="s">
        <v>664</v>
      </c>
      <c r="H20" s="681"/>
      <c r="I20" s="681"/>
      <c r="J20" s="6590"/>
      <c r="K20" s="6590"/>
      <c r="L20" s="6590"/>
      <c r="M20" s="6590"/>
      <c r="N20" s="6590"/>
      <c r="O20" s="6590"/>
      <c r="P20" s="6590"/>
      <c r="Q20" s="6590"/>
      <c r="R20" s="6590"/>
      <c r="S20" s="6590"/>
      <c r="T20" s="6590"/>
      <c r="U20" s="6590"/>
      <c r="V20" s="6590"/>
      <c r="W20" s="6590"/>
      <c r="X20" s="6590"/>
      <c r="Y20" s="6590"/>
      <c r="Z20" s="6590"/>
      <c r="AA20" s="6590"/>
      <c r="AB20" s="6590"/>
      <c r="AC20" s="6590"/>
      <c r="AD20" s="6590"/>
      <c r="AE20" s="413" t="s">
        <v>874</v>
      </c>
      <c r="AF20" s="667"/>
      <c r="BA20" s="1755">
        <v>19</v>
      </c>
    </row>
    <row customHeight="1" ht="19.95">
      <c r="D21" s="1762"/>
      <c r="E21" s="1788" t="s">
        <v>875</v>
      </c>
      <c r="F21" s="1774" t="s">
        <v>876</v>
      </c>
      <c r="G21" s="1767" t="s">
        <v>664</v>
      </c>
      <c r="H21" s="681"/>
      <c r="I21" s="681"/>
      <c r="J21" s="6590"/>
      <c r="K21" s="6590"/>
      <c r="L21" s="6590"/>
      <c r="M21" s="6590"/>
      <c r="N21" s="6590"/>
      <c r="O21" s="6590"/>
      <c r="P21" s="6590"/>
      <c r="Q21" s="6590"/>
      <c r="R21" s="6590"/>
      <c r="S21" s="6590"/>
      <c r="T21" s="6590"/>
      <c r="U21" s="6590"/>
      <c r="V21" s="6590"/>
      <c r="W21" s="6590"/>
      <c r="X21" s="6590"/>
      <c r="Y21" s="6590"/>
      <c r="Z21" s="6590"/>
      <c r="AA21" s="6590"/>
      <c r="AB21" s="6590"/>
      <c r="AC21" s="6590"/>
      <c r="AD21" s="6590"/>
      <c r="AE21" s="413"/>
      <c r="AF21" s="667"/>
      <c r="BA21" s="1755">
        <v>19</v>
      </c>
    </row>
    <row customHeight="1" ht="19.95">
      <c r="D22" s="1762"/>
      <c r="E22" s="1788" t="s">
        <v>877</v>
      </c>
      <c r="F22" s="1774" t="s">
        <v>878</v>
      </c>
      <c r="G22" s="1767" t="s">
        <v>664</v>
      </c>
      <c r="H22" s="681"/>
      <c r="I22" s="681"/>
      <c r="J22" s="6590"/>
      <c r="K22" s="6590"/>
      <c r="L22" s="6590"/>
      <c r="M22" s="6590"/>
      <c r="N22" s="6590"/>
      <c r="O22" s="6590"/>
      <c r="P22" s="6590"/>
      <c r="Q22" s="6590"/>
      <c r="R22" s="6590"/>
      <c r="S22" s="6590"/>
      <c r="T22" s="6590"/>
      <c r="U22" s="6590"/>
      <c r="V22" s="6590"/>
      <c r="W22" s="6590"/>
      <c r="X22" s="6590"/>
      <c r="Y22" s="6590"/>
      <c r="Z22" s="6590"/>
      <c r="AA22" s="6590"/>
      <c r="AB22" s="6590"/>
      <c r="AC22" s="6590"/>
      <c r="AD22" s="6590"/>
      <c r="AE22" s="413"/>
      <c r="AF22" s="667"/>
      <c r="BA22" s="1755">
        <v>19</v>
      </c>
    </row>
    <row customHeight="1" ht="24">
      <c r="D23" s="1762"/>
      <c r="E23" s="1788" t="s">
        <v>422</v>
      </c>
      <c r="F23" s="1078" t="s">
        <v>879</v>
      </c>
      <c r="G23" s="1767" t="s">
        <v>664</v>
      </c>
      <c r="H23" s="681"/>
      <c r="I23" s="681"/>
      <c r="J23" s="6590"/>
      <c r="K23" s="6590"/>
      <c r="L23" s="6590"/>
      <c r="M23" s="6590"/>
      <c r="N23" s="6590"/>
      <c r="O23" s="6590"/>
      <c r="P23" s="6590"/>
      <c r="Q23" s="6590"/>
      <c r="R23" s="6590"/>
      <c r="S23" s="6590"/>
      <c r="T23" s="6590"/>
      <c r="U23" s="6590"/>
      <c r="V23" s="6590"/>
      <c r="W23" s="6590"/>
      <c r="X23" s="6590"/>
      <c r="Y23" s="6590"/>
      <c r="Z23" s="6590"/>
      <c r="AA23" s="6590"/>
      <c r="AB23" s="6590"/>
      <c r="AC23" s="6590"/>
      <c r="AD23" s="6590"/>
      <c r="AE23" s="413" t="s">
        <v>880</v>
      </c>
      <c r="AF23" s="667"/>
      <c r="BA23" s="1755">
        <v>23</v>
      </c>
    </row>
    <row customHeight="1" ht="19.95">
      <c r="D24" s="1762"/>
      <c r="E24" s="1788" t="s">
        <v>881</v>
      </c>
      <c r="F24" s="1774" t="s">
        <v>882</v>
      </c>
      <c r="G24" s="1767" t="s">
        <v>664</v>
      </c>
      <c r="H24" s="681"/>
      <c r="I24" s="681"/>
      <c r="J24" s="6590"/>
      <c r="K24" s="6590"/>
      <c r="L24" s="6590"/>
      <c r="M24" s="6590"/>
      <c r="N24" s="6590"/>
      <c r="O24" s="6590"/>
      <c r="P24" s="6590"/>
      <c r="Q24" s="6590"/>
      <c r="R24" s="6590"/>
      <c r="S24" s="6590"/>
      <c r="T24" s="6590"/>
      <c r="U24" s="6590"/>
      <c r="V24" s="6590"/>
      <c r="W24" s="6590"/>
      <c r="X24" s="6590"/>
      <c r="Y24" s="6590"/>
      <c r="Z24" s="6590"/>
      <c r="AA24" s="6590"/>
      <c r="AB24" s="6590"/>
      <c r="AC24" s="6590"/>
      <c r="AD24" s="6590"/>
      <c r="AE24" s="413"/>
      <c r="AF24" s="667"/>
      <c r="BA24" s="1755">
        <v>19</v>
      </c>
    </row>
    <row customHeight="1" ht="35.699999999999996">
      <c r="D25" s="1762"/>
      <c r="E25" s="1788" t="s">
        <v>883</v>
      </c>
      <c r="F25" s="1774" t="s">
        <v>884</v>
      </c>
      <c r="G25" s="1767" t="s">
        <v>664</v>
      </c>
      <c r="H25" s="681"/>
      <c r="I25" s="681"/>
      <c r="J25" s="6590"/>
      <c r="K25" s="6590"/>
      <c r="L25" s="6590"/>
      <c r="M25" s="6590"/>
      <c r="N25" s="6590"/>
      <c r="O25" s="6590"/>
      <c r="P25" s="6590"/>
      <c r="Q25" s="6590"/>
      <c r="R25" s="6590"/>
      <c r="S25" s="6590"/>
      <c r="T25" s="6590"/>
      <c r="U25" s="6590"/>
      <c r="V25" s="6590"/>
      <c r="W25" s="6590"/>
      <c r="X25" s="6590"/>
      <c r="Y25" s="6590"/>
      <c r="Z25" s="6590"/>
      <c r="AA25" s="6590"/>
      <c r="AB25" s="6590"/>
      <c r="AC25" s="6590"/>
      <c r="AD25" s="6590"/>
      <c r="AE25" s="413"/>
      <c r="AF25" s="667"/>
      <c r="BA25" s="1755">
        <v>34</v>
      </c>
    </row>
    <row customHeight="1" ht="24">
      <c r="D26" s="1762"/>
      <c r="E26" s="1788" t="s">
        <v>885</v>
      </c>
      <c r="F26" s="1078" t="s">
        <v>886</v>
      </c>
      <c r="G26" s="1767" t="s">
        <v>664</v>
      </c>
      <c r="H26" s="681"/>
      <c r="I26" s="681"/>
      <c r="J26" s="6590"/>
      <c r="K26" s="6590"/>
      <c r="L26" s="6590"/>
      <c r="M26" s="6590"/>
      <c r="N26" s="6590"/>
      <c r="O26" s="6590"/>
      <c r="P26" s="6590"/>
      <c r="Q26" s="6590"/>
      <c r="R26" s="6590"/>
      <c r="S26" s="6590"/>
      <c r="T26" s="6590"/>
      <c r="U26" s="6590"/>
      <c r="V26" s="6590"/>
      <c r="W26" s="6590"/>
      <c r="X26" s="6590"/>
      <c r="Y26" s="6590"/>
      <c r="Z26" s="6590"/>
      <c r="AA26" s="6590"/>
      <c r="AB26" s="6590"/>
      <c r="AC26" s="6590"/>
      <c r="AD26" s="6590"/>
      <c r="AE26" s="413" t="s">
        <v>887</v>
      </c>
      <c r="AF26" s="667"/>
      <c r="BA26" s="1755">
        <v>23</v>
      </c>
    </row>
    <row customHeight="1" ht="19.95">
      <c r="D27" s="1762"/>
      <c r="E27" s="1798" t="s">
        <v>888</v>
      </c>
      <c r="F27" s="1774" t="s">
        <v>889</v>
      </c>
      <c r="G27" s="1778" t="s">
        <v>664</v>
      </c>
      <c r="H27" s="1799"/>
      <c r="I27" s="1799"/>
      <c r="J27" s="6769"/>
      <c r="K27" s="6769"/>
      <c r="L27" s="6769"/>
      <c r="M27" s="6769"/>
      <c r="N27" s="6769"/>
      <c r="O27" s="6769"/>
      <c r="P27" s="6769"/>
      <c r="Q27" s="6769"/>
      <c r="R27" s="6769"/>
      <c r="S27" s="6769"/>
      <c r="T27" s="6769"/>
      <c r="U27" s="6769"/>
      <c r="V27" s="6769"/>
      <c r="W27" s="6769"/>
      <c r="X27" s="6769"/>
      <c r="Y27" s="6769"/>
      <c r="Z27" s="6769"/>
      <c r="AA27" s="6769"/>
      <c r="AB27" s="6769"/>
      <c r="AC27" s="6769"/>
      <c r="AD27" s="6769"/>
      <c r="AE27" s="413"/>
      <c r="AF27" s="667"/>
      <c r="BA27" s="1755">
        <v>19</v>
      </c>
    </row>
    <row customHeight="1" ht="19.95">
      <c r="D28" s="1762"/>
      <c r="E28" s="1798" t="s">
        <v>890</v>
      </c>
      <c r="F28" s="1774" t="s">
        <v>891</v>
      </c>
      <c r="G28" s="1778" t="s">
        <v>664</v>
      </c>
      <c r="H28" s="1799"/>
      <c r="I28" s="1799"/>
      <c r="J28" s="6769"/>
      <c r="K28" s="6769"/>
      <c r="L28" s="6769"/>
      <c r="M28" s="6769"/>
      <c r="N28" s="6769"/>
      <c r="O28" s="6769"/>
      <c r="P28" s="6769"/>
      <c r="Q28" s="6769"/>
      <c r="R28" s="6769"/>
      <c r="S28" s="6769"/>
      <c r="T28" s="6769"/>
      <c r="U28" s="6769"/>
      <c r="V28" s="6769"/>
      <c r="W28" s="6769"/>
      <c r="X28" s="6769"/>
      <c r="Y28" s="6769"/>
      <c r="Z28" s="6769"/>
      <c r="AA28" s="6769"/>
      <c r="AB28" s="6769"/>
      <c r="AC28" s="6769"/>
      <c r="AD28" s="6769"/>
      <c r="AE28" s="413"/>
      <c r="AF28" s="667"/>
      <c r="BA28" s="1755">
        <v>19</v>
      </c>
    </row>
    <row customHeight="1" ht="19.95">
      <c r="D29" s="1762"/>
      <c r="E29" s="1798" t="s">
        <v>892</v>
      </c>
      <c r="F29" s="1078" t="s">
        <v>893</v>
      </c>
      <c r="G29" s="1778" t="s">
        <v>664</v>
      </c>
      <c r="H29" s="1799"/>
      <c r="I29" s="1799"/>
      <c r="J29" s="6769"/>
      <c r="K29" s="6769"/>
      <c r="L29" s="6769"/>
      <c r="M29" s="6769"/>
      <c r="N29" s="6769"/>
      <c r="O29" s="6769"/>
      <c r="P29" s="6769"/>
      <c r="Q29" s="6769"/>
      <c r="R29" s="6769"/>
      <c r="S29" s="6769"/>
      <c r="T29" s="6769"/>
      <c r="U29" s="6769"/>
      <c r="V29" s="6769"/>
      <c r="W29" s="6769"/>
      <c r="X29" s="6769"/>
      <c r="Y29" s="6769"/>
      <c r="Z29" s="6769"/>
      <c r="AA29" s="6769"/>
      <c r="AB29" s="6769"/>
      <c r="AC29" s="6769"/>
      <c r="AD29" s="6769"/>
      <c r="AE29" s="413"/>
      <c r="AF29" s="667"/>
      <c r="BA29" s="1755">
        <v>19</v>
      </c>
    </row>
    <row customHeight="1" ht="19.95">
      <c r="D30" s="1762"/>
      <c r="E30" s="1798" t="s">
        <v>894</v>
      </c>
      <c r="F30" s="1078" t="s">
        <v>895</v>
      </c>
      <c r="G30" s="1778" t="s">
        <v>664</v>
      </c>
      <c r="H30" s="1799"/>
      <c r="I30" s="1799"/>
      <c r="J30" s="6769"/>
      <c r="K30" s="6769"/>
      <c r="L30" s="6769"/>
      <c r="M30" s="6769"/>
      <c r="N30" s="6769"/>
      <c r="O30" s="6769"/>
      <c r="P30" s="6769"/>
      <c r="Q30" s="6769"/>
      <c r="R30" s="6769"/>
      <c r="S30" s="6769"/>
      <c r="T30" s="6769"/>
      <c r="U30" s="6769"/>
      <c r="V30" s="6769"/>
      <c r="W30" s="6769"/>
      <c r="X30" s="6769"/>
      <c r="Y30" s="6769"/>
      <c r="Z30" s="6769"/>
      <c r="AA30" s="6769"/>
      <c r="AB30" s="6769"/>
      <c r="AC30" s="6769"/>
      <c r="AD30" s="6769"/>
      <c r="AE30" s="413"/>
      <c r="AF30" s="667"/>
      <c r="BA30" s="1755">
        <v>19</v>
      </c>
    </row>
    <row customHeight="1" ht="19.95">
      <c r="D31" s="1762"/>
      <c r="E31" s="1798" t="s">
        <v>896</v>
      </c>
      <c r="F31" s="1078" t="s">
        <v>897</v>
      </c>
      <c r="G31" s="1778" t="s">
        <v>664</v>
      </c>
      <c r="H31" s="1799"/>
      <c r="I31" s="1799"/>
      <c r="J31" s="6769"/>
      <c r="K31" s="6769"/>
      <c r="L31" s="6769"/>
      <c r="M31" s="6769"/>
      <c r="N31" s="6769"/>
      <c r="O31" s="6769"/>
      <c r="P31" s="6769"/>
      <c r="Q31" s="6769"/>
      <c r="R31" s="6769"/>
      <c r="S31" s="6769"/>
      <c r="T31" s="6769"/>
      <c r="U31" s="6769"/>
      <c r="V31" s="6769"/>
      <c r="W31" s="6769"/>
      <c r="X31" s="6769"/>
      <c r="Y31" s="6769"/>
      <c r="Z31" s="6769"/>
      <c r="AA31" s="6769"/>
      <c r="AB31" s="6769"/>
      <c r="AC31" s="6769"/>
      <c r="AD31" s="6769"/>
      <c r="AE31" s="413"/>
      <c r="AF31" s="667"/>
      <c r="BA31" s="1755">
        <v>19</v>
      </c>
    </row>
    <row s="7158" customFormat="1" customHeight="1" ht="35.699999999999996">
      <c r="A32" s="1111"/>
      <c r="C32" s="1760"/>
      <c r="D32" s="1762"/>
      <c r="E32" s="1798" t="s">
        <v>898</v>
      </c>
      <c r="F32" s="1078" t="s">
        <v>899</v>
      </c>
      <c r="G32" s="1768" t="s">
        <v>664</v>
      </c>
      <c r="H32" s="703">
        <f>SUM(H33:H34)</f>
        <v>0</v>
      </c>
      <c r="I32" s="703">
        <f>SUM(I33:I34)</f>
        <v>0</v>
      </c>
      <c r="J32" s="6622">
        <f>SUM(J33:J34)</f>
        <v>0</v>
      </c>
      <c r="K32" s="6622">
        <f>SUM(K33:K34)</f>
        <v>0</v>
      </c>
      <c r="L32" s="6622">
        <f>SUM(L33:L34)</f>
        <v>0</v>
      </c>
      <c r="M32" s="6622">
        <f>SUM(M33:M34)</f>
        <v>0</v>
      </c>
      <c r="N32" s="6622">
        <f>SUM(N33:N34)</f>
        <v>0</v>
      </c>
      <c r="O32" s="6622">
        <f>SUM(O33:O34)</f>
        <v>0</v>
      </c>
      <c r="P32" s="6622">
        <f>SUM(P33:P34)</f>
        <v>0</v>
      </c>
      <c r="Q32" s="6622">
        <f>SUM(Q33:Q34)</f>
        <v>0</v>
      </c>
      <c r="R32" s="6622">
        <f>SUM(R33:R34)</f>
        <v>0</v>
      </c>
      <c r="S32" s="6622">
        <f>SUM(S33:S34)</f>
        <v>0</v>
      </c>
      <c r="T32" s="6622">
        <f>SUM(T33:T34)</f>
        <v>0</v>
      </c>
      <c r="U32" s="6622">
        <f>SUM(U33:U34)</f>
        <v>0</v>
      </c>
      <c r="V32" s="6622">
        <f>SUM(V33:V34)</f>
        <v>0</v>
      </c>
      <c r="W32" s="6622">
        <f>SUM(W33:W34)</f>
        <v>0</v>
      </c>
      <c r="X32" s="6622">
        <f>SUM(X33:X34)</f>
        <v>0</v>
      </c>
      <c r="Y32" s="6622">
        <f>SUM(Y33:Y34)</f>
        <v>0</v>
      </c>
      <c r="Z32" s="6622">
        <f>SUM(Z33:Z34)</f>
        <v>0</v>
      </c>
      <c r="AA32" s="6622">
        <f>SUM(AA33:AA34)</f>
        <v>0</v>
      </c>
      <c r="AB32" s="6622">
        <f>SUM(AB33:AB34)</f>
        <v>0</v>
      </c>
      <c r="AC32" s="6622">
        <f>SUM(AC33:AC34)</f>
        <v>0</v>
      </c>
      <c r="AD32" s="6622">
        <f>SUM(AD33:AD34)</f>
        <v>0</v>
      </c>
      <c r="AE32" s="413" t="s">
        <v>900</v>
      </c>
      <c r="AF32" s="667"/>
      <c r="AG32" s="1760"/>
      <c r="AH32" s="1760"/>
      <c r="AM32" s="1760"/>
      <c r="AP32" s="668"/>
      <c r="AV32" s="1756"/>
      <c r="AW32" s="1756"/>
      <c r="AX32" s="1756"/>
      <c r="AY32" s="1756"/>
      <c r="AZ32" s="1756"/>
      <c r="BA32" s="1284">
        <v>34</v>
      </c>
    </row>
    <row s="6698" customFormat="1" customHeight="1" ht="1.05">
      <c r="A33" s="1291"/>
      <c r="D33" s="672"/>
      <c r="E33" s="926" t="str">
        <f>E32&amp;".0"</f>
        <v>2.8.0</v>
      </c>
      <c r="F33" s="1115"/>
      <c r="G33" s="675"/>
      <c r="H33" s="1116"/>
      <c r="I33" s="1116"/>
      <c r="J33" s="6624"/>
      <c r="K33" s="6624"/>
      <c r="L33" s="6624"/>
      <c r="M33" s="6624"/>
      <c r="N33" s="6624"/>
      <c r="O33" s="6624"/>
      <c r="P33" s="6624"/>
      <c r="Q33" s="6624"/>
      <c r="R33" s="6624"/>
      <c r="S33" s="6624"/>
      <c r="T33" s="6624"/>
      <c r="U33" s="6624"/>
      <c r="V33" s="6624"/>
      <c r="W33" s="6624"/>
      <c r="X33" s="6624"/>
      <c r="Y33" s="6624"/>
      <c r="Z33" s="6624"/>
      <c r="AA33" s="6624"/>
      <c r="AB33" s="6624"/>
      <c r="AC33" s="6624"/>
      <c r="AD33" s="6624"/>
      <c r="AE33" s="1117"/>
      <c r="BA33" s="1760">
        <v>1</v>
      </c>
    </row>
    <row s="7158" customFormat="1" customHeight="1" ht="19.95">
      <c r="A34" s="1111"/>
      <c r="C34" s="1760"/>
      <c r="D34" s="1757"/>
      <c r="E34" s="694"/>
      <c r="F34" s="1789" t="s">
        <v>712</v>
      </c>
      <c r="G34" s="696"/>
      <c r="H34" s="697"/>
      <c r="I34" s="697"/>
      <c r="J34" s="8112"/>
      <c r="K34" s="8113"/>
      <c r="L34" s="8114"/>
      <c r="M34" s="8115"/>
      <c r="N34" s="8116"/>
      <c r="O34" s="8117"/>
      <c r="P34" s="8118"/>
      <c r="Q34" s="8119"/>
      <c r="R34" s="8120"/>
      <c r="S34" s="8121"/>
      <c r="T34" s="8122"/>
      <c r="U34" s="8123"/>
      <c r="V34" s="8124"/>
      <c r="W34" s="8125"/>
      <c r="X34" s="8126"/>
      <c r="Y34" s="8127"/>
      <c r="Z34" s="8128"/>
      <c r="AA34" s="8129"/>
      <c r="AB34" s="8130"/>
      <c r="AC34" s="8131"/>
      <c r="AD34" s="8132"/>
      <c r="AE34" s="425" t="s">
        <v>901</v>
      </c>
      <c r="AF34" s="667"/>
      <c r="AG34" s="1760"/>
      <c r="AH34" s="1760"/>
      <c r="AM34" s="1760"/>
      <c r="AP34" s="668"/>
      <c r="AV34" s="1756"/>
      <c r="AW34" s="1756"/>
      <c r="AX34" s="1756"/>
      <c r="AY34" s="1756"/>
      <c r="AZ34" s="1756"/>
      <c r="BA34" s="1284">
        <v>19</v>
      </c>
    </row>
    <row customHeight="1" ht="60">
      <c r="D35" s="1762"/>
      <c r="E35" s="1798" t="s">
        <v>902</v>
      </c>
      <c r="F35" s="1078" t="s">
        <v>903</v>
      </c>
      <c r="G35" s="1778" t="s">
        <v>664</v>
      </c>
      <c r="H35" s="1799"/>
      <c r="I35" s="1799"/>
      <c r="J35" s="6769"/>
      <c r="K35" s="6769"/>
      <c r="L35" s="6769"/>
      <c r="M35" s="6769"/>
      <c r="N35" s="6769"/>
      <c r="O35" s="6769"/>
      <c r="P35" s="6769"/>
      <c r="Q35" s="6769"/>
      <c r="R35" s="6769"/>
      <c r="S35" s="6769"/>
      <c r="T35" s="6769"/>
      <c r="U35" s="6769"/>
      <c r="V35" s="6769"/>
      <c r="W35" s="6769"/>
      <c r="X35" s="6769"/>
      <c r="Y35" s="6769"/>
      <c r="Z35" s="6769"/>
      <c r="AA35" s="6769"/>
      <c r="AB35" s="6769"/>
      <c r="AC35" s="6769"/>
      <c r="AD35" s="6769"/>
      <c r="AE35" s="413" t="s">
        <v>904</v>
      </c>
      <c r="AF35" s="667"/>
      <c r="BA35" s="1755">
        <v>57</v>
      </c>
    </row>
    <row customHeight="1" ht="19.95">
      <c r="B36" s="1490"/>
      <c r="D36" s="2199"/>
      <c r="E36" s="1798" t="s">
        <v>905</v>
      </c>
      <c r="F36" s="2203" t="s">
        <v>906</v>
      </c>
      <c r="G36" s="2198" t="s">
        <v>664</v>
      </c>
      <c r="H36" s="2204"/>
      <c r="I36" s="2204"/>
      <c r="J36" s="6828"/>
      <c r="K36" s="6828"/>
      <c r="L36" s="6828"/>
      <c r="M36" s="6828"/>
      <c r="N36" s="6828"/>
      <c r="O36" s="6828"/>
      <c r="P36" s="6828"/>
      <c r="Q36" s="6828"/>
      <c r="R36" s="6828"/>
      <c r="S36" s="6828"/>
      <c r="T36" s="6828"/>
      <c r="U36" s="6828"/>
      <c r="V36" s="6828"/>
      <c r="W36" s="6828"/>
      <c r="X36" s="6828"/>
      <c r="Y36" s="6828"/>
      <c r="Z36" s="6828"/>
      <c r="AA36" s="6828"/>
      <c r="AB36" s="6828"/>
      <c r="AC36" s="6828"/>
      <c r="AD36" s="6828"/>
      <c r="AE36" s="2205" t="s">
        <v>907</v>
      </c>
      <c r="AF36" s="667"/>
      <c r="AI36" s="1490"/>
      <c r="AJ36" s="1490"/>
      <c r="AK36" s="1490"/>
      <c r="AL36" s="1490"/>
      <c r="AN36" s="1490"/>
      <c r="AO36" s="1490"/>
      <c r="AQ36" s="1490"/>
      <c r="AR36" s="1490"/>
      <c r="AS36" s="1490"/>
      <c r="AT36" s="1490"/>
      <c r="AU36" s="1490"/>
      <c r="BA36" s="1755">
        <v>19</v>
      </c>
    </row>
    <row customHeight="1" ht="19.95">
      <c r="B37" s="1490"/>
      <c r="D37" s="2199"/>
      <c r="E37" s="1798" t="s">
        <v>908</v>
      </c>
      <c r="F37" s="2203" t="s">
        <v>909</v>
      </c>
      <c r="G37" s="2198" t="s">
        <v>664</v>
      </c>
      <c r="H37" s="2204"/>
      <c r="I37" s="2204"/>
      <c r="J37" s="6828"/>
      <c r="K37" s="6828"/>
      <c r="L37" s="6828"/>
      <c r="M37" s="6828"/>
      <c r="N37" s="6828"/>
      <c r="O37" s="6828"/>
      <c r="P37" s="6828"/>
      <c r="Q37" s="6828"/>
      <c r="R37" s="6828"/>
      <c r="S37" s="6828"/>
      <c r="T37" s="6828"/>
      <c r="U37" s="6828"/>
      <c r="V37" s="6828"/>
      <c r="W37" s="6828"/>
      <c r="X37" s="6828"/>
      <c r="Y37" s="6828"/>
      <c r="Z37" s="6828"/>
      <c r="AA37" s="6828"/>
      <c r="AB37" s="6828"/>
      <c r="AC37" s="6828"/>
      <c r="AD37" s="6828"/>
      <c r="AE37" s="2205" t="s">
        <v>910</v>
      </c>
      <c r="AF37" s="667"/>
      <c r="AI37" s="1490"/>
      <c r="AJ37" s="1490"/>
      <c r="AK37" s="1490"/>
      <c r="AL37" s="1490"/>
      <c r="AN37" s="1490"/>
      <c r="AO37" s="1490"/>
      <c r="AQ37" s="1490"/>
      <c r="AR37" s="1490"/>
      <c r="AS37" s="1490"/>
      <c r="AT37" s="1490"/>
      <c r="AU37" s="1490"/>
      <c r="BA37" s="1755">
        <v>19</v>
      </c>
    </row>
    <row s="7158" customFormat="1" customHeight="1" ht="24">
      <c r="A38" s="1113" t="s">
        <v>713</v>
      </c>
      <c r="C38" s="1760"/>
      <c r="D38" s="1762"/>
      <c r="E38" s="1788" t="s">
        <v>90</v>
      </c>
      <c r="F38" s="831" t="s">
        <v>911</v>
      </c>
      <c r="G38" s="1767" t="s">
        <v>664</v>
      </c>
      <c r="H38" s="681"/>
      <c r="I38" s="681"/>
      <c r="J38" s="6590"/>
      <c r="K38" s="6590"/>
      <c r="L38" s="6590"/>
      <c r="M38" s="6590"/>
      <c r="N38" s="6590"/>
      <c r="O38" s="6590"/>
      <c r="P38" s="6590"/>
      <c r="Q38" s="6590"/>
      <c r="R38" s="6590"/>
      <c r="S38" s="6590"/>
      <c r="T38" s="6590"/>
      <c r="U38" s="6590"/>
      <c r="V38" s="6590"/>
      <c r="W38" s="6590"/>
      <c r="X38" s="6590"/>
      <c r="Y38" s="6590"/>
      <c r="Z38" s="6590"/>
      <c r="AA38" s="6590"/>
      <c r="AB38" s="6590"/>
      <c r="AC38" s="6590"/>
      <c r="AD38" s="6590"/>
      <c r="AE38" s="413" t="s">
        <v>912</v>
      </c>
      <c r="AF38" s="667"/>
      <c r="AG38" s="1760"/>
      <c r="AH38" s="1760"/>
      <c r="AM38" s="1760"/>
      <c r="AP38" s="668"/>
      <c r="AV38" s="1756"/>
      <c r="AW38" s="1756"/>
      <c r="AX38" s="1756"/>
      <c r="AY38" s="1756"/>
      <c r="AZ38" s="1756"/>
      <c r="BA38" s="1284">
        <v>23</v>
      </c>
    </row>
    <row s="7158" customFormat="1" customHeight="1" ht="35.699999999999996">
      <c r="A39" s="1113"/>
      <c r="C39" s="1760"/>
      <c r="D39" s="1762"/>
      <c r="E39" s="1788" t="s">
        <v>436</v>
      </c>
      <c r="F39" s="1078" t="s">
        <v>913</v>
      </c>
      <c r="G39" s="1778"/>
      <c r="H39" s="681"/>
      <c r="I39" s="681"/>
      <c r="J39" s="6590"/>
      <c r="K39" s="6590"/>
      <c r="L39" s="6590"/>
      <c r="M39" s="6590"/>
      <c r="N39" s="6590"/>
      <c r="O39" s="6590"/>
      <c r="P39" s="6590"/>
      <c r="Q39" s="6590"/>
      <c r="R39" s="6590"/>
      <c r="S39" s="6590"/>
      <c r="T39" s="6590"/>
      <c r="U39" s="6590"/>
      <c r="V39" s="6590"/>
      <c r="W39" s="6590"/>
      <c r="X39" s="6590"/>
      <c r="Y39" s="6590"/>
      <c r="Z39" s="6590"/>
      <c r="AA39" s="6590"/>
      <c r="AB39" s="6590"/>
      <c r="AC39" s="6590"/>
      <c r="AD39" s="6590"/>
      <c r="AE39" s="413"/>
      <c r="AF39" s="667"/>
      <c r="AG39" s="1760"/>
      <c r="AH39" s="1760"/>
      <c r="AM39" s="1760"/>
      <c r="AP39" s="668"/>
      <c r="AV39" s="1756"/>
      <c r="AW39" s="1756"/>
      <c r="AX39" s="1756"/>
      <c r="AY39" s="1756"/>
      <c r="AZ39" s="1756"/>
      <c r="BA39" s="1284">
        <v>34</v>
      </c>
    </row>
    <row s="7158" customFormat="1" customHeight="1" ht="19.95">
      <c r="A40" s="1111"/>
      <c r="C40" s="1760"/>
      <c r="D40" s="699"/>
      <c r="E40" s="1788" t="s">
        <v>91</v>
      </c>
      <c r="F40" s="831" t="s">
        <v>914</v>
      </c>
      <c r="G40" s="1767" t="s">
        <v>664</v>
      </c>
      <c r="H40" s="681"/>
      <c r="I40" s="681"/>
      <c r="J40" s="6590"/>
      <c r="K40" s="6590"/>
      <c r="L40" s="6590"/>
      <c r="M40" s="6590"/>
      <c r="N40" s="6590"/>
      <c r="O40" s="6590"/>
      <c r="P40" s="6590"/>
      <c r="Q40" s="6590"/>
      <c r="R40" s="6590"/>
      <c r="S40" s="6590"/>
      <c r="T40" s="6590"/>
      <c r="U40" s="6590"/>
      <c r="V40" s="6590"/>
      <c r="W40" s="6590"/>
      <c r="X40" s="6590"/>
      <c r="Y40" s="6590"/>
      <c r="Z40" s="6590"/>
      <c r="AA40" s="6590"/>
      <c r="AB40" s="6590"/>
      <c r="AC40" s="6590"/>
      <c r="AD40" s="6590"/>
      <c r="AE40" s="413" t="s">
        <v>915</v>
      </c>
      <c r="AF40" s="667"/>
      <c r="AG40" s="1760"/>
      <c r="AH40" s="1760"/>
      <c r="AM40" s="1760"/>
      <c r="AP40" s="668"/>
      <c r="AV40" s="1756"/>
      <c r="AW40" s="1756"/>
      <c r="AX40" s="1756"/>
      <c r="AY40" s="1756"/>
      <c r="AZ40" s="1756"/>
      <c r="BA40" s="1284">
        <v>19</v>
      </c>
    </row>
    <row s="7158" customFormat="1" customHeight="1" ht="24">
      <c r="A41" s="1111"/>
      <c r="C41" s="1760"/>
      <c r="D41" s="699"/>
      <c r="E41" s="1788" t="s">
        <v>916</v>
      </c>
      <c r="F41" s="1078" t="s">
        <v>917</v>
      </c>
      <c r="G41" s="1778" t="s">
        <v>664</v>
      </c>
      <c r="H41" s="681"/>
      <c r="I41" s="681"/>
      <c r="J41" s="6590"/>
      <c r="K41" s="6590"/>
      <c r="L41" s="6590"/>
      <c r="M41" s="6590"/>
      <c r="N41" s="6590"/>
      <c r="O41" s="6590"/>
      <c r="P41" s="6590"/>
      <c r="Q41" s="6590"/>
      <c r="R41" s="6590"/>
      <c r="S41" s="6590"/>
      <c r="T41" s="6590"/>
      <c r="U41" s="6590"/>
      <c r="V41" s="6590"/>
      <c r="W41" s="6590"/>
      <c r="X41" s="6590"/>
      <c r="Y41" s="6590"/>
      <c r="Z41" s="6590"/>
      <c r="AA41" s="6590"/>
      <c r="AB41" s="6590"/>
      <c r="AC41" s="6590"/>
      <c r="AD41" s="6590"/>
      <c r="AE41" s="413" t="s">
        <v>918</v>
      </c>
      <c r="AF41" s="667"/>
      <c r="AG41" s="1760"/>
      <c r="AH41" s="1760"/>
      <c r="AM41" s="1760"/>
      <c r="AP41" s="668"/>
      <c r="AV41" s="1756"/>
      <c r="AW41" s="1756"/>
      <c r="AX41" s="1756"/>
      <c r="AY41" s="1756"/>
      <c r="AZ41" s="1756"/>
      <c r="BA41" s="1284">
        <v>23</v>
      </c>
    </row>
    <row s="7158" customFormat="1" customHeight="1" ht="24">
      <c r="A42" s="1111"/>
      <c r="C42" s="1760"/>
      <c r="D42" s="1762"/>
      <c r="E42" s="1788" t="s">
        <v>919</v>
      </c>
      <c r="F42" s="1774" t="s">
        <v>920</v>
      </c>
      <c r="G42" s="1767" t="s">
        <v>664</v>
      </c>
      <c r="H42" s="681"/>
      <c r="I42" s="681"/>
      <c r="J42" s="6590"/>
      <c r="K42" s="6590"/>
      <c r="L42" s="6590"/>
      <c r="M42" s="6590"/>
      <c r="N42" s="6590"/>
      <c r="O42" s="6590"/>
      <c r="P42" s="6590"/>
      <c r="Q42" s="6590"/>
      <c r="R42" s="6590"/>
      <c r="S42" s="6590"/>
      <c r="T42" s="6590"/>
      <c r="U42" s="6590"/>
      <c r="V42" s="6590"/>
      <c r="W42" s="6590"/>
      <c r="X42" s="6590"/>
      <c r="Y42" s="6590"/>
      <c r="Z42" s="6590"/>
      <c r="AA42" s="6590"/>
      <c r="AB42" s="6590"/>
      <c r="AC42" s="6590"/>
      <c r="AD42" s="6590"/>
      <c r="AE42" s="413" t="s">
        <v>921</v>
      </c>
      <c r="AF42" s="667"/>
      <c r="AG42" s="1760"/>
      <c r="AH42" s="1760"/>
      <c r="AM42" s="1760"/>
      <c r="AP42" s="668"/>
      <c r="AV42" s="1756"/>
      <c r="AW42" s="1756"/>
      <c r="AX42" s="1756"/>
      <c r="AY42" s="1756"/>
      <c r="AZ42" s="1756"/>
      <c r="BA42" s="1284">
        <v>23</v>
      </c>
    </row>
    <row s="7158" customFormat="1" customHeight="1" ht="24">
      <c r="A43" s="1111"/>
      <c r="C43" s="1760"/>
      <c r="D43" s="1762"/>
      <c r="E43" s="1788" t="s">
        <v>922</v>
      </c>
      <c r="F43" s="1774" t="s">
        <v>923</v>
      </c>
      <c r="G43" s="1767" t="s">
        <v>664</v>
      </c>
      <c r="H43" s="681"/>
      <c r="I43" s="681"/>
      <c r="J43" s="6590"/>
      <c r="K43" s="6590"/>
      <c r="L43" s="6590"/>
      <c r="M43" s="6590"/>
      <c r="N43" s="6590"/>
      <c r="O43" s="6590"/>
      <c r="P43" s="6590"/>
      <c r="Q43" s="6590"/>
      <c r="R43" s="6590"/>
      <c r="S43" s="6590"/>
      <c r="T43" s="6590"/>
      <c r="U43" s="6590"/>
      <c r="V43" s="6590"/>
      <c r="W43" s="6590"/>
      <c r="X43" s="6590"/>
      <c r="Y43" s="6590"/>
      <c r="Z43" s="6590"/>
      <c r="AA43" s="6590"/>
      <c r="AB43" s="6590"/>
      <c r="AC43" s="6590"/>
      <c r="AD43" s="6590"/>
      <c r="AE43" s="413" t="s">
        <v>924</v>
      </c>
      <c r="AF43" s="667"/>
      <c r="AG43" s="1760"/>
      <c r="AH43" s="1760"/>
      <c r="AM43" s="1760"/>
      <c r="AP43" s="668"/>
      <c r="AV43" s="1756"/>
      <c r="AW43" s="1756"/>
      <c r="AX43" s="1756"/>
      <c r="AY43" s="1756"/>
      <c r="AZ43" s="1756"/>
      <c r="BA43" s="1284">
        <v>23</v>
      </c>
    </row>
    <row s="7158" customFormat="1" customHeight="1" ht="24">
      <c r="A44" s="1111"/>
      <c r="C44" s="1760"/>
      <c r="D44" s="1762"/>
      <c r="E44" s="1788" t="s">
        <v>925</v>
      </c>
      <c r="F44" s="1774" t="s">
        <v>926</v>
      </c>
      <c r="G44" s="1767" t="s">
        <v>664</v>
      </c>
      <c r="H44" s="681"/>
      <c r="I44" s="681"/>
      <c r="J44" s="6590"/>
      <c r="K44" s="6590"/>
      <c r="L44" s="6590"/>
      <c r="M44" s="6590"/>
      <c r="N44" s="6590"/>
      <c r="O44" s="6590"/>
      <c r="P44" s="6590"/>
      <c r="Q44" s="6590"/>
      <c r="R44" s="6590"/>
      <c r="S44" s="6590"/>
      <c r="T44" s="6590"/>
      <c r="U44" s="6590"/>
      <c r="V44" s="6590"/>
      <c r="W44" s="6590"/>
      <c r="X44" s="6590"/>
      <c r="Y44" s="6590"/>
      <c r="Z44" s="6590"/>
      <c r="AA44" s="6590"/>
      <c r="AB44" s="6590"/>
      <c r="AC44" s="6590"/>
      <c r="AD44" s="6590"/>
      <c r="AE44" s="413" t="s">
        <v>927</v>
      </c>
      <c r="AF44" s="667"/>
      <c r="AG44" s="1760"/>
      <c r="AH44" s="1760"/>
      <c r="AM44" s="1760"/>
      <c r="AP44" s="668"/>
      <c r="AV44" s="1756"/>
      <c r="AW44" s="1756"/>
      <c r="AX44" s="1756"/>
      <c r="AY44" s="1756"/>
      <c r="AZ44" s="1756"/>
      <c r="BA44" s="1284">
        <v>23</v>
      </c>
    </row>
    <row s="7158" customFormat="1" customHeight="1" ht="35.699999999999996">
      <c r="A45" s="1111"/>
      <c r="C45" s="1760" t="s">
        <v>715</v>
      </c>
      <c r="D45" s="1762"/>
      <c r="E45" s="1788" t="s">
        <v>116</v>
      </c>
      <c r="F45" s="831" t="s">
        <v>786</v>
      </c>
      <c r="G45" s="1770" t="s">
        <v>928</v>
      </c>
      <c r="H45" s="8133"/>
      <c r="I45" s="8133"/>
      <c r="J45" s="8133"/>
      <c r="K45" s="8133"/>
      <c r="L45" s="8133"/>
      <c r="M45" s="8133"/>
      <c r="N45" s="8133"/>
      <c r="O45" s="8133"/>
      <c r="P45" s="8133"/>
      <c r="Q45" s="8133"/>
      <c r="R45" s="8133"/>
      <c r="S45" s="8133"/>
      <c r="T45" s="8133"/>
      <c r="U45" s="8133"/>
      <c r="V45" s="8133"/>
      <c r="W45" s="8133"/>
      <c r="X45" s="8133"/>
      <c r="Y45" s="8133"/>
      <c r="Z45" s="8133"/>
      <c r="AA45" s="8133"/>
      <c r="AB45" s="8133"/>
      <c r="AC45" s="8133"/>
      <c r="AD45" s="8133"/>
      <c r="AE45" s="413" t="s">
        <v>929</v>
      </c>
      <c r="AF45" s="667"/>
      <c r="AG45" s="1760"/>
      <c r="AH45" s="1760"/>
      <c r="AM45" s="1760"/>
      <c r="AP45" s="668"/>
      <c r="AV45" s="1756"/>
      <c r="AW45" s="1756"/>
      <c r="AX45" s="1756"/>
      <c r="AY45" s="1756"/>
      <c r="AZ45" s="1756"/>
      <c r="BA45" s="1284">
        <v>34</v>
      </c>
    </row>
    <row s="7158" customFormat="1" customHeight="1" ht="35.699999999999996">
      <c r="A46" s="1111"/>
      <c r="C46" s="1760"/>
      <c r="D46" s="1762"/>
      <c r="E46" s="1788" t="s">
        <v>92</v>
      </c>
      <c r="F46" s="831" t="s">
        <v>930</v>
      </c>
      <c r="G46" s="1767" t="s">
        <v>931</v>
      </c>
      <c r="H46" s="669"/>
      <c r="I46" s="669"/>
      <c r="J46" s="6574"/>
      <c r="K46" s="6574"/>
      <c r="L46" s="6574"/>
      <c r="M46" s="6574"/>
      <c r="N46" s="6574"/>
      <c r="O46" s="6574"/>
      <c r="P46" s="6574"/>
      <c r="Q46" s="6574"/>
      <c r="R46" s="6574"/>
      <c r="S46" s="6574"/>
      <c r="T46" s="6574"/>
      <c r="U46" s="6574"/>
      <c r="V46" s="6574"/>
      <c r="W46" s="6574"/>
      <c r="X46" s="6574"/>
      <c r="Y46" s="6574"/>
      <c r="Z46" s="6574"/>
      <c r="AA46" s="6574"/>
      <c r="AB46" s="6574"/>
      <c r="AC46" s="6574"/>
      <c r="AD46" s="6574"/>
      <c r="AE46" s="413" t="s">
        <v>932</v>
      </c>
      <c r="AF46" s="667"/>
      <c r="AG46" s="1760"/>
      <c r="AH46" s="1760"/>
      <c r="AM46" s="1760"/>
      <c r="AP46" s="668"/>
      <c r="AV46" s="1756"/>
      <c r="AW46" s="1756"/>
      <c r="AX46" s="1756"/>
      <c r="AY46" s="1756"/>
      <c r="AZ46" s="1756"/>
      <c r="BA46" s="1284">
        <v>34</v>
      </c>
    </row>
    <row s="7158" customFormat="1" customHeight="1" ht="24">
      <c r="A47" s="1111"/>
      <c r="C47" s="1760"/>
      <c r="D47" s="1762"/>
      <c r="E47" s="1788" t="s">
        <v>93</v>
      </c>
      <c r="F47" s="831" t="s">
        <v>933</v>
      </c>
      <c r="G47" s="1778" t="s">
        <v>934</v>
      </c>
      <c r="H47" s="669"/>
      <c r="I47" s="669"/>
      <c r="J47" s="6574"/>
      <c r="K47" s="6574"/>
      <c r="L47" s="6574"/>
      <c r="M47" s="6574"/>
      <c r="N47" s="6574"/>
      <c r="O47" s="6574"/>
      <c r="P47" s="6574"/>
      <c r="Q47" s="6574"/>
      <c r="R47" s="6574"/>
      <c r="S47" s="6574"/>
      <c r="T47" s="6574"/>
      <c r="U47" s="6574"/>
      <c r="V47" s="6574"/>
      <c r="W47" s="6574"/>
      <c r="X47" s="6574"/>
      <c r="Y47" s="6574"/>
      <c r="Z47" s="6574"/>
      <c r="AA47" s="6574"/>
      <c r="AB47" s="6574"/>
      <c r="AC47" s="6574"/>
      <c r="AD47" s="6574"/>
      <c r="AE47" s="413" t="s">
        <v>935</v>
      </c>
      <c r="AF47" s="667"/>
      <c r="AG47" s="1760"/>
      <c r="AH47" s="1760"/>
      <c r="AM47" s="1760"/>
      <c r="AP47" s="668"/>
      <c r="AV47" s="1756"/>
      <c r="AW47" s="1756"/>
      <c r="AX47" s="1756"/>
      <c r="AY47" s="1756"/>
      <c r="AZ47" s="1756"/>
      <c r="BA47" s="1284">
        <v>23</v>
      </c>
    </row>
    <row s="7158" customFormat="1" customHeight="1" ht="19.95">
      <c r="A48" s="1111"/>
      <c r="C48" s="1760"/>
      <c r="D48" s="1762"/>
      <c r="E48" s="1788" t="s">
        <v>129</v>
      </c>
      <c r="F48" s="831" t="s">
        <v>936</v>
      </c>
      <c r="G48" s="1767" t="s">
        <v>726</v>
      </c>
      <c r="H48" s="701"/>
      <c r="I48" s="701"/>
      <c r="J48" s="6613"/>
      <c r="K48" s="6613"/>
      <c r="L48" s="6613"/>
      <c r="M48" s="6613"/>
      <c r="N48" s="6613"/>
      <c r="O48" s="6613"/>
      <c r="P48" s="6613"/>
      <c r="Q48" s="6613"/>
      <c r="R48" s="6613"/>
      <c r="S48" s="6613"/>
      <c r="T48" s="6613"/>
      <c r="U48" s="6613"/>
      <c r="V48" s="6613"/>
      <c r="W48" s="6613"/>
      <c r="X48" s="6613"/>
      <c r="Y48" s="6613"/>
      <c r="Z48" s="6613"/>
      <c r="AA48" s="6613"/>
      <c r="AB48" s="6613"/>
      <c r="AC48" s="6613"/>
      <c r="AD48" s="6613"/>
      <c r="AE48" s="413"/>
      <c r="AF48" s="667"/>
      <c r="AG48" s="1760"/>
      <c r="AH48" s="1760"/>
      <c r="AM48" s="1760"/>
      <c r="AP48" s="668"/>
      <c r="AV48" s="1756"/>
      <c r="AW48" s="1756"/>
      <c r="AX48" s="1756"/>
      <c r="AY48" s="1756"/>
      <c r="AZ48" s="1756"/>
      <c r="BA48" s="1284">
        <v>19</v>
      </c>
    </row>
    <row customHeight="1" ht="11.549999999999999">
      <c r="D49" s="1762"/>
      <c r="J49" s="7213"/>
      <c r="K49" s="7213"/>
      <c r="L49" s="7213"/>
      <c r="M49" s="7213"/>
      <c r="N49" s="7213"/>
      <c r="O49" s="7213"/>
      <c r="P49" s="7213"/>
      <c r="Q49" s="7213"/>
      <c r="R49" s="7213"/>
      <c r="S49" s="7213"/>
      <c r="T49" s="7213"/>
      <c r="U49" s="7213"/>
      <c r="V49" s="7213"/>
      <c r="W49" s="7213"/>
      <c r="X49" s="7213"/>
      <c r="Y49" s="7213"/>
      <c r="Z49" s="7213"/>
      <c r="AA49" s="7213"/>
      <c r="AB49" s="7213"/>
      <c r="AC49" s="7213"/>
      <c r="AD49" s="7213"/>
      <c r="BA49" s="1755">
        <v>11</v>
      </c>
    </row>
    <row s="6292" customFormat="1" customHeight="1" ht="11.549999999999999">
      <c r="A50" s="1111"/>
      <c r="B50" s="1760"/>
      <c r="C50" s="1760"/>
      <c r="D50" s="475"/>
      <c r="J50" s="6292"/>
      <c r="K50" s="6292"/>
      <c r="L50" s="6292"/>
      <c r="M50" s="6292"/>
      <c r="N50" s="6292"/>
      <c r="O50" s="6292"/>
      <c r="P50" s="6292"/>
      <c r="Q50" s="6292"/>
      <c r="R50" s="6292"/>
      <c r="S50" s="6292"/>
      <c r="T50" s="6292"/>
      <c r="U50" s="6292"/>
      <c r="V50" s="6292"/>
      <c r="W50" s="6292"/>
      <c r="X50" s="6292"/>
      <c r="Y50" s="6292"/>
      <c r="Z50" s="6292"/>
      <c r="AA50" s="6292"/>
      <c r="AB50" s="6292"/>
      <c r="AC50" s="6292"/>
      <c r="AD50" s="6292"/>
      <c r="AF50" s="1284"/>
      <c r="AG50" s="1760"/>
      <c r="AH50" s="1760"/>
      <c r="AI50" s="1284"/>
      <c r="AJ50" s="1284"/>
      <c r="AK50" s="1284"/>
      <c r="AL50" s="1284"/>
      <c r="AM50" s="1760"/>
      <c r="AN50" s="1284"/>
      <c r="AO50" s="1284"/>
      <c r="AP50" s="668"/>
      <c r="AQ50" s="1284"/>
      <c r="AR50" s="1284"/>
      <c r="AS50" s="1284"/>
      <c r="AT50" s="1284"/>
      <c r="AU50" s="1284"/>
      <c r="AV50" s="1756"/>
      <c r="AW50" s="690"/>
      <c r="AX50" s="690"/>
      <c r="AY50" s="690"/>
      <c r="AZ50" s="690"/>
      <c r="BA50" s="1765">
        <v>11</v>
      </c>
    </row>
    <row s="6292" customFormat="1" customHeight="1" ht="11.549999999999999">
      <c r="A51" s="1111"/>
      <c r="B51" s="1760"/>
      <c r="C51" s="1760"/>
      <c r="D51" s="475"/>
      <c r="J51" s="6292"/>
      <c r="K51" s="6292"/>
      <c r="L51" s="6292"/>
      <c r="M51" s="6292"/>
      <c r="N51" s="6292"/>
      <c r="O51" s="6292"/>
      <c r="P51" s="6292"/>
      <c r="Q51" s="6292"/>
      <c r="R51" s="6292"/>
      <c r="S51" s="6292"/>
      <c r="T51" s="6292"/>
      <c r="U51" s="6292"/>
      <c r="V51" s="6292"/>
      <c r="W51" s="6292"/>
      <c r="X51" s="6292"/>
      <c r="Y51" s="6292"/>
      <c r="Z51" s="6292"/>
      <c r="AA51" s="6292"/>
      <c r="AB51" s="6292"/>
      <c r="AC51" s="6292"/>
      <c r="AD51" s="6292"/>
      <c r="AF51" s="1284"/>
      <c r="AG51" s="1760"/>
      <c r="AH51" s="1760"/>
      <c r="AI51" s="1284"/>
      <c r="AJ51" s="1284"/>
      <c r="AK51" s="1284"/>
      <c r="AL51" s="1284"/>
      <c r="AM51" s="1760"/>
      <c r="AN51" s="1284"/>
      <c r="AO51" s="1284"/>
      <c r="AP51" s="668"/>
      <c r="AQ51" s="1284"/>
      <c r="AR51" s="1284"/>
      <c r="AS51" s="1284"/>
      <c r="AT51" s="1284"/>
      <c r="AU51" s="1284"/>
      <c r="AV51" s="1756"/>
      <c r="AW51" s="690"/>
      <c r="AX51" s="690"/>
      <c r="AY51" s="690"/>
      <c r="AZ51" s="690"/>
      <c r="BA51" s="1765">
        <v>11</v>
      </c>
    </row>
    <row s="6292" customFormat="1" customHeight="1" ht="11.549999999999999">
      <c r="A52" s="1111"/>
      <c r="B52" s="1760"/>
      <c r="C52" s="1760"/>
      <c r="D52" s="475"/>
      <c r="H52" s="690"/>
      <c r="I52" s="690"/>
      <c r="J52" s="6688"/>
      <c r="K52" s="6688"/>
      <c r="L52" s="6688"/>
      <c r="M52" s="6688"/>
      <c r="N52" s="6688"/>
      <c r="O52" s="6688"/>
      <c r="P52" s="6688"/>
      <c r="Q52" s="6688"/>
      <c r="R52" s="6688"/>
      <c r="S52" s="6688"/>
      <c r="T52" s="6688"/>
      <c r="U52" s="6688"/>
      <c r="V52" s="6688"/>
      <c r="W52" s="6688"/>
      <c r="X52" s="6688"/>
      <c r="Y52" s="6688"/>
      <c r="Z52" s="6688"/>
      <c r="AA52" s="6688"/>
      <c r="AB52" s="6688"/>
      <c r="AC52" s="6688"/>
      <c r="AD52" s="6688"/>
      <c r="AF52" s="1284"/>
      <c r="AG52" s="1760"/>
      <c r="AH52" s="1760"/>
      <c r="AI52" s="1284"/>
      <c r="AJ52" s="1284"/>
      <c r="AK52" s="1284"/>
      <c r="AL52" s="1284"/>
      <c r="AM52" s="1760"/>
      <c r="AN52" s="1284"/>
      <c r="AO52" s="1284"/>
      <c r="AP52" s="668"/>
      <c r="AQ52" s="1284"/>
      <c r="AR52" s="1284"/>
      <c r="AS52" s="1284"/>
      <c r="AT52" s="1284"/>
      <c r="AU52" s="1284"/>
      <c r="AV52" s="1756"/>
      <c r="AW52" s="690"/>
      <c r="AX52" s="690"/>
      <c r="AY52" s="690"/>
      <c r="AZ52" s="690"/>
      <c r="BA52" s="1765">
        <v>11</v>
      </c>
    </row>
    <row s="6292" customFormat="1" customHeight="1" ht="11.549999999999999">
      <c r="A53" s="1111"/>
      <c r="B53" s="1760"/>
      <c r="C53" s="1760"/>
      <c r="D53" s="475"/>
      <c r="J53" s="6292"/>
      <c r="K53" s="6292"/>
      <c r="L53" s="6292"/>
      <c r="M53" s="6292"/>
      <c r="N53" s="6292"/>
      <c r="O53" s="6292"/>
      <c r="P53" s="6292"/>
      <c r="Q53" s="6292"/>
      <c r="R53" s="6292"/>
      <c r="S53" s="6292"/>
      <c r="T53" s="6292"/>
      <c r="U53" s="6292"/>
      <c r="V53" s="6292"/>
      <c r="W53" s="6292"/>
      <c r="X53" s="6292"/>
      <c r="Y53" s="6292"/>
      <c r="Z53" s="6292"/>
      <c r="AA53" s="6292"/>
      <c r="AB53" s="6292"/>
      <c r="AC53" s="6292"/>
      <c r="AD53" s="6292"/>
      <c r="AF53" s="1284"/>
      <c r="AG53" s="1760"/>
      <c r="AH53" s="1760"/>
      <c r="AI53" s="1284"/>
      <c r="AJ53" s="1284"/>
      <c r="AK53" s="1284"/>
      <c r="AL53" s="1284"/>
      <c r="AM53" s="1760"/>
      <c r="AN53" s="1284"/>
      <c r="AO53" s="1284"/>
      <c r="AP53" s="668"/>
      <c r="AQ53" s="1284"/>
      <c r="AR53" s="1284"/>
      <c r="AS53" s="1284"/>
      <c r="AT53" s="1284"/>
      <c r="AU53" s="1284"/>
      <c r="AV53" s="1756"/>
      <c r="AW53" s="690"/>
      <c r="AX53" s="690"/>
      <c r="AY53" s="690"/>
      <c r="AZ53" s="690"/>
      <c r="BA53" s="1765">
        <v>11</v>
      </c>
    </row>
    <row s="6292" customFormat="1" customHeight="1" ht="11.549999999999999">
      <c r="A54" s="1111"/>
      <c r="B54" s="1760"/>
      <c r="C54" s="1760"/>
      <c r="D54" s="475"/>
      <c r="J54" s="6292"/>
      <c r="K54" s="6292"/>
      <c r="L54" s="6292"/>
      <c r="M54" s="6292"/>
      <c r="N54" s="6292"/>
      <c r="O54" s="6292"/>
      <c r="P54" s="6292"/>
      <c r="Q54" s="6292"/>
      <c r="R54" s="6292"/>
      <c r="S54" s="6292"/>
      <c r="T54" s="6292"/>
      <c r="U54" s="6292"/>
      <c r="V54" s="6292"/>
      <c r="W54" s="6292"/>
      <c r="X54" s="6292"/>
      <c r="Y54" s="6292"/>
      <c r="Z54" s="6292"/>
      <c r="AA54" s="6292"/>
      <c r="AB54" s="6292"/>
      <c r="AC54" s="6292"/>
      <c r="AD54" s="6292"/>
      <c r="AF54" s="1284"/>
      <c r="AG54" s="1760"/>
      <c r="AH54" s="1760"/>
      <c r="AI54" s="1284"/>
      <c r="AJ54" s="1284"/>
      <c r="AK54" s="1284"/>
      <c r="AL54" s="1284"/>
      <c r="AM54" s="1760"/>
      <c r="AN54" s="1284"/>
      <c r="AO54" s="1284"/>
      <c r="AP54" s="668"/>
      <c r="AQ54" s="1284"/>
      <c r="AR54" s="1284"/>
      <c r="AS54" s="1284"/>
      <c r="AT54" s="1284"/>
      <c r="AU54" s="1284"/>
      <c r="AV54" s="1756"/>
      <c r="AW54" s="690"/>
      <c r="AX54" s="690"/>
      <c r="AY54" s="690"/>
      <c r="AZ54" s="690"/>
      <c r="BA54" s="1765">
        <v>11</v>
      </c>
    </row>
    <row s="6292" customFormat="1" customHeight="1" ht="11.549999999999999">
      <c r="A55" s="1111"/>
      <c r="B55" s="1760"/>
      <c r="C55" s="1760"/>
      <c r="D55" s="475"/>
      <c r="J55" s="6292"/>
      <c r="K55" s="6292"/>
      <c r="L55" s="6292"/>
      <c r="M55" s="6292"/>
      <c r="N55" s="6292"/>
      <c r="O55" s="6292"/>
      <c r="P55" s="6292"/>
      <c r="Q55" s="6292"/>
      <c r="R55" s="6292"/>
      <c r="S55" s="6292"/>
      <c r="T55" s="6292"/>
      <c r="U55" s="6292"/>
      <c r="V55" s="6292"/>
      <c r="W55" s="6292"/>
      <c r="X55" s="6292"/>
      <c r="Y55" s="6292"/>
      <c r="Z55" s="6292"/>
      <c r="AA55" s="6292"/>
      <c r="AB55" s="6292"/>
      <c r="AC55" s="6292"/>
      <c r="AD55" s="6292"/>
      <c r="AF55" s="1284"/>
      <c r="AG55" s="1760"/>
      <c r="AH55" s="1760"/>
      <c r="AI55" s="1284"/>
      <c r="AJ55" s="1284"/>
      <c r="AK55" s="1284"/>
      <c r="AL55" s="1284"/>
      <c r="AM55" s="1760"/>
      <c r="AN55" s="1284"/>
      <c r="AO55" s="1284"/>
      <c r="AP55" s="668"/>
      <c r="AQ55" s="1284"/>
      <c r="AR55" s="1284"/>
      <c r="AS55" s="1284"/>
      <c r="AT55" s="1284"/>
      <c r="AU55" s="1284"/>
      <c r="AV55" s="1756"/>
      <c r="AW55" s="690"/>
      <c r="AX55" s="690"/>
      <c r="AY55" s="690"/>
      <c r="AZ55" s="690"/>
      <c r="BA55" s="1765">
        <v>11</v>
      </c>
    </row>
    <row s="6292" customFormat="1" customHeight="1" ht="11.549999999999999">
      <c r="A56" s="1111"/>
      <c r="B56" s="1760"/>
      <c r="C56" s="1760"/>
      <c r="D56" s="475"/>
      <c r="J56" s="6292"/>
      <c r="K56" s="6292"/>
      <c r="L56" s="6292"/>
      <c r="M56" s="6292"/>
      <c r="N56" s="6292"/>
      <c r="O56" s="6292"/>
      <c r="P56" s="6292"/>
      <c r="Q56" s="6292"/>
      <c r="R56" s="6292"/>
      <c r="S56" s="6292"/>
      <c r="T56" s="6292"/>
      <c r="U56" s="6292"/>
      <c r="V56" s="6292"/>
      <c r="W56" s="6292"/>
      <c r="X56" s="6292"/>
      <c r="Y56" s="6292"/>
      <c r="Z56" s="6292"/>
      <c r="AA56" s="6292"/>
      <c r="AB56" s="6292"/>
      <c r="AC56" s="6292"/>
      <c r="AD56" s="6292"/>
      <c r="AF56" s="1284"/>
      <c r="AG56" s="1760"/>
      <c r="AH56" s="1760"/>
      <c r="AI56" s="1284"/>
      <c r="AJ56" s="1284"/>
      <c r="AK56" s="1284"/>
      <c r="AL56" s="1284"/>
      <c r="AM56" s="1760"/>
      <c r="AN56" s="1284"/>
      <c r="AO56" s="1284"/>
      <c r="AP56" s="668"/>
      <c r="AQ56" s="1284"/>
      <c r="AR56" s="1284"/>
      <c r="AS56" s="1284"/>
      <c r="AT56" s="1284"/>
      <c r="AU56" s="1284"/>
      <c r="AV56" s="1756"/>
      <c r="AW56" s="690"/>
      <c r="AX56" s="690"/>
      <c r="AY56" s="690"/>
      <c r="AZ56" s="690"/>
      <c r="BA56" s="1765">
        <v>11</v>
      </c>
    </row>
    <row s="6292" customFormat="1" customHeight="1" ht="11.549999999999999">
      <c r="A57" s="1111"/>
      <c r="B57" s="1760"/>
      <c r="C57" s="1760"/>
      <c r="D57" s="475"/>
      <c r="J57" s="6292"/>
      <c r="K57" s="6292"/>
      <c r="L57" s="6292"/>
      <c r="M57" s="6292"/>
      <c r="N57" s="6292"/>
      <c r="O57" s="6292"/>
      <c r="P57" s="6292"/>
      <c r="Q57" s="6292"/>
      <c r="R57" s="6292"/>
      <c r="S57" s="6292"/>
      <c r="T57" s="6292"/>
      <c r="U57" s="6292"/>
      <c r="V57" s="6292"/>
      <c r="W57" s="6292"/>
      <c r="X57" s="6292"/>
      <c r="Y57" s="6292"/>
      <c r="Z57" s="6292"/>
      <c r="AA57" s="6292"/>
      <c r="AB57" s="6292"/>
      <c r="AC57" s="6292"/>
      <c r="AD57" s="6292"/>
      <c r="AF57" s="1284"/>
      <c r="AG57" s="1760"/>
      <c r="AH57" s="1760"/>
      <c r="AI57" s="1284"/>
      <c r="AJ57" s="1284"/>
      <c r="AK57" s="1284"/>
      <c r="AL57" s="1284"/>
      <c r="AM57" s="1760"/>
      <c r="AN57" s="1284"/>
      <c r="AO57" s="1284"/>
      <c r="AP57" s="668"/>
      <c r="AQ57" s="1284"/>
      <c r="AR57" s="1284"/>
      <c r="AS57" s="1284"/>
      <c r="AT57" s="1284"/>
      <c r="AU57" s="1284"/>
      <c r="AV57" s="1756"/>
      <c r="AW57" s="690"/>
      <c r="AX57" s="690"/>
      <c r="AY57" s="690"/>
      <c r="AZ57" s="690"/>
      <c r="BA57" s="1765">
        <v>11</v>
      </c>
    </row>
    <row s="6292" customFormat="1" customHeight="1" ht="11.549999999999999">
      <c r="A58" s="1111"/>
      <c r="B58" s="1760"/>
      <c r="C58" s="1760"/>
      <c r="D58" s="475"/>
      <c r="J58" s="6292"/>
      <c r="K58" s="6292"/>
      <c r="L58" s="6292"/>
      <c r="M58" s="6292"/>
      <c r="N58" s="6292"/>
      <c r="O58" s="6292"/>
      <c r="P58" s="6292"/>
      <c r="Q58" s="6292"/>
      <c r="R58" s="6292"/>
      <c r="S58" s="6292"/>
      <c r="T58" s="6292"/>
      <c r="U58" s="6292"/>
      <c r="V58" s="6292"/>
      <c r="W58" s="6292"/>
      <c r="X58" s="6292"/>
      <c r="Y58" s="6292"/>
      <c r="Z58" s="6292"/>
      <c r="AA58" s="6292"/>
      <c r="AB58" s="6292"/>
      <c r="AC58" s="6292"/>
      <c r="AD58" s="6292"/>
      <c r="AF58" s="1284"/>
      <c r="AG58" s="1760"/>
      <c r="AH58" s="1760"/>
      <c r="AI58" s="1284"/>
      <c r="AJ58" s="1284"/>
      <c r="AK58" s="1284"/>
      <c r="AL58" s="1284"/>
      <c r="AM58" s="1760"/>
      <c r="AN58" s="1284"/>
      <c r="AO58" s="1284"/>
      <c r="AP58" s="668"/>
      <c r="AQ58" s="1284"/>
      <c r="AR58" s="1284"/>
      <c r="AS58" s="1284"/>
      <c r="AT58" s="1284"/>
      <c r="AU58" s="1284"/>
      <c r="AV58" s="1756"/>
      <c r="AW58" s="690"/>
      <c r="AX58" s="690"/>
      <c r="AY58" s="690"/>
      <c r="AZ58" s="690"/>
      <c r="BA58" s="1765">
        <v>11</v>
      </c>
    </row>
    <row s="6292" customFormat="1" customHeight="1" ht="11.549999999999999">
      <c r="A59" s="1111"/>
      <c r="B59" s="1760"/>
      <c r="C59" s="1760"/>
      <c r="D59" s="475"/>
      <c r="J59" s="6292"/>
      <c r="K59" s="6292"/>
      <c r="L59" s="6292"/>
      <c r="M59" s="6292"/>
      <c r="N59" s="6292"/>
      <c r="O59" s="6292"/>
      <c r="P59" s="6292"/>
      <c r="Q59" s="6292"/>
      <c r="R59" s="6292"/>
      <c r="S59" s="6292"/>
      <c r="T59" s="6292"/>
      <c r="U59" s="6292"/>
      <c r="V59" s="6292"/>
      <c r="W59" s="6292"/>
      <c r="X59" s="6292"/>
      <c r="Y59" s="6292"/>
      <c r="Z59" s="6292"/>
      <c r="AA59" s="6292"/>
      <c r="AB59" s="6292"/>
      <c r="AC59" s="6292"/>
      <c r="AD59" s="6292"/>
      <c r="AF59" s="1284"/>
      <c r="AG59" s="1760"/>
      <c r="AH59" s="1760"/>
      <c r="AI59" s="1284"/>
      <c r="AJ59" s="1284"/>
      <c r="AK59" s="1284"/>
      <c r="AL59" s="1284"/>
      <c r="AM59" s="1760"/>
      <c r="AN59" s="1284"/>
      <c r="AO59" s="1284"/>
      <c r="AP59" s="668"/>
      <c r="AQ59" s="1284"/>
      <c r="AR59" s="1284"/>
      <c r="AS59" s="1284"/>
      <c r="AT59" s="1284"/>
      <c r="AU59" s="1284"/>
      <c r="AV59" s="1756"/>
      <c r="AW59" s="690"/>
      <c r="AX59" s="690"/>
      <c r="AY59" s="690"/>
      <c r="AZ59" s="690"/>
      <c r="BA59" s="1765">
        <v>11</v>
      </c>
    </row>
    <row s="6292" customFormat="1" customHeight="1" ht="11.549999999999999">
      <c r="A60" s="1111"/>
      <c r="B60" s="1760"/>
      <c r="C60" s="1760"/>
      <c r="D60" s="475"/>
      <c r="J60" s="6292"/>
      <c r="K60" s="6292"/>
      <c r="L60" s="6292"/>
      <c r="M60" s="6292"/>
      <c r="N60" s="6292"/>
      <c r="O60" s="6292"/>
      <c r="P60" s="6292"/>
      <c r="Q60" s="6292"/>
      <c r="R60" s="6292"/>
      <c r="S60" s="6292"/>
      <c r="T60" s="6292"/>
      <c r="U60" s="6292"/>
      <c r="V60" s="6292"/>
      <c r="W60" s="6292"/>
      <c r="X60" s="6292"/>
      <c r="Y60" s="6292"/>
      <c r="Z60" s="6292"/>
      <c r="AA60" s="6292"/>
      <c r="AB60" s="6292"/>
      <c r="AC60" s="6292"/>
      <c r="AD60" s="6292"/>
      <c r="AF60" s="1284"/>
      <c r="AG60" s="1760"/>
      <c r="AH60" s="1760"/>
      <c r="AI60" s="1284"/>
      <c r="AJ60" s="1284"/>
      <c r="AK60" s="1284"/>
      <c r="AL60" s="1284"/>
      <c r="AM60" s="1760"/>
      <c r="AN60" s="1284"/>
      <c r="AO60" s="1284"/>
      <c r="AP60" s="668"/>
      <c r="AQ60" s="1284"/>
      <c r="AR60" s="1284"/>
      <c r="AS60" s="1284"/>
      <c r="AT60" s="1284"/>
      <c r="AU60" s="1284"/>
      <c r="AV60" s="1756"/>
      <c r="AW60" s="690"/>
      <c r="AX60" s="690"/>
      <c r="AY60" s="690"/>
      <c r="AZ60" s="690"/>
      <c r="BA60" s="1765">
        <v>11</v>
      </c>
    </row>
    <row s="6292" customFormat="1" customHeight="1" ht="11.549999999999999">
      <c r="A61" s="1111"/>
      <c r="B61" s="1760"/>
      <c r="C61" s="1760"/>
      <c r="D61" s="475"/>
      <c r="J61" s="6292"/>
      <c r="K61" s="6292"/>
      <c r="L61" s="6292"/>
      <c r="M61" s="6292"/>
      <c r="N61" s="6292"/>
      <c r="O61" s="6292"/>
      <c r="P61" s="6292"/>
      <c r="Q61" s="6292"/>
      <c r="R61" s="6292"/>
      <c r="S61" s="6292"/>
      <c r="T61" s="6292"/>
      <c r="U61" s="6292"/>
      <c r="V61" s="6292"/>
      <c r="W61" s="6292"/>
      <c r="X61" s="6292"/>
      <c r="Y61" s="6292"/>
      <c r="Z61" s="6292"/>
      <c r="AA61" s="6292"/>
      <c r="AB61" s="6292"/>
      <c r="AC61" s="6292"/>
      <c r="AD61" s="6292"/>
      <c r="AF61" s="1284"/>
      <c r="AG61" s="1760"/>
      <c r="AH61" s="1760"/>
      <c r="AI61" s="1284"/>
      <c r="AJ61" s="1284"/>
      <c r="AK61" s="1284"/>
      <c r="AL61" s="1284"/>
      <c r="AM61" s="1760"/>
      <c r="AN61" s="1284"/>
      <c r="AO61" s="1284"/>
      <c r="AP61" s="668"/>
      <c r="AQ61" s="1284"/>
      <c r="AR61" s="1284"/>
      <c r="AS61" s="1284"/>
      <c r="AT61" s="1284"/>
      <c r="AU61" s="1284"/>
      <c r="AV61" s="1756"/>
      <c r="AW61" s="690"/>
      <c r="AX61" s="690"/>
      <c r="AY61" s="690"/>
      <c r="AZ61" s="690"/>
      <c r="BA61" s="1765">
        <v>11</v>
      </c>
    </row>
    <row s="6292" customFormat="1" customHeight="1" ht="11.549999999999999">
      <c r="A62" s="1111"/>
      <c r="B62" s="1760"/>
      <c r="C62" s="1760"/>
      <c r="D62" s="475"/>
      <c r="J62" s="6292"/>
      <c r="K62" s="6292"/>
      <c r="L62" s="6292"/>
      <c r="M62" s="6292"/>
      <c r="N62" s="6292"/>
      <c r="O62" s="6292"/>
      <c r="P62" s="6292"/>
      <c r="Q62" s="6292"/>
      <c r="R62" s="6292"/>
      <c r="S62" s="6292"/>
      <c r="T62" s="6292"/>
      <c r="U62" s="6292"/>
      <c r="V62" s="6292"/>
      <c r="W62" s="6292"/>
      <c r="X62" s="6292"/>
      <c r="Y62" s="6292"/>
      <c r="Z62" s="6292"/>
      <c r="AA62" s="6292"/>
      <c r="AB62" s="6292"/>
      <c r="AC62" s="6292"/>
      <c r="AD62" s="6292"/>
      <c r="AF62" s="1284"/>
      <c r="AG62" s="1760"/>
      <c r="AH62" s="1760"/>
      <c r="AI62" s="1284"/>
      <c r="AJ62" s="1284"/>
      <c r="AK62" s="1284"/>
      <c r="AL62" s="1284"/>
      <c r="AM62" s="1760"/>
      <c r="AN62" s="1284"/>
      <c r="AO62" s="1284"/>
      <c r="AP62" s="668"/>
      <c r="AQ62" s="1284"/>
      <c r="AR62" s="1284"/>
      <c r="AS62" s="1284"/>
      <c r="AT62" s="1284"/>
      <c r="AU62" s="1284"/>
      <c r="AV62" s="1756"/>
      <c r="AW62" s="690"/>
      <c r="AX62" s="690"/>
      <c r="AY62" s="690"/>
      <c r="AZ62" s="690"/>
      <c r="BA62" s="1765">
        <v>11</v>
      </c>
    </row>
    <row s="6292" customFormat="1" customHeight="1" ht="11.549999999999999">
      <c r="A63" s="1111"/>
      <c r="B63" s="1760"/>
      <c r="C63" s="1760"/>
      <c r="D63" s="475"/>
      <c r="J63" s="6292"/>
      <c r="K63" s="6292"/>
      <c r="L63" s="6292"/>
      <c r="M63" s="6292"/>
      <c r="N63" s="6292"/>
      <c r="O63" s="6292"/>
      <c r="P63" s="6292"/>
      <c r="Q63" s="6292"/>
      <c r="R63" s="6292"/>
      <c r="S63" s="6292"/>
      <c r="T63" s="6292"/>
      <c r="U63" s="6292"/>
      <c r="V63" s="6292"/>
      <c r="W63" s="6292"/>
      <c r="X63" s="6292"/>
      <c r="Y63" s="6292"/>
      <c r="Z63" s="6292"/>
      <c r="AA63" s="6292"/>
      <c r="AB63" s="6292"/>
      <c r="AC63" s="6292"/>
      <c r="AD63" s="6292"/>
      <c r="AF63" s="1284"/>
      <c r="AG63" s="1760"/>
      <c r="AH63" s="1760"/>
      <c r="AI63" s="1284"/>
      <c r="AJ63" s="1284"/>
      <c r="AK63" s="1284"/>
      <c r="AL63" s="1284"/>
      <c r="AM63" s="1760"/>
      <c r="AN63" s="1284"/>
      <c r="AO63" s="1284"/>
      <c r="AP63" s="668"/>
      <c r="AQ63" s="1284"/>
      <c r="AR63" s="1284"/>
      <c r="AS63" s="1284"/>
      <c r="AT63" s="1284"/>
      <c r="AU63" s="1284"/>
      <c r="AV63" s="1756"/>
      <c r="AW63" s="690"/>
      <c r="AX63" s="690"/>
      <c r="AY63" s="690"/>
      <c r="AZ63" s="690"/>
      <c r="BA63" s="1765">
        <v>11</v>
      </c>
    </row>
    <row s="6292" customFormat="1" customHeight="1" ht="11.549999999999999">
      <c r="A64" s="1111"/>
      <c r="B64" s="1760"/>
      <c r="C64" s="1760"/>
      <c r="D64" s="475"/>
      <c r="J64" s="6292"/>
      <c r="K64" s="6292"/>
      <c r="L64" s="6292"/>
      <c r="M64" s="6292"/>
      <c r="N64" s="6292"/>
      <c r="O64" s="6292"/>
      <c r="P64" s="6292"/>
      <c r="Q64" s="6292"/>
      <c r="R64" s="6292"/>
      <c r="S64" s="6292"/>
      <c r="T64" s="6292"/>
      <c r="U64" s="6292"/>
      <c r="V64" s="6292"/>
      <c r="W64" s="6292"/>
      <c r="X64" s="6292"/>
      <c r="Y64" s="6292"/>
      <c r="Z64" s="6292"/>
      <c r="AA64" s="6292"/>
      <c r="AB64" s="6292"/>
      <c r="AC64" s="6292"/>
      <c r="AD64" s="6292"/>
      <c r="AF64" s="1284"/>
      <c r="AG64" s="1760"/>
      <c r="AH64" s="1760"/>
      <c r="AI64" s="1284"/>
      <c r="AJ64" s="1284"/>
      <c r="AK64" s="1284"/>
      <c r="AL64" s="1284"/>
      <c r="AM64" s="1760"/>
      <c r="AN64" s="1284"/>
      <c r="AO64" s="1284"/>
      <c r="AP64" s="668"/>
      <c r="AQ64" s="1284"/>
      <c r="AR64" s="1284"/>
      <c r="AS64" s="1284"/>
      <c r="AT64" s="1284"/>
      <c r="AU64" s="1284"/>
      <c r="AV64" s="1756"/>
      <c r="AW64" s="690"/>
      <c r="AX64" s="690"/>
      <c r="AY64" s="690"/>
      <c r="AZ64" s="690"/>
      <c r="BA64" s="1765">
        <v>11</v>
      </c>
    </row>
    <row s="6292" customFormat="1" customHeight="1" ht="11.549999999999999">
      <c r="A65" s="1111"/>
      <c r="B65" s="1760"/>
      <c r="C65" s="1760"/>
      <c r="D65" s="475"/>
      <c r="J65" s="6292"/>
      <c r="K65" s="6292"/>
      <c r="L65" s="6292"/>
      <c r="M65" s="6292"/>
      <c r="N65" s="6292"/>
      <c r="O65" s="6292"/>
      <c r="P65" s="6292"/>
      <c r="Q65" s="6292"/>
      <c r="R65" s="6292"/>
      <c r="S65" s="6292"/>
      <c r="T65" s="6292"/>
      <c r="U65" s="6292"/>
      <c r="V65" s="6292"/>
      <c r="W65" s="6292"/>
      <c r="X65" s="6292"/>
      <c r="Y65" s="6292"/>
      <c r="Z65" s="6292"/>
      <c r="AA65" s="6292"/>
      <c r="AB65" s="6292"/>
      <c r="AC65" s="6292"/>
      <c r="AD65" s="6292"/>
      <c r="AF65" s="1284"/>
      <c r="AG65" s="1760"/>
      <c r="AH65" s="1760"/>
      <c r="AI65" s="1284"/>
      <c r="AJ65" s="1284"/>
      <c r="AK65" s="1284"/>
      <c r="AL65" s="1284"/>
      <c r="AM65" s="1760"/>
      <c r="AN65" s="1284"/>
      <c r="AO65" s="1284"/>
      <c r="AP65" s="668"/>
      <c r="AQ65" s="1284"/>
      <c r="AR65" s="1284"/>
      <c r="AS65" s="1284"/>
      <c r="AT65" s="1284"/>
      <c r="AU65" s="1284"/>
      <c r="AV65" s="1756"/>
      <c r="AW65" s="690"/>
      <c r="AX65" s="690"/>
      <c r="AY65" s="690"/>
      <c r="AZ65" s="690"/>
      <c r="BA65" s="1765">
        <v>11</v>
      </c>
    </row>
    <row s="6292" customFormat="1" customHeight="1" ht="11.549999999999999">
      <c r="A66" s="1111"/>
      <c r="B66" s="1760"/>
      <c r="C66" s="1760"/>
      <c r="D66" s="475"/>
      <c r="J66" s="6292"/>
      <c r="K66" s="6292"/>
      <c r="L66" s="6292"/>
      <c r="M66" s="6292"/>
      <c r="N66" s="6292"/>
      <c r="O66" s="6292"/>
      <c r="P66" s="6292"/>
      <c r="Q66" s="6292"/>
      <c r="R66" s="6292"/>
      <c r="S66" s="6292"/>
      <c r="T66" s="6292"/>
      <c r="U66" s="6292"/>
      <c r="V66" s="6292"/>
      <c r="W66" s="6292"/>
      <c r="X66" s="6292"/>
      <c r="Y66" s="6292"/>
      <c r="Z66" s="6292"/>
      <c r="AA66" s="6292"/>
      <c r="AB66" s="6292"/>
      <c r="AC66" s="6292"/>
      <c r="AD66" s="6292"/>
      <c r="AF66" s="1284"/>
      <c r="AG66" s="1760"/>
      <c r="AH66" s="1760"/>
      <c r="AI66" s="1284"/>
      <c r="AJ66" s="1284"/>
      <c r="AK66" s="1284"/>
      <c r="AL66" s="1284"/>
      <c r="AM66" s="1760"/>
      <c r="AN66" s="1284"/>
      <c r="AO66" s="1284"/>
      <c r="AP66" s="668"/>
      <c r="AQ66" s="1284"/>
      <c r="AR66" s="1284"/>
      <c r="AS66" s="1284"/>
      <c r="AT66" s="1284"/>
      <c r="AU66" s="1284"/>
      <c r="AV66" s="1756"/>
      <c r="AW66" s="690"/>
      <c r="AX66" s="690"/>
      <c r="AY66" s="690"/>
      <c r="AZ66" s="690"/>
      <c r="BA66" s="1765">
        <v>11</v>
      </c>
    </row>
    <row s="6292" customFormat="1" customHeight="1" ht="11.549999999999999">
      <c r="A67" s="1111"/>
      <c r="B67" s="1760"/>
      <c r="C67" s="1760"/>
      <c r="D67" s="475"/>
      <c r="J67" s="6292"/>
      <c r="K67" s="6292"/>
      <c r="L67" s="6292"/>
      <c r="M67" s="6292"/>
      <c r="N67" s="6292"/>
      <c r="O67" s="6292"/>
      <c r="P67" s="6292"/>
      <c r="Q67" s="6292"/>
      <c r="R67" s="6292"/>
      <c r="S67" s="6292"/>
      <c r="T67" s="6292"/>
      <c r="U67" s="6292"/>
      <c r="V67" s="6292"/>
      <c r="W67" s="6292"/>
      <c r="X67" s="6292"/>
      <c r="Y67" s="6292"/>
      <c r="Z67" s="6292"/>
      <c r="AA67" s="6292"/>
      <c r="AB67" s="6292"/>
      <c r="AC67" s="6292"/>
      <c r="AD67" s="6292"/>
      <c r="AF67" s="1284"/>
      <c r="AG67" s="1760"/>
      <c r="AH67" s="1760"/>
      <c r="AI67" s="1284"/>
      <c r="AJ67" s="1284"/>
      <c r="AK67" s="1284"/>
      <c r="AL67" s="1284"/>
      <c r="AM67" s="1760"/>
      <c r="AN67" s="1284"/>
      <c r="AO67" s="1284"/>
      <c r="AP67" s="668"/>
      <c r="AQ67" s="1284"/>
      <c r="AR67" s="1284"/>
      <c r="AS67" s="1284"/>
      <c r="AT67" s="1284"/>
      <c r="AU67" s="1284"/>
      <c r="AV67" s="1756"/>
      <c r="AW67" s="690"/>
      <c r="AX67" s="690"/>
      <c r="AY67" s="690"/>
      <c r="AZ67" s="690"/>
      <c r="BA67" s="1765">
        <v>11</v>
      </c>
    </row>
    <row s="6292" customFormat="1" customHeight="1" ht="11.549999999999999">
      <c r="A68" s="1111"/>
      <c r="B68" s="1760"/>
      <c r="C68" s="1760"/>
      <c r="D68" s="475"/>
      <c r="J68" s="6292"/>
      <c r="K68" s="6292"/>
      <c r="L68" s="6292"/>
      <c r="M68" s="6292"/>
      <c r="N68" s="6292"/>
      <c r="O68" s="6292"/>
      <c r="P68" s="6292"/>
      <c r="Q68" s="6292"/>
      <c r="R68" s="6292"/>
      <c r="S68" s="6292"/>
      <c r="T68" s="6292"/>
      <c r="U68" s="6292"/>
      <c r="V68" s="6292"/>
      <c r="W68" s="6292"/>
      <c r="X68" s="6292"/>
      <c r="Y68" s="6292"/>
      <c r="Z68" s="6292"/>
      <c r="AA68" s="6292"/>
      <c r="AB68" s="6292"/>
      <c r="AC68" s="6292"/>
      <c r="AD68" s="6292"/>
      <c r="AF68" s="1284"/>
      <c r="AG68" s="1760"/>
      <c r="AH68" s="1760"/>
      <c r="AI68" s="1284"/>
      <c r="AJ68" s="1284"/>
      <c r="AK68" s="1284"/>
      <c r="AL68" s="1284"/>
      <c r="AM68" s="1760"/>
      <c r="AN68" s="1284"/>
      <c r="AO68" s="1284"/>
      <c r="AP68" s="668"/>
      <c r="AQ68" s="1284"/>
      <c r="AR68" s="1284"/>
      <c r="AS68" s="1284"/>
      <c r="AT68" s="1284"/>
      <c r="AU68" s="1284"/>
      <c r="AV68" s="1756"/>
      <c r="AW68" s="690"/>
      <c r="AX68" s="690"/>
      <c r="AY68" s="690"/>
      <c r="AZ68" s="690"/>
      <c r="BA68" s="1765">
        <v>11</v>
      </c>
    </row>
    <row s="6292" customFormat="1" customHeight="1" ht="11.549999999999999">
      <c r="A69" s="1111"/>
      <c r="B69" s="1760"/>
      <c r="C69" s="1760"/>
      <c r="D69" s="475"/>
      <c r="J69" s="6292"/>
      <c r="K69" s="6292"/>
      <c r="L69" s="6292"/>
      <c r="M69" s="6292"/>
      <c r="N69" s="6292"/>
      <c r="O69" s="6292"/>
      <c r="P69" s="6292"/>
      <c r="Q69" s="6292"/>
      <c r="R69" s="6292"/>
      <c r="S69" s="6292"/>
      <c r="T69" s="6292"/>
      <c r="U69" s="6292"/>
      <c r="V69" s="6292"/>
      <c r="W69" s="6292"/>
      <c r="X69" s="6292"/>
      <c r="Y69" s="6292"/>
      <c r="Z69" s="6292"/>
      <c r="AA69" s="6292"/>
      <c r="AB69" s="6292"/>
      <c r="AC69" s="6292"/>
      <c r="AD69" s="6292"/>
      <c r="AF69" s="1284"/>
      <c r="AG69" s="1760"/>
      <c r="AH69" s="1760"/>
      <c r="AI69" s="1284"/>
      <c r="AJ69" s="1284"/>
      <c r="AK69" s="1284"/>
      <c r="AL69" s="1284"/>
      <c r="AM69" s="1760"/>
      <c r="AN69" s="1284"/>
      <c r="AO69" s="1284"/>
      <c r="AP69" s="668"/>
      <c r="AQ69" s="1284"/>
      <c r="AR69" s="1284"/>
      <c r="AS69" s="1284"/>
      <c r="AT69" s="1284"/>
      <c r="AU69" s="1284"/>
      <c r="AV69" s="1756"/>
      <c r="AW69" s="690"/>
      <c r="AX69" s="690"/>
      <c r="AY69" s="690"/>
      <c r="AZ69" s="690"/>
      <c r="BA69" s="1765">
        <v>11</v>
      </c>
    </row>
    <row s="6292" customFormat="1" customHeight="1" ht="11.549999999999999">
      <c r="A70" s="1111"/>
      <c r="B70" s="1760"/>
      <c r="C70" s="1760"/>
      <c r="D70" s="475"/>
      <c r="J70" s="6292"/>
      <c r="K70" s="6292"/>
      <c r="L70" s="6292"/>
      <c r="M70" s="6292"/>
      <c r="N70" s="6292"/>
      <c r="O70" s="6292"/>
      <c r="P70" s="6292"/>
      <c r="Q70" s="6292"/>
      <c r="R70" s="6292"/>
      <c r="S70" s="6292"/>
      <c r="T70" s="6292"/>
      <c r="U70" s="6292"/>
      <c r="V70" s="6292"/>
      <c r="W70" s="6292"/>
      <c r="X70" s="6292"/>
      <c r="Y70" s="6292"/>
      <c r="Z70" s="6292"/>
      <c r="AA70" s="6292"/>
      <c r="AB70" s="6292"/>
      <c r="AC70" s="6292"/>
      <c r="AD70" s="6292"/>
      <c r="AF70" s="1284"/>
      <c r="AG70" s="1760"/>
      <c r="AH70" s="1760"/>
      <c r="AI70" s="1284"/>
      <c r="AJ70" s="1284"/>
      <c r="AK70" s="1284"/>
      <c r="AL70" s="1284"/>
      <c r="AM70" s="1760"/>
      <c r="AN70" s="1284"/>
      <c r="AO70" s="1284"/>
      <c r="AP70" s="668"/>
      <c r="AQ70" s="1284"/>
      <c r="AR70" s="1284"/>
      <c r="AS70" s="1284"/>
      <c r="AT70" s="1284"/>
      <c r="AU70" s="1284"/>
      <c r="AV70" s="1756"/>
      <c r="AW70" s="690"/>
      <c r="AX70" s="690"/>
      <c r="AY70" s="690"/>
      <c r="AZ70" s="690"/>
      <c r="BA70" s="1765">
        <v>11</v>
      </c>
    </row>
    <row s="6292" customFormat="1" customHeight="1" ht="11.549999999999999">
      <c r="A71" s="1111"/>
      <c r="B71" s="1760"/>
      <c r="C71" s="1760"/>
      <c r="D71" s="475"/>
      <c r="J71" s="6292"/>
      <c r="K71" s="6292"/>
      <c r="L71" s="6292"/>
      <c r="M71" s="6292"/>
      <c r="N71" s="6292"/>
      <c r="O71" s="6292"/>
      <c r="P71" s="6292"/>
      <c r="Q71" s="6292"/>
      <c r="R71" s="6292"/>
      <c r="S71" s="6292"/>
      <c r="T71" s="6292"/>
      <c r="U71" s="6292"/>
      <c r="V71" s="6292"/>
      <c r="W71" s="6292"/>
      <c r="X71" s="6292"/>
      <c r="Y71" s="6292"/>
      <c r="Z71" s="6292"/>
      <c r="AA71" s="6292"/>
      <c r="AB71" s="6292"/>
      <c r="AC71" s="6292"/>
      <c r="AD71" s="6292"/>
      <c r="AF71" s="1284"/>
      <c r="AG71" s="1760"/>
      <c r="AH71" s="1760"/>
      <c r="AI71" s="1284"/>
      <c r="AJ71" s="1284"/>
      <c r="AK71" s="1284"/>
      <c r="AL71" s="1284"/>
      <c r="AM71" s="1760"/>
      <c r="AN71" s="1284"/>
      <c r="AO71" s="1284"/>
      <c r="AP71" s="668"/>
      <c r="AQ71" s="1284"/>
      <c r="AR71" s="1284"/>
      <c r="AS71" s="1284"/>
      <c r="AT71" s="1284"/>
      <c r="AU71" s="1284"/>
      <c r="AV71" s="1756"/>
      <c r="AW71" s="690"/>
      <c r="AX71" s="690"/>
      <c r="AY71" s="690"/>
      <c r="AZ71" s="690"/>
      <c r="BA71" s="1765">
        <v>11</v>
      </c>
    </row>
    <row s="6292" customFormat="1" customHeight="1" ht="11.549999999999999">
      <c r="A72" s="1111"/>
      <c r="B72" s="1760"/>
      <c r="C72" s="1760"/>
      <c r="D72" s="475"/>
      <c r="J72" s="6292"/>
      <c r="K72" s="6292"/>
      <c r="L72" s="6292"/>
      <c r="M72" s="6292"/>
      <c r="N72" s="6292"/>
      <c r="O72" s="6292"/>
      <c r="P72" s="6292"/>
      <c r="Q72" s="6292"/>
      <c r="R72" s="6292"/>
      <c r="S72" s="6292"/>
      <c r="T72" s="6292"/>
      <c r="U72" s="6292"/>
      <c r="V72" s="6292"/>
      <c r="W72" s="6292"/>
      <c r="X72" s="6292"/>
      <c r="Y72" s="6292"/>
      <c r="Z72" s="6292"/>
      <c r="AA72" s="6292"/>
      <c r="AB72" s="6292"/>
      <c r="AC72" s="6292"/>
      <c r="AD72" s="6292"/>
      <c r="AF72" s="1284"/>
      <c r="AG72" s="1760"/>
      <c r="AH72" s="1760"/>
      <c r="AI72" s="1284"/>
      <c r="AJ72" s="1284"/>
      <c r="AK72" s="1284"/>
      <c r="AL72" s="1284"/>
      <c r="AM72" s="1760"/>
      <c r="AN72" s="1284"/>
      <c r="AO72" s="1284"/>
      <c r="AP72" s="668"/>
      <c r="AQ72" s="1284"/>
      <c r="AR72" s="1284"/>
      <c r="AS72" s="1284"/>
      <c r="AT72" s="1284"/>
      <c r="AU72" s="1284"/>
      <c r="AV72" s="1756"/>
      <c r="AW72" s="690"/>
      <c r="AX72" s="690"/>
      <c r="AY72" s="690"/>
      <c r="AZ72" s="690"/>
      <c r="BA72" s="1765">
        <v>11</v>
      </c>
    </row>
    <row s="6292" customFormat="1" customHeight="1" ht="11.549999999999999">
      <c r="A73" s="1111"/>
      <c r="B73" s="1760"/>
      <c r="C73" s="1760"/>
      <c r="D73" s="475"/>
      <c r="J73" s="6292"/>
      <c r="K73" s="6292"/>
      <c r="L73" s="6292"/>
      <c r="M73" s="6292"/>
      <c r="N73" s="6292"/>
      <c r="O73" s="6292"/>
      <c r="P73" s="6292"/>
      <c r="Q73" s="6292"/>
      <c r="R73" s="6292"/>
      <c r="S73" s="6292"/>
      <c r="T73" s="6292"/>
      <c r="U73" s="6292"/>
      <c r="V73" s="6292"/>
      <c r="W73" s="6292"/>
      <c r="X73" s="6292"/>
      <c r="Y73" s="6292"/>
      <c r="Z73" s="6292"/>
      <c r="AA73" s="6292"/>
      <c r="AB73" s="6292"/>
      <c r="AC73" s="6292"/>
      <c r="AD73" s="6292"/>
      <c r="AF73" s="1284"/>
      <c r="AG73" s="1760"/>
      <c r="AH73" s="1760"/>
      <c r="AI73" s="1284"/>
      <c r="AJ73" s="1284"/>
      <c r="AK73" s="1284"/>
      <c r="AL73" s="1284"/>
      <c r="AM73" s="1760"/>
      <c r="AN73" s="1284"/>
      <c r="AO73" s="1284"/>
      <c r="AP73" s="668"/>
      <c r="AQ73" s="1284"/>
      <c r="AR73" s="1284"/>
      <c r="AS73" s="1284"/>
      <c r="AT73" s="1284"/>
      <c r="AU73" s="1284"/>
      <c r="AV73" s="1756"/>
      <c r="AW73" s="690"/>
      <c r="AX73" s="690"/>
      <c r="AY73" s="690"/>
      <c r="AZ73" s="690"/>
      <c r="BA73" s="1765">
        <v>11</v>
      </c>
    </row>
    <row s="6292" customFormat="1" customHeight="1" ht="11.549999999999999">
      <c r="A74" s="1111"/>
      <c r="B74" s="1760"/>
      <c r="C74" s="1760"/>
      <c r="D74" s="475"/>
      <c r="J74" s="6292"/>
      <c r="K74" s="6292"/>
      <c r="L74" s="6292"/>
      <c r="M74" s="6292"/>
      <c r="N74" s="6292"/>
      <c r="O74" s="6292"/>
      <c r="P74" s="6292"/>
      <c r="Q74" s="6292"/>
      <c r="R74" s="6292"/>
      <c r="S74" s="6292"/>
      <c r="T74" s="6292"/>
      <c r="U74" s="6292"/>
      <c r="V74" s="6292"/>
      <c r="W74" s="6292"/>
      <c r="X74" s="6292"/>
      <c r="Y74" s="6292"/>
      <c r="Z74" s="6292"/>
      <c r="AA74" s="6292"/>
      <c r="AB74" s="6292"/>
      <c r="AC74" s="6292"/>
      <c r="AD74" s="6292"/>
      <c r="AF74" s="1284"/>
      <c r="AG74" s="1760"/>
      <c r="AH74" s="1760"/>
      <c r="AI74" s="1284"/>
      <c r="AJ74" s="1284"/>
      <c r="AK74" s="1284"/>
      <c r="AL74" s="1284"/>
      <c r="AM74" s="1760"/>
      <c r="AN74" s="1284"/>
      <c r="AO74" s="1284"/>
      <c r="AP74" s="668"/>
      <c r="AQ74" s="1284"/>
      <c r="AR74" s="1284"/>
      <c r="AS74" s="1284"/>
      <c r="AT74" s="1284"/>
      <c r="AU74" s="1284"/>
      <c r="AV74" s="1756"/>
      <c r="AW74" s="690"/>
      <c r="AX74" s="690"/>
      <c r="AY74" s="690"/>
      <c r="AZ74" s="690"/>
      <c r="BA74" s="1765">
        <v>11</v>
      </c>
    </row>
    <row s="6292" customFormat="1" customHeight="1" ht="11.549999999999999">
      <c r="A75" s="1111"/>
      <c r="B75" s="1760"/>
      <c r="C75" s="1760"/>
      <c r="D75" s="475"/>
      <c r="J75" s="6292"/>
      <c r="K75" s="6292"/>
      <c r="L75" s="6292"/>
      <c r="M75" s="6292"/>
      <c r="N75" s="6292"/>
      <c r="O75" s="6292"/>
      <c r="P75" s="6292"/>
      <c r="Q75" s="6292"/>
      <c r="R75" s="6292"/>
      <c r="S75" s="6292"/>
      <c r="T75" s="6292"/>
      <c r="U75" s="6292"/>
      <c r="V75" s="6292"/>
      <c r="W75" s="6292"/>
      <c r="X75" s="6292"/>
      <c r="Y75" s="6292"/>
      <c r="Z75" s="6292"/>
      <c r="AA75" s="6292"/>
      <c r="AB75" s="6292"/>
      <c r="AC75" s="6292"/>
      <c r="AD75" s="6292"/>
      <c r="AF75" s="1284"/>
      <c r="AG75" s="1760"/>
      <c r="AH75" s="1760"/>
      <c r="AI75" s="1284"/>
      <c r="AJ75" s="1284"/>
      <c r="AK75" s="1284"/>
      <c r="AL75" s="1284"/>
      <c r="AM75" s="1760"/>
      <c r="AN75" s="1284"/>
      <c r="AO75" s="1284"/>
      <c r="AP75" s="668"/>
      <c r="AQ75" s="1284"/>
      <c r="AR75" s="1284"/>
      <c r="AS75" s="1284"/>
      <c r="AT75" s="1284"/>
      <c r="AU75" s="1284"/>
      <c r="AV75" s="1756"/>
      <c r="AW75" s="690"/>
      <c r="AX75" s="690"/>
      <c r="AY75" s="690"/>
      <c r="AZ75" s="690"/>
      <c r="BA75" s="1765">
        <v>11</v>
      </c>
    </row>
    <row s="6292" customFormat="1" customHeight="1" ht="11.549999999999999">
      <c r="A76" s="1111"/>
      <c r="B76" s="1760"/>
      <c r="C76" s="1760"/>
      <c r="D76" s="475"/>
      <c r="J76" s="6292"/>
      <c r="K76" s="6292"/>
      <c r="L76" s="6292"/>
      <c r="M76" s="6292"/>
      <c r="N76" s="6292"/>
      <c r="O76" s="6292"/>
      <c r="P76" s="6292"/>
      <c r="Q76" s="6292"/>
      <c r="R76" s="6292"/>
      <c r="S76" s="6292"/>
      <c r="T76" s="6292"/>
      <c r="U76" s="6292"/>
      <c r="V76" s="6292"/>
      <c r="W76" s="6292"/>
      <c r="X76" s="6292"/>
      <c r="Y76" s="6292"/>
      <c r="Z76" s="6292"/>
      <c r="AA76" s="6292"/>
      <c r="AB76" s="6292"/>
      <c r="AC76" s="6292"/>
      <c r="AD76" s="6292"/>
      <c r="AF76" s="1284"/>
      <c r="AG76" s="1760"/>
      <c r="AH76" s="1760"/>
      <c r="AI76" s="1284"/>
      <c r="AJ76" s="1284"/>
      <c r="AK76" s="1284"/>
      <c r="AL76" s="1284"/>
      <c r="AM76" s="1760"/>
      <c r="AN76" s="1284"/>
      <c r="AO76" s="1284"/>
      <c r="AP76" s="668"/>
      <c r="AQ76" s="1284"/>
      <c r="AR76" s="1284"/>
      <c r="AS76" s="1284"/>
      <c r="AT76" s="1284"/>
      <c r="AU76" s="1284"/>
      <c r="AV76" s="1756"/>
      <c r="AW76" s="690"/>
      <c r="AX76" s="690"/>
      <c r="AY76" s="690"/>
      <c r="AZ76" s="690"/>
      <c r="BA76" s="1765">
        <v>11</v>
      </c>
    </row>
    <row s="6292" customFormat="1" customHeight="1" ht="11.549999999999999">
      <c r="A77" s="1111"/>
      <c r="B77" s="1760"/>
      <c r="C77" s="1760"/>
      <c r="D77" s="475"/>
      <c r="J77" s="6292"/>
      <c r="K77" s="6292"/>
      <c r="L77" s="6292"/>
      <c r="M77" s="6292"/>
      <c r="N77" s="6292"/>
      <c r="O77" s="6292"/>
      <c r="P77" s="6292"/>
      <c r="Q77" s="6292"/>
      <c r="R77" s="6292"/>
      <c r="S77" s="6292"/>
      <c r="T77" s="6292"/>
      <c r="U77" s="6292"/>
      <c r="V77" s="6292"/>
      <c r="W77" s="6292"/>
      <c r="X77" s="6292"/>
      <c r="Y77" s="6292"/>
      <c r="Z77" s="6292"/>
      <c r="AA77" s="6292"/>
      <c r="AB77" s="6292"/>
      <c r="AC77" s="6292"/>
      <c r="AD77" s="6292"/>
      <c r="AF77" s="1284"/>
      <c r="AG77" s="1760"/>
      <c r="AH77" s="1760"/>
      <c r="AI77" s="1284"/>
      <c r="AJ77" s="1284"/>
      <c r="AK77" s="1284"/>
      <c r="AL77" s="1284"/>
      <c r="AM77" s="1760"/>
      <c r="AN77" s="1284"/>
      <c r="AO77" s="1284"/>
      <c r="AP77" s="668"/>
      <c r="AQ77" s="1284"/>
      <c r="AR77" s="1284"/>
      <c r="AS77" s="1284"/>
      <c r="AT77" s="1284"/>
      <c r="AU77" s="1284"/>
      <c r="AV77" s="1756"/>
      <c r="AW77" s="690"/>
      <c r="AX77" s="690"/>
      <c r="AY77" s="690"/>
      <c r="AZ77" s="690"/>
      <c r="BA77" s="1765">
        <v>11</v>
      </c>
    </row>
    <row s="6292" customFormat="1" customHeight="1" ht="11.549999999999999">
      <c r="A78" s="1111"/>
      <c r="B78" s="1760"/>
      <c r="C78" s="1760"/>
      <c r="D78" s="475"/>
      <c r="J78" s="6292"/>
      <c r="K78" s="6292"/>
      <c r="L78" s="6292"/>
      <c r="M78" s="6292"/>
      <c r="N78" s="6292"/>
      <c r="O78" s="6292"/>
      <c r="P78" s="6292"/>
      <c r="Q78" s="6292"/>
      <c r="R78" s="6292"/>
      <c r="S78" s="6292"/>
      <c r="T78" s="6292"/>
      <c r="U78" s="6292"/>
      <c r="V78" s="6292"/>
      <c r="W78" s="6292"/>
      <c r="X78" s="6292"/>
      <c r="Y78" s="6292"/>
      <c r="Z78" s="6292"/>
      <c r="AA78" s="6292"/>
      <c r="AB78" s="6292"/>
      <c r="AC78" s="6292"/>
      <c r="AD78" s="6292"/>
      <c r="AF78" s="1284"/>
      <c r="AG78" s="1760"/>
      <c r="AH78" s="1760"/>
      <c r="AI78" s="1284"/>
      <c r="AJ78" s="1284"/>
      <c r="AK78" s="1284"/>
      <c r="AL78" s="1284"/>
      <c r="AM78" s="1760"/>
      <c r="AN78" s="1284"/>
      <c r="AO78" s="1284"/>
      <c r="AP78" s="668"/>
      <c r="AQ78" s="1284"/>
      <c r="AR78" s="1284"/>
      <c r="AS78" s="1284"/>
      <c r="AT78" s="1284"/>
      <c r="AU78" s="1284"/>
      <c r="AV78" s="1756"/>
      <c r="AW78" s="690"/>
      <c r="AX78" s="690"/>
      <c r="AY78" s="690"/>
      <c r="AZ78" s="690"/>
      <c r="BA78" s="1765">
        <v>11</v>
      </c>
    </row>
    <row s="6292" customFormat="1" customHeight="1" ht="11.549999999999999">
      <c r="A79" s="1111"/>
      <c r="B79" s="1760"/>
      <c r="C79" s="1760"/>
      <c r="D79" s="475"/>
      <c r="J79" s="6292"/>
      <c r="K79" s="6292"/>
      <c r="L79" s="6292"/>
      <c r="M79" s="6292"/>
      <c r="N79" s="6292"/>
      <c r="O79" s="6292"/>
      <c r="P79" s="6292"/>
      <c r="Q79" s="6292"/>
      <c r="R79" s="6292"/>
      <c r="S79" s="6292"/>
      <c r="T79" s="6292"/>
      <c r="U79" s="6292"/>
      <c r="V79" s="6292"/>
      <c r="W79" s="6292"/>
      <c r="X79" s="6292"/>
      <c r="Y79" s="6292"/>
      <c r="Z79" s="6292"/>
      <c r="AA79" s="6292"/>
      <c r="AB79" s="6292"/>
      <c r="AC79" s="6292"/>
      <c r="AD79" s="6292"/>
      <c r="AF79" s="1284"/>
      <c r="AG79" s="1760"/>
      <c r="AH79" s="1760"/>
      <c r="AI79" s="1284"/>
      <c r="AJ79" s="1284"/>
      <c r="AK79" s="1284"/>
      <c r="AL79" s="1284"/>
      <c r="AM79" s="1760"/>
      <c r="AN79" s="1284"/>
      <c r="AO79" s="1284"/>
      <c r="AP79" s="668"/>
      <c r="AQ79" s="1284"/>
      <c r="AR79" s="1284"/>
      <c r="AS79" s="1284"/>
      <c r="AT79" s="1284"/>
      <c r="AU79" s="1284"/>
      <c r="AV79" s="1756"/>
      <c r="AW79" s="690"/>
      <c r="AX79" s="690"/>
      <c r="AY79" s="690"/>
      <c r="AZ79" s="690"/>
      <c r="BA79" s="1765">
        <v>11</v>
      </c>
    </row>
    <row s="6292" customFormat="1" customHeight="1" ht="11.549999999999999">
      <c r="A80" s="1111"/>
      <c r="B80" s="1760"/>
      <c r="C80" s="1760"/>
      <c r="D80" s="475"/>
      <c r="J80" s="6292"/>
      <c r="K80" s="6292"/>
      <c r="L80" s="6292"/>
      <c r="M80" s="6292"/>
      <c r="N80" s="6292"/>
      <c r="O80" s="6292"/>
      <c r="P80" s="6292"/>
      <c r="Q80" s="6292"/>
      <c r="R80" s="6292"/>
      <c r="S80" s="6292"/>
      <c r="T80" s="6292"/>
      <c r="U80" s="6292"/>
      <c r="V80" s="6292"/>
      <c r="W80" s="6292"/>
      <c r="X80" s="6292"/>
      <c r="Y80" s="6292"/>
      <c r="Z80" s="6292"/>
      <c r="AA80" s="6292"/>
      <c r="AB80" s="6292"/>
      <c r="AC80" s="6292"/>
      <c r="AD80" s="6292"/>
      <c r="AF80" s="1284"/>
      <c r="AG80" s="1760"/>
      <c r="AH80" s="1760"/>
      <c r="AI80" s="1284"/>
      <c r="AJ80" s="1284"/>
      <c r="AK80" s="1284"/>
      <c r="AL80" s="1284"/>
      <c r="AM80" s="1760"/>
      <c r="AN80" s="1284"/>
      <c r="AO80" s="1284"/>
      <c r="AP80" s="668"/>
      <c r="AQ80" s="1284"/>
      <c r="AR80" s="1284"/>
      <c r="AS80" s="1284"/>
      <c r="AT80" s="1284"/>
      <c r="AU80" s="1284"/>
      <c r="AV80" s="1756"/>
      <c r="AW80" s="690"/>
      <c r="AX80" s="690"/>
      <c r="AY80" s="690"/>
      <c r="AZ80" s="690"/>
      <c r="BA80" s="1765">
        <v>11</v>
      </c>
    </row>
    <row s="6292" customFormat="1" customHeight="1" ht="11.549999999999999">
      <c r="A81" s="1111"/>
      <c r="B81" s="1760"/>
      <c r="C81" s="1760"/>
      <c r="D81" s="475"/>
      <c r="J81" s="6292"/>
      <c r="K81" s="6292"/>
      <c r="L81" s="6292"/>
      <c r="M81" s="6292"/>
      <c r="N81" s="6292"/>
      <c r="O81" s="6292"/>
      <c r="P81" s="6292"/>
      <c r="Q81" s="6292"/>
      <c r="R81" s="6292"/>
      <c r="S81" s="6292"/>
      <c r="T81" s="6292"/>
      <c r="U81" s="6292"/>
      <c r="V81" s="6292"/>
      <c r="W81" s="6292"/>
      <c r="X81" s="6292"/>
      <c r="Y81" s="6292"/>
      <c r="Z81" s="6292"/>
      <c r="AA81" s="6292"/>
      <c r="AB81" s="6292"/>
      <c r="AC81" s="6292"/>
      <c r="AD81" s="6292"/>
      <c r="AF81" s="1284"/>
      <c r="AG81" s="1760"/>
      <c r="AH81" s="1760"/>
      <c r="AI81" s="1284"/>
      <c r="AJ81" s="1284"/>
      <c r="AK81" s="1284"/>
      <c r="AL81" s="1284"/>
      <c r="AM81" s="1760"/>
      <c r="AN81" s="1284"/>
      <c r="AO81" s="1284"/>
      <c r="AP81" s="668"/>
      <c r="AQ81" s="1284"/>
      <c r="AR81" s="1284"/>
      <c r="AS81" s="1284"/>
      <c r="AT81" s="1284"/>
      <c r="AU81" s="1284"/>
      <c r="AV81" s="1756"/>
      <c r="AW81" s="690"/>
      <c r="AX81" s="690"/>
      <c r="AY81" s="690"/>
      <c r="AZ81" s="690"/>
      <c r="BA81" s="1765">
        <v>11</v>
      </c>
    </row>
    <row s="6292" customFormat="1" customHeight="1" ht="11.549999999999999">
      <c r="A82" s="1111"/>
      <c r="B82" s="1760"/>
      <c r="C82" s="1760"/>
      <c r="D82" s="475"/>
      <c r="J82" s="6292"/>
      <c r="K82" s="6292"/>
      <c r="L82" s="6292"/>
      <c r="M82" s="6292"/>
      <c r="N82" s="6292"/>
      <c r="O82" s="6292"/>
      <c r="P82" s="6292"/>
      <c r="Q82" s="6292"/>
      <c r="R82" s="6292"/>
      <c r="S82" s="6292"/>
      <c r="T82" s="6292"/>
      <c r="U82" s="6292"/>
      <c r="V82" s="6292"/>
      <c r="W82" s="6292"/>
      <c r="X82" s="6292"/>
      <c r="Y82" s="6292"/>
      <c r="Z82" s="6292"/>
      <c r="AA82" s="6292"/>
      <c r="AB82" s="6292"/>
      <c r="AC82" s="6292"/>
      <c r="AD82" s="6292"/>
      <c r="AF82" s="1284"/>
      <c r="AG82" s="1760"/>
      <c r="AH82" s="1760"/>
      <c r="AI82" s="1284"/>
      <c r="AJ82" s="1284"/>
      <c r="AK82" s="1284"/>
      <c r="AL82" s="1284"/>
      <c r="AM82" s="1760"/>
      <c r="AN82" s="1284"/>
      <c r="AO82" s="1284"/>
      <c r="AP82" s="668"/>
      <c r="AQ82" s="1284"/>
      <c r="AR82" s="1284"/>
      <c r="AS82" s="1284"/>
      <c r="AT82" s="1284"/>
      <c r="AU82" s="1284"/>
      <c r="AV82" s="1756"/>
      <c r="AW82" s="690"/>
      <c r="AX82" s="690"/>
      <c r="AY82" s="690"/>
      <c r="AZ82" s="690"/>
      <c r="BA82" s="1765">
        <v>11</v>
      </c>
    </row>
    <row s="6292" customFormat="1" customHeight="1" ht="11.549999999999999">
      <c r="A83" s="1111"/>
      <c r="B83" s="1760"/>
      <c r="C83" s="1760"/>
      <c r="D83" s="475"/>
      <c r="J83" s="6292"/>
      <c r="K83" s="6292"/>
      <c r="L83" s="6292"/>
      <c r="M83" s="6292"/>
      <c r="N83" s="6292"/>
      <c r="O83" s="6292"/>
      <c r="P83" s="6292"/>
      <c r="Q83" s="6292"/>
      <c r="R83" s="6292"/>
      <c r="S83" s="6292"/>
      <c r="T83" s="6292"/>
      <c r="U83" s="6292"/>
      <c r="V83" s="6292"/>
      <c r="W83" s="6292"/>
      <c r="X83" s="6292"/>
      <c r="Y83" s="6292"/>
      <c r="Z83" s="6292"/>
      <c r="AA83" s="6292"/>
      <c r="AB83" s="6292"/>
      <c r="AC83" s="6292"/>
      <c r="AD83" s="6292"/>
      <c r="AF83" s="1284"/>
      <c r="AG83" s="1760"/>
      <c r="AH83" s="1760"/>
      <c r="AI83" s="1284"/>
      <c r="AJ83" s="1284"/>
      <c r="AK83" s="1284"/>
      <c r="AL83" s="1284"/>
      <c r="AM83" s="1760"/>
      <c r="AN83" s="1284"/>
      <c r="AO83" s="1284"/>
      <c r="AP83" s="668"/>
      <c r="AQ83" s="1284"/>
      <c r="AR83" s="1284"/>
      <c r="AS83" s="1284"/>
      <c r="AT83" s="1284"/>
      <c r="AU83" s="1284"/>
      <c r="AV83" s="1756"/>
      <c r="AW83" s="690"/>
      <c r="AX83" s="690"/>
      <c r="AY83" s="690"/>
      <c r="AZ83" s="690"/>
      <c r="BA83" s="1765">
        <v>11</v>
      </c>
    </row>
    <row s="6292" customFormat="1" customHeight="1" ht="11.549999999999999">
      <c r="A84" s="1111"/>
      <c r="B84" s="1760"/>
      <c r="C84" s="1760"/>
      <c r="D84" s="475"/>
      <c r="J84" s="6292"/>
      <c r="K84" s="6292"/>
      <c r="L84" s="6292"/>
      <c r="M84" s="6292"/>
      <c r="N84" s="6292"/>
      <c r="O84" s="6292"/>
      <c r="P84" s="6292"/>
      <c r="Q84" s="6292"/>
      <c r="R84" s="6292"/>
      <c r="S84" s="6292"/>
      <c r="T84" s="6292"/>
      <c r="U84" s="6292"/>
      <c r="V84" s="6292"/>
      <c r="W84" s="6292"/>
      <c r="X84" s="6292"/>
      <c r="Y84" s="6292"/>
      <c r="Z84" s="6292"/>
      <c r="AA84" s="6292"/>
      <c r="AB84" s="6292"/>
      <c r="AC84" s="6292"/>
      <c r="AD84" s="6292"/>
      <c r="AF84" s="1284"/>
      <c r="AG84" s="1760"/>
      <c r="AH84" s="1760"/>
      <c r="AI84" s="1284"/>
      <c r="AJ84" s="1284"/>
      <c r="AK84" s="1284"/>
      <c r="AL84" s="1284"/>
      <c r="AM84" s="1760"/>
      <c r="AN84" s="1284"/>
      <c r="AO84" s="1284"/>
      <c r="AP84" s="668"/>
      <c r="AQ84" s="1284"/>
      <c r="AR84" s="1284"/>
      <c r="AS84" s="1284"/>
      <c r="AT84" s="1284"/>
      <c r="AU84" s="1284"/>
      <c r="AV84" s="1756"/>
      <c r="AW84" s="690"/>
      <c r="AX84" s="690"/>
      <c r="AY84" s="690"/>
      <c r="AZ84" s="690"/>
      <c r="BA84" s="1765">
        <v>11</v>
      </c>
    </row>
    <row s="6292" customFormat="1" customHeight="1" ht="11.549999999999999">
      <c r="A85" s="1111"/>
      <c r="B85" s="1760"/>
      <c r="C85" s="1760"/>
      <c r="D85" s="475"/>
      <c r="J85" s="6292"/>
      <c r="K85" s="6292"/>
      <c r="L85" s="6292"/>
      <c r="M85" s="6292"/>
      <c r="N85" s="6292"/>
      <c r="O85" s="6292"/>
      <c r="P85" s="6292"/>
      <c r="Q85" s="6292"/>
      <c r="R85" s="6292"/>
      <c r="S85" s="6292"/>
      <c r="T85" s="6292"/>
      <c r="U85" s="6292"/>
      <c r="V85" s="6292"/>
      <c r="W85" s="6292"/>
      <c r="X85" s="6292"/>
      <c r="Y85" s="6292"/>
      <c r="Z85" s="6292"/>
      <c r="AA85" s="6292"/>
      <c r="AB85" s="6292"/>
      <c r="AC85" s="6292"/>
      <c r="AD85" s="6292"/>
      <c r="AF85" s="1284"/>
      <c r="AG85" s="1760"/>
      <c r="AH85" s="1760"/>
      <c r="AI85" s="1284"/>
      <c r="AJ85" s="1284"/>
      <c r="AK85" s="1284"/>
      <c r="AL85" s="1284"/>
      <c r="AM85" s="1760"/>
      <c r="AN85" s="1284"/>
      <c r="AO85" s="1284"/>
      <c r="AP85" s="668"/>
      <c r="AQ85" s="1284"/>
      <c r="AR85" s="1284"/>
      <c r="AS85" s="1284"/>
      <c r="AT85" s="1284"/>
      <c r="AU85" s="1284"/>
      <c r="AV85" s="1756"/>
      <c r="AW85" s="690"/>
      <c r="AX85" s="690"/>
      <c r="AY85" s="690"/>
      <c r="AZ85" s="690"/>
      <c r="BA85" s="1765">
        <v>11</v>
      </c>
    </row>
    <row s="6292" customFormat="1" customHeight="1" ht="11.549999999999999">
      <c r="A86" s="1111"/>
      <c r="B86" s="1760"/>
      <c r="C86" s="1760"/>
      <c r="D86" s="475"/>
      <c r="J86" s="6292"/>
      <c r="K86" s="6292"/>
      <c r="L86" s="6292"/>
      <c r="M86" s="6292"/>
      <c r="N86" s="6292"/>
      <c r="O86" s="6292"/>
      <c r="P86" s="6292"/>
      <c r="Q86" s="6292"/>
      <c r="R86" s="6292"/>
      <c r="S86" s="6292"/>
      <c r="T86" s="6292"/>
      <c r="U86" s="6292"/>
      <c r="V86" s="6292"/>
      <c r="W86" s="6292"/>
      <c r="X86" s="6292"/>
      <c r="Y86" s="6292"/>
      <c r="Z86" s="6292"/>
      <c r="AA86" s="6292"/>
      <c r="AB86" s="6292"/>
      <c r="AC86" s="6292"/>
      <c r="AD86" s="6292"/>
      <c r="AF86" s="1284"/>
      <c r="AG86" s="1760"/>
      <c r="AH86" s="1760"/>
      <c r="AI86" s="1284"/>
      <c r="AJ86" s="1284"/>
      <c r="AK86" s="1284"/>
      <c r="AL86" s="1284"/>
      <c r="AM86" s="1760"/>
      <c r="AN86" s="1284"/>
      <c r="AO86" s="1284"/>
      <c r="AP86" s="668"/>
      <c r="AQ86" s="1284"/>
      <c r="AR86" s="1284"/>
      <c r="AS86" s="1284"/>
      <c r="AT86" s="1284"/>
      <c r="AU86" s="1284"/>
      <c r="AV86" s="1756"/>
      <c r="AW86" s="690"/>
      <c r="AX86" s="690"/>
      <c r="AY86" s="690"/>
      <c r="AZ86" s="690"/>
      <c r="BA86" s="1765">
        <v>11</v>
      </c>
    </row>
    <row s="6292" customFormat="1" customHeight="1" ht="11.549999999999999">
      <c r="A87" s="1111"/>
      <c r="B87" s="1760"/>
      <c r="C87" s="1760"/>
      <c r="D87" s="475"/>
      <c r="J87" s="6292"/>
      <c r="K87" s="6292"/>
      <c r="L87" s="6292"/>
      <c r="M87" s="6292"/>
      <c r="N87" s="6292"/>
      <c r="O87" s="6292"/>
      <c r="P87" s="6292"/>
      <c r="Q87" s="6292"/>
      <c r="R87" s="6292"/>
      <c r="S87" s="6292"/>
      <c r="T87" s="6292"/>
      <c r="U87" s="6292"/>
      <c r="V87" s="6292"/>
      <c r="W87" s="6292"/>
      <c r="X87" s="6292"/>
      <c r="Y87" s="6292"/>
      <c r="Z87" s="6292"/>
      <c r="AA87" s="6292"/>
      <c r="AB87" s="6292"/>
      <c r="AC87" s="6292"/>
      <c r="AD87" s="6292"/>
      <c r="AF87" s="1284"/>
      <c r="AG87" s="1760"/>
      <c r="AH87" s="1760"/>
      <c r="AI87" s="1284"/>
      <c r="AJ87" s="1284"/>
      <c r="AK87" s="1284"/>
      <c r="AL87" s="1284"/>
      <c r="AM87" s="1760"/>
      <c r="AN87" s="1284"/>
      <c r="AO87" s="1284"/>
      <c r="AP87" s="668"/>
      <c r="AQ87" s="1284"/>
      <c r="AR87" s="1284"/>
      <c r="AS87" s="1284"/>
      <c r="AT87" s="1284"/>
      <c r="AU87" s="1284"/>
      <c r="AV87" s="1756"/>
      <c r="AW87" s="690"/>
      <c r="AX87" s="690"/>
      <c r="AY87" s="690"/>
      <c r="AZ87" s="690"/>
      <c r="BA87" s="1765">
        <v>11</v>
      </c>
    </row>
    <row s="6292" customFormat="1" customHeight="1" ht="11.549999999999999">
      <c r="A88" s="1111"/>
      <c r="B88" s="1760"/>
      <c r="C88" s="1760"/>
      <c r="D88" s="475"/>
      <c r="J88" s="6292"/>
      <c r="K88" s="6292"/>
      <c r="L88" s="6292"/>
      <c r="M88" s="6292"/>
      <c r="N88" s="6292"/>
      <c r="O88" s="6292"/>
      <c r="P88" s="6292"/>
      <c r="Q88" s="6292"/>
      <c r="R88" s="6292"/>
      <c r="S88" s="6292"/>
      <c r="T88" s="6292"/>
      <c r="U88" s="6292"/>
      <c r="V88" s="6292"/>
      <c r="W88" s="6292"/>
      <c r="X88" s="6292"/>
      <c r="Y88" s="6292"/>
      <c r="Z88" s="6292"/>
      <c r="AA88" s="6292"/>
      <c r="AB88" s="6292"/>
      <c r="AC88" s="6292"/>
      <c r="AD88" s="6292"/>
      <c r="AF88" s="1284"/>
      <c r="AG88" s="1760"/>
      <c r="AH88" s="1760"/>
      <c r="AI88" s="1284"/>
      <c r="AJ88" s="1284"/>
      <c r="AK88" s="1284"/>
      <c r="AL88" s="1284"/>
      <c r="AM88" s="1760"/>
      <c r="AN88" s="1284"/>
      <c r="AO88" s="1284"/>
      <c r="AP88" s="668"/>
      <c r="AQ88" s="1284"/>
      <c r="AR88" s="1284"/>
      <c r="AS88" s="1284"/>
      <c r="AT88" s="1284"/>
      <c r="AU88" s="1284"/>
      <c r="AV88" s="1756"/>
      <c r="AW88" s="690"/>
      <c r="AX88" s="690"/>
      <c r="AY88" s="690"/>
      <c r="AZ88" s="690"/>
      <c r="BA88" s="1765">
        <v>11</v>
      </c>
    </row>
    <row s="6292" customFormat="1" customHeight="1" ht="11.549999999999999">
      <c r="A89" s="1111"/>
      <c r="B89" s="1760"/>
      <c r="C89" s="1760"/>
      <c r="D89" s="475"/>
      <c r="J89" s="6292"/>
      <c r="K89" s="6292"/>
      <c r="L89" s="6292"/>
      <c r="M89" s="6292"/>
      <c r="N89" s="6292"/>
      <c r="O89" s="6292"/>
      <c r="P89" s="6292"/>
      <c r="Q89" s="6292"/>
      <c r="R89" s="6292"/>
      <c r="S89" s="6292"/>
      <c r="T89" s="6292"/>
      <c r="U89" s="6292"/>
      <c r="V89" s="6292"/>
      <c r="W89" s="6292"/>
      <c r="X89" s="6292"/>
      <c r="Y89" s="6292"/>
      <c r="Z89" s="6292"/>
      <c r="AA89" s="6292"/>
      <c r="AB89" s="6292"/>
      <c r="AC89" s="6292"/>
      <c r="AD89" s="6292"/>
      <c r="AF89" s="1284"/>
      <c r="AG89" s="1760"/>
      <c r="AH89" s="1760"/>
      <c r="AI89" s="1284"/>
      <c r="AJ89" s="1284"/>
      <c r="AK89" s="1284"/>
      <c r="AL89" s="1284"/>
      <c r="AM89" s="1760"/>
      <c r="AN89" s="1284"/>
      <c r="AO89" s="1284"/>
      <c r="AP89" s="668"/>
      <c r="AQ89" s="1284"/>
      <c r="AR89" s="1284"/>
      <c r="AS89" s="1284"/>
      <c r="AT89" s="1284"/>
      <c r="AU89" s="1284"/>
      <c r="AV89" s="1756"/>
      <c r="AW89" s="690"/>
      <c r="AX89" s="690"/>
      <c r="AY89" s="690"/>
      <c r="AZ89" s="690"/>
      <c r="BA89" s="1765">
        <v>11</v>
      </c>
    </row>
    <row s="6292" customFormat="1" customHeight="1" ht="11.549999999999999">
      <c r="A90" s="1111"/>
      <c r="B90" s="1760"/>
      <c r="C90" s="1760"/>
      <c r="D90" s="475"/>
      <c r="J90" s="6292"/>
      <c r="K90" s="6292"/>
      <c r="L90" s="6292"/>
      <c r="M90" s="6292"/>
      <c r="N90" s="6292"/>
      <c r="O90" s="6292"/>
      <c r="P90" s="6292"/>
      <c r="Q90" s="6292"/>
      <c r="R90" s="6292"/>
      <c r="S90" s="6292"/>
      <c r="T90" s="6292"/>
      <c r="U90" s="6292"/>
      <c r="V90" s="6292"/>
      <c r="W90" s="6292"/>
      <c r="X90" s="6292"/>
      <c r="Y90" s="6292"/>
      <c r="Z90" s="6292"/>
      <c r="AA90" s="6292"/>
      <c r="AB90" s="6292"/>
      <c r="AC90" s="6292"/>
      <c r="AD90" s="6292"/>
      <c r="AF90" s="1284"/>
      <c r="AG90" s="1760"/>
      <c r="AH90" s="1760"/>
      <c r="AI90" s="1284"/>
      <c r="AJ90" s="1284"/>
      <c r="AK90" s="1284"/>
      <c r="AL90" s="1284"/>
      <c r="AM90" s="1760"/>
      <c r="AN90" s="1284"/>
      <c r="AO90" s="1284"/>
      <c r="AP90" s="668"/>
      <c r="AQ90" s="1284"/>
      <c r="AR90" s="1284"/>
      <c r="AS90" s="1284"/>
      <c r="AT90" s="1284"/>
      <c r="AU90" s="1284"/>
      <c r="AV90" s="1756"/>
      <c r="AW90" s="690"/>
      <c r="AX90" s="690"/>
      <c r="AY90" s="690"/>
      <c r="AZ90" s="690"/>
      <c r="BA90" s="1765">
        <v>11</v>
      </c>
    </row>
    <row s="6292" customFormat="1" customHeight="1" ht="11.549999999999999">
      <c r="A91" s="1111"/>
      <c r="B91" s="1760"/>
      <c r="C91" s="1760"/>
      <c r="D91" s="475"/>
      <c r="J91" s="6292"/>
      <c r="K91" s="6292"/>
      <c r="L91" s="6292"/>
      <c r="M91" s="6292"/>
      <c r="N91" s="6292"/>
      <c r="O91" s="6292"/>
      <c r="P91" s="6292"/>
      <c r="Q91" s="6292"/>
      <c r="R91" s="6292"/>
      <c r="S91" s="6292"/>
      <c r="T91" s="6292"/>
      <c r="U91" s="6292"/>
      <c r="V91" s="6292"/>
      <c r="W91" s="6292"/>
      <c r="X91" s="6292"/>
      <c r="Y91" s="6292"/>
      <c r="Z91" s="6292"/>
      <c r="AA91" s="6292"/>
      <c r="AB91" s="6292"/>
      <c r="AC91" s="6292"/>
      <c r="AD91" s="6292"/>
      <c r="AF91" s="1284"/>
      <c r="AG91" s="1760"/>
      <c r="AH91" s="1760"/>
      <c r="AI91" s="1284"/>
      <c r="AJ91" s="1284"/>
      <c r="AK91" s="1284"/>
      <c r="AL91" s="1284"/>
      <c r="AM91" s="1760"/>
      <c r="AN91" s="1284"/>
      <c r="AO91" s="1284"/>
      <c r="AP91" s="668"/>
      <c r="AQ91" s="1284"/>
      <c r="AR91" s="1284"/>
      <c r="AS91" s="1284"/>
      <c r="AT91" s="1284"/>
      <c r="AU91" s="1284"/>
      <c r="AV91" s="1756"/>
      <c r="AW91" s="690"/>
      <c r="AX91" s="690"/>
      <c r="AY91" s="690"/>
      <c r="AZ91" s="690"/>
      <c r="BA91" s="1765">
        <v>11</v>
      </c>
    </row>
    <row s="6292" customFormat="1" customHeight="1" ht="11.549999999999999">
      <c r="A92" s="1111"/>
      <c r="B92" s="1760"/>
      <c r="C92" s="1760"/>
      <c r="D92" s="475"/>
      <c r="J92" s="6292"/>
      <c r="K92" s="6292"/>
      <c r="L92" s="6292"/>
      <c r="M92" s="6292"/>
      <c r="N92" s="6292"/>
      <c r="O92" s="6292"/>
      <c r="P92" s="6292"/>
      <c r="Q92" s="6292"/>
      <c r="R92" s="6292"/>
      <c r="S92" s="6292"/>
      <c r="T92" s="6292"/>
      <c r="U92" s="6292"/>
      <c r="V92" s="6292"/>
      <c r="W92" s="6292"/>
      <c r="X92" s="6292"/>
      <c r="Y92" s="6292"/>
      <c r="Z92" s="6292"/>
      <c r="AA92" s="6292"/>
      <c r="AB92" s="6292"/>
      <c r="AC92" s="6292"/>
      <c r="AD92" s="6292"/>
      <c r="AF92" s="1284"/>
      <c r="AG92" s="1760"/>
      <c r="AH92" s="1760"/>
      <c r="AI92" s="1284"/>
      <c r="AJ92" s="1284"/>
      <c r="AK92" s="1284"/>
      <c r="AL92" s="1284"/>
      <c r="AM92" s="1760"/>
      <c r="AN92" s="1284"/>
      <c r="AO92" s="1284"/>
      <c r="AP92" s="668"/>
      <c r="AQ92" s="1284"/>
      <c r="AR92" s="1284"/>
      <c r="AS92" s="1284"/>
      <c r="AT92" s="1284"/>
      <c r="AU92" s="1284"/>
      <c r="AV92" s="1756"/>
      <c r="AW92" s="690"/>
      <c r="AX92" s="690"/>
      <c r="AY92" s="690"/>
      <c r="AZ92" s="690"/>
      <c r="BA92" s="1765">
        <v>11</v>
      </c>
    </row>
    <row s="6292" customFormat="1" customHeight="1" ht="11.549999999999999">
      <c r="A93" s="1111"/>
      <c r="B93" s="1760"/>
      <c r="C93" s="1760"/>
      <c r="D93" s="475"/>
      <c r="J93" s="6292"/>
      <c r="K93" s="6292"/>
      <c r="L93" s="6292"/>
      <c r="M93" s="6292"/>
      <c r="N93" s="6292"/>
      <c r="O93" s="6292"/>
      <c r="P93" s="6292"/>
      <c r="Q93" s="6292"/>
      <c r="R93" s="6292"/>
      <c r="S93" s="6292"/>
      <c r="T93" s="6292"/>
      <c r="U93" s="6292"/>
      <c r="V93" s="6292"/>
      <c r="W93" s="6292"/>
      <c r="X93" s="6292"/>
      <c r="Y93" s="6292"/>
      <c r="Z93" s="6292"/>
      <c r="AA93" s="6292"/>
      <c r="AB93" s="6292"/>
      <c r="AC93" s="6292"/>
      <c r="AD93" s="6292"/>
      <c r="AF93" s="1284"/>
      <c r="AG93" s="1760"/>
      <c r="AH93" s="1760"/>
      <c r="AI93" s="1284"/>
      <c r="AJ93" s="1284"/>
      <c r="AK93" s="1284"/>
      <c r="AL93" s="1284"/>
      <c r="AM93" s="1760"/>
      <c r="AN93" s="1284"/>
      <c r="AO93" s="1284"/>
      <c r="AP93" s="668"/>
      <c r="AQ93" s="1284"/>
      <c r="AR93" s="1284"/>
      <c r="AS93" s="1284"/>
      <c r="AT93" s="1284"/>
      <c r="AU93" s="1284"/>
      <c r="AV93" s="1756"/>
      <c r="AW93" s="690"/>
      <c r="AX93" s="690"/>
      <c r="AY93" s="690"/>
      <c r="AZ93" s="690"/>
      <c r="BA93" s="1765">
        <v>11</v>
      </c>
    </row>
    <row s="6292" customFormat="1" customHeight="1" ht="11.549999999999999">
      <c r="A94" s="1111"/>
      <c r="B94" s="1760"/>
      <c r="C94" s="1760"/>
      <c r="D94" s="475"/>
      <c r="J94" s="6292"/>
      <c r="K94" s="6292"/>
      <c r="L94" s="6292"/>
      <c r="M94" s="6292"/>
      <c r="N94" s="6292"/>
      <c r="O94" s="6292"/>
      <c r="P94" s="6292"/>
      <c r="Q94" s="6292"/>
      <c r="R94" s="6292"/>
      <c r="S94" s="6292"/>
      <c r="T94" s="6292"/>
      <c r="U94" s="6292"/>
      <c r="V94" s="6292"/>
      <c r="W94" s="6292"/>
      <c r="X94" s="6292"/>
      <c r="Y94" s="6292"/>
      <c r="Z94" s="6292"/>
      <c r="AA94" s="6292"/>
      <c r="AB94" s="6292"/>
      <c r="AC94" s="6292"/>
      <c r="AD94" s="6292"/>
      <c r="AF94" s="1284"/>
      <c r="AG94" s="1760"/>
      <c r="AH94" s="1760"/>
      <c r="AI94" s="1284"/>
      <c r="AJ94" s="1284"/>
      <c r="AK94" s="1284"/>
      <c r="AL94" s="1284"/>
      <c r="AM94" s="1760"/>
      <c r="AN94" s="1284"/>
      <c r="AO94" s="1284"/>
      <c r="AP94" s="668"/>
      <c r="AQ94" s="1284"/>
      <c r="AR94" s="1284"/>
      <c r="AS94" s="1284"/>
      <c r="AT94" s="1284"/>
      <c r="AU94" s="1284"/>
      <c r="AV94" s="1756"/>
      <c r="AW94" s="690"/>
      <c r="AX94" s="690"/>
      <c r="AY94" s="690"/>
      <c r="AZ94" s="690"/>
      <c r="BA94" s="1765">
        <v>11</v>
      </c>
    </row>
    <row s="6292" customFormat="1" customHeight="1" ht="11.549999999999999">
      <c r="A95" s="1111"/>
      <c r="B95" s="1760"/>
      <c r="C95" s="1760"/>
      <c r="D95" s="475"/>
      <c r="J95" s="6292"/>
      <c r="K95" s="6292"/>
      <c r="L95" s="6292"/>
      <c r="M95" s="6292"/>
      <c r="N95" s="6292"/>
      <c r="O95" s="6292"/>
      <c r="P95" s="6292"/>
      <c r="Q95" s="6292"/>
      <c r="R95" s="6292"/>
      <c r="S95" s="6292"/>
      <c r="T95" s="6292"/>
      <c r="U95" s="6292"/>
      <c r="V95" s="6292"/>
      <c r="W95" s="6292"/>
      <c r="X95" s="6292"/>
      <c r="Y95" s="6292"/>
      <c r="Z95" s="6292"/>
      <c r="AA95" s="6292"/>
      <c r="AB95" s="6292"/>
      <c r="AC95" s="6292"/>
      <c r="AD95" s="6292"/>
      <c r="AF95" s="1284"/>
      <c r="AG95" s="1760"/>
      <c r="AH95" s="1760"/>
      <c r="AI95" s="1284"/>
      <c r="AJ95" s="1284"/>
      <c r="AK95" s="1284"/>
      <c r="AL95" s="1284"/>
      <c r="AM95" s="1760"/>
      <c r="AN95" s="1284"/>
      <c r="AO95" s="1284"/>
      <c r="AP95" s="668"/>
      <c r="AQ95" s="1284"/>
      <c r="AR95" s="1284"/>
      <c r="AS95" s="1284"/>
      <c r="AT95" s="1284"/>
      <c r="AU95" s="1284"/>
      <c r="AV95" s="1756"/>
      <c r="AW95" s="690"/>
      <c r="AX95" s="690"/>
      <c r="AY95" s="690"/>
      <c r="AZ95" s="690"/>
      <c r="BA95" s="1765">
        <v>11</v>
      </c>
    </row>
    <row s="6292" customFormat="1" customHeight="1" ht="11.549999999999999">
      <c r="A96" s="1111"/>
      <c r="B96" s="1760"/>
      <c r="C96" s="1760"/>
      <c r="D96" s="475"/>
      <c r="J96" s="6292"/>
      <c r="K96" s="6292"/>
      <c r="L96" s="6292"/>
      <c r="M96" s="6292"/>
      <c r="N96" s="6292"/>
      <c r="O96" s="6292"/>
      <c r="P96" s="6292"/>
      <c r="Q96" s="6292"/>
      <c r="R96" s="6292"/>
      <c r="S96" s="6292"/>
      <c r="T96" s="6292"/>
      <c r="U96" s="6292"/>
      <c r="V96" s="6292"/>
      <c r="W96" s="6292"/>
      <c r="X96" s="6292"/>
      <c r="Y96" s="6292"/>
      <c r="Z96" s="6292"/>
      <c r="AA96" s="6292"/>
      <c r="AB96" s="6292"/>
      <c r="AC96" s="6292"/>
      <c r="AD96" s="6292"/>
      <c r="AF96" s="1284"/>
      <c r="AG96" s="1760"/>
      <c r="AH96" s="1760"/>
      <c r="AI96" s="1284"/>
      <c r="AJ96" s="1284"/>
      <c r="AK96" s="1284"/>
      <c r="AL96" s="1284"/>
      <c r="AM96" s="1760"/>
      <c r="AN96" s="1284"/>
      <c r="AO96" s="1284"/>
      <c r="AP96" s="668"/>
      <c r="AQ96" s="1284"/>
      <c r="AR96" s="1284"/>
      <c r="AS96" s="1284"/>
      <c r="AT96" s="1284"/>
      <c r="AU96" s="1284"/>
      <c r="AV96" s="1756"/>
      <c r="AW96" s="690"/>
      <c r="AX96" s="690"/>
      <c r="AY96" s="690"/>
      <c r="AZ96" s="690"/>
      <c r="BA96" s="1765">
        <v>11</v>
      </c>
    </row>
    <row s="6292" customFormat="1" customHeight="1" ht="11.549999999999999">
      <c r="A97" s="1111"/>
      <c r="B97" s="1760"/>
      <c r="C97" s="1760"/>
      <c r="D97" s="475"/>
      <c r="J97" s="6292"/>
      <c r="K97" s="6292"/>
      <c r="L97" s="6292"/>
      <c r="M97" s="6292"/>
      <c r="N97" s="6292"/>
      <c r="O97" s="6292"/>
      <c r="P97" s="6292"/>
      <c r="Q97" s="6292"/>
      <c r="R97" s="6292"/>
      <c r="S97" s="6292"/>
      <c r="T97" s="6292"/>
      <c r="U97" s="6292"/>
      <c r="V97" s="6292"/>
      <c r="W97" s="6292"/>
      <c r="X97" s="6292"/>
      <c r="Y97" s="6292"/>
      <c r="Z97" s="6292"/>
      <c r="AA97" s="6292"/>
      <c r="AB97" s="6292"/>
      <c r="AC97" s="6292"/>
      <c r="AD97" s="6292"/>
      <c r="AF97" s="1284"/>
      <c r="AG97" s="1760"/>
      <c r="AH97" s="1760"/>
      <c r="AI97" s="1284"/>
      <c r="AJ97" s="1284"/>
      <c r="AK97" s="1284"/>
      <c r="AL97" s="1284"/>
      <c r="AM97" s="1760"/>
      <c r="AN97" s="1284"/>
      <c r="AO97" s="1284"/>
      <c r="AP97" s="668"/>
      <c r="AQ97" s="1284"/>
      <c r="AR97" s="1284"/>
      <c r="AS97" s="1284"/>
      <c r="AT97" s="1284"/>
      <c r="AU97" s="1284"/>
      <c r="AV97" s="1756"/>
      <c r="AW97" s="690"/>
      <c r="AX97" s="690"/>
      <c r="AY97" s="690"/>
      <c r="AZ97" s="690"/>
      <c r="BA97" s="1765">
        <v>11</v>
      </c>
    </row>
    <row s="6292" customFormat="1" customHeight="1" ht="11.549999999999999">
      <c r="A98" s="1111"/>
      <c r="B98" s="1760"/>
      <c r="C98" s="1760"/>
      <c r="D98" s="475"/>
      <c r="J98" s="6292"/>
      <c r="K98" s="6292"/>
      <c r="L98" s="6292"/>
      <c r="M98" s="6292"/>
      <c r="N98" s="6292"/>
      <c r="O98" s="6292"/>
      <c r="P98" s="6292"/>
      <c r="Q98" s="6292"/>
      <c r="R98" s="6292"/>
      <c r="S98" s="6292"/>
      <c r="T98" s="6292"/>
      <c r="U98" s="6292"/>
      <c r="V98" s="6292"/>
      <c r="W98" s="6292"/>
      <c r="X98" s="6292"/>
      <c r="Y98" s="6292"/>
      <c r="Z98" s="6292"/>
      <c r="AA98" s="6292"/>
      <c r="AB98" s="6292"/>
      <c r="AC98" s="6292"/>
      <c r="AD98" s="6292"/>
      <c r="AF98" s="1284"/>
      <c r="AG98" s="1760"/>
      <c r="AH98" s="1760"/>
      <c r="AI98" s="1284"/>
      <c r="AJ98" s="1284"/>
      <c r="AK98" s="1284"/>
      <c r="AL98" s="1284"/>
      <c r="AM98" s="1760"/>
      <c r="AN98" s="1284"/>
      <c r="AO98" s="1284"/>
      <c r="AP98" s="668"/>
      <c r="AQ98" s="1284"/>
      <c r="AR98" s="1284"/>
      <c r="AS98" s="1284"/>
      <c r="AT98" s="1284"/>
      <c r="AU98" s="1284"/>
      <c r="AV98" s="1756"/>
      <c r="AW98" s="690"/>
      <c r="AX98" s="690"/>
      <c r="AY98" s="690"/>
      <c r="AZ98" s="690"/>
      <c r="BA98" s="1765">
        <v>11</v>
      </c>
    </row>
    <row s="6292" customFormat="1" customHeight="1" ht="11.549999999999999">
      <c r="A99" s="1111"/>
      <c r="B99" s="1760"/>
      <c r="C99" s="1760"/>
      <c r="D99" s="475"/>
      <c r="J99" s="6292"/>
      <c r="K99" s="6292"/>
      <c r="L99" s="6292"/>
      <c r="M99" s="6292"/>
      <c r="N99" s="6292"/>
      <c r="O99" s="6292"/>
      <c r="P99" s="6292"/>
      <c r="Q99" s="6292"/>
      <c r="R99" s="6292"/>
      <c r="S99" s="6292"/>
      <c r="T99" s="6292"/>
      <c r="U99" s="6292"/>
      <c r="V99" s="6292"/>
      <c r="W99" s="6292"/>
      <c r="X99" s="6292"/>
      <c r="Y99" s="6292"/>
      <c r="Z99" s="6292"/>
      <c r="AA99" s="6292"/>
      <c r="AB99" s="6292"/>
      <c r="AC99" s="6292"/>
      <c r="AD99" s="6292"/>
      <c r="AF99" s="1284"/>
      <c r="AG99" s="1760"/>
      <c r="AH99" s="1760"/>
      <c r="AI99" s="1284"/>
      <c r="AJ99" s="1284"/>
      <c r="AK99" s="1284"/>
      <c r="AL99" s="1284"/>
      <c r="AM99" s="1760"/>
      <c r="AN99" s="1284"/>
      <c r="AO99" s="1284"/>
      <c r="AP99" s="668"/>
      <c r="AQ99" s="1284"/>
      <c r="AR99" s="1284"/>
      <c r="AS99" s="1284"/>
      <c r="AT99" s="1284"/>
      <c r="AU99" s="1284"/>
      <c r="AV99" s="1756"/>
      <c r="AW99" s="690"/>
      <c r="AX99" s="690"/>
      <c r="AY99" s="690"/>
      <c r="AZ99" s="690"/>
      <c r="BA99" s="1765">
        <v>11</v>
      </c>
    </row>
    <row s="6292" customFormat="1" customHeight="1" ht="11.549999999999999">
      <c r="A100" s="1111"/>
      <c r="B100" s="1760"/>
      <c r="C100" s="1760"/>
      <c r="D100" s="475"/>
      <c r="J100" s="6292"/>
      <c r="K100" s="6292"/>
      <c r="L100" s="6292"/>
      <c r="M100" s="6292"/>
      <c r="N100" s="6292"/>
      <c r="O100" s="6292"/>
      <c r="P100" s="6292"/>
      <c r="Q100" s="6292"/>
      <c r="R100" s="6292"/>
      <c r="S100" s="6292"/>
      <c r="T100" s="6292"/>
      <c r="U100" s="6292"/>
      <c r="V100" s="6292"/>
      <c r="W100" s="6292"/>
      <c r="X100" s="6292"/>
      <c r="Y100" s="6292"/>
      <c r="Z100" s="6292"/>
      <c r="AA100" s="6292"/>
      <c r="AB100" s="6292"/>
      <c r="AC100" s="6292"/>
      <c r="AD100" s="6292"/>
      <c r="AF100" s="1284"/>
      <c r="AG100" s="1760"/>
      <c r="AH100" s="1760"/>
      <c r="AI100" s="1284"/>
      <c r="AJ100" s="1284"/>
      <c r="AK100" s="1284"/>
      <c r="AL100" s="1284"/>
      <c r="AM100" s="1760"/>
      <c r="AN100" s="1284"/>
      <c r="AO100" s="1284"/>
      <c r="AP100" s="668"/>
      <c r="AQ100" s="1284"/>
      <c r="AR100" s="1284"/>
      <c r="AS100" s="1284"/>
      <c r="AT100" s="1284"/>
      <c r="AU100" s="1284"/>
      <c r="AV100" s="1756"/>
      <c r="AW100" s="690"/>
      <c r="AX100" s="690"/>
      <c r="AY100" s="690"/>
      <c r="AZ100" s="690"/>
      <c r="BA100" s="1765">
        <v>11</v>
      </c>
    </row>
    <row s="6292" customFormat="1" customHeight="1" ht="11.549999999999999">
      <c r="A101" s="1111"/>
      <c r="B101" s="1760"/>
      <c r="C101" s="1760"/>
      <c r="D101" s="475"/>
      <c r="J101" s="6292"/>
      <c r="K101" s="6292"/>
      <c r="L101" s="6292"/>
      <c r="M101" s="6292"/>
      <c r="N101" s="6292"/>
      <c r="O101" s="6292"/>
      <c r="P101" s="6292"/>
      <c r="Q101" s="6292"/>
      <c r="R101" s="6292"/>
      <c r="S101" s="6292"/>
      <c r="T101" s="6292"/>
      <c r="U101" s="6292"/>
      <c r="V101" s="6292"/>
      <c r="W101" s="6292"/>
      <c r="X101" s="6292"/>
      <c r="Y101" s="6292"/>
      <c r="Z101" s="6292"/>
      <c r="AA101" s="6292"/>
      <c r="AB101" s="6292"/>
      <c r="AC101" s="6292"/>
      <c r="AD101" s="6292"/>
      <c r="AF101" s="1284"/>
      <c r="AG101" s="1760"/>
      <c r="AH101" s="1760"/>
      <c r="AI101" s="1284"/>
      <c r="AJ101" s="1284"/>
      <c r="AK101" s="1284"/>
      <c r="AL101" s="1284"/>
      <c r="AM101" s="1760"/>
      <c r="AN101" s="1284"/>
      <c r="AO101" s="1284"/>
      <c r="AP101" s="668"/>
      <c r="AQ101" s="1284"/>
      <c r="AR101" s="1284"/>
      <c r="AS101" s="1284"/>
      <c r="AT101" s="1284"/>
      <c r="AU101" s="1284"/>
      <c r="AV101" s="1756"/>
      <c r="AW101" s="690"/>
      <c r="AX101" s="690"/>
      <c r="AY101" s="690"/>
      <c r="AZ101" s="690"/>
      <c r="BA101" s="1765">
        <v>11</v>
      </c>
    </row>
    <row s="6292" customFormat="1" customHeight="1" ht="11.549999999999999">
      <c r="A102" s="1111"/>
      <c r="B102" s="1760"/>
      <c r="C102" s="1760"/>
      <c r="D102" s="475"/>
      <c r="J102" s="6292"/>
      <c r="K102" s="6292"/>
      <c r="L102" s="6292"/>
      <c r="M102" s="6292"/>
      <c r="N102" s="6292"/>
      <c r="O102" s="6292"/>
      <c r="P102" s="6292"/>
      <c r="Q102" s="6292"/>
      <c r="R102" s="6292"/>
      <c r="S102" s="6292"/>
      <c r="T102" s="6292"/>
      <c r="U102" s="6292"/>
      <c r="V102" s="6292"/>
      <c r="W102" s="6292"/>
      <c r="X102" s="6292"/>
      <c r="Y102" s="6292"/>
      <c r="Z102" s="6292"/>
      <c r="AA102" s="6292"/>
      <c r="AB102" s="6292"/>
      <c r="AC102" s="6292"/>
      <c r="AD102" s="6292"/>
      <c r="AF102" s="1284"/>
      <c r="AG102" s="1760"/>
      <c r="AH102" s="1760"/>
      <c r="AI102" s="1284"/>
      <c r="AJ102" s="1284"/>
      <c r="AK102" s="1284"/>
      <c r="AL102" s="1284"/>
      <c r="AM102" s="1760"/>
      <c r="AN102" s="1284"/>
      <c r="AO102" s="1284"/>
      <c r="AP102" s="668"/>
      <c r="AQ102" s="1284"/>
      <c r="AR102" s="1284"/>
      <c r="AS102" s="1284"/>
      <c r="AT102" s="1284"/>
      <c r="AU102" s="1284"/>
      <c r="AV102" s="1756"/>
      <c r="AW102" s="690"/>
      <c r="AX102" s="690"/>
      <c r="AY102" s="690"/>
      <c r="AZ102" s="690"/>
      <c r="BA102" s="1765">
        <v>11</v>
      </c>
    </row>
    <row s="6292" customFormat="1" customHeight="1" ht="11.549999999999999">
      <c r="A103" s="1111"/>
      <c r="B103" s="1760"/>
      <c r="C103" s="1760"/>
      <c r="D103" s="475"/>
      <c r="J103" s="6292"/>
      <c r="K103" s="6292"/>
      <c r="L103" s="6292"/>
      <c r="M103" s="6292"/>
      <c r="N103" s="6292"/>
      <c r="O103" s="6292"/>
      <c r="P103" s="6292"/>
      <c r="Q103" s="6292"/>
      <c r="R103" s="6292"/>
      <c r="S103" s="6292"/>
      <c r="T103" s="6292"/>
      <c r="U103" s="6292"/>
      <c r="V103" s="6292"/>
      <c r="W103" s="6292"/>
      <c r="X103" s="6292"/>
      <c r="Y103" s="6292"/>
      <c r="Z103" s="6292"/>
      <c r="AA103" s="6292"/>
      <c r="AB103" s="6292"/>
      <c r="AC103" s="6292"/>
      <c r="AD103" s="6292"/>
      <c r="AF103" s="1284"/>
      <c r="AG103" s="1760"/>
      <c r="AH103" s="1760"/>
      <c r="AI103" s="1284"/>
      <c r="AJ103" s="1284"/>
      <c r="AK103" s="1284"/>
      <c r="AL103" s="1284"/>
      <c r="AM103" s="1760"/>
      <c r="AN103" s="1284"/>
      <c r="AO103" s="1284"/>
      <c r="AP103" s="668"/>
      <c r="AQ103" s="1284"/>
      <c r="AR103" s="1284"/>
      <c r="AS103" s="1284"/>
      <c r="AT103" s="1284"/>
      <c r="AU103" s="1284"/>
      <c r="AV103" s="1756"/>
      <c r="AW103" s="690"/>
      <c r="AX103" s="690"/>
      <c r="AY103" s="690"/>
      <c r="AZ103" s="690"/>
      <c r="BA103" s="1765">
        <v>11</v>
      </c>
    </row>
    <row s="6292" customFormat="1" customHeight="1" ht="11.549999999999999">
      <c r="A104" s="1111"/>
      <c r="B104" s="1760"/>
      <c r="C104" s="1760"/>
      <c r="D104" s="475"/>
      <c r="J104" s="6292"/>
      <c r="K104" s="6292"/>
      <c r="L104" s="6292"/>
      <c r="M104" s="6292"/>
      <c r="N104" s="6292"/>
      <c r="O104" s="6292"/>
      <c r="P104" s="6292"/>
      <c r="Q104" s="6292"/>
      <c r="R104" s="6292"/>
      <c r="S104" s="6292"/>
      <c r="T104" s="6292"/>
      <c r="U104" s="6292"/>
      <c r="V104" s="6292"/>
      <c r="W104" s="6292"/>
      <c r="X104" s="6292"/>
      <c r="Y104" s="6292"/>
      <c r="Z104" s="6292"/>
      <c r="AA104" s="6292"/>
      <c r="AB104" s="6292"/>
      <c r="AC104" s="6292"/>
      <c r="AD104" s="6292"/>
      <c r="AF104" s="1284"/>
      <c r="AG104" s="1760"/>
      <c r="AH104" s="1760"/>
      <c r="AI104" s="1284"/>
      <c r="AJ104" s="1284"/>
      <c r="AK104" s="1284"/>
      <c r="AL104" s="1284"/>
      <c r="AM104" s="1760"/>
      <c r="AN104" s="1284"/>
      <c r="AO104" s="1284"/>
      <c r="AP104" s="668"/>
      <c r="AQ104" s="1284"/>
      <c r="AR104" s="1284"/>
      <c r="AS104" s="1284"/>
      <c r="AT104" s="1284"/>
      <c r="AU104" s="1284"/>
      <c r="AV104" s="1756"/>
      <c r="AW104" s="690"/>
      <c r="AX104" s="690"/>
      <c r="AY104" s="690"/>
      <c r="AZ104" s="690"/>
      <c r="BA104" s="1765">
        <v>11</v>
      </c>
    </row>
    <row s="6292" customFormat="1" customHeight="1" ht="11.549999999999999">
      <c r="A105" s="1111"/>
      <c r="B105" s="1760"/>
      <c r="C105" s="1760"/>
      <c r="D105" s="475"/>
      <c r="J105" s="6292"/>
      <c r="K105" s="6292"/>
      <c r="L105" s="6292"/>
      <c r="M105" s="6292"/>
      <c r="N105" s="6292"/>
      <c r="O105" s="6292"/>
      <c r="P105" s="6292"/>
      <c r="Q105" s="6292"/>
      <c r="R105" s="6292"/>
      <c r="S105" s="6292"/>
      <c r="T105" s="6292"/>
      <c r="U105" s="6292"/>
      <c r="V105" s="6292"/>
      <c r="W105" s="6292"/>
      <c r="X105" s="6292"/>
      <c r="Y105" s="6292"/>
      <c r="Z105" s="6292"/>
      <c r="AA105" s="6292"/>
      <c r="AB105" s="6292"/>
      <c r="AC105" s="6292"/>
      <c r="AD105" s="6292"/>
      <c r="AF105" s="1284"/>
      <c r="AG105" s="1760"/>
      <c r="AH105" s="1760"/>
      <c r="AI105" s="1284"/>
      <c r="AJ105" s="1284"/>
      <c r="AK105" s="1284"/>
      <c r="AL105" s="1284"/>
      <c r="AM105" s="1760"/>
      <c r="AN105" s="1284"/>
      <c r="AO105" s="1284"/>
      <c r="AP105" s="668"/>
      <c r="AQ105" s="1284"/>
      <c r="AR105" s="1284"/>
      <c r="AS105" s="1284"/>
      <c r="AT105" s="1284"/>
      <c r="AU105" s="1284"/>
      <c r="AV105" s="1756"/>
      <c r="AW105" s="690"/>
      <c r="AX105" s="690"/>
      <c r="AY105" s="690"/>
      <c r="AZ105" s="690"/>
      <c r="BA105" s="1765">
        <v>11</v>
      </c>
    </row>
    <row s="6292" customFormat="1" customHeight="1" ht="11.549999999999999">
      <c r="A106" s="1111"/>
      <c r="B106" s="1760"/>
      <c r="C106" s="1760"/>
      <c r="D106" s="475"/>
      <c r="J106" s="6292"/>
      <c r="K106" s="6292"/>
      <c r="L106" s="6292"/>
      <c r="M106" s="6292"/>
      <c r="N106" s="6292"/>
      <c r="O106" s="6292"/>
      <c r="P106" s="6292"/>
      <c r="Q106" s="6292"/>
      <c r="R106" s="6292"/>
      <c r="S106" s="6292"/>
      <c r="T106" s="6292"/>
      <c r="U106" s="6292"/>
      <c r="V106" s="6292"/>
      <c r="W106" s="6292"/>
      <c r="X106" s="6292"/>
      <c r="Y106" s="6292"/>
      <c r="Z106" s="6292"/>
      <c r="AA106" s="6292"/>
      <c r="AB106" s="6292"/>
      <c r="AC106" s="6292"/>
      <c r="AD106" s="6292"/>
      <c r="AF106" s="1284"/>
      <c r="AG106" s="1760"/>
      <c r="AH106" s="1760"/>
      <c r="AI106" s="1284"/>
      <c r="AJ106" s="1284"/>
      <c r="AK106" s="1284"/>
      <c r="AL106" s="1284"/>
      <c r="AM106" s="1760"/>
      <c r="AN106" s="1284"/>
      <c r="AO106" s="1284"/>
      <c r="AP106" s="668"/>
      <c r="AQ106" s="1284"/>
      <c r="AR106" s="1284"/>
      <c r="AS106" s="1284"/>
      <c r="AT106" s="1284"/>
      <c r="AU106" s="1284"/>
      <c r="AV106" s="1756"/>
      <c r="AW106" s="690"/>
      <c r="AX106" s="690"/>
      <c r="AY106" s="690"/>
      <c r="AZ106" s="690"/>
      <c r="BA106" s="1765">
        <v>11</v>
      </c>
    </row>
    <row s="6292" customFormat="1" customHeight="1" ht="11.549999999999999">
      <c r="A107" s="1111"/>
      <c r="B107" s="1760"/>
      <c r="C107" s="1760"/>
      <c r="D107" s="475"/>
      <c r="J107" s="6292"/>
      <c r="K107" s="6292"/>
      <c r="L107" s="6292"/>
      <c r="M107" s="6292"/>
      <c r="N107" s="6292"/>
      <c r="O107" s="6292"/>
      <c r="P107" s="6292"/>
      <c r="Q107" s="6292"/>
      <c r="R107" s="6292"/>
      <c r="S107" s="6292"/>
      <c r="T107" s="6292"/>
      <c r="U107" s="6292"/>
      <c r="V107" s="6292"/>
      <c r="W107" s="6292"/>
      <c r="X107" s="6292"/>
      <c r="Y107" s="6292"/>
      <c r="Z107" s="6292"/>
      <c r="AA107" s="6292"/>
      <c r="AB107" s="6292"/>
      <c r="AC107" s="6292"/>
      <c r="AD107" s="6292"/>
      <c r="AF107" s="1284"/>
      <c r="AG107" s="1760"/>
      <c r="AH107" s="1760"/>
      <c r="AI107" s="1284"/>
      <c r="AJ107" s="1284"/>
      <c r="AK107" s="1284"/>
      <c r="AL107" s="1284"/>
      <c r="AM107" s="1760"/>
      <c r="AN107" s="1284"/>
      <c r="AO107" s="1284"/>
      <c r="AP107" s="668"/>
      <c r="AQ107" s="1284"/>
      <c r="AR107" s="1284"/>
      <c r="AS107" s="1284"/>
      <c r="AT107" s="1284"/>
      <c r="AU107" s="1284"/>
      <c r="AV107" s="1756"/>
      <c r="AW107" s="690"/>
      <c r="AX107" s="690"/>
      <c r="AY107" s="690"/>
      <c r="AZ107" s="690"/>
      <c r="BA107" s="1765">
        <v>11</v>
      </c>
    </row>
    <row s="6292" customFormat="1" customHeight="1" ht="11.549999999999999">
      <c r="A108" s="1111"/>
      <c r="B108" s="1760"/>
      <c r="C108" s="1760"/>
      <c r="D108" s="475"/>
      <c r="J108" s="6292"/>
      <c r="K108" s="6292"/>
      <c r="L108" s="6292"/>
      <c r="M108" s="6292"/>
      <c r="N108" s="6292"/>
      <c r="O108" s="6292"/>
      <c r="P108" s="6292"/>
      <c r="Q108" s="6292"/>
      <c r="R108" s="6292"/>
      <c r="S108" s="6292"/>
      <c r="T108" s="6292"/>
      <c r="U108" s="6292"/>
      <c r="V108" s="6292"/>
      <c r="W108" s="6292"/>
      <c r="X108" s="6292"/>
      <c r="Y108" s="6292"/>
      <c r="Z108" s="6292"/>
      <c r="AA108" s="6292"/>
      <c r="AB108" s="6292"/>
      <c r="AC108" s="6292"/>
      <c r="AD108" s="6292"/>
      <c r="AF108" s="1284"/>
      <c r="AG108" s="1760"/>
      <c r="AH108" s="1760"/>
      <c r="AI108" s="1284"/>
      <c r="AJ108" s="1284"/>
      <c r="AK108" s="1284"/>
      <c r="AL108" s="1284"/>
      <c r="AM108" s="1760"/>
      <c r="AN108" s="1284"/>
      <c r="AO108" s="1284"/>
      <c r="AP108" s="668"/>
      <c r="AQ108" s="1284"/>
      <c r="AR108" s="1284"/>
      <c r="AS108" s="1284"/>
      <c r="AT108" s="1284"/>
      <c r="AU108" s="1284"/>
      <c r="AV108" s="1756"/>
      <c r="AW108" s="690"/>
      <c r="AX108" s="690"/>
      <c r="AY108" s="690"/>
      <c r="AZ108" s="690"/>
      <c r="BA108" s="1765">
        <v>11</v>
      </c>
    </row>
    <row s="6292" customFormat="1" customHeight="1" ht="11.549999999999999">
      <c r="A109" s="1111"/>
      <c r="B109" s="1760"/>
      <c r="C109" s="1760"/>
      <c r="D109" s="475"/>
      <c r="J109" s="6292"/>
      <c r="K109" s="6292"/>
      <c r="L109" s="6292"/>
      <c r="M109" s="6292"/>
      <c r="N109" s="6292"/>
      <c r="O109" s="6292"/>
      <c r="P109" s="6292"/>
      <c r="Q109" s="6292"/>
      <c r="R109" s="6292"/>
      <c r="S109" s="6292"/>
      <c r="T109" s="6292"/>
      <c r="U109" s="6292"/>
      <c r="V109" s="6292"/>
      <c r="W109" s="6292"/>
      <c r="X109" s="6292"/>
      <c r="Y109" s="6292"/>
      <c r="Z109" s="6292"/>
      <c r="AA109" s="6292"/>
      <c r="AB109" s="6292"/>
      <c r="AC109" s="6292"/>
      <c r="AD109" s="6292"/>
      <c r="AF109" s="1284"/>
      <c r="AG109" s="1760"/>
      <c r="AH109" s="1760"/>
      <c r="AI109" s="1284"/>
      <c r="AJ109" s="1284"/>
      <c r="AK109" s="1284"/>
      <c r="AL109" s="1284"/>
      <c r="AM109" s="1760"/>
      <c r="AN109" s="1284"/>
      <c r="AO109" s="1284"/>
      <c r="AP109" s="668"/>
      <c r="AQ109" s="1284"/>
      <c r="AR109" s="1284"/>
      <c r="AS109" s="1284"/>
      <c r="AT109" s="1284"/>
      <c r="AU109" s="1284"/>
      <c r="AV109" s="1756"/>
      <c r="AW109" s="690"/>
      <c r="AX109" s="690"/>
      <c r="AY109" s="690"/>
      <c r="AZ109" s="690"/>
      <c r="BA109" s="1765">
        <v>11</v>
      </c>
    </row>
    <row s="6292" customFormat="1" customHeight="1" ht="11.549999999999999">
      <c r="A110" s="1111"/>
      <c r="B110" s="1760"/>
      <c r="C110" s="1760"/>
      <c r="D110" s="475"/>
      <c r="J110" s="6292"/>
      <c r="K110" s="6292"/>
      <c r="L110" s="6292"/>
      <c r="M110" s="6292"/>
      <c r="N110" s="6292"/>
      <c r="O110" s="6292"/>
      <c r="P110" s="6292"/>
      <c r="Q110" s="6292"/>
      <c r="R110" s="6292"/>
      <c r="S110" s="6292"/>
      <c r="T110" s="6292"/>
      <c r="U110" s="6292"/>
      <c r="V110" s="6292"/>
      <c r="W110" s="6292"/>
      <c r="X110" s="6292"/>
      <c r="Y110" s="6292"/>
      <c r="Z110" s="6292"/>
      <c r="AA110" s="6292"/>
      <c r="AB110" s="6292"/>
      <c r="AC110" s="6292"/>
      <c r="AD110" s="6292"/>
      <c r="AF110" s="1284"/>
      <c r="AG110" s="1760"/>
      <c r="AH110" s="1760"/>
      <c r="AI110" s="1284"/>
      <c r="AJ110" s="1284"/>
      <c r="AK110" s="1284"/>
      <c r="AL110" s="1284"/>
      <c r="AM110" s="1760"/>
      <c r="AN110" s="1284"/>
      <c r="AO110" s="1284"/>
      <c r="AP110" s="668"/>
      <c r="AQ110" s="1284"/>
      <c r="AR110" s="1284"/>
      <c r="AS110" s="1284"/>
      <c r="AT110" s="1284"/>
      <c r="AU110" s="1284"/>
      <c r="AV110" s="1756"/>
      <c r="AW110" s="690"/>
      <c r="AX110" s="690"/>
      <c r="AY110" s="690"/>
      <c r="AZ110" s="690"/>
      <c r="BA110" s="1765">
        <v>11</v>
      </c>
    </row>
    <row s="6292" customFormat="1" customHeight="1" ht="11.549999999999999">
      <c r="A111" s="1111"/>
      <c r="B111" s="1760"/>
      <c r="C111" s="1760"/>
      <c r="D111" s="475"/>
      <c r="J111" s="6292"/>
      <c r="K111" s="6292"/>
      <c r="L111" s="6292"/>
      <c r="M111" s="6292"/>
      <c r="N111" s="6292"/>
      <c r="O111" s="6292"/>
      <c r="P111" s="6292"/>
      <c r="Q111" s="6292"/>
      <c r="R111" s="6292"/>
      <c r="S111" s="6292"/>
      <c r="T111" s="6292"/>
      <c r="U111" s="6292"/>
      <c r="V111" s="6292"/>
      <c r="W111" s="6292"/>
      <c r="X111" s="6292"/>
      <c r="Y111" s="6292"/>
      <c r="Z111" s="6292"/>
      <c r="AA111" s="6292"/>
      <c r="AB111" s="6292"/>
      <c r="AC111" s="6292"/>
      <c r="AD111" s="6292"/>
      <c r="AF111" s="1284"/>
      <c r="AG111" s="1760"/>
      <c r="AH111" s="1760"/>
      <c r="AI111" s="1284"/>
      <c r="AJ111" s="1284"/>
      <c r="AK111" s="1284"/>
      <c r="AL111" s="1284"/>
      <c r="AM111" s="1760"/>
      <c r="AN111" s="1284"/>
      <c r="AO111" s="1284"/>
      <c r="AP111" s="668"/>
      <c r="AQ111" s="1284"/>
      <c r="AR111" s="1284"/>
      <c r="AS111" s="1284"/>
      <c r="AT111" s="1284"/>
      <c r="AU111" s="1284"/>
      <c r="AV111" s="1756"/>
      <c r="AW111" s="690"/>
      <c r="AX111" s="690"/>
      <c r="AY111" s="690"/>
      <c r="AZ111" s="690"/>
      <c r="BA111" s="1765">
        <v>11</v>
      </c>
    </row>
    <row s="6292" customFormat="1" customHeight="1" ht="11.549999999999999">
      <c r="A112" s="1111"/>
      <c r="B112" s="1760"/>
      <c r="C112" s="1760"/>
      <c r="D112" s="475"/>
      <c r="J112" s="6292"/>
      <c r="K112" s="6292"/>
      <c r="L112" s="6292"/>
      <c r="M112" s="6292"/>
      <c r="N112" s="6292"/>
      <c r="O112" s="6292"/>
      <c r="P112" s="6292"/>
      <c r="Q112" s="6292"/>
      <c r="R112" s="6292"/>
      <c r="S112" s="6292"/>
      <c r="T112" s="6292"/>
      <c r="U112" s="6292"/>
      <c r="V112" s="6292"/>
      <c r="W112" s="6292"/>
      <c r="X112" s="6292"/>
      <c r="Y112" s="6292"/>
      <c r="Z112" s="6292"/>
      <c r="AA112" s="6292"/>
      <c r="AB112" s="6292"/>
      <c r="AC112" s="6292"/>
      <c r="AD112" s="6292"/>
      <c r="AF112" s="1284"/>
      <c r="AG112" s="1760"/>
      <c r="AH112" s="1760"/>
      <c r="AI112" s="1284"/>
      <c r="AJ112" s="1284"/>
      <c r="AK112" s="1284"/>
      <c r="AL112" s="1284"/>
      <c r="AM112" s="1760"/>
      <c r="AN112" s="1284"/>
      <c r="AO112" s="1284"/>
      <c r="AP112" s="668"/>
      <c r="AQ112" s="1284"/>
      <c r="AR112" s="1284"/>
      <c r="AS112" s="1284"/>
      <c r="AT112" s="1284"/>
      <c r="AU112" s="1284"/>
      <c r="AV112" s="1756"/>
      <c r="AW112" s="690"/>
      <c r="AX112" s="690"/>
      <c r="AY112" s="690"/>
      <c r="AZ112" s="690"/>
      <c r="BA112" s="1765">
        <v>11</v>
      </c>
    </row>
    <row s="6292" customFormat="1" customHeight="1" ht="11.549999999999999">
      <c r="A113" s="1111"/>
      <c r="B113" s="1760"/>
      <c r="C113" s="1760"/>
      <c r="D113" s="475"/>
      <c r="J113" s="6292"/>
      <c r="K113" s="6292"/>
      <c r="L113" s="6292"/>
      <c r="M113" s="6292"/>
      <c r="N113" s="6292"/>
      <c r="O113" s="6292"/>
      <c r="P113" s="6292"/>
      <c r="Q113" s="6292"/>
      <c r="R113" s="6292"/>
      <c r="S113" s="6292"/>
      <c r="T113" s="6292"/>
      <c r="U113" s="6292"/>
      <c r="V113" s="6292"/>
      <c r="W113" s="6292"/>
      <c r="X113" s="6292"/>
      <c r="Y113" s="6292"/>
      <c r="Z113" s="6292"/>
      <c r="AA113" s="6292"/>
      <c r="AB113" s="6292"/>
      <c r="AC113" s="6292"/>
      <c r="AD113" s="6292"/>
      <c r="AF113" s="1284"/>
      <c r="AG113" s="1760"/>
      <c r="AH113" s="1760"/>
      <c r="AI113" s="1284"/>
      <c r="AJ113" s="1284"/>
      <c r="AK113" s="1284"/>
      <c r="AL113" s="1284"/>
      <c r="AM113" s="1760"/>
      <c r="AN113" s="1284"/>
      <c r="AO113" s="1284"/>
      <c r="AP113" s="668"/>
      <c r="AQ113" s="1284"/>
      <c r="AR113" s="1284"/>
      <c r="AS113" s="1284"/>
      <c r="AT113" s="1284"/>
      <c r="AU113" s="1284"/>
      <c r="AV113" s="1756"/>
      <c r="AW113" s="690"/>
      <c r="AX113" s="690"/>
      <c r="AY113" s="690"/>
      <c r="AZ113" s="690"/>
      <c r="BA113" s="1765">
        <v>11</v>
      </c>
    </row>
    <row s="6292" customFormat="1" customHeight="1" ht="11.549999999999999">
      <c r="A114" s="1111"/>
      <c r="B114" s="1760"/>
      <c r="C114" s="1760"/>
      <c r="D114" s="475"/>
      <c r="J114" s="6292"/>
      <c r="K114" s="6292"/>
      <c r="L114" s="6292"/>
      <c r="M114" s="6292"/>
      <c r="N114" s="6292"/>
      <c r="O114" s="6292"/>
      <c r="P114" s="6292"/>
      <c r="Q114" s="6292"/>
      <c r="R114" s="6292"/>
      <c r="S114" s="6292"/>
      <c r="T114" s="6292"/>
      <c r="U114" s="6292"/>
      <c r="V114" s="6292"/>
      <c r="W114" s="6292"/>
      <c r="X114" s="6292"/>
      <c r="Y114" s="6292"/>
      <c r="Z114" s="6292"/>
      <c r="AA114" s="6292"/>
      <c r="AB114" s="6292"/>
      <c r="AC114" s="6292"/>
      <c r="AD114" s="6292"/>
      <c r="AF114" s="1284"/>
      <c r="AG114" s="1760"/>
      <c r="AH114" s="1760"/>
      <c r="AI114" s="1284"/>
      <c r="AJ114" s="1284"/>
      <c r="AK114" s="1284"/>
      <c r="AL114" s="1284"/>
      <c r="AM114" s="1760"/>
      <c r="AN114" s="1284"/>
      <c r="AO114" s="1284"/>
      <c r="AP114" s="668"/>
      <c r="AQ114" s="1284"/>
      <c r="AR114" s="1284"/>
      <c r="AS114" s="1284"/>
      <c r="AT114" s="1284"/>
      <c r="AU114" s="1284"/>
      <c r="AV114" s="1756"/>
      <c r="AW114" s="690"/>
      <c r="AX114" s="690"/>
      <c r="AY114" s="690"/>
      <c r="AZ114" s="690"/>
      <c r="BA114" s="1765">
        <v>11</v>
      </c>
    </row>
    <row s="6292" customFormat="1" customHeight="1" ht="11.549999999999999">
      <c r="A115" s="1111"/>
      <c r="B115" s="1760"/>
      <c r="C115" s="1760"/>
      <c r="D115" s="475"/>
      <c r="J115" s="6292"/>
      <c r="K115" s="6292"/>
      <c r="L115" s="6292"/>
      <c r="M115" s="6292"/>
      <c r="N115" s="6292"/>
      <c r="O115" s="6292"/>
      <c r="P115" s="6292"/>
      <c r="Q115" s="6292"/>
      <c r="R115" s="6292"/>
      <c r="S115" s="6292"/>
      <c r="T115" s="6292"/>
      <c r="U115" s="6292"/>
      <c r="V115" s="6292"/>
      <c r="W115" s="6292"/>
      <c r="X115" s="6292"/>
      <c r="Y115" s="6292"/>
      <c r="Z115" s="6292"/>
      <c r="AA115" s="6292"/>
      <c r="AB115" s="6292"/>
      <c r="AC115" s="6292"/>
      <c r="AD115" s="6292"/>
      <c r="AF115" s="1284"/>
      <c r="AG115" s="1760"/>
      <c r="AH115" s="1760"/>
      <c r="AI115" s="1284"/>
      <c r="AJ115" s="1284"/>
      <c r="AK115" s="1284"/>
      <c r="AL115" s="1284"/>
      <c r="AM115" s="1760"/>
      <c r="AN115" s="1284"/>
      <c r="AO115" s="1284"/>
      <c r="AP115" s="668"/>
      <c r="AQ115" s="1284"/>
      <c r="AR115" s="1284"/>
      <c r="AS115" s="1284"/>
      <c r="AT115" s="1284"/>
      <c r="AU115" s="1284"/>
      <c r="AV115" s="1756"/>
      <c r="AW115" s="690"/>
      <c r="AX115" s="690"/>
      <c r="AY115" s="690"/>
      <c r="AZ115" s="690"/>
      <c r="BA115" s="1765">
        <v>11</v>
      </c>
    </row>
    <row s="6292" customFormat="1" customHeight="1" ht="11.549999999999999">
      <c r="A116" s="1111"/>
      <c r="B116" s="1760"/>
      <c r="C116" s="1760"/>
      <c r="D116" s="475"/>
      <c r="J116" s="6292"/>
      <c r="K116" s="6292"/>
      <c r="L116" s="6292"/>
      <c r="M116" s="6292"/>
      <c r="N116" s="6292"/>
      <c r="O116" s="6292"/>
      <c r="P116" s="6292"/>
      <c r="Q116" s="6292"/>
      <c r="R116" s="6292"/>
      <c r="S116" s="6292"/>
      <c r="T116" s="6292"/>
      <c r="U116" s="6292"/>
      <c r="V116" s="6292"/>
      <c r="W116" s="6292"/>
      <c r="X116" s="6292"/>
      <c r="Y116" s="6292"/>
      <c r="Z116" s="6292"/>
      <c r="AA116" s="6292"/>
      <c r="AB116" s="6292"/>
      <c r="AC116" s="6292"/>
      <c r="AD116" s="6292"/>
      <c r="AF116" s="1284"/>
      <c r="AG116" s="1760"/>
      <c r="AH116" s="1760"/>
      <c r="AI116" s="1284"/>
      <c r="AJ116" s="1284"/>
      <c r="AK116" s="1284"/>
      <c r="AL116" s="1284"/>
      <c r="AM116" s="1760"/>
      <c r="AN116" s="1284"/>
      <c r="AO116" s="1284"/>
      <c r="AP116" s="668"/>
      <c r="AQ116" s="1284"/>
      <c r="AR116" s="1284"/>
      <c r="AS116" s="1284"/>
      <c r="AT116" s="1284"/>
      <c r="AU116" s="1284"/>
      <c r="AV116" s="1756"/>
      <c r="AW116" s="690"/>
      <c r="AX116" s="690"/>
      <c r="AY116" s="690"/>
      <c r="AZ116" s="690"/>
      <c r="BA116" s="1765">
        <v>11</v>
      </c>
    </row>
    <row s="6292" customFormat="1" customHeight="1" ht="11.549999999999999">
      <c r="A117" s="1111"/>
      <c r="B117" s="1760"/>
      <c r="C117" s="1760"/>
      <c r="D117" s="475"/>
      <c r="J117" s="6292"/>
      <c r="K117" s="6292"/>
      <c r="L117" s="6292"/>
      <c r="M117" s="6292"/>
      <c r="N117" s="6292"/>
      <c r="O117" s="6292"/>
      <c r="P117" s="6292"/>
      <c r="Q117" s="6292"/>
      <c r="R117" s="6292"/>
      <c r="S117" s="6292"/>
      <c r="T117" s="6292"/>
      <c r="U117" s="6292"/>
      <c r="V117" s="6292"/>
      <c r="W117" s="6292"/>
      <c r="X117" s="6292"/>
      <c r="Y117" s="6292"/>
      <c r="Z117" s="6292"/>
      <c r="AA117" s="6292"/>
      <c r="AB117" s="6292"/>
      <c r="AC117" s="6292"/>
      <c r="AD117" s="6292"/>
      <c r="AF117" s="1284"/>
      <c r="AG117" s="1760"/>
      <c r="AH117" s="1760"/>
      <c r="AI117" s="1284"/>
      <c r="AJ117" s="1284"/>
      <c r="AK117" s="1284"/>
      <c r="AL117" s="1284"/>
      <c r="AM117" s="1760"/>
      <c r="AN117" s="1284"/>
      <c r="AO117" s="1284"/>
      <c r="AP117" s="668"/>
      <c r="AQ117" s="1284"/>
      <c r="AR117" s="1284"/>
      <c r="AS117" s="1284"/>
      <c r="AT117" s="1284"/>
      <c r="AU117" s="1284"/>
      <c r="AV117" s="1756"/>
      <c r="AW117" s="690"/>
      <c r="AX117" s="690"/>
      <c r="AY117" s="690"/>
      <c r="AZ117" s="690"/>
      <c r="BA117" s="1765">
        <v>11</v>
      </c>
    </row>
    <row s="6292" customFormat="1" customHeight="1" ht="11.549999999999999">
      <c r="A118" s="1111"/>
      <c r="B118" s="1760"/>
      <c r="C118" s="1760"/>
      <c r="D118" s="475"/>
      <c r="J118" s="6292"/>
      <c r="K118" s="6292"/>
      <c r="L118" s="6292"/>
      <c r="M118" s="6292"/>
      <c r="N118" s="6292"/>
      <c r="O118" s="6292"/>
      <c r="P118" s="6292"/>
      <c r="Q118" s="6292"/>
      <c r="R118" s="6292"/>
      <c r="S118" s="6292"/>
      <c r="T118" s="6292"/>
      <c r="U118" s="6292"/>
      <c r="V118" s="6292"/>
      <c r="W118" s="6292"/>
      <c r="X118" s="6292"/>
      <c r="Y118" s="6292"/>
      <c r="Z118" s="6292"/>
      <c r="AA118" s="6292"/>
      <c r="AB118" s="6292"/>
      <c r="AC118" s="6292"/>
      <c r="AD118" s="6292"/>
      <c r="AF118" s="1284"/>
      <c r="AG118" s="1760"/>
      <c r="AH118" s="1760"/>
      <c r="AI118" s="1284"/>
      <c r="AJ118" s="1284"/>
      <c r="AK118" s="1284"/>
      <c r="AL118" s="1284"/>
      <c r="AM118" s="1760"/>
      <c r="AN118" s="1284"/>
      <c r="AO118" s="1284"/>
      <c r="AP118" s="668"/>
      <c r="AQ118" s="1284"/>
      <c r="AR118" s="1284"/>
      <c r="AS118" s="1284"/>
      <c r="AT118" s="1284"/>
      <c r="AU118" s="1284"/>
      <c r="AV118" s="1756"/>
      <c r="AW118" s="690"/>
      <c r="AX118" s="690"/>
      <c r="AY118" s="690"/>
      <c r="AZ118" s="690"/>
      <c r="BA118" s="1765">
        <v>11</v>
      </c>
    </row>
    <row s="6292" customFormat="1" customHeight="1" ht="11.549999999999999">
      <c r="A119" s="1111"/>
      <c r="B119" s="1760"/>
      <c r="C119" s="1760"/>
      <c r="D119" s="475"/>
      <c r="J119" s="6292"/>
      <c r="K119" s="6292"/>
      <c r="L119" s="6292"/>
      <c r="M119" s="6292"/>
      <c r="N119" s="6292"/>
      <c r="O119" s="6292"/>
      <c r="P119" s="6292"/>
      <c r="Q119" s="6292"/>
      <c r="R119" s="6292"/>
      <c r="S119" s="6292"/>
      <c r="T119" s="6292"/>
      <c r="U119" s="6292"/>
      <c r="V119" s="6292"/>
      <c r="W119" s="6292"/>
      <c r="X119" s="6292"/>
      <c r="Y119" s="6292"/>
      <c r="Z119" s="6292"/>
      <c r="AA119" s="6292"/>
      <c r="AB119" s="6292"/>
      <c r="AC119" s="6292"/>
      <c r="AD119" s="6292"/>
      <c r="AF119" s="1284"/>
      <c r="AG119" s="1760"/>
      <c r="AH119" s="1760"/>
      <c r="AI119" s="1284"/>
      <c r="AJ119" s="1284"/>
      <c r="AK119" s="1284"/>
      <c r="AL119" s="1284"/>
      <c r="AM119" s="1760"/>
      <c r="AN119" s="1284"/>
      <c r="AO119" s="1284"/>
      <c r="AP119" s="668"/>
      <c r="AQ119" s="1284"/>
      <c r="AR119" s="1284"/>
      <c r="AS119" s="1284"/>
      <c r="AT119" s="1284"/>
      <c r="AU119" s="1284"/>
      <c r="AV119" s="1756"/>
      <c r="AW119" s="690"/>
      <c r="AX119" s="690"/>
      <c r="AY119" s="690"/>
      <c r="AZ119" s="690"/>
      <c r="BA119" s="1765">
        <v>11</v>
      </c>
    </row>
    <row s="6292" customFormat="1" customHeight="1" ht="11.549999999999999">
      <c r="A120" s="1111"/>
      <c r="B120" s="1760"/>
      <c r="C120" s="1760"/>
      <c r="D120" s="475"/>
      <c r="J120" s="6292"/>
      <c r="K120" s="6292"/>
      <c r="L120" s="6292"/>
      <c r="M120" s="6292"/>
      <c r="N120" s="6292"/>
      <c r="O120" s="6292"/>
      <c r="P120" s="6292"/>
      <c r="Q120" s="6292"/>
      <c r="R120" s="6292"/>
      <c r="S120" s="6292"/>
      <c r="T120" s="6292"/>
      <c r="U120" s="6292"/>
      <c r="V120" s="6292"/>
      <c r="W120" s="6292"/>
      <c r="X120" s="6292"/>
      <c r="Y120" s="6292"/>
      <c r="Z120" s="6292"/>
      <c r="AA120" s="6292"/>
      <c r="AB120" s="6292"/>
      <c r="AC120" s="6292"/>
      <c r="AD120" s="6292"/>
      <c r="AF120" s="1284"/>
      <c r="AG120" s="1760"/>
      <c r="AH120" s="1760"/>
      <c r="AI120" s="1284"/>
      <c r="AJ120" s="1284"/>
      <c r="AK120" s="1284"/>
      <c r="AL120" s="1284"/>
      <c r="AM120" s="1760"/>
      <c r="AN120" s="1284"/>
      <c r="AO120" s="1284"/>
      <c r="AP120" s="668"/>
      <c r="AQ120" s="1284"/>
      <c r="AR120" s="1284"/>
      <c r="AS120" s="1284"/>
      <c r="AT120" s="1284"/>
      <c r="AU120" s="1284"/>
      <c r="AV120" s="1756"/>
      <c r="AW120" s="690"/>
      <c r="AX120" s="690"/>
      <c r="AY120" s="690"/>
      <c r="AZ120" s="690"/>
      <c r="BA120" s="1765">
        <v>11</v>
      </c>
    </row>
    <row s="6292" customFormat="1" customHeight="1" ht="11.549999999999999">
      <c r="A121" s="1111"/>
      <c r="B121" s="1760"/>
      <c r="C121" s="1760"/>
      <c r="D121" s="475"/>
      <c r="J121" s="6292"/>
      <c r="K121" s="6292"/>
      <c r="L121" s="6292"/>
      <c r="M121" s="6292"/>
      <c r="N121" s="6292"/>
      <c r="O121" s="6292"/>
      <c r="P121" s="6292"/>
      <c r="Q121" s="6292"/>
      <c r="R121" s="6292"/>
      <c r="S121" s="6292"/>
      <c r="T121" s="6292"/>
      <c r="U121" s="6292"/>
      <c r="V121" s="6292"/>
      <c r="W121" s="6292"/>
      <c r="X121" s="6292"/>
      <c r="Y121" s="6292"/>
      <c r="Z121" s="6292"/>
      <c r="AA121" s="6292"/>
      <c r="AB121" s="6292"/>
      <c r="AC121" s="6292"/>
      <c r="AD121" s="6292"/>
      <c r="AF121" s="1284"/>
      <c r="AG121" s="1760"/>
      <c r="AH121" s="1760"/>
      <c r="AI121" s="1284"/>
      <c r="AJ121" s="1284"/>
      <c r="AK121" s="1284"/>
      <c r="AL121" s="1284"/>
      <c r="AM121" s="1760"/>
      <c r="AN121" s="1284"/>
      <c r="AO121" s="1284"/>
      <c r="AP121" s="668"/>
      <c r="AQ121" s="1284"/>
      <c r="AR121" s="1284"/>
      <c r="AS121" s="1284"/>
      <c r="AT121" s="1284"/>
      <c r="AU121" s="1284"/>
      <c r="AV121" s="1756"/>
      <c r="AW121" s="690"/>
      <c r="AX121" s="690"/>
      <c r="AY121" s="690"/>
      <c r="AZ121" s="690"/>
      <c r="BA121" s="1765">
        <v>11</v>
      </c>
    </row>
    <row s="6292" customFormat="1" customHeight="1" ht="11.549999999999999">
      <c r="A122" s="1111"/>
      <c r="B122" s="1760"/>
      <c r="C122" s="1760"/>
      <c r="D122" s="475"/>
      <c r="J122" s="6292"/>
      <c r="K122" s="6292"/>
      <c r="L122" s="6292"/>
      <c r="M122" s="6292"/>
      <c r="N122" s="6292"/>
      <c r="O122" s="6292"/>
      <c r="P122" s="6292"/>
      <c r="Q122" s="6292"/>
      <c r="R122" s="6292"/>
      <c r="S122" s="6292"/>
      <c r="T122" s="6292"/>
      <c r="U122" s="6292"/>
      <c r="V122" s="6292"/>
      <c r="W122" s="6292"/>
      <c r="X122" s="6292"/>
      <c r="Y122" s="6292"/>
      <c r="Z122" s="6292"/>
      <c r="AA122" s="6292"/>
      <c r="AB122" s="6292"/>
      <c r="AC122" s="6292"/>
      <c r="AD122" s="6292"/>
      <c r="AF122" s="1284"/>
      <c r="AG122" s="1760"/>
      <c r="AH122" s="1760"/>
      <c r="AI122" s="1284"/>
      <c r="AJ122" s="1284"/>
      <c r="AK122" s="1284"/>
      <c r="AL122" s="1284"/>
      <c r="AM122" s="1760"/>
      <c r="AN122" s="1284"/>
      <c r="AO122" s="1284"/>
      <c r="AP122" s="668"/>
      <c r="AQ122" s="1284"/>
      <c r="AR122" s="1284"/>
      <c r="AS122" s="1284"/>
      <c r="AT122" s="1284"/>
      <c r="AU122" s="1284"/>
      <c r="AV122" s="1756"/>
      <c r="AW122" s="690"/>
      <c r="AX122" s="690"/>
      <c r="AY122" s="690"/>
      <c r="AZ122" s="690"/>
      <c r="BA122" s="1765">
        <v>11</v>
      </c>
    </row>
    <row s="6292" customFormat="1" customHeight="1" ht="11.549999999999999">
      <c r="A123" s="1111"/>
      <c r="B123" s="1760"/>
      <c r="C123" s="1760"/>
      <c r="D123" s="475"/>
      <c r="J123" s="6292"/>
      <c r="K123" s="6292"/>
      <c r="L123" s="6292"/>
      <c r="M123" s="6292"/>
      <c r="N123" s="6292"/>
      <c r="O123" s="6292"/>
      <c r="P123" s="6292"/>
      <c r="Q123" s="6292"/>
      <c r="R123" s="6292"/>
      <c r="S123" s="6292"/>
      <c r="T123" s="6292"/>
      <c r="U123" s="6292"/>
      <c r="V123" s="6292"/>
      <c r="W123" s="6292"/>
      <c r="X123" s="6292"/>
      <c r="Y123" s="6292"/>
      <c r="Z123" s="6292"/>
      <c r="AA123" s="6292"/>
      <c r="AB123" s="6292"/>
      <c r="AC123" s="6292"/>
      <c r="AD123" s="6292"/>
      <c r="AF123" s="1284"/>
      <c r="AG123" s="1760"/>
      <c r="AH123" s="1760"/>
      <c r="AI123" s="1284"/>
      <c r="AJ123" s="1284"/>
      <c r="AK123" s="1284"/>
      <c r="AL123" s="1284"/>
      <c r="AM123" s="1760"/>
      <c r="AN123" s="1284"/>
      <c r="AO123" s="1284"/>
      <c r="AP123" s="668"/>
      <c r="AQ123" s="1284"/>
      <c r="AR123" s="1284"/>
      <c r="AS123" s="1284"/>
      <c r="AT123" s="1284"/>
      <c r="AU123" s="1284"/>
      <c r="AV123" s="1756"/>
      <c r="AW123" s="690"/>
      <c r="AX123" s="690"/>
      <c r="AY123" s="690"/>
      <c r="AZ123" s="690"/>
      <c r="BA123" s="1765">
        <v>11</v>
      </c>
    </row>
    <row s="6292" customFormat="1" customHeight="1" ht="11.549999999999999">
      <c r="A124" s="1111"/>
      <c r="B124" s="1760"/>
      <c r="C124" s="1760"/>
      <c r="D124" s="475"/>
      <c r="J124" s="6292"/>
      <c r="K124" s="6292"/>
      <c r="L124" s="6292"/>
      <c r="M124" s="6292"/>
      <c r="N124" s="6292"/>
      <c r="O124" s="6292"/>
      <c r="P124" s="6292"/>
      <c r="Q124" s="6292"/>
      <c r="R124" s="6292"/>
      <c r="S124" s="6292"/>
      <c r="T124" s="6292"/>
      <c r="U124" s="6292"/>
      <c r="V124" s="6292"/>
      <c r="W124" s="6292"/>
      <c r="X124" s="6292"/>
      <c r="Y124" s="6292"/>
      <c r="Z124" s="6292"/>
      <c r="AA124" s="6292"/>
      <c r="AB124" s="6292"/>
      <c r="AC124" s="6292"/>
      <c r="AD124" s="6292"/>
      <c r="AF124" s="1284"/>
      <c r="AG124" s="1760"/>
      <c r="AH124" s="1760"/>
      <c r="AI124" s="1284"/>
      <c r="AJ124" s="1284"/>
      <c r="AK124" s="1284"/>
      <c r="AL124" s="1284"/>
      <c r="AM124" s="1760"/>
      <c r="AN124" s="1284"/>
      <c r="AO124" s="1284"/>
      <c r="AP124" s="668"/>
      <c r="AQ124" s="1284"/>
      <c r="AR124" s="1284"/>
      <c r="AS124" s="1284"/>
      <c r="AT124" s="1284"/>
      <c r="AU124" s="1284"/>
      <c r="AV124" s="1756"/>
      <c r="AW124" s="690"/>
      <c r="AX124" s="690"/>
      <c r="AY124" s="690"/>
      <c r="AZ124" s="690"/>
      <c r="BA124" s="1765">
        <v>11</v>
      </c>
    </row>
    <row s="6292" customFormat="1" customHeight="1" ht="11.549999999999999">
      <c r="A125" s="1111"/>
      <c r="B125" s="1760"/>
      <c r="C125" s="1760"/>
      <c r="D125" s="475"/>
      <c r="J125" s="6292"/>
      <c r="K125" s="6292"/>
      <c r="L125" s="6292"/>
      <c r="M125" s="6292"/>
      <c r="N125" s="6292"/>
      <c r="O125" s="6292"/>
      <c r="P125" s="6292"/>
      <c r="Q125" s="6292"/>
      <c r="R125" s="6292"/>
      <c r="S125" s="6292"/>
      <c r="T125" s="6292"/>
      <c r="U125" s="6292"/>
      <c r="V125" s="6292"/>
      <c r="W125" s="6292"/>
      <c r="X125" s="6292"/>
      <c r="Y125" s="6292"/>
      <c r="Z125" s="6292"/>
      <c r="AA125" s="6292"/>
      <c r="AB125" s="6292"/>
      <c r="AC125" s="6292"/>
      <c r="AD125" s="6292"/>
      <c r="AF125" s="1284"/>
      <c r="AG125" s="1760"/>
      <c r="AH125" s="1760"/>
      <c r="AI125" s="1284"/>
      <c r="AJ125" s="1284"/>
      <c r="AK125" s="1284"/>
      <c r="AL125" s="1284"/>
      <c r="AM125" s="1760"/>
      <c r="AN125" s="1284"/>
      <c r="AO125" s="1284"/>
      <c r="AP125" s="668"/>
      <c r="AQ125" s="1284"/>
      <c r="AR125" s="1284"/>
      <c r="AS125" s="1284"/>
      <c r="AT125" s="1284"/>
      <c r="AU125" s="1284"/>
      <c r="AV125" s="1756"/>
      <c r="AW125" s="690"/>
      <c r="AX125" s="690"/>
      <c r="AY125" s="690"/>
      <c r="AZ125" s="690"/>
      <c r="BA125" s="1765">
        <v>11</v>
      </c>
    </row>
    <row s="6292" customFormat="1" customHeight="1" ht="11.549999999999999">
      <c r="A126" s="1111"/>
      <c r="B126" s="1760"/>
      <c r="C126" s="1760"/>
      <c r="D126" s="475"/>
      <c r="J126" s="6292"/>
      <c r="K126" s="6292"/>
      <c r="L126" s="6292"/>
      <c r="M126" s="6292"/>
      <c r="N126" s="6292"/>
      <c r="O126" s="6292"/>
      <c r="P126" s="6292"/>
      <c r="Q126" s="6292"/>
      <c r="R126" s="6292"/>
      <c r="S126" s="6292"/>
      <c r="T126" s="6292"/>
      <c r="U126" s="6292"/>
      <c r="V126" s="6292"/>
      <c r="W126" s="6292"/>
      <c r="X126" s="6292"/>
      <c r="Y126" s="6292"/>
      <c r="Z126" s="6292"/>
      <c r="AA126" s="6292"/>
      <c r="AB126" s="6292"/>
      <c r="AC126" s="6292"/>
      <c r="AD126" s="6292"/>
      <c r="AF126" s="1284"/>
      <c r="AG126" s="1760"/>
      <c r="AH126" s="1760"/>
      <c r="AI126" s="1284"/>
      <c r="AJ126" s="1284"/>
      <c r="AK126" s="1284"/>
      <c r="AL126" s="1284"/>
      <c r="AM126" s="1760"/>
      <c r="AN126" s="1284"/>
      <c r="AO126" s="1284"/>
      <c r="AP126" s="668"/>
      <c r="AQ126" s="1284"/>
      <c r="AR126" s="1284"/>
      <c r="AS126" s="1284"/>
      <c r="AT126" s="1284"/>
      <c r="AU126" s="1284"/>
      <c r="AV126" s="1756"/>
      <c r="AW126" s="690"/>
      <c r="AX126" s="690"/>
      <c r="AY126" s="690"/>
      <c r="AZ126" s="690"/>
      <c r="BA126" s="1765">
        <v>11</v>
      </c>
    </row>
    <row s="6292" customFormat="1" customHeight="1" ht="11.549999999999999">
      <c r="A127" s="1111"/>
      <c r="B127" s="1760"/>
      <c r="C127" s="1760"/>
      <c r="D127" s="475"/>
      <c r="J127" s="6292"/>
      <c r="K127" s="6292"/>
      <c r="L127" s="6292"/>
      <c r="M127" s="6292"/>
      <c r="N127" s="6292"/>
      <c r="O127" s="6292"/>
      <c r="P127" s="6292"/>
      <c r="Q127" s="6292"/>
      <c r="R127" s="6292"/>
      <c r="S127" s="6292"/>
      <c r="T127" s="6292"/>
      <c r="U127" s="6292"/>
      <c r="V127" s="6292"/>
      <c r="W127" s="6292"/>
      <c r="X127" s="6292"/>
      <c r="Y127" s="6292"/>
      <c r="Z127" s="6292"/>
      <c r="AA127" s="6292"/>
      <c r="AB127" s="6292"/>
      <c r="AC127" s="6292"/>
      <c r="AD127" s="6292"/>
      <c r="AF127" s="1284"/>
      <c r="AG127" s="1760"/>
      <c r="AH127" s="1760"/>
      <c r="AI127" s="1284"/>
      <c r="AJ127" s="1284"/>
      <c r="AK127" s="1284"/>
      <c r="AL127" s="1284"/>
      <c r="AM127" s="1760"/>
      <c r="AN127" s="1284"/>
      <c r="AO127" s="1284"/>
      <c r="AP127" s="668"/>
      <c r="AQ127" s="1284"/>
      <c r="AR127" s="1284"/>
      <c r="AS127" s="1284"/>
      <c r="AT127" s="1284"/>
      <c r="AU127" s="1284"/>
      <c r="AV127" s="1756"/>
      <c r="AW127" s="690"/>
      <c r="AX127" s="690"/>
      <c r="AY127" s="690"/>
      <c r="AZ127" s="690"/>
      <c r="BA127" s="1765">
        <v>11</v>
      </c>
    </row>
    <row s="6292" customFormat="1" customHeight="1" ht="11.549999999999999">
      <c r="A128" s="1111"/>
      <c r="B128" s="1760"/>
      <c r="C128" s="1760"/>
      <c r="D128" s="475"/>
      <c r="J128" s="6292"/>
      <c r="K128" s="6292"/>
      <c r="L128" s="6292"/>
      <c r="M128" s="6292"/>
      <c r="N128" s="6292"/>
      <c r="O128" s="6292"/>
      <c r="P128" s="6292"/>
      <c r="Q128" s="6292"/>
      <c r="R128" s="6292"/>
      <c r="S128" s="6292"/>
      <c r="T128" s="6292"/>
      <c r="U128" s="6292"/>
      <c r="V128" s="6292"/>
      <c r="W128" s="6292"/>
      <c r="X128" s="6292"/>
      <c r="Y128" s="6292"/>
      <c r="Z128" s="6292"/>
      <c r="AA128" s="6292"/>
      <c r="AB128" s="6292"/>
      <c r="AC128" s="6292"/>
      <c r="AD128" s="6292"/>
      <c r="AF128" s="1284"/>
      <c r="AG128" s="1760"/>
      <c r="AH128" s="1760"/>
      <c r="AI128" s="1284"/>
      <c r="AJ128" s="1284"/>
      <c r="AK128" s="1284"/>
      <c r="AL128" s="1284"/>
      <c r="AM128" s="1760"/>
      <c r="AN128" s="1284"/>
      <c r="AO128" s="1284"/>
      <c r="AP128" s="668"/>
      <c r="AQ128" s="1284"/>
      <c r="AR128" s="1284"/>
      <c r="AS128" s="1284"/>
      <c r="AT128" s="1284"/>
      <c r="AU128" s="1284"/>
      <c r="AV128" s="1756"/>
      <c r="AW128" s="690"/>
      <c r="AX128" s="690"/>
      <c r="AY128" s="690"/>
      <c r="AZ128" s="690"/>
      <c r="BA128" s="1765">
        <v>11</v>
      </c>
    </row>
    <row s="6292" customFormat="1" customHeight="1" ht="11.549999999999999">
      <c r="A129" s="1111"/>
      <c r="B129" s="1760"/>
      <c r="C129" s="1760"/>
      <c r="D129" s="475"/>
      <c r="J129" s="6292"/>
      <c r="K129" s="6292"/>
      <c r="L129" s="6292"/>
      <c r="M129" s="6292"/>
      <c r="N129" s="6292"/>
      <c r="O129" s="6292"/>
      <c r="P129" s="6292"/>
      <c r="Q129" s="6292"/>
      <c r="R129" s="6292"/>
      <c r="S129" s="6292"/>
      <c r="T129" s="6292"/>
      <c r="U129" s="6292"/>
      <c r="V129" s="6292"/>
      <c r="W129" s="6292"/>
      <c r="X129" s="6292"/>
      <c r="Y129" s="6292"/>
      <c r="Z129" s="6292"/>
      <c r="AA129" s="6292"/>
      <c r="AB129" s="6292"/>
      <c r="AC129" s="6292"/>
      <c r="AD129" s="6292"/>
      <c r="AF129" s="1284"/>
      <c r="AG129" s="1760"/>
      <c r="AH129" s="1760"/>
      <c r="AI129" s="1284"/>
      <c r="AJ129" s="1284"/>
      <c r="AK129" s="1284"/>
      <c r="AL129" s="1284"/>
      <c r="AM129" s="1760"/>
      <c r="AN129" s="1284"/>
      <c r="AO129" s="1284"/>
      <c r="AP129" s="668"/>
      <c r="AQ129" s="1284"/>
      <c r="AR129" s="1284"/>
      <c r="AS129" s="1284"/>
      <c r="AT129" s="1284"/>
      <c r="AU129" s="1284"/>
      <c r="AV129" s="1756"/>
      <c r="AW129" s="690"/>
      <c r="AX129" s="690"/>
      <c r="AY129" s="690"/>
      <c r="AZ129" s="690"/>
      <c r="BA129" s="1765">
        <v>11</v>
      </c>
    </row>
    <row s="6292" customFormat="1" customHeight="1" ht="11.549999999999999">
      <c r="A130" s="1111"/>
      <c r="B130" s="1760"/>
      <c r="C130" s="1760"/>
      <c r="D130" s="475"/>
      <c r="J130" s="6292"/>
      <c r="K130" s="6292"/>
      <c r="L130" s="6292"/>
      <c r="M130" s="6292"/>
      <c r="N130" s="6292"/>
      <c r="O130" s="6292"/>
      <c r="P130" s="6292"/>
      <c r="Q130" s="6292"/>
      <c r="R130" s="6292"/>
      <c r="S130" s="6292"/>
      <c r="T130" s="6292"/>
      <c r="U130" s="6292"/>
      <c r="V130" s="6292"/>
      <c r="W130" s="6292"/>
      <c r="X130" s="6292"/>
      <c r="Y130" s="6292"/>
      <c r="Z130" s="6292"/>
      <c r="AA130" s="6292"/>
      <c r="AB130" s="6292"/>
      <c r="AC130" s="6292"/>
      <c r="AD130" s="6292"/>
      <c r="AF130" s="1284"/>
      <c r="AG130" s="1760"/>
      <c r="AH130" s="1760"/>
      <c r="AI130" s="1284"/>
      <c r="AJ130" s="1284"/>
      <c r="AK130" s="1284"/>
      <c r="AL130" s="1284"/>
      <c r="AM130" s="1760"/>
      <c r="AN130" s="1284"/>
      <c r="AO130" s="1284"/>
      <c r="AP130" s="668"/>
      <c r="AQ130" s="1284"/>
      <c r="AR130" s="1284"/>
      <c r="AS130" s="1284"/>
      <c r="AT130" s="1284"/>
      <c r="AU130" s="1284"/>
      <c r="AV130" s="1756"/>
      <c r="AW130" s="690"/>
      <c r="AX130" s="690"/>
      <c r="AY130" s="690"/>
      <c r="AZ130" s="690"/>
      <c r="BA130" s="1765">
        <v>11</v>
      </c>
    </row>
    <row s="6292" customFormat="1" customHeight="1" ht="11.549999999999999">
      <c r="A131" s="1111"/>
      <c r="B131" s="1760"/>
      <c r="C131" s="1760"/>
      <c r="D131" s="475"/>
      <c r="J131" s="6292"/>
      <c r="K131" s="6292"/>
      <c r="L131" s="6292"/>
      <c r="M131" s="6292"/>
      <c r="N131" s="6292"/>
      <c r="O131" s="6292"/>
      <c r="P131" s="6292"/>
      <c r="Q131" s="6292"/>
      <c r="R131" s="6292"/>
      <c r="S131" s="6292"/>
      <c r="T131" s="6292"/>
      <c r="U131" s="6292"/>
      <c r="V131" s="6292"/>
      <c r="W131" s="6292"/>
      <c r="X131" s="6292"/>
      <c r="Y131" s="6292"/>
      <c r="Z131" s="6292"/>
      <c r="AA131" s="6292"/>
      <c r="AB131" s="6292"/>
      <c r="AC131" s="6292"/>
      <c r="AD131" s="6292"/>
      <c r="AF131" s="1284"/>
      <c r="AG131" s="1760"/>
      <c r="AH131" s="1760"/>
      <c r="AI131" s="1284"/>
      <c r="AJ131" s="1284"/>
      <c r="AK131" s="1284"/>
      <c r="AL131" s="1284"/>
      <c r="AM131" s="1760"/>
      <c r="AN131" s="1284"/>
      <c r="AO131" s="1284"/>
      <c r="AP131" s="668"/>
      <c r="AQ131" s="1284"/>
      <c r="AR131" s="1284"/>
      <c r="AS131" s="1284"/>
      <c r="AT131" s="1284"/>
      <c r="AU131" s="1284"/>
      <c r="AV131" s="1756"/>
      <c r="AW131" s="690"/>
      <c r="AX131" s="690"/>
      <c r="AY131" s="690"/>
      <c r="AZ131" s="690"/>
      <c r="BA131" s="1765">
        <v>11</v>
      </c>
    </row>
    <row s="6292" customFormat="1" customHeight="1" ht="11.549999999999999">
      <c r="A132" s="1111"/>
      <c r="B132" s="1760"/>
      <c r="C132" s="1760"/>
      <c r="D132" s="475"/>
      <c r="J132" s="6292"/>
      <c r="K132" s="6292"/>
      <c r="L132" s="6292"/>
      <c r="M132" s="6292"/>
      <c r="N132" s="6292"/>
      <c r="O132" s="6292"/>
      <c r="P132" s="6292"/>
      <c r="Q132" s="6292"/>
      <c r="R132" s="6292"/>
      <c r="S132" s="6292"/>
      <c r="T132" s="6292"/>
      <c r="U132" s="6292"/>
      <c r="V132" s="6292"/>
      <c r="W132" s="6292"/>
      <c r="X132" s="6292"/>
      <c r="Y132" s="6292"/>
      <c r="Z132" s="6292"/>
      <c r="AA132" s="6292"/>
      <c r="AB132" s="6292"/>
      <c r="AC132" s="6292"/>
      <c r="AD132" s="6292"/>
      <c r="AF132" s="1284"/>
      <c r="AG132" s="1760"/>
      <c r="AH132" s="1760"/>
      <c r="AI132" s="1284"/>
      <c r="AJ132" s="1284"/>
      <c r="AK132" s="1284"/>
      <c r="AL132" s="1284"/>
      <c r="AM132" s="1760"/>
      <c r="AN132" s="1284"/>
      <c r="AO132" s="1284"/>
      <c r="AP132" s="668"/>
      <c r="AQ132" s="1284"/>
      <c r="AR132" s="1284"/>
      <c r="AS132" s="1284"/>
      <c r="AT132" s="1284"/>
      <c r="AU132" s="1284"/>
      <c r="AV132" s="1756"/>
      <c r="AW132" s="690"/>
      <c r="AX132" s="690"/>
      <c r="AY132" s="690"/>
      <c r="AZ132" s="690"/>
      <c r="BA132" s="1765">
        <v>11</v>
      </c>
    </row>
    <row s="6292" customFormat="1" customHeight="1" ht="11.549999999999999">
      <c r="A133" s="1111"/>
      <c r="B133" s="1760"/>
      <c r="C133" s="1760"/>
      <c r="D133" s="475"/>
      <c r="J133" s="6292"/>
      <c r="K133" s="6292"/>
      <c r="L133" s="6292"/>
      <c r="M133" s="6292"/>
      <c r="N133" s="6292"/>
      <c r="O133" s="6292"/>
      <c r="P133" s="6292"/>
      <c r="Q133" s="6292"/>
      <c r="R133" s="6292"/>
      <c r="S133" s="6292"/>
      <c r="T133" s="6292"/>
      <c r="U133" s="6292"/>
      <c r="V133" s="6292"/>
      <c r="W133" s="6292"/>
      <c r="X133" s="6292"/>
      <c r="Y133" s="6292"/>
      <c r="Z133" s="6292"/>
      <c r="AA133" s="6292"/>
      <c r="AB133" s="6292"/>
      <c r="AC133" s="6292"/>
      <c r="AD133" s="6292"/>
      <c r="AF133" s="1284"/>
      <c r="AG133" s="1760"/>
      <c r="AH133" s="1760"/>
      <c r="AI133" s="1284"/>
      <c r="AJ133" s="1284"/>
      <c r="AK133" s="1284"/>
      <c r="AL133" s="1284"/>
      <c r="AM133" s="1760"/>
      <c r="AN133" s="1284"/>
      <c r="AO133" s="1284"/>
      <c r="AP133" s="668"/>
      <c r="AQ133" s="1284"/>
      <c r="AR133" s="1284"/>
      <c r="AS133" s="1284"/>
      <c r="AT133" s="1284"/>
      <c r="AU133" s="1284"/>
      <c r="AV133" s="1756"/>
      <c r="AW133" s="690"/>
      <c r="AX133" s="690"/>
      <c r="AY133" s="690"/>
      <c r="AZ133" s="690"/>
      <c r="BA133" s="1765">
        <v>11</v>
      </c>
    </row>
    <row s="6292" customFormat="1" customHeight="1" ht="11.549999999999999">
      <c r="A134" s="1111"/>
      <c r="B134" s="1760"/>
      <c r="C134" s="1760"/>
      <c r="D134" s="475"/>
      <c r="J134" s="6292"/>
      <c r="K134" s="6292"/>
      <c r="L134" s="6292"/>
      <c r="M134" s="6292"/>
      <c r="N134" s="6292"/>
      <c r="O134" s="6292"/>
      <c r="P134" s="6292"/>
      <c r="Q134" s="6292"/>
      <c r="R134" s="6292"/>
      <c r="S134" s="6292"/>
      <c r="T134" s="6292"/>
      <c r="U134" s="6292"/>
      <c r="V134" s="6292"/>
      <c r="W134" s="6292"/>
      <c r="X134" s="6292"/>
      <c r="Y134" s="6292"/>
      <c r="Z134" s="6292"/>
      <c r="AA134" s="6292"/>
      <c r="AB134" s="6292"/>
      <c r="AC134" s="6292"/>
      <c r="AD134" s="6292"/>
      <c r="AF134" s="1284"/>
      <c r="AG134" s="1760"/>
      <c r="AH134" s="1760"/>
      <c r="AI134" s="1284"/>
      <c r="AJ134" s="1284"/>
      <c r="AK134" s="1284"/>
      <c r="AL134" s="1284"/>
      <c r="AM134" s="1760"/>
      <c r="AN134" s="1284"/>
      <c r="AO134" s="1284"/>
      <c r="AP134" s="668"/>
      <c r="AQ134" s="1284"/>
      <c r="AR134" s="1284"/>
      <c r="AS134" s="1284"/>
      <c r="AT134" s="1284"/>
      <c r="AU134" s="1284"/>
      <c r="AV134" s="1756"/>
      <c r="AW134" s="690"/>
      <c r="AX134" s="690"/>
      <c r="AY134" s="690"/>
      <c r="AZ134" s="690"/>
      <c r="BA134" s="1765">
        <v>11</v>
      </c>
    </row>
    <row s="6292" customFormat="1" customHeight="1" ht="11.549999999999999">
      <c r="A135" s="1111"/>
      <c r="B135" s="1760"/>
      <c r="C135" s="1760"/>
      <c r="D135" s="475"/>
      <c r="J135" s="6292"/>
      <c r="K135" s="6292"/>
      <c r="L135" s="6292"/>
      <c r="M135" s="6292"/>
      <c r="N135" s="6292"/>
      <c r="O135" s="6292"/>
      <c r="P135" s="6292"/>
      <c r="Q135" s="6292"/>
      <c r="R135" s="6292"/>
      <c r="S135" s="6292"/>
      <c r="T135" s="6292"/>
      <c r="U135" s="6292"/>
      <c r="V135" s="6292"/>
      <c r="W135" s="6292"/>
      <c r="X135" s="6292"/>
      <c r="Y135" s="6292"/>
      <c r="Z135" s="6292"/>
      <c r="AA135" s="6292"/>
      <c r="AB135" s="6292"/>
      <c r="AC135" s="6292"/>
      <c r="AD135" s="6292"/>
      <c r="AF135" s="1284"/>
      <c r="AG135" s="1760"/>
      <c r="AH135" s="1760"/>
      <c r="AI135" s="1284"/>
      <c r="AJ135" s="1284"/>
      <c r="AK135" s="1284"/>
      <c r="AL135" s="1284"/>
      <c r="AM135" s="1760"/>
      <c r="AN135" s="1284"/>
      <c r="AO135" s="1284"/>
      <c r="AP135" s="668"/>
      <c r="AQ135" s="1284"/>
      <c r="AR135" s="1284"/>
      <c r="AS135" s="1284"/>
      <c r="AT135" s="1284"/>
      <c r="AU135" s="1284"/>
      <c r="AV135" s="1756"/>
      <c r="AW135" s="690"/>
      <c r="AX135" s="690"/>
      <c r="AY135" s="690"/>
      <c r="AZ135" s="690"/>
      <c r="BA135" s="1765">
        <v>11</v>
      </c>
    </row>
    <row s="6292" customFormat="1" customHeight="1" ht="11.549999999999999">
      <c r="A136" s="1111"/>
      <c r="B136" s="1760"/>
      <c r="C136" s="1760"/>
      <c r="D136" s="475"/>
      <c r="J136" s="6292"/>
      <c r="K136" s="6292"/>
      <c r="L136" s="6292"/>
      <c r="M136" s="6292"/>
      <c r="N136" s="6292"/>
      <c r="O136" s="6292"/>
      <c r="P136" s="6292"/>
      <c r="Q136" s="6292"/>
      <c r="R136" s="6292"/>
      <c r="S136" s="6292"/>
      <c r="T136" s="6292"/>
      <c r="U136" s="6292"/>
      <c r="V136" s="6292"/>
      <c r="W136" s="6292"/>
      <c r="X136" s="6292"/>
      <c r="Y136" s="6292"/>
      <c r="Z136" s="6292"/>
      <c r="AA136" s="6292"/>
      <c r="AB136" s="6292"/>
      <c r="AC136" s="6292"/>
      <c r="AD136" s="6292"/>
      <c r="AF136" s="1284"/>
      <c r="AG136" s="1760"/>
      <c r="AH136" s="1760"/>
      <c r="AI136" s="1284"/>
      <c r="AJ136" s="1284"/>
      <c r="AK136" s="1284"/>
      <c r="AL136" s="1284"/>
      <c r="AM136" s="1760"/>
      <c r="AN136" s="1284"/>
      <c r="AO136" s="1284"/>
      <c r="AP136" s="668"/>
      <c r="AQ136" s="1284"/>
      <c r="AR136" s="1284"/>
      <c r="AS136" s="1284"/>
      <c r="AT136" s="1284"/>
      <c r="AU136" s="1284"/>
      <c r="AV136" s="1756"/>
      <c r="AW136" s="690"/>
      <c r="AX136" s="690"/>
      <c r="AY136" s="690"/>
      <c r="AZ136" s="690"/>
      <c r="BA136" s="1765">
        <v>11</v>
      </c>
    </row>
    <row s="6292" customFormat="1" customHeight="1" ht="11.549999999999999">
      <c r="A137" s="1111"/>
      <c r="B137" s="1760"/>
      <c r="C137" s="1760"/>
      <c r="D137" s="475"/>
      <c r="J137" s="6292"/>
      <c r="K137" s="6292"/>
      <c r="L137" s="6292"/>
      <c r="M137" s="6292"/>
      <c r="N137" s="6292"/>
      <c r="O137" s="6292"/>
      <c r="P137" s="6292"/>
      <c r="Q137" s="6292"/>
      <c r="R137" s="6292"/>
      <c r="S137" s="6292"/>
      <c r="T137" s="6292"/>
      <c r="U137" s="6292"/>
      <c r="V137" s="6292"/>
      <c r="W137" s="6292"/>
      <c r="X137" s="6292"/>
      <c r="Y137" s="6292"/>
      <c r="Z137" s="6292"/>
      <c r="AA137" s="6292"/>
      <c r="AB137" s="6292"/>
      <c r="AC137" s="6292"/>
      <c r="AD137" s="6292"/>
      <c r="AF137" s="1284"/>
      <c r="AG137" s="1760"/>
      <c r="AH137" s="1760"/>
      <c r="AI137" s="1284"/>
      <c r="AJ137" s="1284"/>
      <c r="AK137" s="1284"/>
      <c r="AL137" s="1284"/>
      <c r="AM137" s="1760"/>
      <c r="AN137" s="1284"/>
      <c r="AO137" s="1284"/>
      <c r="AP137" s="668"/>
      <c r="AQ137" s="1284"/>
      <c r="AR137" s="1284"/>
      <c r="AS137" s="1284"/>
      <c r="AT137" s="1284"/>
      <c r="AU137" s="1284"/>
      <c r="AV137" s="1756"/>
      <c r="AW137" s="690"/>
      <c r="AX137" s="690"/>
      <c r="AY137" s="690"/>
      <c r="AZ137" s="690"/>
      <c r="BA137" s="1765">
        <v>11</v>
      </c>
    </row>
    <row s="6292" customFormat="1" customHeight="1" ht="11.549999999999999">
      <c r="A138" s="1111"/>
      <c r="B138" s="1760"/>
      <c r="C138" s="1760"/>
      <c r="D138" s="475"/>
      <c r="J138" s="6292"/>
      <c r="K138" s="6292"/>
      <c r="L138" s="6292"/>
      <c r="M138" s="6292"/>
      <c r="N138" s="6292"/>
      <c r="O138" s="6292"/>
      <c r="P138" s="6292"/>
      <c r="Q138" s="6292"/>
      <c r="R138" s="6292"/>
      <c r="S138" s="6292"/>
      <c r="T138" s="6292"/>
      <c r="U138" s="6292"/>
      <c r="V138" s="6292"/>
      <c r="W138" s="6292"/>
      <c r="X138" s="6292"/>
      <c r="Y138" s="6292"/>
      <c r="Z138" s="6292"/>
      <c r="AA138" s="6292"/>
      <c r="AB138" s="6292"/>
      <c r="AC138" s="6292"/>
      <c r="AD138" s="6292"/>
      <c r="AF138" s="1284"/>
      <c r="AG138" s="1760"/>
      <c r="AH138" s="1760"/>
      <c r="AI138" s="1284"/>
      <c r="AJ138" s="1284"/>
      <c r="AK138" s="1284"/>
      <c r="AL138" s="1284"/>
      <c r="AM138" s="1760"/>
      <c r="AN138" s="1284"/>
      <c r="AO138" s="1284"/>
      <c r="AP138" s="668"/>
      <c r="AQ138" s="1284"/>
      <c r="AR138" s="1284"/>
      <c r="AS138" s="1284"/>
      <c r="AT138" s="1284"/>
      <c r="AU138" s="1284"/>
      <c r="AV138" s="1756"/>
      <c r="AW138" s="690"/>
      <c r="AX138" s="690"/>
      <c r="AY138" s="690"/>
      <c r="AZ138" s="690"/>
      <c r="BA138" s="1765">
        <v>11</v>
      </c>
    </row>
    <row s="6292" customFormat="1" customHeight="1" ht="11.549999999999999">
      <c r="A139" s="1111"/>
      <c r="B139" s="1760"/>
      <c r="C139" s="1760"/>
      <c r="D139" s="475"/>
      <c r="J139" s="6292"/>
      <c r="K139" s="6292"/>
      <c r="L139" s="6292"/>
      <c r="M139" s="6292"/>
      <c r="N139" s="6292"/>
      <c r="O139" s="6292"/>
      <c r="P139" s="6292"/>
      <c r="Q139" s="6292"/>
      <c r="R139" s="6292"/>
      <c r="S139" s="6292"/>
      <c r="T139" s="6292"/>
      <c r="U139" s="6292"/>
      <c r="V139" s="6292"/>
      <c r="W139" s="6292"/>
      <c r="X139" s="6292"/>
      <c r="Y139" s="6292"/>
      <c r="Z139" s="6292"/>
      <c r="AA139" s="6292"/>
      <c r="AB139" s="6292"/>
      <c r="AC139" s="6292"/>
      <c r="AD139" s="6292"/>
      <c r="AF139" s="1284"/>
      <c r="AG139" s="1760"/>
      <c r="AH139" s="1760"/>
      <c r="AI139" s="1284"/>
      <c r="AJ139" s="1284"/>
      <c r="AK139" s="1284"/>
      <c r="AL139" s="1284"/>
      <c r="AM139" s="1760"/>
      <c r="AN139" s="1284"/>
      <c r="AO139" s="1284"/>
      <c r="AP139" s="668"/>
      <c r="AQ139" s="1284"/>
      <c r="AR139" s="1284"/>
      <c r="AS139" s="1284"/>
      <c r="AT139" s="1284"/>
      <c r="AU139" s="1284"/>
      <c r="AV139" s="1756"/>
      <c r="AW139" s="690"/>
      <c r="AX139" s="690"/>
      <c r="AY139" s="690"/>
      <c r="AZ139" s="690"/>
      <c r="BA139" s="1765">
        <v>11</v>
      </c>
    </row>
    <row s="6292" customFormat="1" customHeight="1" ht="11.549999999999999">
      <c r="A140" s="1111"/>
      <c r="B140" s="1760"/>
      <c r="C140" s="1760"/>
      <c r="D140" s="475"/>
      <c r="J140" s="6292"/>
      <c r="K140" s="6292"/>
      <c r="L140" s="6292"/>
      <c r="M140" s="6292"/>
      <c r="N140" s="6292"/>
      <c r="O140" s="6292"/>
      <c r="P140" s="6292"/>
      <c r="Q140" s="6292"/>
      <c r="R140" s="6292"/>
      <c r="S140" s="6292"/>
      <c r="T140" s="6292"/>
      <c r="U140" s="6292"/>
      <c r="V140" s="6292"/>
      <c r="W140" s="6292"/>
      <c r="X140" s="6292"/>
      <c r="Y140" s="6292"/>
      <c r="Z140" s="6292"/>
      <c r="AA140" s="6292"/>
      <c r="AB140" s="6292"/>
      <c r="AC140" s="6292"/>
      <c r="AD140" s="6292"/>
      <c r="AF140" s="1284"/>
      <c r="AG140" s="1760"/>
      <c r="AH140" s="1760"/>
      <c r="AI140" s="1284"/>
      <c r="AJ140" s="1284"/>
      <c r="AK140" s="1284"/>
      <c r="AL140" s="1284"/>
      <c r="AM140" s="1760"/>
      <c r="AN140" s="1284"/>
      <c r="AO140" s="1284"/>
      <c r="AP140" s="668"/>
      <c r="AQ140" s="1284"/>
      <c r="AR140" s="1284"/>
      <c r="AS140" s="1284"/>
      <c r="AT140" s="1284"/>
      <c r="AU140" s="1284"/>
      <c r="AV140" s="1756"/>
      <c r="AW140" s="690"/>
      <c r="AX140" s="690"/>
      <c r="AY140" s="690"/>
      <c r="AZ140" s="690"/>
      <c r="BA140" s="1765">
        <v>11</v>
      </c>
    </row>
    <row s="6292" customFormat="1" customHeight="1" ht="11.549999999999999">
      <c r="A141" s="1111"/>
      <c r="B141" s="1760"/>
      <c r="C141" s="1760"/>
      <c r="D141" s="475"/>
      <c r="J141" s="6292"/>
      <c r="K141" s="6292"/>
      <c r="L141" s="6292"/>
      <c r="M141" s="6292"/>
      <c r="N141" s="6292"/>
      <c r="O141" s="6292"/>
      <c r="P141" s="6292"/>
      <c r="Q141" s="6292"/>
      <c r="R141" s="6292"/>
      <c r="S141" s="6292"/>
      <c r="T141" s="6292"/>
      <c r="U141" s="6292"/>
      <c r="V141" s="6292"/>
      <c r="W141" s="6292"/>
      <c r="X141" s="6292"/>
      <c r="Y141" s="6292"/>
      <c r="Z141" s="6292"/>
      <c r="AA141" s="6292"/>
      <c r="AB141" s="6292"/>
      <c r="AC141" s="6292"/>
      <c r="AD141" s="6292"/>
      <c r="AF141" s="1284"/>
      <c r="AG141" s="1760"/>
      <c r="AH141" s="1760"/>
      <c r="AI141" s="1284"/>
      <c r="AJ141" s="1284"/>
      <c r="AK141" s="1284"/>
      <c r="AL141" s="1284"/>
      <c r="AM141" s="1760"/>
      <c r="AN141" s="1284"/>
      <c r="AO141" s="1284"/>
      <c r="AP141" s="668"/>
      <c r="AQ141" s="1284"/>
      <c r="AR141" s="1284"/>
      <c r="AS141" s="1284"/>
      <c r="AT141" s="1284"/>
      <c r="AU141" s="1284"/>
      <c r="AV141" s="1756"/>
      <c r="AW141" s="690"/>
      <c r="AX141" s="690"/>
      <c r="AY141" s="690"/>
      <c r="AZ141" s="690"/>
      <c r="BA141" s="1765">
        <v>11</v>
      </c>
    </row>
    <row s="6292" customFormat="1" customHeight="1" ht="11.549999999999999">
      <c r="A142" s="1111"/>
      <c r="B142" s="1760"/>
      <c r="C142" s="1760"/>
      <c r="D142" s="475"/>
      <c r="J142" s="6292"/>
      <c r="K142" s="6292"/>
      <c r="L142" s="6292"/>
      <c r="M142" s="6292"/>
      <c r="N142" s="6292"/>
      <c r="O142" s="6292"/>
      <c r="P142" s="6292"/>
      <c r="Q142" s="6292"/>
      <c r="R142" s="6292"/>
      <c r="S142" s="6292"/>
      <c r="T142" s="6292"/>
      <c r="U142" s="6292"/>
      <c r="V142" s="6292"/>
      <c r="W142" s="6292"/>
      <c r="X142" s="6292"/>
      <c r="Y142" s="6292"/>
      <c r="Z142" s="6292"/>
      <c r="AA142" s="6292"/>
      <c r="AB142" s="6292"/>
      <c r="AC142" s="6292"/>
      <c r="AD142" s="6292"/>
      <c r="AF142" s="1284"/>
      <c r="AG142" s="1760"/>
      <c r="AH142" s="1760"/>
      <c r="AI142" s="1284"/>
      <c r="AJ142" s="1284"/>
      <c r="AK142" s="1284"/>
      <c r="AL142" s="1284"/>
      <c r="AM142" s="1760"/>
      <c r="AN142" s="1284"/>
      <c r="AO142" s="1284"/>
      <c r="AP142" s="668"/>
      <c r="AQ142" s="1284"/>
      <c r="AR142" s="1284"/>
      <c r="AS142" s="1284"/>
      <c r="AT142" s="1284"/>
      <c r="AU142" s="1284"/>
      <c r="AV142" s="1756"/>
      <c r="AW142" s="690"/>
      <c r="AX142" s="690"/>
      <c r="AY142" s="690"/>
      <c r="AZ142" s="690"/>
      <c r="BA142" s="1765">
        <v>11</v>
      </c>
    </row>
    <row s="6292" customFormat="1" customHeight="1" ht="11.549999999999999">
      <c r="A143" s="1111"/>
      <c r="B143" s="1760"/>
      <c r="C143" s="1760"/>
      <c r="D143" s="475"/>
      <c r="J143" s="6292"/>
      <c r="K143" s="6292"/>
      <c r="L143" s="6292"/>
      <c r="M143" s="6292"/>
      <c r="N143" s="6292"/>
      <c r="O143" s="6292"/>
      <c r="P143" s="6292"/>
      <c r="Q143" s="6292"/>
      <c r="R143" s="6292"/>
      <c r="S143" s="6292"/>
      <c r="T143" s="6292"/>
      <c r="U143" s="6292"/>
      <c r="V143" s="6292"/>
      <c r="W143" s="6292"/>
      <c r="X143" s="6292"/>
      <c r="Y143" s="6292"/>
      <c r="Z143" s="6292"/>
      <c r="AA143" s="6292"/>
      <c r="AB143" s="6292"/>
      <c r="AC143" s="6292"/>
      <c r="AD143" s="6292"/>
      <c r="AF143" s="1284"/>
      <c r="AG143" s="1760"/>
      <c r="AH143" s="1760"/>
      <c r="AI143" s="1284"/>
      <c r="AJ143" s="1284"/>
      <c r="AK143" s="1284"/>
      <c r="AL143" s="1284"/>
      <c r="AM143" s="1760"/>
      <c r="AN143" s="1284"/>
      <c r="AO143" s="1284"/>
      <c r="AP143" s="668"/>
      <c r="AQ143" s="1284"/>
      <c r="AR143" s="1284"/>
      <c r="AS143" s="1284"/>
      <c r="AT143" s="1284"/>
      <c r="AU143" s="1284"/>
      <c r="AV143" s="1756"/>
      <c r="AW143" s="690"/>
      <c r="AX143" s="690"/>
      <c r="AY143" s="690"/>
      <c r="AZ143" s="690"/>
      <c r="BA143" s="1765">
        <v>11</v>
      </c>
    </row>
    <row s="6292" customFormat="1" customHeight="1" ht="11.549999999999999">
      <c r="A144" s="1111"/>
      <c r="B144" s="1760"/>
      <c r="C144" s="1760"/>
      <c r="D144" s="475"/>
      <c r="J144" s="6292"/>
      <c r="K144" s="6292"/>
      <c r="L144" s="6292"/>
      <c r="M144" s="6292"/>
      <c r="N144" s="6292"/>
      <c r="O144" s="6292"/>
      <c r="P144" s="6292"/>
      <c r="Q144" s="6292"/>
      <c r="R144" s="6292"/>
      <c r="S144" s="6292"/>
      <c r="T144" s="6292"/>
      <c r="U144" s="6292"/>
      <c r="V144" s="6292"/>
      <c r="W144" s="6292"/>
      <c r="X144" s="6292"/>
      <c r="Y144" s="6292"/>
      <c r="Z144" s="6292"/>
      <c r="AA144" s="6292"/>
      <c r="AB144" s="6292"/>
      <c r="AC144" s="6292"/>
      <c r="AD144" s="6292"/>
      <c r="AF144" s="1284"/>
      <c r="AG144" s="1760"/>
      <c r="AH144" s="1760"/>
      <c r="AI144" s="1284"/>
      <c r="AJ144" s="1284"/>
      <c r="AK144" s="1284"/>
      <c r="AL144" s="1284"/>
      <c r="AM144" s="1760"/>
      <c r="AN144" s="1284"/>
      <c r="AO144" s="1284"/>
      <c r="AP144" s="668"/>
      <c r="AQ144" s="1284"/>
      <c r="AR144" s="1284"/>
      <c r="AS144" s="1284"/>
      <c r="AT144" s="1284"/>
      <c r="AU144" s="1284"/>
      <c r="AV144" s="1756"/>
      <c r="AW144" s="690"/>
      <c r="AX144" s="690"/>
      <c r="AY144" s="690"/>
      <c r="AZ144" s="690"/>
      <c r="BA144" s="1765">
        <v>11</v>
      </c>
    </row>
    <row s="6292" customFormat="1" customHeight="1" ht="11.549999999999999">
      <c r="A145" s="1111"/>
      <c r="B145" s="1760"/>
      <c r="C145" s="1760"/>
      <c r="D145" s="475"/>
      <c r="J145" s="6292"/>
      <c r="K145" s="6292"/>
      <c r="L145" s="6292"/>
      <c r="M145" s="6292"/>
      <c r="N145" s="6292"/>
      <c r="O145" s="6292"/>
      <c r="P145" s="6292"/>
      <c r="Q145" s="6292"/>
      <c r="R145" s="6292"/>
      <c r="S145" s="6292"/>
      <c r="T145" s="6292"/>
      <c r="U145" s="6292"/>
      <c r="V145" s="6292"/>
      <c r="W145" s="6292"/>
      <c r="X145" s="6292"/>
      <c r="Y145" s="6292"/>
      <c r="Z145" s="6292"/>
      <c r="AA145" s="6292"/>
      <c r="AB145" s="6292"/>
      <c r="AC145" s="6292"/>
      <c r="AD145" s="6292"/>
      <c r="AF145" s="1284"/>
      <c r="AG145" s="1760"/>
      <c r="AH145" s="1760"/>
      <c r="AI145" s="1284"/>
      <c r="AJ145" s="1284"/>
      <c r="AK145" s="1284"/>
      <c r="AL145" s="1284"/>
      <c r="AM145" s="1760"/>
      <c r="AN145" s="1284"/>
      <c r="AO145" s="1284"/>
      <c r="AP145" s="668"/>
      <c r="AQ145" s="1284"/>
      <c r="AR145" s="1284"/>
      <c r="AS145" s="1284"/>
      <c r="AT145" s="1284"/>
      <c r="AU145" s="1284"/>
      <c r="AV145" s="1756"/>
      <c r="AW145" s="690"/>
      <c r="AX145" s="690"/>
      <c r="AY145" s="690"/>
      <c r="AZ145" s="690"/>
      <c r="BA145" s="1765">
        <v>11</v>
      </c>
    </row>
    <row s="6292" customFormat="1" customHeight="1" ht="11.549999999999999">
      <c r="A146" s="1111"/>
      <c r="B146" s="1760"/>
      <c r="C146" s="1760"/>
      <c r="D146" s="475"/>
      <c r="J146" s="6292"/>
      <c r="K146" s="6292"/>
      <c r="L146" s="6292"/>
      <c r="M146" s="6292"/>
      <c r="N146" s="6292"/>
      <c r="O146" s="6292"/>
      <c r="P146" s="6292"/>
      <c r="Q146" s="6292"/>
      <c r="R146" s="6292"/>
      <c r="S146" s="6292"/>
      <c r="T146" s="6292"/>
      <c r="U146" s="6292"/>
      <c r="V146" s="6292"/>
      <c r="W146" s="6292"/>
      <c r="X146" s="6292"/>
      <c r="Y146" s="6292"/>
      <c r="Z146" s="6292"/>
      <c r="AA146" s="6292"/>
      <c r="AB146" s="6292"/>
      <c r="AC146" s="6292"/>
      <c r="AD146" s="6292"/>
      <c r="AF146" s="1284"/>
      <c r="AG146" s="1760"/>
      <c r="AH146" s="1760"/>
      <c r="AI146" s="1284"/>
      <c r="AJ146" s="1284"/>
      <c r="AK146" s="1284"/>
      <c r="AL146" s="1284"/>
      <c r="AM146" s="1760"/>
      <c r="AN146" s="1284"/>
      <c r="AO146" s="1284"/>
      <c r="AP146" s="668"/>
      <c r="AQ146" s="1284"/>
      <c r="AR146" s="1284"/>
      <c r="AS146" s="1284"/>
      <c r="AT146" s="1284"/>
      <c r="AU146" s="1284"/>
      <c r="AV146" s="1756"/>
      <c r="AW146" s="690"/>
      <c r="AX146" s="690"/>
      <c r="AY146" s="690"/>
      <c r="AZ146" s="690"/>
      <c r="BA146" s="1765">
        <v>11</v>
      </c>
    </row>
    <row s="6292" customFormat="1" customHeight="1" ht="11.549999999999999">
      <c r="A147" s="1111"/>
      <c r="B147" s="1760"/>
      <c r="C147" s="1760"/>
      <c r="D147" s="475"/>
      <c r="J147" s="6292"/>
      <c r="K147" s="6292"/>
      <c r="L147" s="6292"/>
      <c r="M147" s="6292"/>
      <c r="N147" s="6292"/>
      <c r="O147" s="6292"/>
      <c r="P147" s="6292"/>
      <c r="Q147" s="6292"/>
      <c r="R147" s="6292"/>
      <c r="S147" s="6292"/>
      <c r="T147" s="6292"/>
      <c r="U147" s="6292"/>
      <c r="V147" s="6292"/>
      <c r="W147" s="6292"/>
      <c r="X147" s="6292"/>
      <c r="Y147" s="6292"/>
      <c r="Z147" s="6292"/>
      <c r="AA147" s="6292"/>
      <c r="AB147" s="6292"/>
      <c r="AC147" s="6292"/>
      <c r="AD147" s="6292"/>
      <c r="AF147" s="1284"/>
      <c r="AG147" s="1760"/>
      <c r="AH147" s="1760"/>
      <c r="AI147" s="1284"/>
      <c r="AJ147" s="1284"/>
      <c r="AK147" s="1284"/>
      <c r="AL147" s="1284"/>
      <c r="AM147" s="1760"/>
      <c r="AN147" s="1284"/>
      <c r="AO147" s="1284"/>
      <c r="AP147" s="668"/>
      <c r="AQ147" s="1284"/>
      <c r="AR147" s="1284"/>
      <c r="AS147" s="1284"/>
      <c r="AT147" s="1284"/>
      <c r="AU147" s="1284"/>
      <c r="AV147" s="1756"/>
      <c r="AW147" s="690"/>
      <c r="AX147" s="690"/>
      <c r="AY147" s="690"/>
      <c r="AZ147" s="690"/>
      <c r="BA147" s="1765">
        <v>11</v>
      </c>
    </row>
    <row s="6292" customFormat="1" customHeight="1" ht="11.549999999999999">
      <c r="A148" s="1111"/>
      <c r="B148" s="1760"/>
      <c r="C148" s="1760"/>
      <c r="D148" s="475"/>
      <c r="J148" s="6292"/>
      <c r="K148" s="6292"/>
      <c r="L148" s="6292"/>
      <c r="M148" s="6292"/>
      <c r="N148" s="6292"/>
      <c r="O148" s="6292"/>
      <c r="P148" s="6292"/>
      <c r="Q148" s="6292"/>
      <c r="R148" s="6292"/>
      <c r="S148" s="6292"/>
      <c r="T148" s="6292"/>
      <c r="U148" s="6292"/>
      <c r="V148" s="6292"/>
      <c r="W148" s="6292"/>
      <c r="X148" s="6292"/>
      <c r="Y148" s="6292"/>
      <c r="Z148" s="6292"/>
      <c r="AA148" s="6292"/>
      <c r="AB148" s="6292"/>
      <c r="AC148" s="6292"/>
      <c r="AD148" s="6292"/>
      <c r="AF148" s="1284"/>
      <c r="AG148" s="1760"/>
      <c r="AH148" s="1760"/>
      <c r="AI148" s="1284"/>
      <c r="AJ148" s="1284"/>
      <c r="AK148" s="1284"/>
      <c r="AL148" s="1284"/>
      <c r="AM148" s="1760"/>
      <c r="AN148" s="1284"/>
      <c r="AO148" s="1284"/>
      <c r="AP148" s="668"/>
      <c r="AQ148" s="1284"/>
      <c r="AR148" s="1284"/>
      <c r="AS148" s="1284"/>
      <c r="AT148" s="1284"/>
      <c r="AU148" s="1284"/>
      <c r="AV148" s="1756"/>
      <c r="AW148" s="690"/>
      <c r="AX148" s="690"/>
      <c r="AY148" s="690"/>
      <c r="AZ148" s="690"/>
      <c r="BA148" s="1765">
        <v>11</v>
      </c>
    </row>
    <row s="6292" customFormat="1" customHeight="1" ht="11.549999999999999">
      <c r="A149" s="1111"/>
      <c r="B149" s="1760"/>
      <c r="C149" s="1760"/>
      <c r="D149" s="475"/>
      <c r="J149" s="6292"/>
      <c r="K149" s="6292"/>
      <c r="L149" s="6292"/>
      <c r="M149" s="6292"/>
      <c r="N149" s="6292"/>
      <c r="O149" s="6292"/>
      <c r="P149" s="6292"/>
      <c r="Q149" s="6292"/>
      <c r="R149" s="6292"/>
      <c r="S149" s="6292"/>
      <c r="T149" s="6292"/>
      <c r="U149" s="6292"/>
      <c r="V149" s="6292"/>
      <c r="W149" s="6292"/>
      <c r="X149" s="6292"/>
      <c r="Y149" s="6292"/>
      <c r="Z149" s="6292"/>
      <c r="AA149" s="6292"/>
      <c r="AB149" s="6292"/>
      <c r="AC149" s="6292"/>
      <c r="AD149" s="6292"/>
      <c r="AF149" s="1284"/>
      <c r="AG149" s="1760"/>
      <c r="AH149" s="1760"/>
      <c r="AI149" s="1284"/>
      <c r="AJ149" s="1284"/>
      <c r="AK149" s="1284"/>
      <c r="AL149" s="1284"/>
      <c r="AM149" s="1760"/>
      <c r="AN149" s="1284"/>
      <c r="AO149" s="1284"/>
      <c r="AP149" s="668"/>
      <c r="AQ149" s="1284"/>
      <c r="AR149" s="1284"/>
      <c r="AS149" s="1284"/>
      <c r="AT149" s="1284"/>
      <c r="AU149" s="1284"/>
      <c r="AV149" s="1756"/>
      <c r="AW149" s="690"/>
      <c r="AX149" s="690"/>
      <c r="AY149" s="690"/>
      <c r="AZ149" s="690"/>
      <c r="BA149" s="1765">
        <v>11</v>
      </c>
    </row>
    <row s="6292" customFormat="1" customHeight="1" ht="11.549999999999999">
      <c r="A150" s="1111"/>
      <c r="B150" s="1760"/>
      <c r="C150" s="1760"/>
      <c r="D150" s="475"/>
      <c r="J150" s="6292"/>
      <c r="K150" s="6292"/>
      <c r="L150" s="6292"/>
      <c r="M150" s="6292"/>
      <c r="N150" s="6292"/>
      <c r="O150" s="6292"/>
      <c r="P150" s="6292"/>
      <c r="Q150" s="6292"/>
      <c r="R150" s="6292"/>
      <c r="S150" s="6292"/>
      <c r="T150" s="6292"/>
      <c r="U150" s="6292"/>
      <c r="V150" s="6292"/>
      <c r="W150" s="6292"/>
      <c r="X150" s="6292"/>
      <c r="Y150" s="6292"/>
      <c r="Z150" s="6292"/>
      <c r="AA150" s="6292"/>
      <c r="AB150" s="6292"/>
      <c r="AC150" s="6292"/>
      <c r="AD150" s="6292"/>
      <c r="AF150" s="1284"/>
      <c r="AG150" s="1760"/>
      <c r="AH150" s="1760"/>
      <c r="AI150" s="1284"/>
      <c r="AJ150" s="1284"/>
      <c r="AK150" s="1284"/>
      <c r="AL150" s="1284"/>
      <c r="AM150" s="1760"/>
      <c r="AN150" s="1284"/>
      <c r="AO150" s="1284"/>
      <c r="AP150" s="668"/>
      <c r="AQ150" s="1284"/>
      <c r="AR150" s="1284"/>
      <c r="AS150" s="1284"/>
      <c r="AT150" s="1284"/>
      <c r="AU150" s="1284"/>
      <c r="AV150" s="1756"/>
      <c r="AW150" s="690"/>
      <c r="AX150" s="690"/>
      <c r="AY150" s="690"/>
      <c r="AZ150" s="690"/>
      <c r="BA150" s="1765">
        <v>11</v>
      </c>
    </row>
    <row s="6292" customFormat="1" customHeight="1" ht="11.549999999999999">
      <c r="A151" s="1111"/>
      <c r="B151" s="1760"/>
      <c r="C151" s="1760"/>
      <c r="D151" s="475"/>
      <c r="J151" s="6292"/>
      <c r="K151" s="6292"/>
      <c r="L151" s="6292"/>
      <c r="M151" s="6292"/>
      <c r="N151" s="6292"/>
      <c r="O151" s="6292"/>
      <c r="P151" s="6292"/>
      <c r="Q151" s="6292"/>
      <c r="R151" s="6292"/>
      <c r="S151" s="6292"/>
      <c r="T151" s="6292"/>
      <c r="U151" s="6292"/>
      <c r="V151" s="6292"/>
      <c r="W151" s="6292"/>
      <c r="X151" s="6292"/>
      <c r="Y151" s="6292"/>
      <c r="Z151" s="6292"/>
      <c r="AA151" s="6292"/>
      <c r="AB151" s="6292"/>
      <c r="AC151" s="6292"/>
      <c r="AD151" s="6292"/>
      <c r="AF151" s="1284"/>
      <c r="AG151" s="1760"/>
      <c r="AH151" s="1760"/>
      <c r="AI151" s="1284"/>
      <c r="AJ151" s="1284"/>
      <c r="AK151" s="1284"/>
      <c r="AL151" s="1284"/>
      <c r="AM151" s="1760"/>
      <c r="AN151" s="1284"/>
      <c r="AO151" s="1284"/>
      <c r="AP151" s="668"/>
      <c r="AQ151" s="1284"/>
      <c r="AR151" s="1284"/>
      <c r="AS151" s="1284"/>
      <c r="AT151" s="1284"/>
      <c r="AU151" s="1284"/>
      <c r="AV151" s="1756"/>
      <c r="AW151" s="690"/>
      <c r="AX151" s="690"/>
      <c r="AY151" s="690"/>
      <c r="AZ151" s="690"/>
      <c r="BA151" s="1765">
        <v>11</v>
      </c>
    </row>
    <row s="6292" customFormat="1" customHeight="1" ht="11.549999999999999">
      <c r="A152" s="1111"/>
      <c r="B152" s="1760"/>
      <c r="C152" s="1760"/>
      <c r="D152" s="475"/>
      <c r="J152" s="6292"/>
      <c r="K152" s="6292"/>
      <c r="L152" s="6292"/>
      <c r="M152" s="6292"/>
      <c r="N152" s="6292"/>
      <c r="O152" s="6292"/>
      <c r="P152" s="6292"/>
      <c r="Q152" s="6292"/>
      <c r="R152" s="6292"/>
      <c r="S152" s="6292"/>
      <c r="T152" s="6292"/>
      <c r="U152" s="6292"/>
      <c r="V152" s="6292"/>
      <c r="W152" s="6292"/>
      <c r="X152" s="6292"/>
      <c r="Y152" s="6292"/>
      <c r="Z152" s="6292"/>
      <c r="AA152" s="6292"/>
      <c r="AB152" s="6292"/>
      <c r="AC152" s="6292"/>
      <c r="AD152" s="6292"/>
      <c r="AF152" s="1284"/>
      <c r="AG152" s="1760"/>
      <c r="AH152" s="1760"/>
      <c r="AI152" s="1284"/>
      <c r="AJ152" s="1284"/>
      <c r="AK152" s="1284"/>
      <c r="AL152" s="1284"/>
      <c r="AM152" s="1760"/>
      <c r="AN152" s="1284"/>
      <c r="AO152" s="1284"/>
      <c r="AP152" s="668"/>
      <c r="AQ152" s="1284"/>
      <c r="AR152" s="1284"/>
      <c r="AS152" s="1284"/>
      <c r="AT152" s="1284"/>
      <c r="AU152" s="1284"/>
      <c r="AV152" s="1756"/>
      <c r="AW152" s="690"/>
      <c r="AX152" s="690"/>
      <c r="AY152" s="690"/>
      <c r="AZ152" s="690"/>
      <c r="BA152" s="1765">
        <v>11</v>
      </c>
    </row>
    <row s="6292" customFormat="1" customHeight="1" ht="11.549999999999999">
      <c r="A153" s="1111"/>
      <c r="B153" s="1760"/>
      <c r="C153" s="1760"/>
      <c r="D153" s="475"/>
      <c r="J153" s="6292"/>
      <c r="K153" s="6292"/>
      <c r="L153" s="6292"/>
      <c r="M153" s="6292"/>
      <c r="N153" s="6292"/>
      <c r="O153" s="6292"/>
      <c r="P153" s="6292"/>
      <c r="Q153" s="6292"/>
      <c r="R153" s="6292"/>
      <c r="S153" s="6292"/>
      <c r="T153" s="6292"/>
      <c r="U153" s="6292"/>
      <c r="V153" s="6292"/>
      <c r="W153" s="6292"/>
      <c r="X153" s="6292"/>
      <c r="Y153" s="6292"/>
      <c r="Z153" s="6292"/>
      <c r="AA153" s="6292"/>
      <c r="AB153" s="6292"/>
      <c r="AC153" s="6292"/>
      <c r="AD153" s="6292"/>
      <c r="AF153" s="1284"/>
      <c r="AG153" s="1760"/>
      <c r="AH153" s="1760"/>
      <c r="AI153" s="1284"/>
      <c r="AJ153" s="1284"/>
      <c r="AK153" s="1284"/>
      <c r="AL153" s="1284"/>
      <c r="AM153" s="1760"/>
      <c r="AN153" s="1284"/>
      <c r="AO153" s="1284"/>
      <c r="AP153" s="668"/>
      <c r="AQ153" s="1284"/>
      <c r="AR153" s="1284"/>
      <c r="AS153" s="1284"/>
      <c r="AT153" s="1284"/>
      <c r="AU153" s="1284"/>
      <c r="AV153" s="1756"/>
      <c r="AW153" s="690"/>
      <c r="AX153" s="690"/>
      <c r="AY153" s="690"/>
      <c r="AZ153" s="690"/>
      <c r="BA153" s="1765">
        <v>11</v>
      </c>
    </row>
    <row s="6292" customFormat="1" customHeight="1" ht="11.549999999999999">
      <c r="A154" s="1111"/>
      <c r="B154" s="1760"/>
      <c r="C154" s="1760"/>
      <c r="D154" s="475"/>
      <c r="J154" s="6292"/>
      <c r="K154" s="6292"/>
      <c r="L154" s="6292"/>
      <c r="M154" s="6292"/>
      <c r="N154" s="6292"/>
      <c r="O154" s="6292"/>
      <c r="P154" s="6292"/>
      <c r="Q154" s="6292"/>
      <c r="R154" s="6292"/>
      <c r="S154" s="6292"/>
      <c r="T154" s="6292"/>
      <c r="U154" s="6292"/>
      <c r="V154" s="6292"/>
      <c r="W154" s="6292"/>
      <c r="X154" s="6292"/>
      <c r="Y154" s="6292"/>
      <c r="Z154" s="6292"/>
      <c r="AA154" s="6292"/>
      <c r="AB154" s="6292"/>
      <c r="AC154" s="6292"/>
      <c r="AD154" s="6292"/>
      <c r="AF154" s="1284"/>
      <c r="AG154" s="1760"/>
      <c r="AH154" s="1760"/>
      <c r="AI154" s="1284"/>
      <c r="AJ154" s="1284"/>
      <c r="AK154" s="1284"/>
      <c r="AL154" s="1284"/>
      <c r="AM154" s="1760"/>
      <c r="AN154" s="1284"/>
      <c r="AO154" s="1284"/>
      <c r="AP154" s="668"/>
      <c r="AQ154" s="1284"/>
      <c r="AR154" s="1284"/>
      <c r="AS154" s="1284"/>
      <c r="AT154" s="1284"/>
      <c r="AU154" s="1284"/>
      <c r="AV154" s="1756"/>
      <c r="AW154" s="690"/>
      <c r="AX154" s="690"/>
      <c r="AY154" s="690"/>
      <c r="AZ154" s="690"/>
      <c r="BA154" s="1765">
        <v>11</v>
      </c>
    </row>
    <row s="6292" customFormat="1" customHeight="1" ht="11.549999999999999">
      <c r="A155" s="1111"/>
      <c r="B155" s="1760"/>
      <c r="C155" s="1760"/>
      <c r="D155" s="475"/>
      <c r="J155" s="6292"/>
      <c r="K155" s="6292"/>
      <c r="L155" s="6292"/>
      <c r="M155" s="6292"/>
      <c r="N155" s="6292"/>
      <c r="O155" s="6292"/>
      <c r="P155" s="6292"/>
      <c r="Q155" s="6292"/>
      <c r="R155" s="6292"/>
      <c r="S155" s="6292"/>
      <c r="T155" s="6292"/>
      <c r="U155" s="6292"/>
      <c r="V155" s="6292"/>
      <c r="W155" s="6292"/>
      <c r="X155" s="6292"/>
      <c r="Y155" s="6292"/>
      <c r="Z155" s="6292"/>
      <c r="AA155" s="6292"/>
      <c r="AB155" s="6292"/>
      <c r="AC155" s="6292"/>
      <c r="AD155" s="6292"/>
      <c r="AF155" s="1284"/>
      <c r="AG155" s="1760"/>
      <c r="AH155" s="1760"/>
      <c r="AI155" s="1284"/>
      <c r="AJ155" s="1284"/>
      <c r="AK155" s="1284"/>
      <c r="AL155" s="1284"/>
      <c r="AM155" s="1760"/>
      <c r="AN155" s="1284"/>
      <c r="AO155" s="1284"/>
      <c r="AP155" s="668"/>
      <c r="AQ155" s="1284"/>
      <c r="AR155" s="1284"/>
      <c r="AS155" s="1284"/>
      <c r="AT155" s="1284"/>
      <c r="AU155" s="1284"/>
      <c r="AV155" s="1756"/>
      <c r="AW155" s="690"/>
      <c r="AX155" s="690"/>
      <c r="AY155" s="690"/>
      <c r="AZ155" s="690"/>
      <c r="BA155" s="1765">
        <v>11</v>
      </c>
    </row>
    <row s="6292" customFormat="1" customHeight="1" ht="11.549999999999999">
      <c r="A156" s="1111"/>
      <c r="B156" s="1760"/>
      <c r="C156" s="1760"/>
      <c r="D156" s="475"/>
      <c r="J156" s="6292"/>
      <c r="K156" s="6292"/>
      <c r="L156" s="6292"/>
      <c r="M156" s="6292"/>
      <c r="N156" s="6292"/>
      <c r="O156" s="6292"/>
      <c r="P156" s="6292"/>
      <c r="Q156" s="6292"/>
      <c r="R156" s="6292"/>
      <c r="S156" s="6292"/>
      <c r="T156" s="6292"/>
      <c r="U156" s="6292"/>
      <c r="V156" s="6292"/>
      <c r="W156" s="6292"/>
      <c r="X156" s="6292"/>
      <c r="Y156" s="6292"/>
      <c r="Z156" s="6292"/>
      <c r="AA156" s="6292"/>
      <c r="AB156" s="6292"/>
      <c r="AC156" s="6292"/>
      <c r="AD156" s="6292"/>
      <c r="AF156" s="1284"/>
      <c r="AG156" s="1760"/>
      <c r="AH156" s="1760"/>
      <c r="AI156" s="1284"/>
      <c r="AJ156" s="1284"/>
      <c r="AK156" s="1284"/>
      <c r="AL156" s="1284"/>
      <c r="AM156" s="1760"/>
      <c r="AN156" s="1284"/>
      <c r="AO156" s="1284"/>
      <c r="AP156" s="668"/>
      <c r="AQ156" s="1284"/>
      <c r="AR156" s="1284"/>
      <c r="AS156" s="1284"/>
      <c r="AT156" s="1284"/>
      <c r="AU156" s="1284"/>
      <c r="AV156" s="1756"/>
      <c r="AW156" s="690"/>
      <c r="AX156" s="690"/>
      <c r="AY156" s="690"/>
      <c r="AZ156" s="690"/>
      <c r="BA156" s="1765">
        <v>11</v>
      </c>
    </row>
    <row s="6292" customFormat="1" customHeight="1" ht="11.549999999999999">
      <c r="A157" s="1111"/>
      <c r="B157" s="1760"/>
      <c r="C157" s="1760"/>
      <c r="D157" s="475"/>
      <c r="J157" s="6292"/>
      <c r="K157" s="6292"/>
      <c r="L157" s="6292"/>
      <c r="M157" s="6292"/>
      <c r="N157" s="6292"/>
      <c r="O157" s="6292"/>
      <c r="P157" s="6292"/>
      <c r="Q157" s="6292"/>
      <c r="R157" s="6292"/>
      <c r="S157" s="6292"/>
      <c r="T157" s="6292"/>
      <c r="U157" s="6292"/>
      <c r="V157" s="6292"/>
      <c r="W157" s="6292"/>
      <c r="X157" s="6292"/>
      <c r="Y157" s="6292"/>
      <c r="Z157" s="6292"/>
      <c r="AA157" s="6292"/>
      <c r="AB157" s="6292"/>
      <c r="AC157" s="6292"/>
      <c r="AD157" s="6292"/>
      <c r="AF157" s="1284"/>
      <c r="AG157" s="1760"/>
      <c r="AH157" s="1760"/>
      <c r="AI157" s="1284"/>
      <c r="AJ157" s="1284"/>
      <c r="AK157" s="1284"/>
      <c r="AL157" s="1284"/>
      <c r="AM157" s="1760"/>
      <c r="AN157" s="1284"/>
      <c r="AO157" s="1284"/>
      <c r="AP157" s="668"/>
      <c r="AQ157" s="1284"/>
      <c r="AR157" s="1284"/>
      <c r="AS157" s="1284"/>
      <c r="AT157" s="1284"/>
      <c r="AU157" s="1284"/>
      <c r="AV157" s="1756"/>
      <c r="AW157" s="690"/>
      <c r="AX157" s="690"/>
      <c r="AY157" s="690"/>
      <c r="AZ157" s="690"/>
      <c r="BA157" s="1765">
        <v>11</v>
      </c>
    </row>
    <row s="6292" customFormat="1" customHeight="1" ht="11.549999999999999">
      <c r="A158" s="1111"/>
      <c r="B158" s="1760"/>
      <c r="C158" s="1760"/>
      <c r="D158" s="475"/>
      <c r="J158" s="6292"/>
      <c r="K158" s="6292"/>
      <c r="L158" s="6292"/>
      <c r="M158" s="6292"/>
      <c r="N158" s="6292"/>
      <c r="O158" s="6292"/>
      <c r="P158" s="6292"/>
      <c r="Q158" s="6292"/>
      <c r="R158" s="6292"/>
      <c r="S158" s="6292"/>
      <c r="T158" s="6292"/>
      <c r="U158" s="6292"/>
      <c r="V158" s="6292"/>
      <c r="W158" s="6292"/>
      <c r="X158" s="6292"/>
      <c r="Y158" s="6292"/>
      <c r="Z158" s="6292"/>
      <c r="AA158" s="6292"/>
      <c r="AB158" s="6292"/>
      <c r="AC158" s="6292"/>
      <c r="AD158" s="6292"/>
      <c r="AF158" s="1284"/>
      <c r="AG158" s="1760"/>
      <c r="AH158" s="1760"/>
      <c r="AI158" s="1284"/>
      <c r="AJ158" s="1284"/>
      <c r="AK158" s="1284"/>
      <c r="AL158" s="1284"/>
      <c r="AM158" s="1760"/>
      <c r="AN158" s="1284"/>
      <c r="AO158" s="1284"/>
      <c r="AP158" s="668"/>
      <c r="AQ158" s="1284"/>
      <c r="AR158" s="1284"/>
      <c r="AS158" s="1284"/>
      <c r="AT158" s="1284"/>
      <c r="AU158" s="1284"/>
      <c r="AV158" s="1756"/>
      <c r="AW158" s="690"/>
      <c r="AX158" s="690"/>
      <c r="AY158" s="690"/>
      <c r="AZ158" s="690"/>
      <c r="BA158" s="1765">
        <v>11</v>
      </c>
    </row>
    <row s="6292" customFormat="1" customHeight="1" ht="11.549999999999999">
      <c r="A159" s="1111"/>
      <c r="B159" s="1760"/>
      <c r="C159" s="1760"/>
      <c r="D159" s="475"/>
      <c r="J159" s="6292"/>
      <c r="K159" s="6292"/>
      <c r="L159" s="6292"/>
      <c r="M159" s="6292"/>
      <c r="N159" s="6292"/>
      <c r="O159" s="6292"/>
      <c r="P159" s="6292"/>
      <c r="Q159" s="6292"/>
      <c r="R159" s="6292"/>
      <c r="S159" s="6292"/>
      <c r="T159" s="6292"/>
      <c r="U159" s="6292"/>
      <c r="V159" s="6292"/>
      <c r="W159" s="6292"/>
      <c r="X159" s="6292"/>
      <c r="Y159" s="6292"/>
      <c r="Z159" s="6292"/>
      <c r="AA159" s="6292"/>
      <c r="AB159" s="6292"/>
      <c r="AC159" s="6292"/>
      <c r="AD159" s="6292"/>
      <c r="AF159" s="1284"/>
      <c r="AG159" s="1760"/>
      <c r="AH159" s="1760"/>
      <c r="AI159" s="1284"/>
      <c r="AJ159" s="1284"/>
      <c r="AK159" s="1284"/>
      <c r="AL159" s="1284"/>
      <c r="AM159" s="1760"/>
      <c r="AN159" s="1284"/>
      <c r="AO159" s="1284"/>
      <c r="AP159" s="668"/>
      <c r="AQ159" s="1284"/>
      <c r="AR159" s="1284"/>
      <c r="AS159" s="1284"/>
      <c r="AT159" s="1284"/>
      <c r="AU159" s="1284"/>
      <c r="AV159" s="1756"/>
      <c r="AW159" s="690"/>
      <c r="AX159" s="690"/>
      <c r="AY159" s="690"/>
      <c r="AZ159" s="690"/>
      <c r="BA159" s="1765">
        <v>11</v>
      </c>
    </row>
    <row s="6292" customFormat="1" customHeight="1" ht="11.549999999999999">
      <c r="A160" s="1111"/>
      <c r="B160" s="1760"/>
      <c r="C160" s="1760"/>
      <c r="D160" s="475"/>
      <c r="J160" s="6292"/>
      <c r="K160" s="6292"/>
      <c r="L160" s="6292"/>
      <c r="M160" s="6292"/>
      <c r="N160" s="6292"/>
      <c r="O160" s="6292"/>
      <c r="P160" s="6292"/>
      <c r="Q160" s="6292"/>
      <c r="R160" s="6292"/>
      <c r="S160" s="6292"/>
      <c r="T160" s="6292"/>
      <c r="U160" s="6292"/>
      <c r="V160" s="6292"/>
      <c r="W160" s="6292"/>
      <c r="X160" s="6292"/>
      <c r="Y160" s="6292"/>
      <c r="Z160" s="6292"/>
      <c r="AA160" s="6292"/>
      <c r="AB160" s="6292"/>
      <c r="AC160" s="6292"/>
      <c r="AD160" s="6292"/>
      <c r="AF160" s="1284"/>
      <c r="AG160" s="1760"/>
      <c r="AH160" s="1760"/>
      <c r="AI160" s="1284"/>
      <c r="AJ160" s="1284"/>
      <c r="AK160" s="1284"/>
      <c r="AL160" s="1284"/>
      <c r="AM160" s="1760"/>
      <c r="AN160" s="1284"/>
      <c r="AO160" s="1284"/>
      <c r="AP160" s="668"/>
      <c r="AQ160" s="1284"/>
      <c r="AR160" s="1284"/>
      <c r="AS160" s="1284"/>
      <c r="AT160" s="1284"/>
      <c r="AU160" s="1284"/>
      <c r="AV160" s="1756"/>
      <c r="AW160" s="690"/>
      <c r="AX160" s="690"/>
      <c r="AY160" s="690"/>
      <c r="AZ160" s="690"/>
      <c r="BA160" s="1765">
        <v>11</v>
      </c>
    </row>
    <row s="6292" customFormat="1" customHeight="1" ht="11.549999999999999">
      <c r="A161" s="1111"/>
      <c r="B161" s="1760"/>
      <c r="C161" s="1760"/>
      <c r="D161" s="475"/>
      <c r="J161" s="6292"/>
      <c r="K161" s="6292"/>
      <c r="L161" s="6292"/>
      <c r="M161" s="6292"/>
      <c r="N161" s="6292"/>
      <c r="O161" s="6292"/>
      <c r="P161" s="6292"/>
      <c r="Q161" s="6292"/>
      <c r="R161" s="6292"/>
      <c r="S161" s="6292"/>
      <c r="T161" s="6292"/>
      <c r="U161" s="6292"/>
      <c r="V161" s="6292"/>
      <c r="W161" s="6292"/>
      <c r="X161" s="6292"/>
      <c r="Y161" s="6292"/>
      <c r="Z161" s="6292"/>
      <c r="AA161" s="6292"/>
      <c r="AB161" s="6292"/>
      <c r="AC161" s="6292"/>
      <c r="AD161" s="6292"/>
      <c r="AF161" s="1284"/>
      <c r="AG161" s="1760"/>
      <c r="AH161" s="1760"/>
      <c r="AI161" s="1284"/>
      <c r="AJ161" s="1284"/>
      <c r="AK161" s="1284"/>
      <c r="AL161" s="1284"/>
      <c r="AM161" s="1760"/>
      <c r="AN161" s="1284"/>
      <c r="AO161" s="1284"/>
      <c r="AP161" s="668"/>
      <c r="AQ161" s="1284"/>
      <c r="AR161" s="1284"/>
      <c r="AS161" s="1284"/>
      <c r="AT161" s="1284"/>
      <c r="AU161" s="1284"/>
      <c r="AV161" s="1756"/>
      <c r="AW161" s="690"/>
      <c r="AX161" s="690"/>
      <c r="AY161" s="690"/>
      <c r="AZ161" s="690"/>
      <c r="BA161" s="1765">
        <v>11</v>
      </c>
    </row>
    <row s="6292" customFormat="1" customHeight="1" ht="11.549999999999999">
      <c r="A162" s="1111"/>
      <c r="B162" s="1760"/>
      <c r="C162" s="1760"/>
      <c r="D162" s="475"/>
      <c r="J162" s="6292"/>
      <c r="K162" s="6292"/>
      <c r="L162" s="6292"/>
      <c r="M162" s="6292"/>
      <c r="N162" s="6292"/>
      <c r="O162" s="6292"/>
      <c r="P162" s="6292"/>
      <c r="Q162" s="6292"/>
      <c r="R162" s="6292"/>
      <c r="S162" s="6292"/>
      <c r="T162" s="6292"/>
      <c r="U162" s="6292"/>
      <c r="V162" s="6292"/>
      <c r="W162" s="6292"/>
      <c r="X162" s="6292"/>
      <c r="Y162" s="6292"/>
      <c r="Z162" s="6292"/>
      <c r="AA162" s="6292"/>
      <c r="AB162" s="6292"/>
      <c r="AC162" s="6292"/>
      <c r="AD162" s="6292"/>
      <c r="AF162" s="1284"/>
      <c r="AG162" s="1760"/>
      <c r="AH162" s="1760"/>
      <c r="AI162" s="1284"/>
      <c r="AJ162" s="1284"/>
      <c r="AK162" s="1284"/>
      <c r="AL162" s="1284"/>
      <c r="AM162" s="1760"/>
      <c r="AN162" s="1284"/>
      <c r="AO162" s="1284"/>
      <c r="AP162" s="668"/>
      <c r="AQ162" s="1284"/>
      <c r="AR162" s="1284"/>
      <c r="AS162" s="1284"/>
      <c r="AT162" s="1284"/>
      <c r="AU162" s="1284"/>
      <c r="AV162" s="1756"/>
      <c r="AW162" s="690"/>
      <c r="AX162" s="690"/>
      <c r="AY162" s="690"/>
      <c r="AZ162" s="690"/>
      <c r="BA162" s="1765">
        <v>11</v>
      </c>
    </row>
    <row s="6292" customFormat="1" customHeight="1" ht="11.549999999999999">
      <c r="A163" s="1111"/>
      <c r="B163" s="1760"/>
      <c r="C163" s="1760"/>
      <c r="D163" s="475"/>
      <c r="J163" s="6292"/>
      <c r="K163" s="6292"/>
      <c r="L163" s="6292"/>
      <c r="M163" s="6292"/>
      <c r="N163" s="6292"/>
      <c r="O163" s="6292"/>
      <c r="P163" s="6292"/>
      <c r="Q163" s="6292"/>
      <c r="R163" s="6292"/>
      <c r="S163" s="6292"/>
      <c r="T163" s="6292"/>
      <c r="U163" s="6292"/>
      <c r="V163" s="6292"/>
      <c r="W163" s="6292"/>
      <c r="X163" s="6292"/>
      <c r="Y163" s="6292"/>
      <c r="Z163" s="6292"/>
      <c r="AA163" s="6292"/>
      <c r="AB163" s="6292"/>
      <c r="AC163" s="6292"/>
      <c r="AD163" s="6292"/>
      <c r="AF163" s="1284"/>
      <c r="AG163" s="1760"/>
      <c r="AH163" s="1760"/>
      <c r="AI163" s="1284"/>
      <c r="AJ163" s="1284"/>
      <c r="AK163" s="1284"/>
      <c r="AL163" s="1284"/>
      <c r="AM163" s="1760"/>
      <c r="AN163" s="1284"/>
      <c r="AO163" s="1284"/>
      <c r="AP163" s="668"/>
      <c r="AQ163" s="1284"/>
      <c r="AR163" s="1284"/>
      <c r="AS163" s="1284"/>
      <c r="AT163" s="1284"/>
      <c r="AU163" s="1284"/>
      <c r="AV163" s="1756"/>
      <c r="AW163" s="690"/>
      <c r="AX163" s="690"/>
      <c r="AY163" s="690"/>
      <c r="AZ163" s="690"/>
      <c r="BA163" s="1765">
        <v>11</v>
      </c>
    </row>
    <row s="6292" customFormat="1" customHeight="1" ht="11.549999999999999">
      <c r="A164" s="1111"/>
      <c r="B164" s="1760"/>
      <c r="C164" s="1760"/>
      <c r="D164" s="475"/>
      <c r="J164" s="6292"/>
      <c r="K164" s="6292"/>
      <c r="L164" s="6292"/>
      <c r="M164" s="6292"/>
      <c r="N164" s="6292"/>
      <c r="O164" s="6292"/>
      <c r="P164" s="6292"/>
      <c r="Q164" s="6292"/>
      <c r="R164" s="6292"/>
      <c r="S164" s="6292"/>
      <c r="T164" s="6292"/>
      <c r="U164" s="6292"/>
      <c r="V164" s="6292"/>
      <c r="W164" s="6292"/>
      <c r="X164" s="6292"/>
      <c r="Y164" s="6292"/>
      <c r="Z164" s="6292"/>
      <c r="AA164" s="6292"/>
      <c r="AB164" s="6292"/>
      <c r="AC164" s="6292"/>
      <c r="AD164" s="6292"/>
      <c r="AF164" s="1284"/>
      <c r="AG164" s="1760"/>
      <c r="AH164" s="1760"/>
      <c r="AI164" s="1284"/>
      <c r="AJ164" s="1284"/>
      <c r="AK164" s="1284"/>
      <c r="AL164" s="1284"/>
      <c r="AM164" s="1760"/>
      <c r="AN164" s="1284"/>
      <c r="AO164" s="1284"/>
      <c r="AP164" s="668"/>
      <c r="AQ164" s="1284"/>
      <c r="AR164" s="1284"/>
      <c r="AS164" s="1284"/>
      <c r="AT164" s="1284"/>
      <c r="AU164" s="1284"/>
      <c r="AV164" s="1756"/>
      <c r="AW164" s="690"/>
      <c r="AX164" s="690"/>
      <c r="AY164" s="690"/>
      <c r="AZ164" s="690"/>
      <c r="BA164" s="1765">
        <v>11</v>
      </c>
    </row>
    <row s="6292" customFormat="1" customHeight="1" ht="11.549999999999999">
      <c r="A165" s="1111"/>
      <c r="B165" s="1760"/>
      <c r="C165" s="1760"/>
      <c r="D165" s="475"/>
      <c r="J165" s="6292"/>
      <c r="K165" s="6292"/>
      <c r="L165" s="6292"/>
      <c r="M165" s="6292"/>
      <c r="N165" s="6292"/>
      <c r="O165" s="6292"/>
      <c r="P165" s="6292"/>
      <c r="Q165" s="6292"/>
      <c r="R165" s="6292"/>
      <c r="S165" s="6292"/>
      <c r="T165" s="6292"/>
      <c r="U165" s="6292"/>
      <c r="V165" s="6292"/>
      <c r="W165" s="6292"/>
      <c r="X165" s="6292"/>
      <c r="Y165" s="6292"/>
      <c r="Z165" s="6292"/>
      <c r="AA165" s="6292"/>
      <c r="AB165" s="6292"/>
      <c r="AC165" s="6292"/>
      <c r="AD165" s="6292"/>
      <c r="AF165" s="1284"/>
      <c r="AG165" s="1760"/>
      <c r="AH165" s="1760"/>
      <c r="AI165" s="1284"/>
      <c r="AJ165" s="1284"/>
      <c r="AK165" s="1284"/>
      <c r="AL165" s="1284"/>
      <c r="AM165" s="1760"/>
      <c r="AN165" s="1284"/>
      <c r="AO165" s="1284"/>
      <c r="AP165" s="668"/>
      <c r="AQ165" s="1284"/>
      <c r="AR165" s="1284"/>
      <c r="AS165" s="1284"/>
      <c r="AT165" s="1284"/>
      <c r="AU165" s="1284"/>
      <c r="AV165" s="1756"/>
      <c r="AW165" s="690"/>
      <c r="AX165" s="690"/>
      <c r="AY165" s="690"/>
      <c r="AZ165" s="690"/>
      <c r="BA165" s="1765">
        <v>11</v>
      </c>
    </row>
    <row s="6292" customFormat="1" customHeight="1" ht="11.549999999999999">
      <c r="A166" s="1111"/>
      <c r="B166" s="1760"/>
      <c r="C166" s="1760"/>
      <c r="D166" s="475"/>
      <c r="J166" s="6292"/>
      <c r="K166" s="6292"/>
      <c r="L166" s="6292"/>
      <c r="M166" s="6292"/>
      <c r="N166" s="6292"/>
      <c r="O166" s="6292"/>
      <c r="P166" s="6292"/>
      <c r="Q166" s="6292"/>
      <c r="R166" s="6292"/>
      <c r="S166" s="6292"/>
      <c r="T166" s="6292"/>
      <c r="U166" s="6292"/>
      <c r="V166" s="6292"/>
      <c r="W166" s="6292"/>
      <c r="X166" s="6292"/>
      <c r="Y166" s="6292"/>
      <c r="Z166" s="6292"/>
      <c r="AA166" s="6292"/>
      <c r="AB166" s="6292"/>
      <c r="AC166" s="6292"/>
      <c r="AD166" s="6292"/>
      <c r="AF166" s="1284"/>
      <c r="AG166" s="1760"/>
      <c r="AH166" s="1760"/>
      <c r="AI166" s="1284"/>
      <c r="AJ166" s="1284"/>
      <c r="AK166" s="1284"/>
      <c r="AL166" s="1284"/>
      <c r="AM166" s="1760"/>
      <c r="AN166" s="1284"/>
      <c r="AO166" s="1284"/>
      <c r="AP166" s="668"/>
      <c r="AQ166" s="1284"/>
      <c r="AR166" s="1284"/>
      <c r="AS166" s="1284"/>
      <c r="AT166" s="1284"/>
      <c r="AU166" s="1284"/>
      <c r="AV166" s="1756"/>
      <c r="AW166" s="690"/>
      <c r="AX166" s="690"/>
      <c r="AY166" s="690"/>
      <c r="AZ166" s="690"/>
      <c r="BA166" s="1765">
        <v>11</v>
      </c>
    </row>
    <row s="6292" customFormat="1" customHeight="1" ht="11.549999999999999">
      <c r="A167" s="1111"/>
      <c r="B167" s="1760"/>
      <c r="C167" s="1760"/>
      <c r="D167" s="475"/>
      <c r="J167" s="6292"/>
      <c r="K167" s="6292"/>
      <c r="L167" s="6292"/>
      <c r="M167" s="6292"/>
      <c r="N167" s="6292"/>
      <c r="O167" s="6292"/>
      <c r="P167" s="6292"/>
      <c r="Q167" s="6292"/>
      <c r="R167" s="6292"/>
      <c r="S167" s="6292"/>
      <c r="T167" s="6292"/>
      <c r="U167" s="6292"/>
      <c r="V167" s="6292"/>
      <c r="W167" s="6292"/>
      <c r="X167" s="6292"/>
      <c r="Y167" s="6292"/>
      <c r="Z167" s="6292"/>
      <c r="AA167" s="6292"/>
      <c r="AB167" s="6292"/>
      <c r="AC167" s="6292"/>
      <c r="AD167" s="6292"/>
      <c r="AF167" s="1284"/>
      <c r="AG167" s="1760"/>
      <c r="AH167" s="1760"/>
      <c r="AI167" s="1284"/>
      <c r="AJ167" s="1284"/>
      <c r="AK167" s="1284"/>
      <c r="AL167" s="1284"/>
      <c r="AM167" s="1760"/>
      <c r="AN167" s="1284"/>
      <c r="AO167" s="1284"/>
      <c r="AP167" s="668"/>
      <c r="AQ167" s="1284"/>
      <c r="AR167" s="1284"/>
      <c r="AS167" s="1284"/>
      <c r="AT167" s="1284"/>
      <c r="AU167" s="1284"/>
      <c r="AV167" s="1756"/>
      <c r="AW167" s="690"/>
      <c r="AX167" s="690"/>
      <c r="AY167" s="690"/>
      <c r="AZ167" s="690"/>
      <c r="BA167" s="1765">
        <v>11</v>
      </c>
    </row>
    <row s="6292" customFormat="1" customHeight="1" ht="11.549999999999999">
      <c r="A168" s="1111"/>
      <c r="B168" s="1760"/>
      <c r="C168" s="1760"/>
      <c r="D168" s="475"/>
      <c r="J168" s="6292"/>
      <c r="K168" s="6292"/>
      <c r="L168" s="6292"/>
      <c r="M168" s="6292"/>
      <c r="N168" s="6292"/>
      <c r="O168" s="6292"/>
      <c r="P168" s="6292"/>
      <c r="Q168" s="6292"/>
      <c r="R168" s="6292"/>
      <c r="S168" s="6292"/>
      <c r="T168" s="6292"/>
      <c r="U168" s="6292"/>
      <c r="V168" s="6292"/>
      <c r="W168" s="6292"/>
      <c r="X168" s="6292"/>
      <c r="Y168" s="6292"/>
      <c r="Z168" s="6292"/>
      <c r="AA168" s="6292"/>
      <c r="AB168" s="6292"/>
      <c r="AC168" s="6292"/>
      <c r="AD168" s="6292"/>
      <c r="AF168" s="1284"/>
      <c r="AG168" s="1760"/>
      <c r="AH168" s="1760"/>
      <c r="AI168" s="1284"/>
      <c r="AJ168" s="1284"/>
      <c r="AK168" s="1284"/>
      <c r="AL168" s="1284"/>
      <c r="AM168" s="1760"/>
      <c r="AN168" s="1284"/>
      <c r="AO168" s="1284"/>
      <c r="AP168" s="668"/>
      <c r="AQ168" s="1284"/>
      <c r="AR168" s="1284"/>
      <c r="AS168" s="1284"/>
      <c r="AT168" s="1284"/>
      <c r="AU168" s="1284"/>
      <c r="AV168" s="1756"/>
      <c r="AW168" s="690"/>
      <c r="AX168" s="690"/>
      <c r="AY168" s="690"/>
      <c r="AZ168" s="690"/>
      <c r="BA168" s="1765">
        <v>11</v>
      </c>
    </row>
    <row s="6292" customFormat="1" customHeight="1" ht="11.549999999999999">
      <c r="A169" s="1111"/>
      <c r="B169" s="1760"/>
      <c r="C169" s="1760"/>
      <c r="D169" s="475"/>
      <c r="J169" s="6292"/>
      <c r="K169" s="6292"/>
      <c r="L169" s="6292"/>
      <c r="M169" s="6292"/>
      <c r="N169" s="6292"/>
      <c r="O169" s="6292"/>
      <c r="P169" s="6292"/>
      <c r="Q169" s="6292"/>
      <c r="R169" s="6292"/>
      <c r="S169" s="6292"/>
      <c r="T169" s="6292"/>
      <c r="U169" s="6292"/>
      <c r="V169" s="6292"/>
      <c r="W169" s="6292"/>
      <c r="X169" s="6292"/>
      <c r="Y169" s="6292"/>
      <c r="Z169" s="6292"/>
      <c r="AA169" s="6292"/>
      <c r="AB169" s="6292"/>
      <c r="AC169" s="6292"/>
      <c r="AD169" s="6292"/>
      <c r="AF169" s="1284"/>
      <c r="AG169" s="1760"/>
      <c r="AH169" s="1760"/>
      <c r="AI169" s="1284"/>
      <c r="AJ169" s="1284"/>
      <c r="AK169" s="1284"/>
      <c r="AL169" s="1284"/>
      <c r="AM169" s="1760"/>
      <c r="AN169" s="1284"/>
      <c r="AO169" s="1284"/>
      <c r="AP169" s="668"/>
      <c r="AQ169" s="1284"/>
      <c r="AR169" s="1284"/>
      <c r="AS169" s="1284"/>
      <c r="AT169" s="1284"/>
      <c r="AU169" s="1284"/>
      <c r="AV169" s="1756"/>
      <c r="AW169" s="690"/>
      <c r="AX169" s="690"/>
      <c r="AY169" s="690"/>
      <c r="AZ169" s="690"/>
      <c r="BA169" s="1765">
        <v>11</v>
      </c>
    </row>
    <row s="6292" customFormat="1" customHeight="1" ht="11.549999999999999">
      <c r="A170" s="1111"/>
      <c r="B170" s="1760"/>
      <c r="C170" s="1760"/>
      <c r="D170" s="475"/>
      <c r="J170" s="6292"/>
      <c r="K170" s="6292"/>
      <c r="L170" s="6292"/>
      <c r="M170" s="6292"/>
      <c r="N170" s="6292"/>
      <c r="O170" s="6292"/>
      <c r="P170" s="6292"/>
      <c r="Q170" s="6292"/>
      <c r="R170" s="6292"/>
      <c r="S170" s="6292"/>
      <c r="T170" s="6292"/>
      <c r="U170" s="6292"/>
      <c r="V170" s="6292"/>
      <c r="W170" s="6292"/>
      <c r="X170" s="6292"/>
      <c r="Y170" s="6292"/>
      <c r="Z170" s="6292"/>
      <c r="AA170" s="6292"/>
      <c r="AB170" s="6292"/>
      <c r="AC170" s="6292"/>
      <c r="AD170" s="6292"/>
      <c r="AF170" s="1284"/>
      <c r="AG170" s="1760"/>
      <c r="AH170" s="1760"/>
      <c r="AI170" s="1284"/>
      <c r="AJ170" s="1284"/>
      <c r="AK170" s="1284"/>
      <c r="AL170" s="1284"/>
      <c r="AM170" s="1760"/>
      <c r="AN170" s="1284"/>
      <c r="AO170" s="1284"/>
      <c r="AP170" s="668"/>
      <c r="AQ170" s="1284"/>
      <c r="AR170" s="1284"/>
      <c r="AS170" s="1284"/>
      <c r="AT170" s="1284"/>
      <c r="AU170" s="1284"/>
      <c r="AV170" s="1756"/>
      <c r="AW170" s="690"/>
      <c r="AX170" s="690"/>
      <c r="AY170" s="690"/>
      <c r="AZ170" s="690"/>
      <c r="BA170" s="1765">
        <v>11</v>
      </c>
    </row>
    <row s="6292" customFormat="1" customHeight="1" ht="11.549999999999999">
      <c r="A171" s="1111"/>
      <c r="B171" s="1760"/>
      <c r="C171" s="1760"/>
      <c r="D171" s="475"/>
      <c r="J171" s="6292"/>
      <c r="K171" s="6292"/>
      <c r="L171" s="6292"/>
      <c r="M171" s="6292"/>
      <c r="N171" s="6292"/>
      <c r="O171" s="6292"/>
      <c r="P171" s="6292"/>
      <c r="Q171" s="6292"/>
      <c r="R171" s="6292"/>
      <c r="S171" s="6292"/>
      <c r="T171" s="6292"/>
      <c r="U171" s="6292"/>
      <c r="V171" s="6292"/>
      <c r="W171" s="6292"/>
      <c r="X171" s="6292"/>
      <c r="Y171" s="6292"/>
      <c r="Z171" s="6292"/>
      <c r="AA171" s="6292"/>
      <c r="AB171" s="6292"/>
      <c r="AC171" s="6292"/>
      <c r="AD171" s="6292"/>
      <c r="AF171" s="1284"/>
      <c r="AG171" s="1760"/>
      <c r="AH171" s="1760"/>
      <c r="AI171" s="1284"/>
      <c r="AJ171" s="1284"/>
      <c r="AK171" s="1284"/>
      <c r="AL171" s="1284"/>
      <c r="AM171" s="1760"/>
      <c r="AN171" s="1284"/>
      <c r="AO171" s="1284"/>
      <c r="AP171" s="668"/>
      <c r="AQ171" s="1284"/>
      <c r="AR171" s="1284"/>
      <c r="AS171" s="1284"/>
      <c r="AT171" s="1284"/>
      <c r="AU171" s="1284"/>
      <c r="AV171" s="1756"/>
      <c r="AW171" s="690"/>
      <c r="AX171" s="690"/>
      <c r="AY171" s="690"/>
      <c r="AZ171" s="690"/>
      <c r="BA171" s="1765">
        <v>11</v>
      </c>
    </row>
    <row s="6292" customFormat="1" customHeight="1" ht="11.549999999999999">
      <c r="A172" s="1111"/>
      <c r="B172" s="1760"/>
      <c r="C172" s="1760"/>
      <c r="D172" s="475"/>
      <c r="J172" s="6292"/>
      <c r="K172" s="6292"/>
      <c r="L172" s="6292"/>
      <c r="M172" s="6292"/>
      <c r="N172" s="6292"/>
      <c r="O172" s="6292"/>
      <c r="P172" s="6292"/>
      <c r="Q172" s="6292"/>
      <c r="R172" s="6292"/>
      <c r="S172" s="6292"/>
      <c r="T172" s="6292"/>
      <c r="U172" s="6292"/>
      <c r="V172" s="6292"/>
      <c r="W172" s="6292"/>
      <c r="X172" s="6292"/>
      <c r="Y172" s="6292"/>
      <c r="Z172" s="6292"/>
      <c r="AA172" s="6292"/>
      <c r="AB172" s="6292"/>
      <c r="AC172" s="6292"/>
      <c r="AD172" s="6292"/>
      <c r="AF172" s="1284"/>
      <c r="AG172" s="1760"/>
      <c r="AH172" s="1760"/>
      <c r="AI172" s="1284"/>
      <c r="AJ172" s="1284"/>
      <c r="AK172" s="1284"/>
      <c r="AL172" s="1284"/>
      <c r="AM172" s="1760"/>
      <c r="AN172" s="1284"/>
      <c r="AO172" s="1284"/>
      <c r="AP172" s="668"/>
      <c r="AQ172" s="1284"/>
      <c r="AR172" s="1284"/>
      <c r="AS172" s="1284"/>
      <c r="AT172" s="1284"/>
      <c r="AU172" s="1284"/>
      <c r="AV172" s="1756"/>
      <c r="AW172" s="690"/>
      <c r="AX172" s="690"/>
      <c r="AY172" s="690"/>
      <c r="AZ172" s="690"/>
      <c r="BA172" s="1765">
        <v>11</v>
      </c>
    </row>
    <row s="6292" customFormat="1" customHeight="1" ht="11.549999999999999">
      <c r="A173" s="1111"/>
      <c r="B173" s="1760"/>
      <c r="C173" s="1760"/>
      <c r="D173" s="475"/>
      <c r="J173" s="6292"/>
      <c r="K173" s="6292"/>
      <c r="L173" s="6292"/>
      <c r="M173" s="6292"/>
      <c r="N173" s="6292"/>
      <c r="O173" s="6292"/>
      <c r="P173" s="6292"/>
      <c r="Q173" s="6292"/>
      <c r="R173" s="6292"/>
      <c r="S173" s="6292"/>
      <c r="T173" s="6292"/>
      <c r="U173" s="6292"/>
      <c r="V173" s="6292"/>
      <c r="W173" s="6292"/>
      <c r="X173" s="6292"/>
      <c r="Y173" s="6292"/>
      <c r="Z173" s="6292"/>
      <c r="AA173" s="6292"/>
      <c r="AB173" s="6292"/>
      <c r="AC173" s="6292"/>
      <c r="AD173" s="6292"/>
      <c r="AF173" s="1284"/>
      <c r="AG173" s="1760"/>
      <c r="AH173" s="1760"/>
      <c r="AI173" s="1284"/>
      <c r="AJ173" s="1284"/>
      <c r="AK173" s="1284"/>
      <c r="AL173" s="1284"/>
      <c r="AM173" s="1760"/>
      <c r="AN173" s="1284"/>
      <c r="AO173" s="1284"/>
      <c r="AP173" s="668"/>
      <c r="AQ173" s="1284"/>
      <c r="AR173" s="1284"/>
      <c r="AS173" s="1284"/>
      <c r="AT173" s="1284"/>
      <c r="AU173" s="1284"/>
      <c r="AV173" s="1756"/>
      <c r="AW173" s="690"/>
      <c r="AX173" s="690"/>
      <c r="AY173" s="690"/>
      <c r="AZ173" s="690"/>
      <c r="BA173" s="1765">
        <v>11</v>
      </c>
    </row>
    <row s="6292" customFormat="1" customHeight="1" ht="11.549999999999999">
      <c r="A174" s="1111"/>
      <c r="B174" s="1760"/>
      <c r="C174" s="1760"/>
      <c r="D174" s="475"/>
      <c r="J174" s="6292"/>
      <c r="K174" s="6292"/>
      <c r="L174" s="6292"/>
      <c r="M174" s="6292"/>
      <c r="N174" s="6292"/>
      <c r="O174" s="6292"/>
      <c r="P174" s="6292"/>
      <c r="Q174" s="6292"/>
      <c r="R174" s="6292"/>
      <c r="S174" s="6292"/>
      <c r="T174" s="6292"/>
      <c r="U174" s="6292"/>
      <c r="V174" s="6292"/>
      <c r="W174" s="6292"/>
      <c r="X174" s="6292"/>
      <c r="Y174" s="6292"/>
      <c r="Z174" s="6292"/>
      <c r="AA174" s="6292"/>
      <c r="AB174" s="6292"/>
      <c r="AC174" s="6292"/>
      <c r="AD174" s="6292"/>
      <c r="AF174" s="1284"/>
      <c r="AG174" s="1760"/>
      <c r="AH174" s="1760"/>
      <c r="AI174" s="1284"/>
      <c r="AJ174" s="1284"/>
      <c r="AK174" s="1284"/>
      <c r="AL174" s="1284"/>
      <c r="AM174" s="1760"/>
      <c r="AN174" s="1284"/>
      <c r="AO174" s="1284"/>
      <c r="AP174" s="668"/>
      <c r="AQ174" s="1284"/>
      <c r="AR174" s="1284"/>
      <c r="AS174" s="1284"/>
      <c r="AT174" s="1284"/>
      <c r="AU174" s="1284"/>
      <c r="AV174" s="1756"/>
      <c r="AW174" s="690"/>
      <c r="AX174" s="690"/>
      <c r="AY174" s="690"/>
      <c r="AZ174" s="690"/>
      <c r="BA174" s="1765">
        <v>11</v>
      </c>
    </row>
    <row s="6292" customFormat="1" customHeight="1" ht="11.549999999999999">
      <c r="A175" s="1111"/>
      <c r="B175" s="1760"/>
      <c r="C175" s="1760"/>
      <c r="D175" s="475"/>
      <c r="J175" s="6292"/>
      <c r="K175" s="6292"/>
      <c r="L175" s="6292"/>
      <c r="M175" s="6292"/>
      <c r="N175" s="6292"/>
      <c r="O175" s="6292"/>
      <c r="P175" s="6292"/>
      <c r="Q175" s="6292"/>
      <c r="R175" s="6292"/>
      <c r="S175" s="6292"/>
      <c r="T175" s="6292"/>
      <c r="U175" s="6292"/>
      <c r="V175" s="6292"/>
      <c r="W175" s="6292"/>
      <c r="X175" s="6292"/>
      <c r="Y175" s="6292"/>
      <c r="Z175" s="6292"/>
      <c r="AA175" s="6292"/>
      <c r="AB175" s="6292"/>
      <c r="AC175" s="6292"/>
      <c r="AD175" s="6292"/>
      <c r="AF175" s="1284"/>
      <c r="AG175" s="1760"/>
      <c r="AH175" s="1760"/>
      <c r="AI175" s="1284"/>
      <c r="AJ175" s="1284"/>
      <c r="AK175" s="1284"/>
      <c r="AL175" s="1284"/>
      <c r="AM175" s="1760"/>
      <c r="AN175" s="1284"/>
      <c r="AO175" s="1284"/>
      <c r="AP175" s="668"/>
      <c r="AQ175" s="1284"/>
      <c r="AR175" s="1284"/>
      <c r="AS175" s="1284"/>
      <c r="AT175" s="1284"/>
      <c r="AU175" s="1284"/>
      <c r="AV175" s="1756"/>
      <c r="AW175" s="690"/>
      <c r="AX175" s="690"/>
      <c r="AY175" s="690"/>
      <c r="AZ175" s="690"/>
      <c r="BA175" s="1765">
        <v>11</v>
      </c>
    </row>
    <row s="6292" customFormat="1" customHeight="1" ht="11.549999999999999">
      <c r="A176" s="1111"/>
      <c r="B176" s="1760"/>
      <c r="C176" s="1760"/>
      <c r="D176" s="475"/>
      <c r="J176" s="6292"/>
      <c r="K176" s="6292"/>
      <c r="L176" s="6292"/>
      <c r="M176" s="6292"/>
      <c r="N176" s="6292"/>
      <c r="O176" s="6292"/>
      <c r="P176" s="6292"/>
      <c r="Q176" s="6292"/>
      <c r="R176" s="6292"/>
      <c r="S176" s="6292"/>
      <c r="T176" s="6292"/>
      <c r="U176" s="6292"/>
      <c r="V176" s="6292"/>
      <c r="W176" s="6292"/>
      <c r="X176" s="6292"/>
      <c r="Y176" s="6292"/>
      <c r="Z176" s="6292"/>
      <c r="AA176" s="6292"/>
      <c r="AB176" s="6292"/>
      <c r="AC176" s="6292"/>
      <c r="AD176" s="6292"/>
      <c r="AF176" s="1284"/>
      <c r="AG176" s="1760"/>
      <c r="AH176" s="1760"/>
      <c r="AI176" s="1284"/>
      <c r="AJ176" s="1284"/>
      <c r="AK176" s="1284"/>
      <c r="AL176" s="1284"/>
      <c r="AM176" s="1760"/>
      <c r="AN176" s="1284"/>
      <c r="AO176" s="1284"/>
      <c r="AP176" s="668"/>
      <c r="AQ176" s="1284"/>
      <c r="AR176" s="1284"/>
      <c r="AS176" s="1284"/>
      <c r="AT176" s="1284"/>
      <c r="AU176" s="1284"/>
      <c r="AV176" s="1756"/>
      <c r="AW176" s="690"/>
      <c r="AX176" s="690"/>
      <c r="AY176" s="690"/>
      <c r="AZ176" s="690"/>
      <c r="BA176" s="1765">
        <v>11</v>
      </c>
    </row>
    <row s="6292" customFormat="1" customHeight="1" ht="11.549999999999999">
      <c r="A177" s="1111"/>
      <c r="B177" s="1760"/>
      <c r="C177" s="1760"/>
      <c r="D177" s="475"/>
      <c r="J177" s="6292"/>
      <c r="K177" s="6292"/>
      <c r="L177" s="6292"/>
      <c r="M177" s="6292"/>
      <c r="N177" s="6292"/>
      <c r="O177" s="6292"/>
      <c r="P177" s="6292"/>
      <c r="Q177" s="6292"/>
      <c r="R177" s="6292"/>
      <c r="S177" s="6292"/>
      <c r="T177" s="6292"/>
      <c r="U177" s="6292"/>
      <c r="V177" s="6292"/>
      <c r="W177" s="6292"/>
      <c r="X177" s="6292"/>
      <c r="Y177" s="6292"/>
      <c r="Z177" s="6292"/>
      <c r="AA177" s="6292"/>
      <c r="AB177" s="6292"/>
      <c r="AC177" s="6292"/>
      <c r="AD177" s="6292"/>
      <c r="AF177" s="1284"/>
      <c r="AG177" s="1760"/>
      <c r="AH177" s="1760"/>
      <c r="AI177" s="1284"/>
      <c r="AJ177" s="1284"/>
      <c r="AK177" s="1284"/>
      <c r="AL177" s="1284"/>
      <c r="AM177" s="1760"/>
      <c r="AN177" s="1284"/>
      <c r="AO177" s="1284"/>
      <c r="AP177" s="668"/>
      <c r="AQ177" s="1284"/>
      <c r="AR177" s="1284"/>
      <c r="AS177" s="1284"/>
      <c r="AT177" s="1284"/>
      <c r="AU177" s="1284"/>
      <c r="AV177" s="1756"/>
      <c r="AW177" s="690"/>
      <c r="AX177" s="690"/>
      <c r="AY177" s="690"/>
      <c r="AZ177" s="690"/>
      <c r="BA177" s="1765">
        <v>11</v>
      </c>
    </row>
    <row s="6292" customFormat="1" customHeight="1" ht="11.549999999999999">
      <c r="A178" s="1111"/>
      <c r="B178" s="1760"/>
      <c r="C178" s="1760"/>
      <c r="D178" s="475"/>
      <c r="J178" s="6292"/>
      <c r="K178" s="6292"/>
      <c r="L178" s="6292"/>
      <c r="M178" s="6292"/>
      <c r="N178" s="6292"/>
      <c r="O178" s="6292"/>
      <c r="P178" s="6292"/>
      <c r="Q178" s="6292"/>
      <c r="R178" s="6292"/>
      <c r="S178" s="6292"/>
      <c r="T178" s="6292"/>
      <c r="U178" s="6292"/>
      <c r="V178" s="6292"/>
      <c r="W178" s="6292"/>
      <c r="X178" s="6292"/>
      <c r="Y178" s="6292"/>
      <c r="Z178" s="6292"/>
      <c r="AA178" s="6292"/>
      <c r="AB178" s="6292"/>
      <c r="AC178" s="6292"/>
      <c r="AD178" s="6292"/>
      <c r="AF178" s="1284"/>
      <c r="AG178" s="1760"/>
      <c r="AH178" s="1760"/>
      <c r="AI178" s="1284"/>
      <c r="AJ178" s="1284"/>
      <c r="AK178" s="1284"/>
      <c r="AL178" s="1284"/>
      <c r="AM178" s="1760"/>
      <c r="AN178" s="1284"/>
      <c r="AO178" s="1284"/>
      <c r="AP178" s="668"/>
      <c r="AQ178" s="1284"/>
      <c r="AR178" s="1284"/>
      <c r="AS178" s="1284"/>
      <c r="AT178" s="1284"/>
      <c r="AU178" s="1284"/>
      <c r="AV178" s="1756"/>
      <c r="AW178" s="690"/>
      <c r="AX178" s="690"/>
      <c r="AY178" s="690"/>
      <c r="AZ178" s="690"/>
      <c r="BA178" s="1765">
        <v>11</v>
      </c>
    </row>
    <row s="6292" customFormat="1" customHeight="1" ht="11.549999999999999">
      <c r="A179" s="1111"/>
      <c r="B179" s="1760"/>
      <c r="C179" s="1760"/>
      <c r="D179" s="475"/>
      <c r="J179" s="6292"/>
      <c r="K179" s="6292"/>
      <c r="L179" s="6292"/>
      <c r="M179" s="6292"/>
      <c r="N179" s="6292"/>
      <c r="O179" s="6292"/>
      <c r="P179" s="6292"/>
      <c r="Q179" s="6292"/>
      <c r="R179" s="6292"/>
      <c r="S179" s="6292"/>
      <c r="T179" s="6292"/>
      <c r="U179" s="6292"/>
      <c r="V179" s="6292"/>
      <c r="W179" s="6292"/>
      <c r="X179" s="6292"/>
      <c r="Y179" s="6292"/>
      <c r="Z179" s="6292"/>
      <c r="AA179" s="6292"/>
      <c r="AB179" s="6292"/>
      <c r="AC179" s="6292"/>
      <c r="AD179" s="6292"/>
      <c r="AF179" s="1284"/>
      <c r="AG179" s="1760"/>
      <c r="AH179" s="1760"/>
      <c r="AI179" s="1284"/>
      <c r="AJ179" s="1284"/>
      <c r="AK179" s="1284"/>
      <c r="AL179" s="1284"/>
      <c r="AM179" s="1760"/>
      <c r="AN179" s="1284"/>
      <c r="AO179" s="1284"/>
      <c r="AP179" s="668"/>
      <c r="AQ179" s="1284"/>
      <c r="AR179" s="1284"/>
      <c r="AS179" s="1284"/>
      <c r="AT179" s="1284"/>
      <c r="AU179" s="1284"/>
      <c r="AV179" s="1756"/>
      <c r="AW179" s="690"/>
      <c r="AX179" s="690"/>
      <c r="AY179" s="690"/>
      <c r="AZ179" s="690"/>
      <c r="BA179" s="1765">
        <v>11</v>
      </c>
    </row>
    <row s="6292" customFormat="1" customHeight="1" ht="11.549999999999999">
      <c r="A180" s="1111"/>
      <c r="B180" s="1760"/>
      <c r="C180" s="1760"/>
      <c r="D180" s="475"/>
      <c r="J180" s="6292"/>
      <c r="K180" s="6292"/>
      <c r="L180" s="6292"/>
      <c r="M180" s="6292"/>
      <c r="N180" s="6292"/>
      <c r="O180" s="6292"/>
      <c r="P180" s="6292"/>
      <c r="Q180" s="6292"/>
      <c r="R180" s="6292"/>
      <c r="S180" s="6292"/>
      <c r="T180" s="6292"/>
      <c r="U180" s="6292"/>
      <c r="V180" s="6292"/>
      <c r="W180" s="6292"/>
      <c r="X180" s="6292"/>
      <c r="Y180" s="6292"/>
      <c r="Z180" s="6292"/>
      <c r="AA180" s="6292"/>
      <c r="AB180" s="6292"/>
      <c r="AC180" s="6292"/>
      <c r="AD180" s="6292"/>
      <c r="AF180" s="1284"/>
      <c r="AG180" s="1760"/>
      <c r="AH180" s="1760"/>
      <c r="AI180" s="1284"/>
      <c r="AJ180" s="1284"/>
      <c r="AK180" s="1284"/>
      <c r="AL180" s="1284"/>
      <c r="AM180" s="1760"/>
      <c r="AN180" s="1284"/>
      <c r="AO180" s="1284"/>
      <c r="AP180" s="668"/>
      <c r="AQ180" s="1284"/>
      <c r="AR180" s="1284"/>
      <c r="AS180" s="1284"/>
      <c r="AT180" s="1284"/>
      <c r="AU180" s="1284"/>
      <c r="AV180" s="1756"/>
      <c r="AW180" s="690"/>
      <c r="AX180" s="690"/>
      <c r="AY180" s="690"/>
      <c r="AZ180" s="690"/>
      <c r="BA180" s="1765">
        <v>11</v>
      </c>
    </row>
    <row s="6292" customFormat="1" customHeight="1" ht="11.549999999999999">
      <c r="A181" s="1111"/>
      <c r="B181" s="1760"/>
      <c r="C181" s="1760"/>
      <c r="D181" s="475"/>
      <c r="J181" s="6292"/>
      <c r="K181" s="6292"/>
      <c r="L181" s="6292"/>
      <c r="M181" s="6292"/>
      <c r="N181" s="6292"/>
      <c r="O181" s="6292"/>
      <c r="P181" s="6292"/>
      <c r="Q181" s="6292"/>
      <c r="R181" s="6292"/>
      <c r="S181" s="6292"/>
      <c r="T181" s="6292"/>
      <c r="U181" s="6292"/>
      <c r="V181" s="6292"/>
      <c r="W181" s="6292"/>
      <c r="X181" s="6292"/>
      <c r="Y181" s="6292"/>
      <c r="Z181" s="6292"/>
      <c r="AA181" s="6292"/>
      <c r="AB181" s="6292"/>
      <c r="AC181" s="6292"/>
      <c r="AD181" s="6292"/>
      <c r="AF181" s="1284"/>
      <c r="AG181" s="1760"/>
      <c r="AH181" s="1760"/>
      <c r="AI181" s="1284"/>
      <c r="AJ181" s="1284"/>
      <c r="AK181" s="1284"/>
      <c r="AL181" s="1284"/>
      <c r="AM181" s="1760"/>
      <c r="AN181" s="1284"/>
      <c r="AO181" s="1284"/>
      <c r="AP181" s="668"/>
      <c r="AQ181" s="1284"/>
      <c r="AR181" s="1284"/>
      <c r="AS181" s="1284"/>
      <c r="AT181" s="1284"/>
      <c r="AU181" s="1284"/>
      <c r="AV181" s="1756"/>
      <c r="AW181" s="690"/>
      <c r="AX181" s="690"/>
      <c r="AY181" s="690"/>
      <c r="AZ181" s="690"/>
      <c r="BA181" s="1765">
        <v>11</v>
      </c>
    </row>
    <row s="6292" customFormat="1" customHeight="1" ht="11.549999999999999">
      <c r="A182" s="1111"/>
      <c r="B182" s="1760"/>
      <c r="C182" s="1760"/>
      <c r="D182" s="475"/>
      <c r="J182" s="6292"/>
      <c r="K182" s="6292"/>
      <c r="L182" s="6292"/>
      <c r="M182" s="6292"/>
      <c r="N182" s="6292"/>
      <c r="O182" s="6292"/>
      <c r="P182" s="6292"/>
      <c r="Q182" s="6292"/>
      <c r="R182" s="6292"/>
      <c r="S182" s="6292"/>
      <c r="T182" s="6292"/>
      <c r="U182" s="6292"/>
      <c r="V182" s="6292"/>
      <c r="W182" s="6292"/>
      <c r="X182" s="6292"/>
      <c r="Y182" s="6292"/>
      <c r="Z182" s="6292"/>
      <c r="AA182" s="6292"/>
      <c r="AB182" s="6292"/>
      <c r="AC182" s="6292"/>
      <c r="AD182" s="6292"/>
      <c r="AF182" s="1284"/>
      <c r="AG182" s="1760"/>
      <c r="AH182" s="1760"/>
      <c r="AI182" s="1284"/>
      <c r="AJ182" s="1284"/>
      <c r="AK182" s="1284"/>
      <c r="AL182" s="1284"/>
      <c r="AM182" s="1760"/>
      <c r="AN182" s="1284"/>
      <c r="AO182" s="1284"/>
      <c r="AP182" s="668"/>
      <c r="AQ182" s="1284"/>
      <c r="AR182" s="1284"/>
      <c r="AS182" s="1284"/>
      <c r="AT182" s="1284"/>
      <c r="AU182" s="1284"/>
      <c r="AV182" s="1756"/>
      <c r="AW182" s="690"/>
      <c r="AX182" s="690"/>
      <c r="AY182" s="690"/>
      <c r="AZ182" s="690"/>
      <c r="BA182" s="1765">
        <v>11</v>
      </c>
    </row>
    <row s="6292" customFormat="1" customHeight="1" ht="11.549999999999999">
      <c r="A183" s="1111"/>
      <c r="B183" s="1760"/>
      <c r="C183" s="1760"/>
      <c r="D183" s="475"/>
      <c r="J183" s="6292"/>
      <c r="K183" s="6292"/>
      <c r="L183" s="6292"/>
      <c r="M183" s="6292"/>
      <c r="N183" s="6292"/>
      <c r="O183" s="6292"/>
      <c r="P183" s="6292"/>
      <c r="Q183" s="6292"/>
      <c r="R183" s="6292"/>
      <c r="S183" s="6292"/>
      <c r="T183" s="6292"/>
      <c r="U183" s="6292"/>
      <c r="V183" s="6292"/>
      <c r="W183" s="6292"/>
      <c r="X183" s="6292"/>
      <c r="Y183" s="6292"/>
      <c r="Z183" s="6292"/>
      <c r="AA183" s="6292"/>
      <c r="AB183" s="6292"/>
      <c r="AC183" s="6292"/>
      <c r="AD183" s="6292"/>
      <c r="AF183" s="1284"/>
      <c r="AG183" s="1760"/>
      <c r="AH183" s="1760"/>
      <c r="AI183" s="1284"/>
      <c r="AJ183" s="1284"/>
      <c r="AK183" s="1284"/>
      <c r="AL183" s="1284"/>
      <c r="AM183" s="1760"/>
      <c r="AN183" s="1284"/>
      <c r="AO183" s="1284"/>
      <c r="AP183" s="668"/>
      <c r="AQ183" s="1284"/>
      <c r="AR183" s="1284"/>
      <c r="AS183" s="1284"/>
      <c r="AT183" s="1284"/>
      <c r="AU183" s="1284"/>
      <c r="AV183" s="1756"/>
      <c r="AW183" s="690"/>
      <c r="AX183" s="690"/>
      <c r="AY183" s="690"/>
      <c r="AZ183" s="690"/>
      <c r="BA183" s="1765">
        <v>11</v>
      </c>
    </row>
    <row s="6292" customFormat="1" customHeight="1" ht="11.549999999999999">
      <c r="A184" s="1111"/>
      <c r="B184" s="1760"/>
      <c r="C184" s="1760"/>
      <c r="D184" s="475"/>
      <c r="J184" s="6292"/>
      <c r="K184" s="6292"/>
      <c r="L184" s="6292"/>
      <c r="M184" s="6292"/>
      <c r="N184" s="6292"/>
      <c r="O184" s="6292"/>
      <c r="P184" s="6292"/>
      <c r="Q184" s="6292"/>
      <c r="R184" s="6292"/>
      <c r="S184" s="6292"/>
      <c r="T184" s="6292"/>
      <c r="U184" s="6292"/>
      <c r="V184" s="6292"/>
      <c r="W184" s="6292"/>
      <c r="X184" s="6292"/>
      <c r="Y184" s="6292"/>
      <c r="Z184" s="6292"/>
      <c r="AA184" s="6292"/>
      <c r="AB184" s="6292"/>
      <c r="AC184" s="6292"/>
      <c r="AD184" s="6292"/>
      <c r="AF184" s="1284"/>
      <c r="AG184" s="1760"/>
      <c r="AH184" s="1760"/>
      <c r="AI184" s="1284"/>
      <c r="AJ184" s="1284"/>
      <c r="AK184" s="1284"/>
      <c r="AL184" s="1284"/>
      <c r="AM184" s="1760"/>
      <c r="AN184" s="1284"/>
      <c r="AO184" s="1284"/>
      <c r="AP184" s="668"/>
      <c r="AQ184" s="1284"/>
      <c r="AR184" s="1284"/>
      <c r="AS184" s="1284"/>
      <c r="AT184" s="1284"/>
      <c r="AU184" s="1284"/>
      <c r="AV184" s="1756"/>
      <c r="AW184" s="690"/>
      <c r="AX184" s="690"/>
      <c r="AY184" s="690"/>
      <c r="AZ184" s="690"/>
      <c r="BA184" s="1765">
        <v>11</v>
      </c>
    </row>
    <row s="6292" customFormat="1" customHeight="1" ht="11.549999999999999">
      <c r="A185" s="1111"/>
      <c r="B185" s="1760"/>
      <c r="C185" s="1760"/>
      <c r="D185" s="475"/>
      <c r="J185" s="6292"/>
      <c r="K185" s="6292"/>
      <c r="L185" s="6292"/>
      <c r="M185" s="6292"/>
      <c r="N185" s="6292"/>
      <c r="O185" s="6292"/>
      <c r="P185" s="6292"/>
      <c r="Q185" s="6292"/>
      <c r="R185" s="6292"/>
      <c r="S185" s="6292"/>
      <c r="T185" s="6292"/>
      <c r="U185" s="6292"/>
      <c r="V185" s="6292"/>
      <c r="W185" s="6292"/>
      <c r="X185" s="6292"/>
      <c r="Y185" s="6292"/>
      <c r="Z185" s="6292"/>
      <c r="AA185" s="6292"/>
      <c r="AB185" s="6292"/>
      <c r="AC185" s="6292"/>
      <c r="AD185" s="6292"/>
      <c r="AF185" s="1284"/>
      <c r="AG185" s="1760"/>
      <c r="AH185" s="1760"/>
      <c r="AI185" s="1284"/>
      <c r="AJ185" s="1284"/>
      <c r="AK185" s="1284"/>
      <c r="AL185" s="1284"/>
      <c r="AM185" s="1760"/>
      <c r="AN185" s="1284"/>
      <c r="AO185" s="1284"/>
      <c r="AP185" s="668"/>
      <c r="AQ185" s="1284"/>
      <c r="AR185" s="1284"/>
      <c r="AS185" s="1284"/>
      <c r="AT185" s="1284"/>
      <c r="AU185" s="1284"/>
      <c r="AV185" s="1756"/>
      <c r="AW185" s="690"/>
      <c r="AX185" s="690"/>
      <c r="AY185" s="690"/>
      <c r="AZ185" s="690"/>
      <c r="BA185" s="1765">
        <v>11</v>
      </c>
    </row>
    <row s="6292" customFormat="1" customHeight="1" ht="11.549999999999999">
      <c r="A186" s="1111"/>
      <c r="B186" s="1760"/>
      <c r="C186" s="1760"/>
      <c r="D186" s="475"/>
      <c r="J186" s="6292"/>
      <c r="K186" s="6292"/>
      <c r="L186" s="6292"/>
      <c r="M186" s="6292"/>
      <c r="N186" s="6292"/>
      <c r="O186" s="6292"/>
      <c r="P186" s="6292"/>
      <c r="Q186" s="6292"/>
      <c r="R186" s="6292"/>
      <c r="S186" s="6292"/>
      <c r="T186" s="6292"/>
      <c r="U186" s="6292"/>
      <c r="V186" s="6292"/>
      <c r="W186" s="6292"/>
      <c r="X186" s="6292"/>
      <c r="Y186" s="6292"/>
      <c r="Z186" s="6292"/>
      <c r="AA186" s="6292"/>
      <c r="AB186" s="6292"/>
      <c r="AC186" s="6292"/>
      <c r="AD186" s="6292"/>
      <c r="AF186" s="1284"/>
      <c r="AG186" s="1760"/>
      <c r="AH186" s="1760"/>
      <c r="AI186" s="1284"/>
      <c r="AJ186" s="1284"/>
      <c r="AK186" s="1284"/>
      <c r="AL186" s="1284"/>
      <c r="AM186" s="1760"/>
      <c r="AN186" s="1284"/>
      <c r="AO186" s="1284"/>
      <c r="AP186" s="668"/>
      <c r="AQ186" s="1284"/>
      <c r="AR186" s="1284"/>
      <c r="AS186" s="1284"/>
      <c r="AT186" s="1284"/>
      <c r="AU186" s="1284"/>
      <c r="AV186" s="1756"/>
      <c r="AW186" s="690"/>
      <c r="AX186" s="690"/>
      <c r="AY186" s="690"/>
      <c r="AZ186" s="690"/>
      <c r="BA186" s="1765">
        <v>11</v>
      </c>
    </row>
    <row s="6292" customFormat="1" customHeight="1" ht="11.549999999999999">
      <c r="A187" s="1111"/>
      <c r="B187" s="1760"/>
      <c r="C187" s="1760"/>
      <c r="D187" s="475"/>
      <c r="J187" s="6292"/>
      <c r="K187" s="6292"/>
      <c r="L187" s="6292"/>
      <c r="M187" s="6292"/>
      <c r="N187" s="6292"/>
      <c r="O187" s="6292"/>
      <c r="P187" s="6292"/>
      <c r="Q187" s="6292"/>
      <c r="R187" s="6292"/>
      <c r="S187" s="6292"/>
      <c r="T187" s="6292"/>
      <c r="U187" s="6292"/>
      <c r="V187" s="6292"/>
      <c r="W187" s="6292"/>
      <c r="X187" s="6292"/>
      <c r="Y187" s="6292"/>
      <c r="Z187" s="6292"/>
      <c r="AA187" s="6292"/>
      <c r="AB187" s="6292"/>
      <c r="AC187" s="6292"/>
      <c r="AD187" s="6292"/>
      <c r="AF187" s="1284"/>
      <c r="AG187" s="1760"/>
      <c r="AH187" s="1760"/>
      <c r="AI187" s="1284"/>
      <c r="AJ187" s="1284"/>
      <c r="AK187" s="1284"/>
      <c r="AL187" s="1284"/>
      <c r="AM187" s="1760"/>
      <c r="AN187" s="1284"/>
      <c r="AO187" s="1284"/>
      <c r="AP187" s="668"/>
      <c r="AQ187" s="1284"/>
      <c r="AR187" s="1284"/>
      <c r="AS187" s="1284"/>
      <c r="AT187" s="1284"/>
      <c r="AU187" s="1284"/>
      <c r="AV187" s="1756"/>
      <c r="AW187" s="690"/>
      <c r="AX187" s="690"/>
      <c r="AY187" s="690"/>
      <c r="AZ187" s="690"/>
      <c r="BA187" s="1765">
        <v>11</v>
      </c>
    </row>
    <row s="6292" customFormat="1" customHeight="1" ht="11.549999999999999">
      <c r="A188" s="1111"/>
      <c r="B188" s="1760"/>
      <c r="C188" s="1760"/>
      <c r="D188" s="475"/>
      <c r="J188" s="6292"/>
      <c r="K188" s="6292"/>
      <c r="L188" s="6292"/>
      <c r="M188" s="6292"/>
      <c r="N188" s="6292"/>
      <c r="O188" s="6292"/>
      <c r="P188" s="6292"/>
      <c r="Q188" s="6292"/>
      <c r="R188" s="6292"/>
      <c r="S188" s="6292"/>
      <c r="T188" s="6292"/>
      <c r="U188" s="6292"/>
      <c r="V188" s="6292"/>
      <c r="W188" s="6292"/>
      <c r="X188" s="6292"/>
      <c r="Y188" s="6292"/>
      <c r="Z188" s="6292"/>
      <c r="AA188" s="6292"/>
      <c r="AB188" s="6292"/>
      <c r="AC188" s="6292"/>
      <c r="AD188" s="6292"/>
      <c r="AF188" s="1284"/>
      <c r="AG188" s="1760"/>
      <c r="AH188" s="1760"/>
      <c r="AI188" s="1284"/>
      <c r="AJ188" s="1284"/>
      <c r="AK188" s="1284"/>
      <c r="AL188" s="1284"/>
      <c r="AM188" s="1760"/>
      <c r="AN188" s="1284"/>
      <c r="AO188" s="1284"/>
      <c r="AP188" s="668"/>
      <c r="AQ188" s="1284"/>
      <c r="AR188" s="1284"/>
      <c r="AS188" s="1284"/>
      <c r="AT188" s="1284"/>
      <c r="AU188" s="1284"/>
      <c r="AV188" s="1756"/>
      <c r="AW188" s="690"/>
      <c r="AX188" s="690"/>
      <c r="AY188" s="690"/>
      <c r="AZ188" s="690"/>
      <c r="BA188" s="1765">
        <v>11</v>
      </c>
    </row>
    <row s="6292" customFormat="1" customHeight="1" ht="11.549999999999999">
      <c r="A189" s="1111"/>
      <c r="B189" s="1760"/>
      <c r="C189" s="1760"/>
      <c r="D189" s="475"/>
      <c r="J189" s="6292"/>
      <c r="K189" s="6292"/>
      <c r="L189" s="6292"/>
      <c r="M189" s="6292"/>
      <c r="N189" s="6292"/>
      <c r="O189" s="6292"/>
      <c r="P189" s="6292"/>
      <c r="Q189" s="6292"/>
      <c r="R189" s="6292"/>
      <c r="S189" s="6292"/>
      <c r="T189" s="6292"/>
      <c r="U189" s="6292"/>
      <c r="V189" s="6292"/>
      <c r="W189" s="6292"/>
      <c r="X189" s="6292"/>
      <c r="Y189" s="6292"/>
      <c r="Z189" s="6292"/>
      <c r="AA189" s="6292"/>
      <c r="AB189" s="6292"/>
      <c r="AC189" s="6292"/>
      <c r="AD189" s="6292"/>
      <c r="AF189" s="1284"/>
      <c r="AG189" s="1760"/>
      <c r="AH189" s="1760"/>
      <c r="AI189" s="1284"/>
      <c r="AJ189" s="1284"/>
      <c r="AK189" s="1284"/>
      <c r="AL189" s="1284"/>
      <c r="AM189" s="1760"/>
      <c r="AN189" s="1284"/>
      <c r="AO189" s="1284"/>
      <c r="AP189" s="668"/>
      <c r="AQ189" s="1284"/>
      <c r="AR189" s="1284"/>
      <c r="AS189" s="1284"/>
      <c r="AT189" s="1284"/>
      <c r="AU189" s="1284"/>
      <c r="AV189" s="1756"/>
      <c r="AW189" s="690"/>
      <c r="AX189" s="690"/>
      <c r="AY189" s="690"/>
      <c r="AZ189" s="690"/>
      <c r="BA189" s="1765">
        <v>11</v>
      </c>
    </row>
    <row s="6292" customFormat="1" customHeight="1" ht="11.549999999999999">
      <c r="A190" s="1111"/>
      <c r="B190" s="1760"/>
      <c r="C190" s="1760"/>
      <c r="D190" s="475"/>
      <c r="J190" s="6292"/>
      <c r="K190" s="6292"/>
      <c r="L190" s="6292"/>
      <c r="M190" s="6292"/>
      <c r="N190" s="6292"/>
      <c r="O190" s="6292"/>
      <c r="P190" s="6292"/>
      <c r="Q190" s="6292"/>
      <c r="R190" s="6292"/>
      <c r="S190" s="6292"/>
      <c r="T190" s="6292"/>
      <c r="U190" s="6292"/>
      <c r="V190" s="6292"/>
      <c r="W190" s="6292"/>
      <c r="X190" s="6292"/>
      <c r="Y190" s="6292"/>
      <c r="Z190" s="6292"/>
      <c r="AA190" s="6292"/>
      <c r="AB190" s="6292"/>
      <c r="AC190" s="6292"/>
      <c r="AD190" s="6292"/>
      <c r="AF190" s="1284"/>
      <c r="AG190" s="1760"/>
      <c r="AH190" s="1760"/>
      <c r="AI190" s="1284"/>
      <c r="AJ190" s="1284"/>
      <c r="AK190" s="1284"/>
      <c r="AL190" s="1284"/>
      <c r="AM190" s="1760"/>
      <c r="AN190" s="1284"/>
      <c r="AO190" s="1284"/>
      <c r="AP190" s="668"/>
      <c r="AQ190" s="1284"/>
      <c r="AR190" s="1284"/>
      <c r="AS190" s="1284"/>
      <c r="AT190" s="1284"/>
      <c r="AU190" s="1284"/>
      <c r="AV190" s="1756"/>
      <c r="AW190" s="690"/>
      <c r="AX190" s="690"/>
      <c r="AY190" s="690"/>
      <c r="AZ190" s="690"/>
      <c r="BA190" s="1765">
        <v>11</v>
      </c>
    </row>
    <row s="6292" customFormat="1" customHeight="1" ht="11.549999999999999">
      <c r="A191" s="1111"/>
      <c r="B191" s="1760"/>
      <c r="C191" s="1760"/>
      <c r="D191" s="475"/>
      <c r="J191" s="6292"/>
      <c r="K191" s="6292"/>
      <c r="L191" s="6292"/>
      <c r="M191" s="6292"/>
      <c r="N191" s="6292"/>
      <c r="O191" s="6292"/>
      <c r="P191" s="6292"/>
      <c r="Q191" s="6292"/>
      <c r="R191" s="6292"/>
      <c r="S191" s="6292"/>
      <c r="T191" s="6292"/>
      <c r="U191" s="6292"/>
      <c r="V191" s="6292"/>
      <c r="W191" s="6292"/>
      <c r="X191" s="6292"/>
      <c r="Y191" s="6292"/>
      <c r="Z191" s="6292"/>
      <c r="AA191" s="6292"/>
      <c r="AB191" s="6292"/>
      <c r="AC191" s="6292"/>
      <c r="AD191" s="6292"/>
      <c r="AF191" s="1284"/>
      <c r="AG191" s="1760"/>
      <c r="AH191" s="1760"/>
      <c r="AI191" s="1284"/>
      <c r="AJ191" s="1284"/>
      <c r="AK191" s="1284"/>
      <c r="AL191" s="1284"/>
      <c r="AM191" s="1760"/>
      <c r="AN191" s="1284"/>
      <c r="AO191" s="1284"/>
      <c r="AP191" s="668"/>
      <c r="AQ191" s="1284"/>
      <c r="AR191" s="1284"/>
      <c r="AS191" s="1284"/>
      <c r="AT191" s="1284"/>
      <c r="AU191" s="1284"/>
      <c r="AV191" s="1756"/>
      <c r="AW191" s="690"/>
      <c r="AX191" s="690"/>
      <c r="AY191" s="690"/>
      <c r="AZ191" s="690"/>
      <c r="BA191" s="1765">
        <v>11</v>
      </c>
    </row>
    <row s="6292" customFormat="1" customHeight="1" ht="11.549999999999999">
      <c r="A192" s="1111"/>
      <c r="B192" s="1760"/>
      <c r="C192" s="1760"/>
      <c r="D192" s="475"/>
      <c r="J192" s="6292"/>
      <c r="K192" s="6292"/>
      <c r="L192" s="6292"/>
      <c r="M192" s="6292"/>
      <c r="N192" s="6292"/>
      <c r="O192" s="6292"/>
      <c r="P192" s="6292"/>
      <c r="Q192" s="6292"/>
      <c r="R192" s="6292"/>
      <c r="S192" s="6292"/>
      <c r="T192" s="6292"/>
      <c r="U192" s="6292"/>
      <c r="V192" s="6292"/>
      <c r="W192" s="6292"/>
      <c r="X192" s="6292"/>
      <c r="Y192" s="6292"/>
      <c r="Z192" s="6292"/>
      <c r="AA192" s="6292"/>
      <c r="AB192" s="6292"/>
      <c r="AC192" s="6292"/>
      <c r="AD192" s="6292"/>
      <c r="AF192" s="1284"/>
      <c r="AG192" s="1760"/>
      <c r="AH192" s="1760"/>
      <c r="AI192" s="1284"/>
      <c r="AJ192" s="1284"/>
      <c r="AK192" s="1284"/>
      <c r="AL192" s="1284"/>
      <c r="AM192" s="1760"/>
      <c r="AN192" s="1284"/>
      <c r="AO192" s="1284"/>
      <c r="AP192" s="668"/>
      <c r="AQ192" s="1284"/>
      <c r="AR192" s="1284"/>
      <c r="AS192" s="1284"/>
      <c r="AT192" s="1284"/>
      <c r="AU192" s="1284"/>
      <c r="AV192" s="1756"/>
      <c r="AW192" s="690"/>
      <c r="AX192" s="690"/>
      <c r="AY192" s="690"/>
      <c r="AZ192" s="690"/>
      <c r="BA192" s="1765">
        <v>11</v>
      </c>
    </row>
    <row s="6292" customFormat="1" customHeight="1" ht="11.549999999999999">
      <c r="A193" s="1111"/>
      <c r="B193" s="1760"/>
      <c r="C193" s="1760"/>
      <c r="D193" s="475"/>
      <c r="J193" s="6292"/>
      <c r="K193" s="6292"/>
      <c r="L193" s="6292"/>
      <c r="M193" s="6292"/>
      <c r="N193" s="6292"/>
      <c r="O193" s="6292"/>
      <c r="P193" s="6292"/>
      <c r="Q193" s="6292"/>
      <c r="R193" s="6292"/>
      <c r="S193" s="6292"/>
      <c r="T193" s="6292"/>
      <c r="U193" s="6292"/>
      <c r="V193" s="6292"/>
      <c r="W193" s="6292"/>
      <c r="X193" s="6292"/>
      <c r="Y193" s="6292"/>
      <c r="Z193" s="6292"/>
      <c r="AA193" s="6292"/>
      <c r="AB193" s="6292"/>
      <c r="AC193" s="6292"/>
      <c r="AD193" s="6292"/>
      <c r="AF193" s="1284"/>
      <c r="AG193" s="1760"/>
      <c r="AH193" s="1760"/>
      <c r="AI193" s="1284"/>
      <c r="AJ193" s="1284"/>
      <c r="AK193" s="1284"/>
      <c r="AL193" s="1284"/>
      <c r="AM193" s="1760"/>
      <c r="AN193" s="1284"/>
      <c r="AO193" s="1284"/>
      <c r="AP193" s="668"/>
      <c r="AQ193" s="1284"/>
      <c r="AR193" s="1284"/>
      <c r="AS193" s="1284"/>
      <c r="AT193" s="1284"/>
      <c r="AU193" s="1284"/>
      <c r="AV193" s="1756"/>
      <c r="AW193" s="690"/>
      <c r="AX193" s="690"/>
      <c r="AY193" s="690"/>
      <c r="AZ193" s="690"/>
      <c r="BA193" s="1765">
        <v>11</v>
      </c>
    </row>
    <row s="6292" customFormat="1" customHeight="1" ht="11.549999999999999">
      <c r="A194" s="1111"/>
      <c r="B194" s="1760"/>
      <c r="C194" s="1760"/>
      <c r="D194" s="475"/>
      <c r="J194" s="6292"/>
      <c r="K194" s="6292"/>
      <c r="L194" s="6292"/>
      <c r="M194" s="6292"/>
      <c r="N194" s="6292"/>
      <c r="O194" s="6292"/>
      <c r="P194" s="6292"/>
      <c r="Q194" s="6292"/>
      <c r="R194" s="6292"/>
      <c r="S194" s="6292"/>
      <c r="T194" s="6292"/>
      <c r="U194" s="6292"/>
      <c r="V194" s="6292"/>
      <c r="W194" s="6292"/>
      <c r="X194" s="6292"/>
      <c r="Y194" s="6292"/>
      <c r="Z194" s="6292"/>
      <c r="AA194" s="6292"/>
      <c r="AB194" s="6292"/>
      <c r="AC194" s="6292"/>
      <c r="AD194" s="6292"/>
      <c r="AF194" s="1284"/>
      <c r="AG194" s="1760"/>
      <c r="AH194" s="1760"/>
      <c r="AI194" s="1284"/>
      <c r="AJ194" s="1284"/>
      <c r="AK194" s="1284"/>
      <c r="AL194" s="1284"/>
      <c r="AM194" s="1760"/>
      <c r="AN194" s="1284"/>
      <c r="AO194" s="1284"/>
      <c r="AP194" s="668"/>
      <c r="AQ194" s="1284"/>
      <c r="AR194" s="1284"/>
      <c r="AS194" s="1284"/>
      <c r="AT194" s="1284"/>
      <c r="AU194" s="1284"/>
      <c r="AV194" s="1756"/>
      <c r="AW194" s="690"/>
      <c r="AX194" s="690"/>
      <c r="AY194" s="690"/>
      <c r="AZ194" s="690"/>
      <c r="BA194" s="1765">
        <v>11</v>
      </c>
    </row>
    <row s="6292" customFormat="1" customHeight="1" ht="11.549999999999999">
      <c r="A195" s="1111"/>
      <c r="B195" s="1760"/>
      <c r="C195" s="1760"/>
      <c r="D195" s="475"/>
      <c r="J195" s="6292"/>
      <c r="K195" s="6292"/>
      <c r="L195" s="6292"/>
      <c r="M195" s="6292"/>
      <c r="N195" s="6292"/>
      <c r="O195" s="6292"/>
      <c r="P195" s="6292"/>
      <c r="Q195" s="6292"/>
      <c r="R195" s="6292"/>
      <c r="S195" s="6292"/>
      <c r="T195" s="6292"/>
      <c r="U195" s="6292"/>
      <c r="V195" s="6292"/>
      <c r="W195" s="6292"/>
      <c r="X195" s="6292"/>
      <c r="Y195" s="6292"/>
      <c r="Z195" s="6292"/>
      <c r="AA195" s="6292"/>
      <c r="AB195" s="6292"/>
      <c r="AC195" s="6292"/>
      <c r="AD195" s="6292"/>
      <c r="AF195" s="1284"/>
      <c r="AG195" s="1760"/>
      <c r="AH195" s="1760"/>
      <c r="AI195" s="1284"/>
      <c r="AJ195" s="1284"/>
      <c r="AK195" s="1284"/>
      <c r="AL195" s="1284"/>
      <c r="AM195" s="1760"/>
      <c r="AN195" s="1284"/>
      <c r="AO195" s="1284"/>
      <c r="AP195" s="668"/>
      <c r="AQ195" s="1284"/>
      <c r="AR195" s="1284"/>
      <c r="AS195" s="1284"/>
      <c r="AT195" s="1284"/>
      <c r="AU195" s="1284"/>
      <c r="AV195" s="1756"/>
      <c r="AW195" s="690"/>
      <c r="AX195" s="690"/>
      <c r="AY195" s="690"/>
      <c r="AZ195" s="690"/>
      <c r="BA195" s="1765">
        <v>11</v>
      </c>
    </row>
    <row s="6292" customFormat="1" customHeight="1" ht="11.549999999999999">
      <c r="A196" s="1111"/>
      <c r="B196" s="1760"/>
      <c r="C196" s="1760"/>
      <c r="D196" s="475"/>
      <c r="J196" s="6292"/>
      <c r="K196" s="6292"/>
      <c r="L196" s="6292"/>
      <c r="M196" s="6292"/>
      <c r="N196" s="6292"/>
      <c r="O196" s="6292"/>
      <c r="P196" s="6292"/>
      <c r="Q196" s="6292"/>
      <c r="R196" s="6292"/>
      <c r="S196" s="6292"/>
      <c r="T196" s="6292"/>
      <c r="U196" s="6292"/>
      <c r="V196" s="6292"/>
      <c r="W196" s="6292"/>
      <c r="X196" s="6292"/>
      <c r="Y196" s="6292"/>
      <c r="Z196" s="6292"/>
      <c r="AA196" s="6292"/>
      <c r="AB196" s="6292"/>
      <c r="AC196" s="6292"/>
      <c r="AD196" s="6292"/>
      <c r="AF196" s="1284"/>
      <c r="AG196" s="1760"/>
      <c r="AH196" s="1760"/>
      <c r="AI196" s="1284"/>
      <c r="AJ196" s="1284"/>
      <c r="AK196" s="1284"/>
      <c r="AL196" s="1284"/>
      <c r="AM196" s="1760"/>
      <c r="AN196" s="1284"/>
      <c r="AO196" s="1284"/>
      <c r="AP196" s="668"/>
      <c r="AQ196" s="1284"/>
      <c r="AR196" s="1284"/>
      <c r="AS196" s="1284"/>
      <c r="AT196" s="1284"/>
      <c r="AU196" s="1284"/>
      <c r="AV196" s="1756"/>
      <c r="AW196" s="690"/>
      <c r="AX196" s="690"/>
      <c r="AY196" s="690"/>
      <c r="AZ196" s="690"/>
      <c r="BA196" s="1765">
        <v>11</v>
      </c>
    </row>
    <row s="6292" customFormat="1" customHeight="1" ht="11.549999999999999">
      <c r="A197" s="1111"/>
      <c r="B197" s="1760"/>
      <c r="C197" s="1760"/>
      <c r="D197" s="475"/>
      <c r="J197" s="6292"/>
      <c r="K197" s="6292"/>
      <c r="L197" s="6292"/>
      <c r="M197" s="6292"/>
      <c r="N197" s="6292"/>
      <c r="O197" s="6292"/>
      <c r="P197" s="6292"/>
      <c r="Q197" s="6292"/>
      <c r="R197" s="6292"/>
      <c r="S197" s="6292"/>
      <c r="T197" s="6292"/>
      <c r="U197" s="6292"/>
      <c r="V197" s="6292"/>
      <c r="W197" s="6292"/>
      <c r="X197" s="6292"/>
      <c r="Y197" s="6292"/>
      <c r="Z197" s="6292"/>
      <c r="AA197" s="6292"/>
      <c r="AB197" s="6292"/>
      <c r="AC197" s="6292"/>
      <c r="AD197" s="6292"/>
      <c r="AF197" s="1284"/>
      <c r="AG197" s="1760"/>
      <c r="AH197" s="1760"/>
      <c r="AI197" s="1284"/>
      <c r="AJ197" s="1284"/>
      <c r="AK197" s="1284"/>
      <c r="AL197" s="1284"/>
      <c r="AM197" s="1760"/>
      <c r="AN197" s="1284"/>
      <c r="AO197" s="1284"/>
      <c r="AP197" s="668"/>
      <c r="AQ197" s="1284"/>
      <c r="AR197" s="1284"/>
      <c r="AS197" s="1284"/>
      <c r="AT197" s="1284"/>
      <c r="AU197" s="1284"/>
      <c r="AV197" s="1756"/>
      <c r="AW197" s="690"/>
      <c r="AX197" s="690"/>
      <c r="AY197" s="690"/>
      <c r="AZ197" s="690"/>
      <c r="BA197" s="1765">
        <v>11</v>
      </c>
    </row>
    <row s="6292" customFormat="1" customHeight="1" ht="11.549999999999999">
      <c r="A198" s="1111"/>
      <c r="B198" s="1760"/>
      <c r="C198" s="1760"/>
      <c r="D198" s="475"/>
      <c r="J198" s="6292"/>
      <c r="K198" s="6292"/>
      <c r="L198" s="6292"/>
      <c r="M198" s="6292"/>
      <c r="N198" s="6292"/>
      <c r="O198" s="6292"/>
      <c r="P198" s="6292"/>
      <c r="Q198" s="6292"/>
      <c r="R198" s="6292"/>
      <c r="S198" s="6292"/>
      <c r="T198" s="6292"/>
      <c r="U198" s="6292"/>
      <c r="V198" s="6292"/>
      <c r="W198" s="6292"/>
      <c r="X198" s="6292"/>
      <c r="Y198" s="6292"/>
      <c r="Z198" s="6292"/>
      <c r="AA198" s="6292"/>
      <c r="AB198" s="6292"/>
      <c r="AC198" s="6292"/>
      <c r="AD198" s="6292"/>
      <c r="AF198" s="1284"/>
      <c r="AG198" s="1760"/>
      <c r="AH198" s="1760"/>
      <c r="AI198" s="1284"/>
      <c r="AJ198" s="1284"/>
      <c r="AK198" s="1284"/>
      <c r="AL198" s="1284"/>
      <c r="AM198" s="1760"/>
      <c r="AN198" s="1284"/>
      <c r="AO198" s="1284"/>
      <c r="AP198" s="668"/>
      <c r="AQ198" s="1284"/>
      <c r="AR198" s="1284"/>
      <c r="AS198" s="1284"/>
      <c r="AT198" s="1284"/>
      <c r="AU198" s="1284"/>
      <c r="AV198" s="1756"/>
      <c r="AW198" s="690"/>
      <c r="AX198" s="690"/>
      <c r="AY198" s="690"/>
      <c r="AZ198" s="690"/>
      <c r="BA198" s="1765">
        <v>11</v>
      </c>
    </row>
    <row s="6292" customFormat="1" customHeight="1" ht="11.549999999999999">
      <c r="A199" s="1111"/>
      <c r="B199" s="1760"/>
      <c r="C199" s="1760"/>
      <c r="D199" s="475"/>
      <c r="J199" s="6292"/>
      <c r="K199" s="6292"/>
      <c r="L199" s="6292"/>
      <c r="M199" s="6292"/>
      <c r="N199" s="6292"/>
      <c r="O199" s="6292"/>
      <c r="P199" s="6292"/>
      <c r="Q199" s="6292"/>
      <c r="R199" s="6292"/>
      <c r="S199" s="6292"/>
      <c r="T199" s="6292"/>
      <c r="U199" s="6292"/>
      <c r="V199" s="6292"/>
      <c r="W199" s="6292"/>
      <c r="X199" s="6292"/>
      <c r="Y199" s="6292"/>
      <c r="Z199" s="6292"/>
      <c r="AA199" s="6292"/>
      <c r="AB199" s="6292"/>
      <c r="AC199" s="6292"/>
      <c r="AD199" s="6292"/>
      <c r="AF199" s="1284"/>
      <c r="AG199" s="1760"/>
      <c r="AH199" s="1760"/>
      <c r="AI199" s="1284"/>
      <c r="AJ199" s="1284"/>
      <c r="AK199" s="1284"/>
      <c r="AL199" s="1284"/>
      <c r="AM199" s="1760"/>
      <c r="AN199" s="1284"/>
      <c r="AO199" s="1284"/>
      <c r="AP199" s="668"/>
      <c r="AQ199" s="1284"/>
      <c r="AR199" s="1284"/>
      <c r="AS199" s="1284"/>
      <c r="AT199" s="1284"/>
      <c r="AU199" s="1284"/>
      <c r="AV199" s="1756"/>
      <c r="AW199" s="690"/>
      <c r="AX199" s="690"/>
      <c r="AY199" s="690"/>
      <c r="AZ199" s="690"/>
      <c r="BA199" s="1765">
        <v>11</v>
      </c>
    </row>
    <row s="6292" customFormat="1" customHeight="1" ht="11.549999999999999">
      <c r="A200" s="1111"/>
      <c r="B200" s="1760"/>
      <c r="C200" s="1760"/>
      <c r="D200" s="475"/>
      <c r="J200" s="6292"/>
      <c r="K200" s="6292"/>
      <c r="L200" s="6292"/>
      <c r="M200" s="6292"/>
      <c r="N200" s="6292"/>
      <c r="O200" s="6292"/>
      <c r="P200" s="6292"/>
      <c r="Q200" s="6292"/>
      <c r="R200" s="6292"/>
      <c r="S200" s="6292"/>
      <c r="T200" s="6292"/>
      <c r="U200" s="6292"/>
      <c r="V200" s="6292"/>
      <c r="W200" s="6292"/>
      <c r="X200" s="6292"/>
      <c r="Y200" s="6292"/>
      <c r="Z200" s="6292"/>
      <c r="AA200" s="6292"/>
      <c r="AB200" s="6292"/>
      <c r="AC200" s="6292"/>
      <c r="AD200" s="6292"/>
      <c r="AF200" s="1284"/>
      <c r="AG200" s="1760"/>
      <c r="AH200" s="1760"/>
      <c r="AI200" s="1284"/>
      <c r="AJ200" s="1284"/>
      <c r="AK200" s="1284"/>
      <c r="AL200" s="1284"/>
      <c r="AM200" s="1760"/>
      <c r="AN200" s="1284"/>
      <c r="AO200" s="1284"/>
      <c r="AP200" s="668"/>
      <c r="AQ200" s="1284"/>
      <c r="AR200" s="1284"/>
      <c r="AS200" s="1284"/>
      <c r="AT200" s="1284"/>
      <c r="AU200" s="1284"/>
      <c r="AV200" s="1756"/>
      <c r="AW200" s="690"/>
      <c r="AX200" s="690"/>
      <c r="AY200" s="690"/>
      <c r="AZ200" s="690"/>
      <c r="BA200" s="1765">
        <v>11</v>
      </c>
    </row>
    <row s="6292" customFormat="1" customHeight="1" ht="11.549999999999999">
      <c r="A201" s="1111"/>
      <c r="B201" s="1760"/>
      <c r="C201" s="1760"/>
      <c r="D201" s="475"/>
      <c r="J201" s="6292"/>
      <c r="K201" s="6292"/>
      <c r="L201" s="6292"/>
      <c r="M201" s="6292"/>
      <c r="N201" s="6292"/>
      <c r="O201" s="6292"/>
      <c r="P201" s="6292"/>
      <c r="Q201" s="6292"/>
      <c r="R201" s="6292"/>
      <c r="S201" s="6292"/>
      <c r="T201" s="6292"/>
      <c r="U201" s="6292"/>
      <c r="V201" s="6292"/>
      <c r="W201" s="6292"/>
      <c r="X201" s="6292"/>
      <c r="Y201" s="6292"/>
      <c r="Z201" s="6292"/>
      <c r="AA201" s="6292"/>
      <c r="AB201" s="6292"/>
      <c r="AC201" s="6292"/>
      <c r="AD201" s="6292"/>
      <c r="AF201" s="1284"/>
      <c r="AG201" s="1760"/>
      <c r="AH201" s="1760"/>
      <c r="AI201" s="1284"/>
      <c r="AJ201" s="1284"/>
      <c r="AK201" s="1284"/>
      <c r="AL201" s="1284"/>
      <c r="AM201" s="1760"/>
      <c r="AN201" s="1284"/>
      <c r="AO201" s="1284"/>
      <c r="AP201" s="668"/>
      <c r="AQ201" s="1284"/>
      <c r="AR201" s="1284"/>
      <c r="AS201" s="1284"/>
      <c r="AT201" s="1284"/>
      <c r="AU201" s="1284"/>
      <c r="AV201" s="1756"/>
      <c r="AW201" s="690"/>
      <c r="AX201" s="690"/>
      <c r="AY201" s="690"/>
      <c r="AZ201" s="690"/>
      <c r="BA201" s="1765">
        <v>11</v>
      </c>
    </row>
    <row s="6292" customFormat="1" customHeight="1" ht="11.549999999999999">
      <c r="A202" s="1111"/>
      <c r="B202" s="1760"/>
      <c r="C202" s="1760"/>
      <c r="D202" s="475"/>
      <c r="J202" s="6292"/>
      <c r="K202" s="6292"/>
      <c r="L202" s="6292"/>
      <c r="M202" s="6292"/>
      <c r="N202" s="6292"/>
      <c r="O202" s="6292"/>
      <c r="P202" s="6292"/>
      <c r="Q202" s="6292"/>
      <c r="R202" s="6292"/>
      <c r="S202" s="6292"/>
      <c r="T202" s="6292"/>
      <c r="U202" s="6292"/>
      <c r="V202" s="6292"/>
      <c r="W202" s="6292"/>
      <c r="X202" s="6292"/>
      <c r="Y202" s="6292"/>
      <c r="Z202" s="6292"/>
      <c r="AA202" s="6292"/>
      <c r="AB202" s="6292"/>
      <c r="AC202" s="6292"/>
      <c r="AD202" s="6292"/>
      <c r="AF202" s="1284"/>
      <c r="AG202" s="1760"/>
      <c r="AH202" s="1760"/>
      <c r="AI202" s="1284"/>
      <c r="AJ202" s="1284"/>
      <c r="AK202" s="1284"/>
      <c r="AL202" s="1284"/>
      <c r="AM202" s="1760"/>
      <c r="AN202" s="1284"/>
      <c r="AO202" s="1284"/>
      <c r="AP202" s="668"/>
      <c r="AQ202" s="1284"/>
      <c r="AR202" s="1284"/>
      <c r="AS202" s="1284"/>
      <c r="AT202" s="1284"/>
      <c r="AU202" s="1284"/>
      <c r="AV202" s="1756"/>
      <c r="AW202" s="690"/>
      <c r="AX202" s="690"/>
      <c r="AY202" s="690"/>
      <c r="AZ202" s="690"/>
      <c r="BA202" s="1765">
        <v>11</v>
      </c>
    </row>
    <row s="6292" customFormat="1" customHeight="1" ht="11.549999999999999">
      <c r="A203" s="1111"/>
      <c r="B203" s="1760"/>
      <c r="C203" s="1760"/>
      <c r="D203" s="475"/>
      <c r="J203" s="6292"/>
      <c r="K203" s="6292"/>
      <c r="L203" s="6292"/>
      <c r="M203" s="6292"/>
      <c r="N203" s="6292"/>
      <c r="O203" s="6292"/>
      <c r="P203" s="6292"/>
      <c r="Q203" s="6292"/>
      <c r="R203" s="6292"/>
      <c r="S203" s="6292"/>
      <c r="T203" s="6292"/>
      <c r="U203" s="6292"/>
      <c r="V203" s="6292"/>
      <c r="W203" s="6292"/>
      <c r="X203" s="6292"/>
      <c r="Y203" s="6292"/>
      <c r="Z203" s="6292"/>
      <c r="AA203" s="6292"/>
      <c r="AB203" s="6292"/>
      <c r="AC203" s="6292"/>
      <c r="AD203" s="6292"/>
      <c r="AF203" s="1284"/>
      <c r="AG203" s="1760"/>
      <c r="AH203" s="1760"/>
      <c r="AI203" s="1284"/>
      <c r="AJ203" s="1284"/>
      <c r="AK203" s="1284"/>
      <c r="AL203" s="1284"/>
      <c r="AM203" s="1760"/>
      <c r="AN203" s="1284"/>
      <c r="AO203" s="1284"/>
      <c r="AP203" s="668"/>
      <c r="AQ203" s="1284"/>
      <c r="AR203" s="1284"/>
      <c r="AS203" s="1284"/>
      <c r="AT203" s="1284"/>
      <c r="AU203" s="1284"/>
      <c r="AV203" s="1756"/>
      <c r="AW203" s="690"/>
      <c r="AX203" s="690"/>
      <c r="AY203" s="690"/>
      <c r="AZ203" s="690"/>
      <c r="BA203" s="1765">
        <v>11</v>
      </c>
    </row>
    <row s="6292" customFormat="1" customHeight="1" ht="11.549999999999999">
      <c r="A204" s="1111"/>
      <c r="B204" s="1760"/>
      <c r="C204" s="1760"/>
      <c r="D204" s="475"/>
      <c r="J204" s="6292"/>
      <c r="K204" s="6292"/>
      <c r="L204" s="6292"/>
      <c r="M204" s="6292"/>
      <c r="N204" s="6292"/>
      <c r="O204" s="6292"/>
      <c r="P204" s="6292"/>
      <c r="Q204" s="6292"/>
      <c r="R204" s="6292"/>
      <c r="S204" s="6292"/>
      <c r="T204" s="6292"/>
      <c r="U204" s="6292"/>
      <c r="V204" s="6292"/>
      <c r="W204" s="6292"/>
      <c r="X204" s="6292"/>
      <c r="Y204" s="6292"/>
      <c r="Z204" s="6292"/>
      <c r="AA204" s="6292"/>
      <c r="AB204" s="6292"/>
      <c r="AC204" s="6292"/>
      <c r="AD204" s="6292"/>
      <c r="AF204" s="1284"/>
      <c r="AG204" s="1760"/>
      <c r="AH204" s="1760"/>
      <c r="AI204" s="1284"/>
      <c r="AJ204" s="1284"/>
      <c r="AK204" s="1284"/>
      <c r="AL204" s="1284"/>
      <c r="AM204" s="1760"/>
      <c r="AN204" s="1284"/>
      <c r="AO204" s="1284"/>
      <c r="AP204" s="668"/>
      <c r="AQ204" s="1284"/>
      <c r="AR204" s="1284"/>
      <c r="AS204" s="1284"/>
      <c r="AT204" s="1284"/>
      <c r="AU204" s="1284"/>
      <c r="AV204" s="1756"/>
      <c r="AW204" s="690"/>
      <c r="AX204" s="690"/>
      <c r="AY204" s="690"/>
      <c r="AZ204" s="690"/>
      <c r="BA204" s="1765">
        <v>11</v>
      </c>
    </row>
    <row customHeight="1" ht="11.549999999999999">
      <c r="J205" s="7213"/>
      <c r="K205" s="7213"/>
      <c r="L205" s="7213"/>
      <c r="M205" s="7213"/>
      <c r="N205" s="7213"/>
      <c r="O205" s="7213"/>
      <c r="P205" s="7213"/>
      <c r="Q205" s="7213"/>
      <c r="R205" s="7213"/>
      <c r="S205" s="7213"/>
      <c r="T205" s="7213"/>
      <c r="U205" s="7213"/>
      <c r="V205" s="7213"/>
      <c r="W205" s="7213"/>
      <c r="X205" s="7213"/>
      <c r="Y205" s="7213"/>
      <c r="Z205" s="7213"/>
      <c r="AA205" s="7213"/>
      <c r="AB205" s="7213"/>
      <c r="AC205" s="7213"/>
      <c r="AD205" s="7213"/>
      <c r="BA205" s="1755">
        <v>11</v>
      </c>
    </row>
    <row customHeight="1" ht="11.549999999999999">
      <c r="J206" s="7213"/>
      <c r="K206" s="7213"/>
      <c r="L206" s="7213"/>
      <c r="M206" s="7213"/>
      <c r="N206" s="7213"/>
      <c r="O206" s="7213"/>
      <c r="P206" s="7213"/>
      <c r="Q206" s="7213"/>
      <c r="R206" s="7213"/>
      <c r="S206" s="7213"/>
      <c r="T206" s="7213"/>
      <c r="U206" s="7213"/>
      <c r="V206" s="7213"/>
      <c r="W206" s="7213"/>
      <c r="X206" s="7213"/>
      <c r="Y206" s="7213"/>
      <c r="Z206" s="7213"/>
      <c r="AA206" s="7213"/>
      <c r="AB206" s="7213"/>
      <c r="AC206" s="7213"/>
      <c r="AD206" s="7213"/>
      <c r="BA206" s="1755">
        <v>11</v>
      </c>
    </row>
    <row customHeight="1" ht="11.549999999999999">
      <c r="J207" s="7213"/>
      <c r="K207" s="7213"/>
      <c r="L207" s="7213"/>
      <c r="M207" s="7213"/>
      <c r="N207" s="7213"/>
      <c r="O207" s="7213"/>
      <c r="P207" s="7213"/>
      <c r="Q207" s="7213"/>
      <c r="R207" s="7213"/>
      <c r="S207" s="7213"/>
      <c r="T207" s="7213"/>
      <c r="U207" s="7213"/>
      <c r="V207" s="7213"/>
      <c r="W207" s="7213"/>
      <c r="X207" s="7213"/>
      <c r="Y207" s="7213"/>
      <c r="Z207" s="7213"/>
      <c r="AA207" s="7213"/>
      <c r="AB207" s="7213"/>
      <c r="AC207" s="7213"/>
      <c r="AD207" s="7213"/>
      <c r="BA207" s="1755">
        <v>11</v>
      </c>
    </row>
    <row customHeight="1" ht="11.549999999999999">
      <c r="A208" s="1114"/>
      <c r="B208" s="1755"/>
      <c r="D208" s="1755"/>
      <c r="J208" s="7213"/>
      <c r="K208" s="7213"/>
      <c r="L208" s="7213"/>
      <c r="M208" s="7213"/>
      <c r="N208" s="7213"/>
      <c r="O208" s="7213"/>
      <c r="P208" s="7213"/>
      <c r="Q208" s="7213"/>
      <c r="R208" s="7213"/>
      <c r="S208" s="7213"/>
      <c r="T208" s="7213"/>
      <c r="U208" s="7213"/>
      <c r="V208" s="7213"/>
      <c r="W208" s="7213"/>
      <c r="X208" s="7213"/>
      <c r="Y208" s="7213"/>
      <c r="Z208" s="7213"/>
      <c r="AA208" s="7213"/>
      <c r="AB208" s="7213"/>
      <c r="AC208" s="7213"/>
      <c r="AD208" s="7213"/>
      <c r="AF208" s="1755"/>
      <c r="AI208" s="1755"/>
      <c r="AJ208" s="1755"/>
      <c r="AK208" s="1755"/>
      <c r="AL208" s="1755"/>
      <c r="AN208" s="1755"/>
      <c r="AO208" s="1755"/>
      <c r="AP208" s="1755"/>
      <c r="AQ208" s="1755"/>
      <c r="AR208" s="1755"/>
      <c r="AS208" s="1755"/>
      <c r="AT208" s="1755"/>
      <c r="AU208" s="1755"/>
      <c r="AV208" s="1755"/>
      <c r="AW208" s="1755"/>
      <c r="AX208" s="1755"/>
      <c r="AY208" s="1755"/>
      <c r="AZ208" s="1755"/>
      <c r="BA208" s="1755">
        <v>11</v>
      </c>
    </row>
    <row customHeight="1" ht="11.549999999999999">
      <c r="A209" s="1114"/>
      <c r="B209" s="1755"/>
      <c r="D209" s="1755"/>
      <c r="J209" s="7213"/>
      <c r="K209" s="7213"/>
      <c r="L209" s="7213"/>
      <c r="M209" s="7213"/>
      <c r="N209" s="7213"/>
      <c r="O209" s="7213"/>
      <c r="P209" s="7213"/>
      <c r="Q209" s="7213"/>
      <c r="R209" s="7213"/>
      <c r="S209" s="7213"/>
      <c r="T209" s="7213"/>
      <c r="U209" s="7213"/>
      <c r="V209" s="7213"/>
      <c r="W209" s="7213"/>
      <c r="X209" s="7213"/>
      <c r="Y209" s="7213"/>
      <c r="Z209" s="7213"/>
      <c r="AA209" s="7213"/>
      <c r="AB209" s="7213"/>
      <c r="AC209" s="7213"/>
      <c r="AD209" s="7213"/>
      <c r="AF209" s="1755"/>
      <c r="AI209" s="1755"/>
      <c r="AJ209" s="1755"/>
      <c r="AK209" s="1755"/>
      <c r="AL209" s="1755"/>
      <c r="AN209" s="1755"/>
      <c r="AO209" s="1755"/>
      <c r="AP209" s="1755"/>
      <c r="AQ209" s="1755"/>
      <c r="AR209" s="1755"/>
      <c r="AS209" s="1755"/>
      <c r="AT209" s="1755"/>
      <c r="AU209" s="1755"/>
      <c r="AV209" s="1755"/>
      <c r="AW209" s="1755"/>
      <c r="AX209" s="1755"/>
      <c r="AY209" s="1755"/>
      <c r="AZ209" s="1755"/>
      <c r="BA209" s="1755">
        <v>11</v>
      </c>
    </row>
    <row customHeight="1" ht="11.549999999999999">
      <c r="A210" s="1114"/>
      <c r="B210" s="1755"/>
      <c r="D210" s="1755"/>
      <c r="J210" s="7213"/>
      <c r="K210" s="7213"/>
      <c r="L210" s="7213"/>
      <c r="M210" s="7213"/>
      <c r="N210" s="7213"/>
      <c r="O210" s="7213"/>
      <c r="P210" s="7213"/>
      <c r="Q210" s="7213"/>
      <c r="R210" s="7213"/>
      <c r="S210" s="7213"/>
      <c r="T210" s="7213"/>
      <c r="U210" s="7213"/>
      <c r="V210" s="7213"/>
      <c r="W210" s="7213"/>
      <c r="X210" s="7213"/>
      <c r="Y210" s="7213"/>
      <c r="Z210" s="7213"/>
      <c r="AA210" s="7213"/>
      <c r="AB210" s="7213"/>
      <c r="AC210" s="7213"/>
      <c r="AD210" s="7213"/>
      <c r="AF210" s="1755"/>
      <c r="AI210" s="1755"/>
      <c r="AJ210" s="1755"/>
      <c r="AK210" s="1755"/>
      <c r="AL210" s="1755"/>
      <c r="AN210" s="1755"/>
      <c r="AO210" s="1755"/>
      <c r="AP210" s="1755"/>
      <c r="AQ210" s="1755"/>
      <c r="AR210" s="1755"/>
      <c r="AS210" s="1755"/>
      <c r="AT210" s="1755"/>
      <c r="AU210" s="1755"/>
      <c r="AV210" s="1755"/>
      <c r="AW210" s="1755"/>
      <c r="AX210" s="1755"/>
      <c r="AY210" s="1755"/>
      <c r="AZ210" s="1755"/>
      <c r="BA210" s="1755">
        <v>11</v>
      </c>
    </row>
    <row customHeight="1" ht="11.549999999999999">
      <c r="A211" s="1114"/>
      <c r="B211" s="1755"/>
      <c r="D211" s="1755"/>
      <c r="J211" s="7213"/>
      <c r="K211" s="7213"/>
      <c r="L211" s="7213"/>
      <c r="M211" s="7213"/>
      <c r="N211" s="7213"/>
      <c r="O211" s="7213"/>
      <c r="P211" s="7213"/>
      <c r="Q211" s="7213"/>
      <c r="R211" s="7213"/>
      <c r="S211" s="7213"/>
      <c r="T211" s="7213"/>
      <c r="U211" s="7213"/>
      <c r="V211" s="7213"/>
      <c r="W211" s="7213"/>
      <c r="X211" s="7213"/>
      <c r="Y211" s="7213"/>
      <c r="Z211" s="7213"/>
      <c r="AA211" s="7213"/>
      <c r="AB211" s="7213"/>
      <c r="AC211" s="7213"/>
      <c r="AD211" s="7213"/>
      <c r="AF211" s="1755"/>
      <c r="AI211" s="1755"/>
      <c r="AJ211" s="1755"/>
      <c r="AK211" s="1755"/>
      <c r="AL211" s="1755"/>
      <c r="AN211" s="1755"/>
      <c r="AO211" s="1755"/>
      <c r="AP211" s="1755"/>
      <c r="AQ211" s="1755"/>
      <c r="AR211" s="1755"/>
      <c r="AS211" s="1755"/>
      <c r="AT211" s="1755"/>
      <c r="AU211" s="1755"/>
      <c r="AV211" s="1755"/>
      <c r="AW211" s="1755"/>
      <c r="AX211" s="1755"/>
      <c r="AY211" s="1755"/>
      <c r="AZ211" s="1755"/>
      <c r="BA211" s="1755">
        <v>11</v>
      </c>
    </row>
    <row customHeight="1" ht="11.549999999999999">
      <c r="A212" s="1114"/>
      <c r="B212" s="1755"/>
      <c r="D212" s="1755"/>
      <c r="J212" s="7213"/>
      <c r="K212" s="7213"/>
      <c r="L212" s="7213"/>
      <c r="M212" s="7213"/>
      <c r="N212" s="7213"/>
      <c r="O212" s="7213"/>
      <c r="P212" s="7213"/>
      <c r="Q212" s="7213"/>
      <c r="R212" s="7213"/>
      <c r="S212" s="7213"/>
      <c r="T212" s="7213"/>
      <c r="U212" s="7213"/>
      <c r="V212" s="7213"/>
      <c r="W212" s="7213"/>
      <c r="X212" s="7213"/>
      <c r="Y212" s="7213"/>
      <c r="Z212" s="7213"/>
      <c r="AA212" s="7213"/>
      <c r="AB212" s="7213"/>
      <c r="AC212" s="7213"/>
      <c r="AD212" s="7213"/>
      <c r="AF212" s="1755"/>
      <c r="AI212" s="1755"/>
      <c r="AJ212" s="1755"/>
      <c r="AK212" s="1755"/>
      <c r="AL212" s="1755"/>
      <c r="AN212" s="1755"/>
      <c r="AO212" s="1755"/>
      <c r="AP212" s="1755"/>
      <c r="AQ212" s="1755"/>
      <c r="AR212" s="1755"/>
      <c r="AS212" s="1755"/>
      <c r="AT212" s="1755"/>
      <c r="AU212" s="1755"/>
      <c r="AV212" s="1755"/>
      <c r="AW212" s="1755"/>
      <c r="AX212" s="1755"/>
      <c r="AY212" s="1755"/>
      <c r="AZ212" s="1755"/>
      <c r="BA212" s="1755">
        <v>11</v>
      </c>
    </row>
    <row customHeight="1" ht="11.549999999999999">
      <c r="A213" s="1114"/>
      <c r="B213" s="1755"/>
      <c r="D213" s="1755"/>
      <c r="J213" s="7213"/>
      <c r="K213" s="7213"/>
      <c r="L213" s="7213"/>
      <c r="M213" s="7213"/>
      <c r="N213" s="7213"/>
      <c r="O213" s="7213"/>
      <c r="P213" s="7213"/>
      <c r="Q213" s="7213"/>
      <c r="R213" s="7213"/>
      <c r="S213" s="7213"/>
      <c r="T213" s="7213"/>
      <c r="U213" s="7213"/>
      <c r="V213" s="7213"/>
      <c r="W213" s="7213"/>
      <c r="X213" s="7213"/>
      <c r="Y213" s="7213"/>
      <c r="Z213" s="7213"/>
      <c r="AA213" s="7213"/>
      <c r="AB213" s="7213"/>
      <c r="AC213" s="7213"/>
      <c r="AD213" s="7213"/>
      <c r="AF213" s="1755"/>
      <c r="AI213" s="1755"/>
      <c r="AJ213" s="1755"/>
      <c r="AK213" s="1755"/>
      <c r="AL213" s="1755"/>
      <c r="AN213" s="1755"/>
      <c r="AO213" s="1755"/>
      <c r="AP213" s="1755"/>
      <c r="AQ213" s="1755"/>
      <c r="AR213" s="1755"/>
      <c r="AS213" s="1755"/>
      <c r="AT213" s="1755"/>
      <c r="AU213" s="1755"/>
      <c r="AV213" s="1755"/>
      <c r="AW213" s="1755"/>
      <c r="AX213" s="1755"/>
      <c r="AY213" s="1755"/>
      <c r="AZ213" s="1755"/>
      <c r="BA213" s="1755">
        <v>11</v>
      </c>
    </row>
    <row customHeight="1" ht="11.549999999999999">
      <c r="A214" s="1114"/>
      <c r="B214" s="1755"/>
      <c r="D214" s="1755"/>
      <c r="J214" s="7213"/>
      <c r="K214" s="7213"/>
      <c r="L214" s="7213"/>
      <c r="M214" s="7213"/>
      <c r="N214" s="7213"/>
      <c r="O214" s="7213"/>
      <c r="P214" s="7213"/>
      <c r="Q214" s="7213"/>
      <c r="R214" s="7213"/>
      <c r="S214" s="7213"/>
      <c r="T214" s="7213"/>
      <c r="U214" s="7213"/>
      <c r="V214" s="7213"/>
      <c r="W214" s="7213"/>
      <c r="X214" s="7213"/>
      <c r="Y214" s="7213"/>
      <c r="Z214" s="7213"/>
      <c r="AA214" s="7213"/>
      <c r="AB214" s="7213"/>
      <c r="AC214" s="7213"/>
      <c r="AD214" s="7213"/>
      <c r="AF214" s="1755"/>
      <c r="AI214" s="1755"/>
      <c r="AJ214" s="1755"/>
      <c r="AK214" s="1755"/>
      <c r="AL214" s="1755"/>
      <c r="AN214" s="1755"/>
      <c r="AO214" s="1755"/>
      <c r="AP214" s="1755"/>
      <c r="AQ214" s="1755"/>
      <c r="AR214" s="1755"/>
      <c r="AS214" s="1755"/>
      <c r="AT214" s="1755"/>
      <c r="AU214" s="1755"/>
      <c r="AV214" s="1755"/>
      <c r="AW214" s="1755"/>
      <c r="AX214" s="1755"/>
      <c r="AY214" s="1755"/>
      <c r="AZ214" s="1755"/>
      <c r="BA214" s="1755">
        <v>11</v>
      </c>
    </row>
    <row customHeight="1" ht="11.549999999999999">
      <c r="A215" s="1114"/>
      <c r="B215" s="1755"/>
      <c r="D215" s="1755"/>
      <c r="J215" s="7213"/>
      <c r="K215" s="7213"/>
      <c r="L215" s="7213"/>
      <c r="M215" s="7213"/>
      <c r="N215" s="7213"/>
      <c r="O215" s="7213"/>
      <c r="P215" s="7213"/>
      <c r="Q215" s="7213"/>
      <c r="R215" s="7213"/>
      <c r="S215" s="7213"/>
      <c r="T215" s="7213"/>
      <c r="U215" s="7213"/>
      <c r="V215" s="7213"/>
      <c r="W215" s="7213"/>
      <c r="X215" s="7213"/>
      <c r="Y215" s="7213"/>
      <c r="Z215" s="7213"/>
      <c r="AA215" s="7213"/>
      <c r="AB215" s="7213"/>
      <c r="AC215" s="7213"/>
      <c r="AD215" s="7213"/>
      <c r="AF215" s="1755"/>
      <c r="AI215" s="1755"/>
      <c r="AJ215" s="1755"/>
      <c r="AK215" s="1755"/>
      <c r="AL215" s="1755"/>
      <c r="AN215" s="1755"/>
      <c r="AO215" s="1755"/>
      <c r="AP215" s="1755"/>
      <c r="AQ215" s="1755"/>
      <c r="AR215" s="1755"/>
      <c r="AS215" s="1755"/>
      <c r="AT215" s="1755"/>
      <c r="AU215" s="1755"/>
      <c r="AV215" s="1755"/>
      <c r="AW215" s="1755"/>
      <c r="AX215" s="1755"/>
      <c r="AY215" s="1755"/>
      <c r="AZ215" s="1755"/>
      <c r="BA215" s="1755">
        <v>11</v>
      </c>
    </row>
    <row customHeight="1" ht="11.549999999999999">
      <c r="A216" s="1114"/>
      <c r="B216" s="1755"/>
      <c r="D216" s="1755"/>
      <c r="J216" s="7213"/>
      <c r="K216" s="7213"/>
      <c r="L216" s="7213"/>
      <c r="M216" s="7213"/>
      <c r="N216" s="7213"/>
      <c r="O216" s="7213"/>
      <c r="P216" s="7213"/>
      <c r="Q216" s="7213"/>
      <c r="R216" s="7213"/>
      <c r="S216" s="7213"/>
      <c r="T216" s="7213"/>
      <c r="U216" s="7213"/>
      <c r="V216" s="7213"/>
      <c r="W216" s="7213"/>
      <c r="X216" s="7213"/>
      <c r="Y216" s="7213"/>
      <c r="Z216" s="7213"/>
      <c r="AA216" s="7213"/>
      <c r="AB216" s="7213"/>
      <c r="AC216" s="7213"/>
      <c r="AD216" s="7213"/>
      <c r="AF216" s="1755"/>
      <c r="AI216" s="1755"/>
      <c r="AJ216" s="1755"/>
      <c r="AK216" s="1755"/>
      <c r="AL216" s="1755"/>
      <c r="AN216" s="1755"/>
      <c r="AO216" s="1755"/>
      <c r="AP216" s="1755"/>
      <c r="AQ216" s="1755"/>
      <c r="AR216" s="1755"/>
      <c r="AS216" s="1755"/>
      <c r="AT216" s="1755"/>
      <c r="AU216" s="1755"/>
      <c r="AV216" s="1755"/>
      <c r="AW216" s="1755"/>
      <c r="AX216" s="1755"/>
      <c r="AY216" s="1755"/>
      <c r="AZ216" s="1755"/>
      <c r="BA216" s="1755">
        <v>11</v>
      </c>
    </row>
    <row customHeight="1" ht="11.549999999999999">
      <c r="A217" s="1114"/>
      <c r="B217" s="1755"/>
      <c r="D217" s="1755"/>
      <c r="J217" s="7213"/>
      <c r="K217" s="7213"/>
      <c r="L217" s="7213"/>
      <c r="M217" s="7213"/>
      <c r="N217" s="7213"/>
      <c r="O217" s="7213"/>
      <c r="P217" s="7213"/>
      <c r="Q217" s="7213"/>
      <c r="R217" s="7213"/>
      <c r="S217" s="7213"/>
      <c r="T217" s="7213"/>
      <c r="U217" s="7213"/>
      <c r="V217" s="7213"/>
      <c r="W217" s="7213"/>
      <c r="X217" s="7213"/>
      <c r="Y217" s="7213"/>
      <c r="Z217" s="7213"/>
      <c r="AA217" s="7213"/>
      <c r="AB217" s="7213"/>
      <c r="AC217" s="7213"/>
      <c r="AD217" s="7213"/>
      <c r="AF217" s="1755"/>
      <c r="AI217" s="1755"/>
      <c r="AJ217" s="1755"/>
      <c r="AK217" s="1755"/>
      <c r="AL217" s="1755"/>
      <c r="AN217" s="1755"/>
      <c r="AO217" s="1755"/>
      <c r="AP217" s="1755"/>
      <c r="AQ217" s="1755"/>
      <c r="AR217" s="1755"/>
      <c r="AS217" s="1755"/>
      <c r="AT217" s="1755"/>
      <c r="AU217" s="1755"/>
      <c r="AV217" s="1755"/>
      <c r="AW217" s="1755"/>
      <c r="AX217" s="1755"/>
      <c r="AY217" s="1755"/>
      <c r="AZ217" s="1755"/>
      <c r="BA217" s="1755">
        <v>11</v>
      </c>
    </row>
    <row customHeight="1" ht="11.549999999999999">
      <c r="A218" s="1114"/>
      <c r="B218" s="1755"/>
      <c r="D218" s="1755"/>
      <c r="J218" s="7213"/>
      <c r="K218" s="7213"/>
      <c r="L218" s="7213"/>
      <c r="M218" s="7213"/>
      <c r="N218" s="7213"/>
      <c r="O218" s="7213"/>
      <c r="P218" s="7213"/>
      <c r="Q218" s="7213"/>
      <c r="R218" s="7213"/>
      <c r="S218" s="7213"/>
      <c r="T218" s="7213"/>
      <c r="U218" s="7213"/>
      <c r="V218" s="7213"/>
      <c r="W218" s="7213"/>
      <c r="X218" s="7213"/>
      <c r="Y218" s="7213"/>
      <c r="Z218" s="7213"/>
      <c r="AA218" s="7213"/>
      <c r="AB218" s="7213"/>
      <c r="AC218" s="7213"/>
      <c r="AD218" s="7213"/>
      <c r="AF218" s="1755"/>
      <c r="AI218" s="1755"/>
      <c r="AJ218" s="1755"/>
      <c r="AK218" s="1755"/>
      <c r="AL218" s="1755"/>
      <c r="AN218" s="1755"/>
      <c r="AO218" s="1755"/>
      <c r="AP218" s="1755"/>
      <c r="AQ218" s="1755"/>
      <c r="AR218" s="1755"/>
      <c r="AS218" s="1755"/>
      <c r="AT218" s="1755"/>
      <c r="AU218" s="1755"/>
      <c r="AV218" s="1755"/>
      <c r="AW218" s="1755"/>
      <c r="AX218" s="1755"/>
      <c r="AY218" s="1755"/>
      <c r="AZ218" s="1755"/>
      <c r="BA218" s="1755">
        <v>11</v>
      </c>
    </row>
    <row customHeight="1" ht="11.25" hidden="1">
      <c r="A219" s="1111" t="s">
        <v>82</v>
      </c>
      <c r="B219" s="1284">
        <v>0</v>
      </c>
      <c r="C219" s="1760">
        <v>0</v>
      </c>
      <c r="D219" s="1759">
        <v>3</v>
      </c>
      <c r="E219" s="1755">
        <v>7</v>
      </c>
      <c r="F219" s="1755">
        <v>56</v>
      </c>
      <c r="G219" s="1755">
        <v>10</v>
      </c>
      <c r="H219" s="1755">
        <v>0</v>
      </c>
      <c r="I219" s="1755">
        <v>40</v>
      </c>
      <c r="J219" s="7213">
        <v>0</v>
      </c>
      <c r="K219" s="7213">
        <v>0</v>
      </c>
      <c r="L219" s="7213">
        <v>0</v>
      </c>
      <c r="M219" s="7213">
        <v>0</v>
      </c>
      <c r="N219" s="7213">
        <v>0</v>
      </c>
      <c r="O219" s="7213">
        <v>0</v>
      </c>
      <c r="P219" s="7213">
        <v>0</v>
      </c>
      <c r="Q219" s="7213">
        <v>0</v>
      </c>
      <c r="R219" s="7213">
        <v>0</v>
      </c>
      <c r="S219" s="7213">
        <v>0</v>
      </c>
      <c r="T219" s="7213">
        <v>0</v>
      </c>
      <c r="U219" s="7213">
        <v>0</v>
      </c>
      <c r="V219" s="7213">
        <v>0</v>
      </c>
      <c r="W219" s="7213">
        <v>0</v>
      </c>
      <c r="X219" s="7213">
        <v>0</v>
      </c>
      <c r="Y219" s="7213">
        <v>0</v>
      </c>
      <c r="Z219" s="7213">
        <v>0</v>
      </c>
      <c r="AA219" s="7213">
        <v>0</v>
      </c>
      <c r="AB219" s="7213">
        <v>0</v>
      </c>
      <c r="AC219" s="7213">
        <v>0</v>
      </c>
      <c r="AD219" s="7213">
        <v>0</v>
      </c>
      <c r="AE219" s="1755">
        <v>102</v>
      </c>
      <c r="AF219" s="1284">
        <v>9</v>
      </c>
      <c r="AG219" s="1760">
        <v>5</v>
      </c>
      <c r="AH219" s="1760">
        <v>3</v>
      </c>
      <c r="AI219" s="1284">
        <v>3</v>
      </c>
      <c r="AJ219" s="1284">
        <v>3</v>
      </c>
      <c r="AK219" s="1284">
        <v>3</v>
      </c>
      <c r="AL219" s="1284">
        <v>3</v>
      </c>
      <c r="AM219" s="1760">
        <v>10</v>
      </c>
      <c r="AN219" s="1284">
        <v>34</v>
      </c>
      <c r="AO219" s="1284">
        <v>9</v>
      </c>
      <c r="AP219" s="668">
        <v>8</v>
      </c>
      <c r="AQ219" s="1284">
        <v>8</v>
      </c>
      <c r="AR219" s="1284">
        <v>8</v>
      </c>
      <c r="AS219" s="1284">
        <v>8</v>
      </c>
      <c r="AT219" s="1284">
        <v>8</v>
      </c>
      <c r="AU219" s="1284">
        <v>8</v>
      </c>
      <c r="AV219" s="1756">
        <v>8</v>
      </c>
      <c r="AW219" s="1756">
        <v>8</v>
      </c>
      <c r="AX219" s="1756">
        <v>8</v>
      </c>
      <c r="AY219" s="1756">
        <v>8</v>
      </c>
      <c r="AZ219" s="1756">
        <v>8</v>
      </c>
      <c r="BA219" s="1755">
        <v>11</v>
      </c>
    </row>
  </sheetData>
  <sheetProtection formatColumns="0" formatRows="0" autoFilter="0" sort="0" insertRows="0" insertColumns="1" deleteRows="0" deleteColumns="0"/>
  <mergeCells count="7">
    <mergeCell ref="E6:I6"/>
    <mergeCell ref="E7:I7"/>
    <mergeCell ref="F10:G10"/>
    <mergeCell ref="AE10:AE14"/>
    <mergeCell ref="F11:G11"/>
    <mergeCell ref="F12:G12"/>
    <mergeCell ref="E13:G13"/>
  </mergeCells>
  <dataValidations count="5">
    <dataValidation type="decimal" allowBlank="1" showErrorMessage="1" errorTitle="Ошибка" error="Допускается ввод только действительных чисел!" sqref="H42:AD44">
      <formula1>-9.99999999999999E+37</formula1>
      <formula2>9.99999999999999E+37</formula2>
    </dataValidation>
    <dataValidation type="decimal" allowBlank="1" showErrorMessage="1" errorTitle="Ошибка" error="Допускается ввод только действительных чисел!" sqref="H38:AD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D45">
      <formula1>900</formula1>
    </dataValidation>
    <dataValidation type="decimal" allowBlank="1" showErrorMessage="1" errorTitle="Ошибка" error="Допускается ввод только неотрицательных чисел!" sqref="H40:AD41 H2:AD2 H15:AD15 H17:AD32 H46:AD48 H35:A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D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FA8218-EA38-12AE-B1DB-85CFA9141C87}" mc:Ignorable="x14ac xr xr2 xr3">
  <sheetPr>
    <tabColor theme="9" tint="-0.25"/>
  </sheetPr>
  <dimension ref="A1:BA215"/>
  <sheetViews>
    <sheetView showGridLines="0" zoomScale="90" workbookViewId="0">
      <pane xSplit="8" ySplit="14" topLeftCell="AE15" activePane="bottomRight" state="frozen"/>
      <selection pane="bottomLeft" activeCell="A15" sqref="A15"/>
      <selection pane="topRight" activeCell="I1" sqref="I1"/>
      <selection pane="bottomRight" activeCell="AE9" sqref="AE9"/>
    </sheetView>
  </sheetViews>
  <sheetFormatPr defaultColWidth="9.140625" customHeight="1" defaultRowHeight="11.25"/>
  <cols>
    <col min="1" max="1" style="6675" width="10.7109375" hidden="1" customWidth="1"/>
    <col min="2" max="2" style="7158" width="16.8515625" hidden="1" customWidth="1"/>
    <col min="3" max="3" style="6698" width="5.57421875" hidden="1" customWidth="1"/>
    <col min="4" max="4" style="7213" width="3.00390625" customWidth="1"/>
    <col min="5" max="5" style="7213" width="7.00390625" customWidth="1"/>
    <col min="6" max="6" style="7213" width="54.00390625" customWidth="1"/>
    <col min="7" max="7" style="7213" width="10.00390625" customWidth="1"/>
    <col min="8" max="8" style="7213" width="40.7109375" hidden="1" customWidth="1"/>
    <col min="9" max="9" style="7213" width="40.00390625" customWidth="1"/>
    <col min="10" max="30" style="7213" width="40.7109375" customWidth="1"/>
    <col min="31" max="31" style="7213" width="102.00390625" customWidth="1"/>
    <col min="32" max="32" style="7158" width="9.00390625" customWidth="1"/>
    <col min="33" max="33" style="6698" width="5.00390625" customWidth="1"/>
    <col min="34" max="34" style="6698" width="3.00390625" customWidth="1"/>
    <col min="35" max="38" style="7158" width="3.00390625" customWidth="1"/>
    <col min="39" max="39" style="6698" width="10.00390625" customWidth="1"/>
    <col min="40" max="40" style="7158" width="34.00390625" customWidth="1"/>
    <col min="41" max="41" style="7158" width="9.00390625" customWidth="1"/>
    <col min="42" max="42" style="6676" width="8.00390625" customWidth="1"/>
    <col min="43" max="47" style="7158" width="8.00390625" customWidth="1"/>
    <col min="48" max="52" style="7464" width="8.00390625" customWidth="1"/>
    <col min="53" max="53" style="7213" width="9.140625" hidden="1"/>
  </cols>
  <sheetData>
    <row s="7158" customFormat="1" customHeight="1" ht="22.5" hidden="1">
      <c r="A1" s="1111"/>
      <c r="C1" s="1760"/>
      <c r="D1" s="661"/>
      <c r="H1" s="1284">
        <v>4</v>
      </c>
      <c r="I1" s="1284">
        <v>4</v>
      </c>
      <c r="J1" s="7158">
        <v>4</v>
      </c>
      <c r="K1" s="7158">
        <v>4</v>
      </c>
      <c r="L1" s="7158">
        <v>4</v>
      </c>
      <c r="M1" s="7158">
        <v>4</v>
      </c>
      <c r="N1" s="7158">
        <v>4</v>
      </c>
      <c r="O1" s="7158">
        <v>4</v>
      </c>
      <c r="P1" s="7158">
        <v>4</v>
      </c>
      <c r="Q1" s="7158">
        <v>4</v>
      </c>
      <c r="R1" s="7158">
        <v>4</v>
      </c>
      <c r="S1" s="7158">
        <v>4</v>
      </c>
      <c r="T1" s="7158">
        <v>4</v>
      </c>
      <c r="U1" s="7158">
        <v>4</v>
      </c>
      <c r="V1" s="7158">
        <v>4</v>
      </c>
      <c r="W1" s="7158">
        <v>4</v>
      </c>
      <c r="X1" s="7158">
        <v>4</v>
      </c>
      <c r="Y1" s="7158">
        <v>4</v>
      </c>
      <c r="Z1" s="7158">
        <v>4</v>
      </c>
      <c r="AA1" s="7158">
        <v>4</v>
      </c>
      <c r="AB1" s="7158">
        <v>4</v>
      </c>
      <c r="AC1" s="7158">
        <v>4</v>
      </c>
      <c r="AD1" s="7158">
        <v>4</v>
      </c>
      <c r="AG1" s="1760"/>
      <c r="AH1" s="1760"/>
      <c r="AM1" s="1760"/>
      <c r="BA1" s="1284" t="s">
        <v>14</v>
      </c>
    </row>
    <row s="7158" customFormat="1" customHeight="1" ht="22.5" hidden="1">
      <c r="A2" s="1111"/>
      <c r="C2" s="1760"/>
      <c r="D2" s="662"/>
      <c r="E2" s="1782"/>
      <c r="F2" s="664"/>
      <c r="G2" s="1781" t="s">
        <v>664</v>
      </c>
      <c r="H2" s="665"/>
      <c r="I2" s="665"/>
      <c r="J2" s="6566"/>
      <c r="K2" s="6566"/>
      <c r="L2" s="6566"/>
      <c r="M2" s="6566"/>
      <c r="N2" s="6566"/>
      <c r="O2" s="6566"/>
      <c r="P2" s="6566"/>
      <c r="Q2" s="6566"/>
      <c r="R2" s="6566"/>
      <c r="S2" s="6566"/>
      <c r="T2" s="6566"/>
      <c r="U2" s="6566"/>
      <c r="V2" s="6566"/>
      <c r="W2" s="6566"/>
      <c r="X2" s="6566"/>
      <c r="Y2" s="6566"/>
      <c r="Z2" s="6566"/>
      <c r="AA2" s="6566"/>
      <c r="AB2" s="6566"/>
      <c r="AC2" s="6566"/>
      <c r="AD2" s="6566"/>
      <c r="AE2" s="666" t="s">
        <v>667</v>
      </c>
      <c r="AF2" s="667"/>
      <c r="AG2" s="1760"/>
      <c r="AH2" s="1760"/>
      <c r="AM2" s="1760"/>
      <c r="AP2" s="668"/>
      <c r="AV2" s="1756"/>
      <c r="AW2" s="1756"/>
      <c r="AX2" s="1756"/>
      <c r="AY2" s="1756"/>
      <c r="AZ2" s="1756"/>
      <c r="BA2" s="1284">
        <v>0</v>
      </c>
    </row>
    <row customHeight="1" ht="11.25" hidden="1">
      <c r="J3" s="7213"/>
      <c r="K3" s="7213"/>
      <c r="L3" s="7213"/>
      <c r="M3" s="7213"/>
      <c r="N3" s="7213"/>
      <c r="O3" s="7213"/>
      <c r="P3" s="7213"/>
      <c r="Q3" s="7213"/>
      <c r="R3" s="7213"/>
      <c r="S3" s="7213"/>
      <c r="T3" s="7213"/>
      <c r="U3" s="7213"/>
      <c r="V3" s="7213"/>
      <c r="W3" s="7213"/>
      <c r="X3" s="7213"/>
      <c r="Y3" s="7213"/>
      <c r="Z3" s="7213"/>
      <c r="AA3" s="7213"/>
      <c r="AB3" s="7213"/>
      <c r="AC3" s="7213"/>
      <c r="AD3" s="7213"/>
      <c r="BA3" s="1755">
        <v>0</v>
      </c>
    </row>
    <row s="7464" customFormat="1" customHeight="1" ht="11.25" hidden="1">
      <c r="A4" s="1111"/>
      <c r="B4" s="1284"/>
      <c r="C4" s="1760"/>
      <c r="D4" s="486"/>
      <c r="J4" s="7464"/>
      <c r="K4" s="7464"/>
      <c r="L4" s="7464"/>
      <c r="M4" s="7464"/>
      <c r="N4" s="7464"/>
      <c r="O4" s="7464"/>
      <c r="P4" s="7464"/>
      <c r="Q4" s="7464"/>
      <c r="R4" s="7464"/>
      <c r="S4" s="7464"/>
      <c r="T4" s="7464"/>
      <c r="U4" s="7464"/>
      <c r="V4" s="7464"/>
      <c r="W4" s="7464"/>
      <c r="X4" s="7464"/>
      <c r="Y4" s="7464"/>
      <c r="Z4" s="7464"/>
      <c r="AA4" s="7464"/>
      <c r="AB4" s="7464"/>
      <c r="AC4" s="7464"/>
      <c r="AD4" s="7464"/>
      <c r="AE4" s="1756">
        <v>4</v>
      </c>
      <c r="AF4" s="1284"/>
      <c r="AG4" s="1760"/>
      <c r="AH4" s="1760"/>
      <c r="AI4" s="1284"/>
      <c r="AJ4" s="1284"/>
      <c r="AK4" s="1284"/>
      <c r="AL4" s="1284"/>
      <c r="AM4" s="1760"/>
      <c r="AN4" s="1284"/>
      <c r="AO4" s="1284"/>
      <c r="AP4" s="668"/>
      <c r="AQ4" s="1284"/>
      <c r="AR4" s="1284"/>
      <c r="AS4" s="1284"/>
      <c r="AT4" s="1284"/>
      <c r="AU4" s="1284"/>
      <c r="BA4" s="1756">
        <v>0</v>
      </c>
    </row>
    <row customHeight="1" ht="11.549999999999999">
      <c r="J5" s="7213"/>
      <c r="K5" s="7213"/>
      <c r="L5" s="7213"/>
      <c r="M5" s="7213"/>
      <c r="N5" s="7213"/>
      <c r="O5" s="7213"/>
      <c r="P5" s="7213"/>
      <c r="Q5" s="7213"/>
      <c r="R5" s="7213"/>
      <c r="S5" s="7213"/>
      <c r="T5" s="7213"/>
      <c r="U5" s="7213"/>
      <c r="V5" s="7213"/>
      <c r="W5" s="7213"/>
      <c r="X5" s="7213"/>
      <c r="Y5" s="7213"/>
      <c r="Z5" s="7213"/>
      <c r="AA5" s="7213"/>
      <c r="AB5" s="7213"/>
      <c r="AC5" s="7213"/>
      <c r="AD5" s="7213"/>
      <c r="BA5" s="1755">
        <v>11</v>
      </c>
    </row>
    <row customHeight="1" ht="33.75">
      <c r="E6" s="2385" t="s">
        <v>937</v>
      </c>
      <c r="F6" s="2385"/>
      <c r="G6" s="2385"/>
      <c r="H6" s="2385"/>
      <c r="I6" s="2385"/>
      <c r="J6" s="6180"/>
      <c r="K6" s="6180"/>
      <c r="L6" s="6180"/>
      <c r="M6" s="6180"/>
      <c r="N6" s="6180"/>
      <c r="O6" s="6180"/>
      <c r="P6" s="6180"/>
      <c r="Q6" s="6180"/>
      <c r="R6" s="6180"/>
      <c r="S6" s="6180"/>
      <c r="T6" s="6180"/>
      <c r="U6" s="6180"/>
      <c r="V6" s="6180"/>
      <c r="W6" s="6180"/>
      <c r="X6" s="6180"/>
      <c r="Y6" s="6180"/>
      <c r="Z6" s="6180"/>
      <c r="AA6" s="6180"/>
      <c r="AB6" s="6180"/>
      <c r="AC6" s="6180"/>
      <c r="AD6" s="6180"/>
      <c r="AE6" s="680"/>
      <c r="BA6" s="1755">
        <v>32</v>
      </c>
    </row>
    <row customHeight="1" ht="25.2">
      <c r="E7" s="2386" t="str">
        <f>IF(org=0,"Не определено",org)</f>
        <v>ООО "СамРЭК-Эксплуатация"</v>
      </c>
      <c r="F7" s="2386"/>
      <c r="G7" s="2386"/>
      <c r="H7" s="2386"/>
      <c r="I7" s="2386"/>
      <c r="J7" s="6182"/>
      <c r="K7" s="6182"/>
      <c r="L7" s="6182"/>
      <c r="M7" s="6182"/>
      <c r="N7" s="6182"/>
      <c r="O7" s="6182"/>
      <c r="P7" s="6182"/>
      <c r="Q7" s="6182"/>
      <c r="R7" s="6182"/>
      <c r="S7" s="6182"/>
      <c r="T7" s="6182"/>
      <c r="U7" s="6182"/>
      <c r="V7" s="6182"/>
      <c r="W7" s="6182"/>
      <c r="X7" s="6182"/>
      <c r="Y7" s="6182"/>
      <c r="Z7" s="6182"/>
      <c r="AA7" s="6182"/>
      <c r="AB7" s="6182"/>
      <c r="AC7" s="6182"/>
      <c r="AD7" s="6182"/>
      <c r="BA7" s="1755">
        <v>24</v>
      </c>
    </row>
    <row customHeight="1" ht="11.549999999999999">
      <c r="E8" s="1259"/>
      <c r="F8" s="1259"/>
      <c r="G8" s="1259"/>
      <c r="H8" s="1259"/>
      <c r="I8" s="1259"/>
      <c r="J8" s="6969" t="s">
        <v>22</v>
      </c>
      <c r="K8" s="6969" t="s">
        <v>22</v>
      </c>
      <c r="L8" s="6969" t="s">
        <v>22</v>
      </c>
      <c r="M8" s="6969" t="s">
        <v>22</v>
      </c>
      <c r="N8" s="6969" t="s">
        <v>22</v>
      </c>
      <c r="O8" s="6969" t="s">
        <v>22</v>
      </c>
      <c r="P8" s="6969" t="s">
        <v>22</v>
      </c>
      <c r="Q8" s="6969" t="s">
        <v>22</v>
      </c>
      <c r="R8" s="6969" t="s">
        <v>22</v>
      </c>
      <c r="S8" s="6969" t="s">
        <v>22</v>
      </c>
      <c r="T8" s="6969" t="s">
        <v>22</v>
      </c>
      <c r="U8" s="6969" t="s">
        <v>22</v>
      </c>
      <c r="V8" s="6969" t="s">
        <v>22</v>
      </c>
      <c r="W8" s="6969" t="s">
        <v>22</v>
      </c>
      <c r="X8" s="6969" t="s">
        <v>22</v>
      </c>
      <c r="Y8" s="6969" t="s">
        <v>22</v>
      </c>
      <c r="Z8" s="6969" t="s">
        <v>22</v>
      </c>
      <c r="AA8" s="6969" t="s">
        <v>22</v>
      </c>
      <c r="AB8" s="6969" t="s">
        <v>22</v>
      </c>
      <c r="AC8" s="6969" t="s">
        <v>22</v>
      </c>
      <c r="AD8" s="6969" t="s">
        <v>22</v>
      </c>
      <c r="BA8" s="1755">
        <v>11</v>
      </c>
    </row>
    <row s="6698" customFormat="1" customHeight="1" ht="1.05">
      <c r="A9" s="1291"/>
      <c r="D9" s="1766"/>
      <c r="H9" s="1013"/>
      <c r="I9" s="1013" t="s">
        <v>215</v>
      </c>
      <c r="J9" s="6579" t="s">
        <v>219</v>
      </c>
      <c r="K9" s="6579" t="s">
        <v>220</v>
      </c>
      <c r="L9" s="6579" t="s">
        <v>221</v>
      </c>
      <c r="M9" s="6579" t="s">
        <v>222</v>
      </c>
      <c r="N9" s="6579" t="s">
        <v>223</v>
      </c>
      <c r="O9" s="6579" t="s">
        <v>224</v>
      </c>
      <c r="P9" s="6579" t="s">
        <v>225</v>
      </c>
      <c r="Q9" s="6579" t="s">
        <v>226</v>
      </c>
      <c r="R9" s="6579" t="s">
        <v>227</v>
      </c>
      <c r="S9" s="6579" t="s">
        <v>228</v>
      </c>
      <c r="T9" s="6579" t="s">
        <v>229</v>
      </c>
      <c r="U9" s="6579" t="s">
        <v>230</v>
      </c>
      <c r="V9" s="6579" t="s">
        <v>231</v>
      </c>
      <c r="W9" s="6579" t="s">
        <v>232</v>
      </c>
      <c r="X9" s="6579" t="s">
        <v>233</v>
      </c>
      <c r="Y9" s="6579" t="s">
        <v>234</v>
      </c>
      <c r="Z9" s="6579" t="s">
        <v>235</v>
      </c>
      <c r="AA9" s="6579" t="s">
        <v>236</v>
      </c>
      <c r="AB9" s="6579" t="s">
        <v>237</v>
      </c>
      <c r="AC9" s="6579" t="s">
        <v>238</v>
      </c>
      <c r="AD9" s="6579" t="s">
        <v>239</v>
      </c>
      <c r="BA9" s="1760">
        <v>1</v>
      </c>
    </row>
    <row customHeight="1" ht="11.549999999999999">
      <c r="E10" s="835"/>
      <c r="F10" s="2504" t="s">
        <v>206</v>
      </c>
      <c r="G10" s="2505"/>
      <c r="H10" s="1783" t="str">
        <f>IF(H9="","",INDEX(DIFFERENTIATION_UNMERGE_VD,MATCH(H9,DIFFERENTIATION_ID_DIFF,0)))</f>
        <v/>
      </c>
      <c r="I10" s="1783" t="str">
        <f>IF(I9="","",INDEX(DIFFERENTIATION_UNMERGE_VD,MATCH(I9,DIFFERENTIATION_ID_DIFF,0)))</f>
        <v>Производство тепловой энергии. Некомбинированная выработка</v>
      </c>
      <c r="J10" s="6847" t="str">
        <f>IF(J9="","",INDEX(DIFFERENTIATION_UNMERGE_VD,MATCH(J9,DIFFERENTIATION_ID_DIFF,0)))</f>
        <v>Производство тепловой энергии. Некомбинированная выработка</v>
      </c>
      <c r="K10" s="6847" t="str">
        <f>IF(K9="","",INDEX(DIFFERENTIATION_UNMERGE_VD,MATCH(K9,DIFFERENTIATION_ID_DIFF,0)))</f>
        <v>Производство тепловой энергии. Некомбинированная выработка</v>
      </c>
      <c r="L10" s="6847" t="str">
        <f>IF(L9="","",INDEX(DIFFERENTIATION_UNMERGE_VD,MATCH(L9,DIFFERENTIATION_ID_DIFF,0)))</f>
        <v>Производство тепловой энергии. Некомбинированная выработка</v>
      </c>
      <c r="M10" s="6847" t="str">
        <f>IF(M9="","",INDEX(DIFFERENTIATION_UNMERGE_VD,MATCH(M9,DIFFERENTIATION_ID_DIFF,0)))</f>
        <v>Производство тепловой энергии. Некомбинированная выработка</v>
      </c>
      <c r="N10" s="6847" t="str">
        <f>IF(N9="","",INDEX(DIFFERENTIATION_UNMERGE_VD,MATCH(N9,DIFFERENTIATION_ID_DIFF,0)))</f>
        <v>Производство тепловой энергии. Некомбинированная выработка</v>
      </c>
      <c r="O10" s="6847" t="str">
        <f>IF(O9="","",INDEX(DIFFERENTIATION_UNMERGE_VD,MATCH(O9,DIFFERENTIATION_ID_DIFF,0)))</f>
        <v>Производство тепловой энергии. Некомбинированная выработка</v>
      </c>
      <c r="P10" s="6847" t="str">
        <f>IF(P9="","",INDEX(DIFFERENTIATION_UNMERGE_VD,MATCH(P9,DIFFERENTIATION_ID_DIFF,0)))</f>
        <v>Производство тепловой энергии. Некомбинированная выработка</v>
      </c>
      <c r="Q10" s="6847" t="str">
        <f>IF(Q9="","",INDEX(DIFFERENTIATION_UNMERGE_VD,MATCH(Q9,DIFFERENTIATION_ID_DIFF,0)))</f>
        <v>Производство тепловой энергии. Некомбинированная выработка</v>
      </c>
      <c r="R10" s="6847" t="str">
        <f>IF(R9="","",INDEX(DIFFERENTIATION_UNMERGE_VD,MATCH(R9,DIFFERENTIATION_ID_DIFF,0)))</f>
        <v>Производство тепловой энергии. Некомбинированная выработка</v>
      </c>
      <c r="S10" s="6847" t="str">
        <f>IF(S9="","",INDEX(DIFFERENTIATION_UNMERGE_VD,MATCH(S9,DIFFERENTIATION_ID_DIFF,0)))</f>
        <v>Производство тепловой энергии. Некомбинированная выработка</v>
      </c>
      <c r="T10" s="6847" t="str">
        <f>IF(T9="","",INDEX(DIFFERENTIATION_UNMERGE_VD,MATCH(T9,DIFFERENTIATION_ID_DIFF,0)))</f>
        <v>Производство тепловой энергии. Некомбинированная выработка</v>
      </c>
      <c r="U10" s="6847" t="str">
        <f>IF(U9="","",INDEX(DIFFERENTIATION_UNMERGE_VD,MATCH(U9,DIFFERENTIATION_ID_DIFF,0)))</f>
        <v>Производство тепловой энергии. Некомбинированная выработка</v>
      </c>
      <c r="V10" s="6847" t="str">
        <f>IF(V9="","",INDEX(DIFFERENTIATION_UNMERGE_VD,MATCH(V9,DIFFERENTIATION_ID_DIFF,0)))</f>
        <v>Производство тепловой энергии. Некомбинированная выработка</v>
      </c>
      <c r="W10" s="6847" t="str">
        <f>IF(W9="","",INDEX(DIFFERENTIATION_UNMERGE_VD,MATCH(W9,DIFFERENTIATION_ID_DIFF,0)))</f>
        <v>Производство тепловой энергии. Некомбинированная выработка</v>
      </c>
      <c r="X10" s="6847" t="str">
        <f>IF(X9="","",INDEX(DIFFERENTIATION_UNMERGE_VD,MATCH(X9,DIFFERENTIATION_ID_DIFF,0)))</f>
        <v>Производство тепловой энергии. Некомбинированная выработка</v>
      </c>
      <c r="Y10" s="6847" t="str">
        <f>IF(Y9="","",INDEX(DIFFERENTIATION_UNMERGE_VD,MATCH(Y9,DIFFERENTIATION_ID_DIFF,0)))</f>
        <v>Производство тепловой энергии. Некомбинированная выработка</v>
      </c>
      <c r="Z10" s="6847" t="str">
        <f>IF(Z9="","",INDEX(DIFFERENTIATION_UNMERGE_VD,MATCH(Z9,DIFFERENTIATION_ID_DIFF,0)))</f>
        <v>Производство тепловой энергии. Некомбинированная выработка</v>
      </c>
      <c r="AA10" s="6847" t="str">
        <f>IF(AA9="","",INDEX(DIFFERENTIATION_UNMERGE_VD,MATCH(AA9,DIFFERENTIATION_ID_DIFF,0)))</f>
        <v>Производство тепловой энергии. Некомбинированная выработка</v>
      </c>
      <c r="AB10" s="6847" t="str">
        <f>IF(AB9="","",INDEX(DIFFERENTIATION_UNMERGE_VD,MATCH(AB9,DIFFERENTIATION_ID_DIFF,0)))</f>
        <v>Производство тепловой энергии. Некомбинированная выработка</v>
      </c>
      <c r="AC10" s="6847" t="str">
        <f>IF(AC9="","",INDEX(DIFFERENTIATION_UNMERGE_VD,MATCH(AC9,DIFFERENTIATION_ID_DIFF,0)))</f>
        <v>Производство тепловой энергии. Некомбинированная выработка</v>
      </c>
      <c r="AD10" s="6847" t="str">
        <f>IF(AD9="","",INDEX(DIFFERENTIATION_UNMERGE_VD,MATCH(AD9,DIFFERENTIATION_ID_DIFF,0)))</f>
        <v>Производство тепловой энергии. Некомбинированная выработка</v>
      </c>
      <c r="AE10" s="2264" t="s">
        <v>413</v>
      </c>
      <c r="BA10" s="1755">
        <v>11</v>
      </c>
    </row>
    <row customHeight="1" ht="11.549999999999999">
      <c r="E11" s="835"/>
      <c r="F11" s="2504" t="s">
        <v>676</v>
      </c>
      <c r="G11" s="2505"/>
      <c r="H11" s="1783" t="str">
        <f>IF(H9="","",INDEX(DIFFERENTIATION_UNMERGE_AREA,MATCH(H9,DIFFERENTIATION_ID_DIFF,0)))</f>
        <v/>
      </c>
      <c r="I11" s="1783" t="str">
        <f>IF(I9="","",INDEX(DIFFERENTIATION_UNMERGE_AREA,MATCH(I9,DIFFERENTIATION_ID_DIFF,0)))</f>
        <v>Территория 1</v>
      </c>
      <c r="J11" s="6847" t="str">
        <f>IF(J9="","",INDEX(DIFFERENTIATION_UNMERGE_AREA,MATCH(J9,DIFFERENTIATION_ID_DIFF,0)))</f>
        <v>Территория 2</v>
      </c>
      <c r="K11" s="6847" t="str">
        <f>IF(K9="","",INDEX(DIFFERENTIATION_UNMERGE_AREA,MATCH(K9,DIFFERENTIATION_ID_DIFF,0)))</f>
        <v>Территория 3</v>
      </c>
      <c r="L11" s="6847" t="str">
        <f>IF(L9="","",INDEX(DIFFERENTIATION_UNMERGE_AREA,MATCH(L9,DIFFERENTIATION_ID_DIFF,0)))</f>
        <v>Территория 4</v>
      </c>
      <c r="M11" s="6847" t="str">
        <f>IF(M9="","",INDEX(DIFFERENTIATION_UNMERGE_AREA,MATCH(M9,DIFFERENTIATION_ID_DIFF,0)))</f>
        <v>Территория 5</v>
      </c>
      <c r="N11" s="6847" t="str">
        <f>IF(N9="","",INDEX(DIFFERENTIATION_UNMERGE_AREA,MATCH(N9,DIFFERENTIATION_ID_DIFF,0)))</f>
        <v>Территория 6</v>
      </c>
      <c r="O11" s="6847" t="str">
        <f>IF(O9="","",INDEX(DIFFERENTIATION_UNMERGE_AREA,MATCH(O9,DIFFERENTIATION_ID_DIFF,0)))</f>
        <v>Территория 7</v>
      </c>
      <c r="P11" s="6847" t="str">
        <f>IF(P9="","",INDEX(DIFFERENTIATION_UNMERGE_AREA,MATCH(P9,DIFFERENTIATION_ID_DIFF,0)))</f>
        <v>Территория 8</v>
      </c>
      <c r="Q11" s="6847" t="str">
        <f>IF(Q9="","",INDEX(DIFFERENTIATION_UNMERGE_AREA,MATCH(Q9,DIFFERENTIATION_ID_DIFF,0)))</f>
        <v>Территория 9</v>
      </c>
      <c r="R11" s="6847" t="str">
        <f>IF(R9="","",INDEX(DIFFERENTIATION_UNMERGE_AREA,MATCH(R9,DIFFERENTIATION_ID_DIFF,0)))</f>
        <v>Территория 10</v>
      </c>
      <c r="S11" s="6847" t="str">
        <f>IF(S9="","",INDEX(DIFFERENTIATION_UNMERGE_AREA,MATCH(S9,DIFFERENTIATION_ID_DIFF,0)))</f>
        <v>Территория 11</v>
      </c>
      <c r="T11" s="6847" t="str">
        <f>IF(T9="","",INDEX(DIFFERENTIATION_UNMERGE_AREA,MATCH(T9,DIFFERENTIATION_ID_DIFF,0)))</f>
        <v>Территория 12</v>
      </c>
      <c r="U11" s="6847" t="str">
        <f>IF(U9="","",INDEX(DIFFERENTIATION_UNMERGE_AREA,MATCH(U9,DIFFERENTIATION_ID_DIFF,0)))</f>
        <v>Территория 13</v>
      </c>
      <c r="V11" s="6847" t="str">
        <f>IF(V9="","",INDEX(DIFFERENTIATION_UNMERGE_AREA,MATCH(V9,DIFFERENTIATION_ID_DIFF,0)))</f>
        <v>Территория 14</v>
      </c>
      <c r="W11" s="6847" t="str">
        <f>IF(W9="","",INDEX(DIFFERENTIATION_UNMERGE_AREA,MATCH(W9,DIFFERENTIATION_ID_DIFF,0)))</f>
        <v>Территория 15</v>
      </c>
      <c r="X11" s="6847" t="str">
        <f>IF(X9="","",INDEX(DIFFERENTIATION_UNMERGE_AREA,MATCH(X9,DIFFERENTIATION_ID_DIFF,0)))</f>
        <v>Территория 16</v>
      </c>
      <c r="Y11" s="6847" t="str">
        <f>IF(Y9="","",INDEX(DIFFERENTIATION_UNMERGE_AREA,MATCH(Y9,DIFFERENTIATION_ID_DIFF,0)))</f>
        <v>Территория 17</v>
      </c>
      <c r="Z11" s="6847" t="str">
        <f>IF(Z9="","",INDEX(DIFFERENTIATION_UNMERGE_AREA,MATCH(Z9,DIFFERENTIATION_ID_DIFF,0)))</f>
        <v>Территория 18</v>
      </c>
      <c r="AA11" s="6847" t="str">
        <f>IF(AA9="","",INDEX(DIFFERENTIATION_UNMERGE_AREA,MATCH(AA9,DIFFERENTIATION_ID_DIFF,0)))</f>
        <v>Территория 19</v>
      </c>
      <c r="AB11" s="6847" t="str">
        <f>IF(AB9="","",INDEX(DIFFERENTIATION_UNMERGE_AREA,MATCH(AB9,DIFFERENTIATION_ID_DIFF,0)))</f>
        <v>Территория 20</v>
      </c>
      <c r="AC11" s="6847" t="str">
        <f>IF(AC9="","",INDEX(DIFFERENTIATION_UNMERGE_AREA,MATCH(AC9,DIFFERENTIATION_ID_DIFF,0)))</f>
        <v>Территория 21</v>
      </c>
      <c r="AD11" s="6847" t="str">
        <f>IF(AD9="","",INDEX(DIFFERENTIATION_UNMERGE_AREA,MATCH(AD9,DIFFERENTIATION_ID_DIFF,0)))</f>
        <v>Территория 22</v>
      </c>
      <c r="AE11" s="2264"/>
      <c r="BA11" s="1755">
        <v>11</v>
      </c>
    </row>
    <row customHeight="1" ht="11.25" hidden="1">
      <c r="E12" s="1786"/>
      <c r="F12" s="2527" t="s">
        <v>677</v>
      </c>
      <c r="G12" s="2528"/>
      <c r="H12" s="1787" t="str">
        <f>IF(H9="","",INDEX(DIFFERENTIATION_UNMERGE_SYSTEM,MATCH(H9,DIFFERENTIATION_ID_DIFF,0)))</f>
        <v/>
      </c>
      <c r="I12" s="1787" t="str">
        <f>IF(I9="","",INDEX(DIFFERENTIATION_UNMERGE_SYSTEM,MATCH(I9,DIFFERENTIATION_ID_DIFF,0)))</f>
        <v>без дифференциации</v>
      </c>
      <c r="J12" s="6816" t="str">
        <f>IF(J9="","",INDEX(DIFFERENTIATION_UNMERGE_SYSTEM,MATCH(J9,DIFFERENTIATION_ID_DIFF,0)))</f>
        <v>без дифференциации</v>
      </c>
      <c r="K12" s="6816" t="str">
        <f>IF(K9="","",INDEX(DIFFERENTIATION_UNMERGE_SYSTEM,MATCH(K9,DIFFERENTIATION_ID_DIFF,0)))</f>
        <v>без дифференциации</v>
      </c>
      <c r="L12" s="6816" t="str">
        <f>IF(L9="","",INDEX(DIFFERENTIATION_UNMERGE_SYSTEM,MATCH(L9,DIFFERENTIATION_ID_DIFF,0)))</f>
        <v>без дифференциации</v>
      </c>
      <c r="M12" s="6816" t="str">
        <f>IF(M9="","",INDEX(DIFFERENTIATION_UNMERGE_SYSTEM,MATCH(M9,DIFFERENTIATION_ID_DIFF,0)))</f>
        <v>без дифференциации</v>
      </c>
      <c r="N12" s="6816" t="str">
        <f>IF(N9="","",INDEX(DIFFERENTIATION_UNMERGE_SYSTEM,MATCH(N9,DIFFERENTIATION_ID_DIFF,0)))</f>
        <v>без дифференциации</v>
      </c>
      <c r="O12" s="6816" t="str">
        <f>IF(O9="","",INDEX(DIFFERENTIATION_UNMERGE_SYSTEM,MATCH(O9,DIFFERENTIATION_ID_DIFF,0)))</f>
        <v>без дифференциации</v>
      </c>
      <c r="P12" s="6816" t="str">
        <f>IF(P9="","",INDEX(DIFFERENTIATION_UNMERGE_SYSTEM,MATCH(P9,DIFFERENTIATION_ID_DIFF,0)))</f>
        <v>без дифференциации</v>
      </c>
      <c r="Q12" s="6816" t="str">
        <f>IF(Q9="","",INDEX(DIFFERENTIATION_UNMERGE_SYSTEM,MATCH(Q9,DIFFERENTIATION_ID_DIFF,0)))</f>
        <v>без дифференциации</v>
      </c>
      <c r="R12" s="6816" t="str">
        <f>IF(R9="","",INDEX(DIFFERENTIATION_UNMERGE_SYSTEM,MATCH(R9,DIFFERENTIATION_ID_DIFF,0)))</f>
        <v>без дифференциации</v>
      </c>
      <c r="S12" s="6816" t="str">
        <f>IF(S9="","",INDEX(DIFFERENTIATION_UNMERGE_SYSTEM,MATCH(S9,DIFFERENTIATION_ID_DIFF,0)))</f>
        <v>без дифференциации</v>
      </c>
      <c r="T12" s="6816" t="str">
        <f>IF(T9="","",INDEX(DIFFERENTIATION_UNMERGE_SYSTEM,MATCH(T9,DIFFERENTIATION_ID_DIFF,0)))</f>
        <v>без дифференциации</v>
      </c>
      <c r="U12" s="6816" t="str">
        <f>IF(U9="","",INDEX(DIFFERENTIATION_UNMERGE_SYSTEM,MATCH(U9,DIFFERENTIATION_ID_DIFF,0)))</f>
        <v>без дифференциации</v>
      </c>
      <c r="V12" s="6816" t="str">
        <f>IF(V9="","",INDEX(DIFFERENTIATION_UNMERGE_SYSTEM,MATCH(V9,DIFFERENTIATION_ID_DIFF,0)))</f>
        <v>без дифференциации</v>
      </c>
      <c r="W12" s="6816" t="str">
        <f>IF(W9="","",INDEX(DIFFERENTIATION_UNMERGE_SYSTEM,MATCH(W9,DIFFERENTIATION_ID_DIFF,0)))</f>
        <v>без дифференциации</v>
      </c>
      <c r="X12" s="6816" t="str">
        <f>IF(X9="","",INDEX(DIFFERENTIATION_UNMERGE_SYSTEM,MATCH(X9,DIFFERENTIATION_ID_DIFF,0)))</f>
        <v>без дифференциации</v>
      </c>
      <c r="Y12" s="6816" t="str">
        <f>IF(Y9="","",INDEX(DIFFERENTIATION_UNMERGE_SYSTEM,MATCH(Y9,DIFFERENTIATION_ID_DIFF,0)))</f>
        <v>без дифференциации</v>
      </c>
      <c r="Z12" s="6816" t="str">
        <f>IF(Z9="","",INDEX(DIFFERENTIATION_UNMERGE_SYSTEM,MATCH(Z9,DIFFERENTIATION_ID_DIFF,0)))</f>
        <v>без дифференциации</v>
      </c>
      <c r="AA12" s="6816" t="str">
        <f>IF(AA9="","",INDEX(DIFFERENTIATION_UNMERGE_SYSTEM,MATCH(AA9,DIFFERENTIATION_ID_DIFF,0)))</f>
        <v>без дифференциации</v>
      </c>
      <c r="AB12" s="6816" t="str">
        <f>IF(AB9="","",INDEX(DIFFERENTIATION_UNMERGE_SYSTEM,MATCH(AB9,DIFFERENTIATION_ID_DIFF,0)))</f>
        <v>без дифференциации</v>
      </c>
      <c r="AC12" s="6816" t="str">
        <f>IF(AC9="","",INDEX(DIFFERENTIATION_UNMERGE_SYSTEM,MATCH(AC9,DIFFERENTIATION_ID_DIFF,0)))</f>
        <v>без дифференциации</v>
      </c>
      <c r="AD12" s="6816" t="str">
        <f>IF(AD9="","",INDEX(DIFFERENTIATION_UNMERGE_SYSTEM,MATCH(AD9,DIFFERENTIATION_ID_DIFF,0)))</f>
        <v>без дифференциации</v>
      </c>
      <c r="AE12" s="2264"/>
      <c r="BA12" s="1755">
        <v>0</v>
      </c>
    </row>
    <row customHeight="1" ht="11.549999999999999">
      <c r="E13" s="2506" t="s">
        <v>412</v>
      </c>
      <c r="F13" s="2507"/>
      <c r="G13" s="2507"/>
      <c r="H13" s="1780"/>
      <c r="I13" s="1780"/>
      <c r="J13" s="6920"/>
      <c r="K13" s="6920"/>
      <c r="L13" s="6920"/>
      <c r="M13" s="6920"/>
      <c r="N13" s="6920"/>
      <c r="O13" s="6920"/>
      <c r="P13" s="6920"/>
      <c r="Q13" s="6920"/>
      <c r="R13" s="6920"/>
      <c r="S13" s="6920"/>
      <c r="T13" s="6920"/>
      <c r="U13" s="6920"/>
      <c r="V13" s="6920"/>
      <c r="W13" s="6920"/>
      <c r="X13" s="6920"/>
      <c r="Y13" s="6920"/>
      <c r="Z13" s="6920"/>
      <c r="AA13" s="6920"/>
      <c r="AB13" s="6920"/>
      <c r="AC13" s="6920"/>
      <c r="AD13" s="6920"/>
      <c r="AE13" s="2264"/>
      <c r="BA13" s="1755">
        <v>11</v>
      </c>
    </row>
    <row customHeight="1" ht="24">
      <c r="E14" s="1781" t="s">
        <v>88</v>
      </c>
      <c r="F14" s="1784" t="s">
        <v>414</v>
      </c>
      <c r="G14" s="1784" t="s">
        <v>678</v>
      </c>
      <c r="H14" s="1784" t="s">
        <v>415</v>
      </c>
      <c r="I14" s="1784" t="s">
        <v>415</v>
      </c>
      <c r="J14" s="7577" t="s">
        <v>415</v>
      </c>
      <c r="K14" s="7577" t="s">
        <v>415</v>
      </c>
      <c r="L14" s="7577" t="s">
        <v>415</v>
      </c>
      <c r="M14" s="7577" t="s">
        <v>415</v>
      </c>
      <c r="N14" s="7577" t="s">
        <v>415</v>
      </c>
      <c r="O14" s="7577" t="s">
        <v>415</v>
      </c>
      <c r="P14" s="7577" t="s">
        <v>415</v>
      </c>
      <c r="Q14" s="7577" t="s">
        <v>415</v>
      </c>
      <c r="R14" s="7577" t="s">
        <v>415</v>
      </c>
      <c r="S14" s="7577" t="s">
        <v>415</v>
      </c>
      <c r="T14" s="7577" t="s">
        <v>415</v>
      </c>
      <c r="U14" s="7577" t="s">
        <v>415</v>
      </c>
      <c r="V14" s="7577" t="s">
        <v>415</v>
      </c>
      <c r="W14" s="7577" t="s">
        <v>415</v>
      </c>
      <c r="X14" s="7577" t="s">
        <v>415</v>
      </c>
      <c r="Y14" s="7577" t="s">
        <v>415</v>
      </c>
      <c r="Z14" s="7577" t="s">
        <v>415</v>
      </c>
      <c r="AA14" s="7577" t="s">
        <v>415</v>
      </c>
      <c r="AB14" s="7577" t="s">
        <v>415</v>
      </c>
      <c r="AC14" s="7577" t="s">
        <v>415</v>
      </c>
      <c r="AD14" s="7577" t="s">
        <v>415</v>
      </c>
      <c r="AE14" s="2264"/>
      <c r="BA14" s="1755">
        <v>23</v>
      </c>
    </row>
    <row customHeight="1" ht="19.95">
      <c r="D15" s="1762"/>
      <c r="E15" s="1754" t="s">
        <v>210</v>
      </c>
      <c r="F15" s="831" t="s">
        <v>938</v>
      </c>
      <c r="G15" s="1781" t="s">
        <v>664</v>
      </c>
      <c r="H15" s="681"/>
      <c r="I15" s="681"/>
      <c r="J15" s="6590"/>
      <c r="K15" s="6590"/>
      <c r="L15" s="6590"/>
      <c r="M15" s="6590"/>
      <c r="N15" s="6590"/>
      <c r="O15" s="6590"/>
      <c r="P15" s="6590"/>
      <c r="Q15" s="6590"/>
      <c r="R15" s="6590"/>
      <c r="S15" s="6590"/>
      <c r="T15" s="6590"/>
      <c r="U15" s="6590"/>
      <c r="V15" s="6590"/>
      <c r="W15" s="6590"/>
      <c r="X15" s="6590"/>
      <c r="Y15" s="6590"/>
      <c r="Z15" s="6590"/>
      <c r="AA15" s="6590"/>
      <c r="AB15" s="6590"/>
      <c r="AC15" s="6590"/>
      <c r="AD15" s="6590"/>
      <c r="AE15" s="413" t="s">
        <v>939</v>
      </c>
      <c r="AF15" s="667" t="s">
        <v>787</v>
      </c>
      <c r="BA15" s="1755">
        <v>19</v>
      </c>
    </row>
    <row customHeight="1" ht="24">
      <c r="D16" s="1762"/>
      <c r="E16" s="1754" t="s">
        <v>102</v>
      </c>
      <c r="F16" s="2208" t="s">
        <v>940</v>
      </c>
      <c r="G16" s="1781" t="s">
        <v>664</v>
      </c>
      <c r="H16" s="682">
        <f>SUM(H17,H20:H27)</f>
        <v>0</v>
      </c>
      <c r="I16" s="682">
        <f>SUM(I17,I20:I27)</f>
        <v>0</v>
      </c>
      <c r="J16" s="6591">
        <f>SUM(J17,J20:J27)</f>
        <v>0</v>
      </c>
      <c r="K16" s="6591">
        <f>SUM(K17,K20:K27)</f>
        <v>0</v>
      </c>
      <c r="L16" s="6591">
        <f>SUM(L17,L20:L27)</f>
        <v>0</v>
      </c>
      <c r="M16" s="6591">
        <f>SUM(M17,M20:M27)</f>
        <v>0</v>
      </c>
      <c r="N16" s="6591">
        <f>SUM(N17,N20:N27)</f>
        <v>0</v>
      </c>
      <c r="O16" s="6591">
        <f>SUM(O17,O20:O27)</f>
        <v>0</v>
      </c>
      <c r="P16" s="6591">
        <f>SUM(P17,P20:P27)</f>
        <v>0</v>
      </c>
      <c r="Q16" s="6591">
        <f>SUM(Q17,Q20:Q27)</f>
        <v>0</v>
      </c>
      <c r="R16" s="6591">
        <f>SUM(R17,R20:R27)</f>
        <v>0</v>
      </c>
      <c r="S16" s="6591">
        <f>SUM(S17,S20:S27)</f>
        <v>0</v>
      </c>
      <c r="T16" s="6591">
        <f>SUM(T17,T20:T27)</f>
        <v>0</v>
      </c>
      <c r="U16" s="6591">
        <f>SUM(U17,U20:U27)</f>
        <v>0</v>
      </c>
      <c r="V16" s="6591">
        <f>SUM(V17,V20:V27)</f>
        <v>0</v>
      </c>
      <c r="W16" s="6591">
        <f>SUM(W17,W20:W27)</f>
        <v>0</v>
      </c>
      <c r="X16" s="6591">
        <f>SUM(X17,X20:X27)</f>
        <v>0</v>
      </c>
      <c r="Y16" s="6591">
        <f>SUM(Y17,Y20:Y27)</f>
        <v>0</v>
      </c>
      <c r="Z16" s="6591">
        <f>SUM(Z17,Z20:Z27)</f>
        <v>0</v>
      </c>
      <c r="AA16" s="6591">
        <f>SUM(AA17,AA20:AA27)</f>
        <v>0</v>
      </c>
      <c r="AB16" s="6591">
        <f>SUM(AB17,AB20:AB27)</f>
        <v>0</v>
      </c>
      <c r="AC16" s="6591">
        <f>SUM(AC17,AC20:AC27)</f>
        <v>0</v>
      </c>
      <c r="AD16" s="6591">
        <f>SUM(AD17,AD20:AD27)</f>
        <v>0</v>
      </c>
      <c r="AE16" s="2205" t="s">
        <v>941</v>
      </c>
      <c r="AF16" s="667" t="s">
        <v>787</v>
      </c>
      <c r="BA16" s="1755">
        <v>23</v>
      </c>
    </row>
    <row customHeight="1" ht="35.699999999999996">
      <c r="D17" s="1762"/>
      <c r="E17" s="1788" t="s">
        <v>865</v>
      </c>
      <c r="F17" s="1790" t="s">
        <v>942</v>
      </c>
      <c r="G17" s="1778" t="s">
        <v>664</v>
      </c>
      <c r="H17" s="681"/>
      <c r="I17" s="681"/>
      <c r="J17" s="6590"/>
      <c r="K17" s="6590"/>
      <c r="L17" s="6590"/>
      <c r="M17" s="6590"/>
      <c r="N17" s="6590"/>
      <c r="O17" s="6590"/>
      <c r="P17" s="6590"/>
      <c r="Q17" s="6590"/>
      <c r="R17" s="6590"/>
      <c r="S17" s="6590"/>
      <c r="T17" s="6590"/>
      <c r="U17" s="6590"/>
      <c r="V17" s="6590"/>
      <c r="W17" s="6590"/>
      <c r="X17" s="6590"/>
      <c r="Y17" s="6590"/>
      <c r="Z17" s="6590"/>
      <c r="AA17" s="6590"/>
      <c r="AB17" s="6590"/>
      <c r="AC17" s="6590"/>
      <c r="AD17" s="6590"/>
      <c r="AE17" s="413" t="s">
        <v>943</v>
      </c>
      <c r="AF17" s="667"/>
      <c r="BA17" s="1755">
        <v>34</v>
      </c>
    </row>
    <row customHeight="1" ht="19.95">
      <c r="D18" s="1762"/>
      <c r="E18" s="1788" t="s">
        <v>868</v>
      </c>
      <c r="F18" s="1791" t="s">
        <v>944</v>
      </c>
      <c r="G18" s="1778" t="s">
        <v>664</v>
      </c>
      <c r="H18" s="681"/>
      <c r="I18" s="681"/>
      <c r="J18" s="6590"/>
      <c r="K18" s="6590"/>
      <c r="L18" s="6590"/>
      <c r="M18" s="6590"/>
      <c r="N18" s="6590"/>
      <c r="O18" s="6590"/>
      <c r="P18" s="6590"/>
      <c r="Q18" s="6590"/>
      <c r="R18" s="6590"/>
      <c r="S18" s="6590"/>
      <c r="T18" s="6590"/>
      <c r="U18" s="6590"/>
      <c r="V18" s="6590"/>
      <c r="W18" s="6590"/>
      <c r="X18" s="6590"/>
      <c r="Y18" s="6590"/>
      <c r="Z18" s="6590"/>
      <c r="AA18" s="6590"/>
      <c r="AB18" s="6590"/>
      <c r="AC18" s="6590"/>
      <c r="AD18" s="6590"/>
      <c r="AE18" s="413"/>
      <c r="AF18" s="667"/>
      <c r="BA18" s="1755">
        <v>19</v>
      </c>
    </row>
    <row customHeight="1" ht="24">
      <c r="D19" s="1762"/>
      <c r="E19" s="1788" t="s">
        <v>871</v>
      </c>
      <c r="F19" s="1791" t="s">
        <v>945</v>
      </c>
      <c r="G19" s="1778" t="s">
        <v>664</v>
      </c>
      <c r="H19" s="681"/>
      <c r="I19" s="681"/>
      <c r="J19" s="6590"/>
      <c r="K19" s="6590"/>
      <c r="L19" s="6590"/>
      <c r="M19" s="6590"/>
      <c r="N19" s="6590"/>
      <c r="O19" s="6590"/>
      <c r="P19" s="6590"/>
      <c r="Q19" s="6590"/>
      <c r="R19" s="6590"/>
      <c r="S19" s="6590"/>
      <c r="T19" s="6590"/>
      <c r="U19" s="6590"/>
      <c r="V19" s="6590"/>
      <c r="W19" s="6590"/>
      <c r="X19" s="6590"/>
      <c r="Y19" s="6590"/>
      <c r="Z19" s="6590"/>
      <c r="AA19" s="6590"/>
      <c r="AB19" s="6590"/>
      <c r="AC19" s="6590"/>
      <c r="AD19" s="6590"/>
      <c r="AE19" s="413"/>
      <c r="AF19" s="667"/>
      <c r="BA19" s="1755">
        <v>23</v>
      </c>
    </row>
    <row customHeight="1" ht="35.699999999999996">
      <c r="D20" s="1762"/>
      <c r="E20" s="1788" t="s">
        <v>419</v>
      </c>
      <c r="F20" s="1790" t="s">
        <v>946</v>
      </c>
      <c r="G20" s="1778" t="s">
        <v>664</v>
      </c>
      <c r="H20" s="681"/>
      <c r="I20" s="681"/>
      <c r="J20" s="6590"/>
      <c r="K20" s="6590"/>
      <c r="L20" s="6590"/>
      <c r="M20" s="6590"/>
      <c r="N20" s="6590"/>
      <c r="O20" s="6590"/>
      <c r="P20" s="6590"/>
      <c r="Q20" s="6590"/>
      <c r="R20" s="6590"/>
      <c r="S20" s="6590"/>
      <c r="T20" s="6590"/>
      <c r="U20" s="6590"/>
      <c r="V20" s="6590"/>
      <c r="W20" s="6590"/>
      <c r="X20" s="6590"/>
      <c r="Y20" s="6590"/>
      <c r="Z20" s="6590"/>
      <c r="AA20" s="6590"/>
      <c r="AB20" s="6590"/>
      <c r="AC20" s="6590"/>
      <c r="AD20" s="6590"/>
      <c r="AE20" s="413"/>
      <c r="AF20" s="667"/>
      <c r="BA20" s="1755">
        <v>34</v>
      </c>
    </row>
    <row customHeight="1" ht="48.29999999999999">
      <c r="D21" s="1762"/>
      <c r="E21" s="1788" t="s">
        <v>422</v>
      </c>
      <c r="F21" s="1790" t="s">
        <v>947</v>
      </c>
      <c r="G21" s="1778" t="s">
        <v>664</v>
      </c>
      <c r="H21" s="681"/>
      <c r="I21" s="681"/>
      <c r="J21" s="6590"/>
      <c r="K21" s="6590"/>
      <c r="L21" s="6590"/>
      <c r="M21" s="6590"/>
      <c r="N21" s="6590"/>
      <c r="O21" s="6590"/>
      <c r="P21" s="6590"/>
      <c r="Q21" s="6590"/>
      <c r="R21" s="6590"/>
      <c r="S21" s="6590"/>
      <c r="T21" s="6590"/>
      <c r="U21" s="6590"/>
      <c r="V21" s="6590"/>
      <c r="W21" s="6590"/>
      <c r="X21" s="6590"/>
      <c r="Y21" s="6590"/>
      <c r="Z21" s="6590"/>
      <c r="AA21" s="6590"/>
      <c r="AB21" s="6590"/>
      <c r="AC21" s="6590"/>
      <c r="AD21" s="6590"/>
      <c r="AE21" s="413"/>
      <c r="AF21" s="667"/>
      <c r="BA21" s="1755">
        <v>46</v>
      </c>
    </row>
    <row customHeight="1" ht="60">
      <c r="D22" s="1762"/>
      <c r="E22" s="1788" t="s">
        <v>885</v>
      </c>
      <c r="F22" s="1790" t="s">
        <v>948</v>
      </c>
      <c r="G22" s="1778" t="s">
        <v>664</v>
      </c>
      <c r="H22" s="681"/>
      <c r="I22" s="681"/>
      <c r="J22" s="6590"/>
      <c r="K22" s="6590"/>
      <c r="L22" s="6590"/>
      <c r="M22" s="6590"/>
      <c r="N22" s="6590"/>
      <c r="O22" s="6590"/>
      <c r="P22" s="6590"/>
      <c r="Q22" s="6590"/>
      <c r="R22" s="6590"/>
      <c r="S22" s="6590"/>
      <c r="T22" s="6590"/>
      <c r="U22" s="6590"/>
      <c r="V22" s="6590"/>
      <c r="W22" s="6590"/>
      <c r="X22" s="6590"/>
      <c r="Y22" s="6590"/>
      <c r="Z22" s="6590"/>
      <c r="AA22" s="6590"/>
      <c r="AB22" s="6590"/>
      <c r="AC22" s="6590"/>
      <c r="AD22" s="6590"/>
      <c r="AE22" s="413"/>
      <c r="AF22" s="667"/>
      <c r="BA22" s="1755">
        <v>57</v>
      </c>
    </row>
    <row customHeight="1" ht="35.699999999999996">
      <c r="D23" s="1762"/>
      <c r="E23" s="1788" t="s">
        <v>892</v>
      </c>
      <c r="F23" s="1790" t="s">
        <v>949</v>
      </c>
      <c r="G23" s="1778" t="s">
        <v>664</v>
      </c>
      <c r="H23" s="681"/>
      <c r="I23" s="681"/>
      <c r="J23" s="6590"/>
      <c r="K23" s="6590"/>
      <c r="L23" s="6590"/>
      <c r="M23" s="6590"/>
      <c r="N23" s="6590"/>
      <c r="O23" s="6590"/>
      <c r="P23" s="6590"/>
      <c r="Q23" s="6590"/>
      <c r="R23" s="6590"/>
      <c r="S23" s="6590"/>
      <c r="T23" s="6590"/>
      <c r="U23" s="6590"/>
      <c r="V23" s="6590"/>
      <c r="W23" s="6590"/>
      <c r="X23" s="6590"/>
      <c r="Y23" s="6590"/>
      <c r="Z23" s="6590"/>
      <c r="AA23" s="6590"/>
      <c r="AB23" s="6590"/>
      <c r="AC23" s="6590"/>
      <c r="AD23" s="6590"/>
      <c r="AE23" s="413"/>
      <c r="AF23" s="667"/>
      <c r="BA23" s="1755">
        <v>34</v>
      </c>
    </row>
    <row customHeight="1" ht="35.699999999999996">
      <c r="D24" s="1762"/>
      <c r="E24" s="1788" t="s">
        <v>894</v>
      </c>
      <c r="F24" s="1790" t="s">
        <v>950</v>
      </c>
      <c r="G24" s="1778" t="s">
        <v>664</v>
      </c>
      <c r="H24" s="681"/>
      <c r="I24" s="681"/>
      <c r="J24" s="6590"/>
      <c r="K24" s="6590"/>
      <c r="L24" s="6590"/>
      <c r="M24" s="6590"/>
      <c r="N24" s="6590"/>
      <c r="O24" s="6590"/>
      <c r="P24" s="6590"/>
      <c r="Q24" s="6590"/>
      <c r="R24" s="6590"/>
      <c r="S24" s="6590"/>
      <c r="T24" s="6590"/>
      <c r="U24" s="6590"/>
      <c r="V24" s="6590"/>
      <c r="W24" s="6590"/>
      <c r="X24" s="6590"/>
      <c r="Y24" s="6590"/>
      <c r="Z24" s="6590"/>
      <c r="AA24" s="6590"/>
      <c r="AB24" s="6590"/>
      <c r="AC24" s="6590"/>
      <c r="AD24" s="6590"/>
      <c r="AE24" s="413"/>
      <c r="AF24" s="667"/>
      <c r="BA24" s="1755">
        <v>34</v>
      </c>
    </row>
    <row customHeight="1" ht="24">
      <c r="D25" s="1762"/>
      <c r="E25" s="1788" t="s">
        <v>896</v>
      </c>
      <c r="F25" s="1790" t="s">
        <v>951</v>
      </c>
      <c r="G25" s="1778" t="s">
        <v>664</v>
      </c>
      <c r="H25" s="681"/>
      <c r="I25" s="681"/>
      <c r="J25" s="6590"/>
      <c r="K25" s="6590"/>
      <c r="L25" s="6590"/>
      <c r="M25" s="6590"/>
      <c r="N25" s="6590"/>
      <c r="O25" s="6590"/>
      <c r="P25" s="6590"/>
      <c r="Q25" s="6590"/>
      <c r="R25" s="6590"/>
      <c r="S25" s="6590"/>
      <c r="T25" s="6590"/>
      <c r="U25" s="6590"/>
      <c r="V25" s="6590"/>
      <c r="W25" s="6590"/>
      <c r="X25" s="6590"/>
      <c r="Y25" s="6590"/>
      <c r="Z25" s="6590"/>
      <c r="AA25" s="6590"/>
      <c r="AB25" s="6590"/>
      <c r="AC25" s="6590"/>
      <c r="AD25" s="6590"/>
      <c r="AE25" s="413"/>
      <c r="AF25" s="667"/>
      <c r="BA25" s="1755">
        <v>23</v>
      </c>
    </row>
    <row customHeight="1" ht="76.5">
      <c r="D26" s="1762"/>
      <c r="E26" s="1788" t="s">
        <v>898</v>
      </c>
      <c r="F26" s="1790" t="s">
        <v>952</v>
      </c>
      <c r="G26" s="1778" t="s">
        <v>664</v>
      </c>
      <c r="H26" s="681"/>
      <c r="I26" s="681"/>
      <c r="J26" s="6590"/>
      <c r="K26" s="6590"/>
      <c r="L26" s="6590"/>
      <c r="M26" s="6590"/>
      <c r="N26" s="6590"/>
      <c r="O26" s="6590"/>
      <c r="P26" s="6590"/>
      <c r="Q26" s="6590"/>
      <c r="R26" s="6590"/>
      <c r="S26" s="6590"/>
      <c r="T26" s="6590"/>
      <c r="U26" s="6590"/>
      <c r="V26" s="6590"/>
      <c r="W26" s="6590"/>
      <c r="X26" s="6590"/>
      <c r="Y26" s="6590"/>
      <c r="Z26" s="6590"/>
      <c r="AA26" s="6590"/>
      <c r="AB26" s="6590"/>
      <c r="AC26" s="6590"/>
      <c r="AD26" s="6590"/>
      <c r="AE26" s="413"/>
      <c r="AF26" s="667"/>
      <c r="BA26" s="1755">
        <v>73</v>
      </c>
    </row>
    <row s="7158" customFormat="1" customHeight="1" ht="35.699999999999996">
      <c r="A27" s="1111"/>
      <c r="C27" s="1760"/>
      <c r="D27" s="1762"/>
      <c r="E27" s="1753" t="s">
        <v>902</v>
      </c>
      <c r="F27" s="1752" t="s">
        <v>953</v>
      </c>
      <c r="G27" s="1779" t="s">
        <v>664</v>
      </c>
      <c r="H27" s="703">
        <f>SUM(H28:H29)</f>
        <v>0</v>
      </c>
      <c r="I27" s="703">
        <f>SUM(I28:I29)</f>
        <v>0</v>
      </c>
      <c r="J27" s="6622">
        <f>SUM(J28:J29)</f>
        <v>0</v>
      </c>
      <c r="K27" s="6622">
        <f>SUM(K28:K29)</f>
        <v>0</v>
      </c>
      <c r="L27" s="6622">
        <f>SUM(L28:L29)</f>
        <v>0</v>
      </c>
      <c r="M27" s="6622">
        <f>SUM(M28:M29)</f>
        <v>0</v>
      </c>
      <c r="N27" s="6622">
        <f>SUM(N28:N29)</f>
        <v>0</v>
      </c>
      <c r="O27" s="6622">
        <f>SUM(O28:O29)</f>
        <v>0</v>
      </c>
      <c r="P27" s="6622">
        <f>SUM(P28:P29)</f>
        <v>0</v>
      </c>
      <c r="Q27" s="6622">
        <f>SUM(Q28:Q29)</f>
        <v>0</v>
      </c>
      <c r="R27" s="6622">
        <f>SUM(R28:R29)</f>
        <v>0</v>
      </c>
      <c r="S27" s="6622">
        <f>SUM(S28:S29)</f>
        <v>0</v>
      </c>
      <c r="T27" s="6622">
        <f>SUM(T28:T29)</f>
        <v>0</v>
      </c>
      <c r="U27" s="6622">
        <f>SUM(U28:U29)</f>
        <v>0</v>
      </c>
      <c r="V27" s="6622">
        <f>SUM(V28:V29)</f>
        <v>0</v>
      </c>
      <c r="W27" s="6622">
        <f>SUM(W28:W29)</f>
        <v>0</v>
      </c>
      <c r="X27" s="6622">
        <f>SUM(X28:X29)</f>
        <v>0</v>
      </c>
      <c r="Y27" s="6622">
        <f>SUM(Y28:Y29)</f>
        <v>0</v>
      </c>
      <c r="Z27" s="6622">
        <f>SUM(Z28:Z29)</f>
        <v>0</v>
      </c>
      <c r="AA27" s="6622">
        <f>SUM(AA28:AA29)</f>
        <v>0</v>
      </c>
      <c r="AB27" s="6622">
        <f>SUM(AB28:AB29)</f>
        <v>0</v>
      </c>
      <c r="AC27" s="6622">
        <f>SUM(AC28:AC29)</f>
        <v>0</v>
      </c>
      <c r="AD27" s="6622">
        <f>SUM(AD28:AD29)</f>
        <v>0</v>
      </c>
      <c r="AE27" s="413" t="s">
        <v>900</v>
      </c>
      <c r="AF27" s="667"/>
      <c r="AG27" s="1760"/>
      <c r="AH27" s="1760"/>
      <c r="AM27" s="1760"/>
      <c r="AP27" s="668"/>
      <c r="AV27" s="1756"/>
      <c r="AW27" s="1756"/>
      <c r="AX27" s="1756"/>
      <c r="AY27" s="1756"/>
      <c r="AZ27" s="1756"/>
      <c r="BA27" s="1284">
        <v>34</v>
      </c>
    </row>
    <row s="6698" customFormat="1" customHeight="1" ht="1.05">
      <c r="A28" s="1291"/>
      <c r="D28" s="672"/>
      <c r="E28" s="926" t="str">
        <f>E27&amp;".0"</f>
        <v>2.9.0</v>
      </c>
      <c r="F28" s="1115"/>
      <c r="G28" s="675"/>
      <c r="H28" s="1116"/>
      <c r="I28" s="1116"/>
      <c r="J28" s="6624"/>
      <c r="K28" s="6624"/>
      <c r="L28" s="6624"/>
      <c r="M28" s="6624"/>
      <c r="N28" s="6624"/>
      <c r="O28" s="6624"/>
      <c r="P28" s="6624"/>
      <c r="Q28" s="6624"/>
      <c r="R28" s="6624"/>
      <c r="S28" s="6624"/>
      <c r="T28" s="6624"/>
      <c r="U28" s="6624"/>
      <c r="V28" s="6624"/>
      <c r="W28" s="6624"/>
      <c r="X28" s="6624"/>
      <c r="Y28" s="6624"/>
      <c r="Z28" s="6624"/>
      <c r="AA28" s="6624"/>
      <c r="AB28" s="6624"/>
      <c r="AC28" s="6624"/>
      <c r="AD28" s="6624"/>
      <c r="AE28" s="1117"/>
      <c r="BA28" s="1760">
        <v>1</v>
      </c>
    </row>
    <row s="7158" customFormat="1" customHeight="1" ht="19.95">
      <c r="A29" s="1111"/>
      <c r="C29" s="1760"/>
      <c r="D29" s="1757"/>
      <c r="E29" s="694"/>
      <c r="F29" s="1789" t="s">
        <v>712</v>
      </c>
      <c r="G29" s="696"/>
      <c r="H29" s="697"/>
      <c r="I29" s="697"/>
      <c r="J29" s="8134"/>
      <c r="K29" s="8135"/>
      <c r="L29" s="8136"/>
      <c r="M29" s="8137"/>
      <c r="N29" s="8138"/>
      <c r="O29" s="8139"/>
      <c r="P29" s="8140"/>
      <c r="Q29" s="8141"/>
      <c r="R29" s="8142"/>
      <c r="S29" s="8143"/>
      <c r="T29" s="8144"/>
      <c r="U29" s="8145"/>
      <c r="V29" s="8146"/>
      <c r="W29" s="8147"/>
      <c r="X29" s="8148"/>
      <c r="Y29" s="8149"/>
      <c r="Z29" s="8150"/>
      <c r="AA29" s="8151"/>
      <c r="AB29" s="8152"/>
      <c r="AC29" s="8153"/>
      <c r="AD29" s="8154"/>
      <c r="AE29" s="425" t="s">
        <v>901</v>
      </c>
      <c r="AF29" s="667"/>
      <c r="AG29" s="1760"/>
      <c r="AH29" s="1760"/>
      <c r="AM29" s="1760"/>
      <c r="AP29" s="668"/>
      <c r="AV29" s="1756"/>
      <c r="AW29" s="1756"/>
      <c r="AX29" s="1756"/>
      <c r="AY29" s="1756"/>
      <c r="AZ29" s="1756"/>
      <c r="BA29" s="1284">
        <v>19</v>
      </c>
    </row>
    <row customHeight="1" ht="76.5">
      <c r="B30" s="1490"/>
      <c r="D30" s="2199"/>
      <c r="E30" s="1788" t="s">
        <v>954</v>
      </c>
      <c r="F30" s="2207" t="s">
        <v>909</v>
      </c>
      <c r="G30" s="2198" t="s">
        <v>664</v>
      </c>
      <c r="H30" s="681"/>
      <c r="I30" s="681"/>
      <c r="J30" s="6590"/>
      <c r="K30" s="6590"/>
      <c r="L30" s="6590"/>
      <c r="M30" s="6590"/>
      <c r="N30" s="6590"/>
      <c r="O30" s="6590"/>
      <c r="P30" s="6590"/>
      <c r="Q30" s="6590"/>
      <c r="R30" s="6590"/>
      <c r="S30" s="6590"/>
      <c r="T30" s="6590"/>
      <c r="U30" s="6590"/>
      <c r="V30" s="6590"/>
      <c r="W30" s="6590"/>
      <c r="X30" s="6590"/>
      <c r="Y30" s="6590"/>
      <c r="Z30" s="6590"/>
      <c r="AA30" s="6590"/>
      <c r="AB30" s="6590"/>
      <c r="AC30" s="6590"/>
      <c r="AD30" s="6590"/>
      <c r="AE30" s="2205" t="s">
        <v>955</v>
      </c>
      <c r="AF30" s="667"/>
      <c r="AI30" s="1490"/>
      <c r="AJ30" s="1490"/>
      <c r="AK30" s="1490"/>
      <c r="AL30" s="1490"/>
      <c r="AN30" s="1490"/>
      <c r="AO30" s="1490"/>
      <c r="AQ30" s="1490"/>
      <c r="AR30" s="1490"/>
      <c r="AS30" s="1490"/>
      <c r="AT30" s="1490"/>
      <c r="AU30" s="1490"/>
      <c r="BA30" s="1755">
        <v>73</v>
      </c>
    </row>
    <row s="7158" customFormat="1" customHeight="1" ht="24">
      <c r="A31" s="1111"/>
      <c r="C31" s="1760"/>
      <c r="D31" s="1762"/>
      <c r="E31" s="1788" t="s">
        <v>90</v>
      </c>
      <c r="F31" s="1785" t="s">
        <v>956</v>
      </c>
      <c r="G31" s="1778" t="s">
        <v>664</v>
      </c>
      <c r="H31" s="681"/>
      <c r="I31" s="681"/>
      <c r="J31" s="6590"/>
      <c r="K31" s="6590"/>
      <c r="L31" s="6590"/>
      <c r="M31" s="6590"/>
      <c r="N31" s="6590"/>
      <c r="O31" s="6590"/>
      <c r="P31" s="6590"/>
      <c r="Q31" s="6590"/>
      <c r="R31" s="6590"/>
      <c r="S31" s="6590"/>
      <c r="T31" s="6590"/>
      <c r="U31" s="6590"/>
      <c r="V31" s="6590"/>
      <c r="W31" s="6590"/>
      <c r="X31" s="6590"/>
      <c r="Y31" s="6590"/>
      <c r="Z31" s="6590"/>
      <c r="AA31" s="6590"/>
      <c r="AB31" s="6590"/>
      <c r="AC31" s="6590"/>
      <c r="AD31" s="6590"/>
      <c r="AE31" s="413"/>
      <c r="AF31" s="667"/>
      <c r="AG31" s="1760"/>
      <c r="AH31" s="1760"/>
      <c r="AM31" s="1760"/>
      <c r="AP31" s="668"/>
      <c r="AV31" s="1756"/>
      <c r="AW31" s="1756"/>
      <c r="AX31" s="1756"/>
      <c r="AY31" s="1756"/>
      <c r="AZ31" s="1756"/>
      <c r="BA31" s="1284">
        <v>23</v>
      </c>
    </row>
    <row s="7158" customFormat="1" customHeight="1" ht="35.699999999999996">
      <c r="A32" s="1111"/>
      <c r="C32" s="1760"/>
      <c r="D32" s="699"/>
      <c r="E32" s="1788" t="s">
        <v>91</v>
      </c>
      <c r="F32" s="1785" t="s">
        <v>957</v>
      </c>
      <c r="G32" s="1778" t="s">
        <v>664</v>
      </c>
      <c r="H32" s="681"/>
      <c r="I32" s="681"/>
      <c r="J32" s="6590"/>
      <c r="K32" s="6590"/>
      <c r="L32" s="6590"/>
      <c r="M32" s="6590"/>
      <c r="N32" s="6590"/>
      <c r="O32" s="6590"/>
      <c r="P32" s="6590"/>
      <c r="Q32" s="6590"/>
      <c r="R32" s="6590"/>
      <c r="S32" s="6590"/>
      <c r="T32" s="6590"/>
      <c r="U32" s="6590"/>
      <c r="V32" s="6590"/>
      <c r="W32" s="6590"/>
      <c r="X32" s="6590"/>
      <c r="Y32" s="6590"/>
      <c r="Z32" s="6590"/>
      <c r="AA32" s="6590"/>
      <c r="AB32" s="6590"/>
      <c r="AC32" s="6590"/>
      <c r="AD32" s="6590"/>
      <c r="AE32" s="413" t="s">
        <v>958</v>
      </c>
      <c r="AF32" s="667"/>
      <c r="AG32" s="1760"/>
      <c r="AH32" s="1760"/>
      <c r="AM32" s="1760"/>
      <c r="AP32" s="668"/>
      <c r="AV32" s="1756"/>
      <c r="AW32" s="1756"/>
      <c r="AX32" s="1756"/>
      <c r="AY32" s="1756"/>
      <c r="AZ32" s="1756"/>
      <c r="BA32" s="1284">
        <v>34</v>
      </c>
    </row>
    <row s="7158" customFormat="1" customHeight="1" ht="24">
      <c r="A33" s="1111"/>
      <c r="C33" s="1760"/>
      <c r="D33" s="1762"/>
      <c r="E33" s="1788" t="s">
        <v>916</v>
      </c>
      <c r="F33" s="814" t="s">
        <v>920</v>
      </c>
      <c r="G33" s="1778" t="s">
        <v>664</v>
      </c>
      <c r="H33" s="681"/>
      <c r="I33" s="681"/>
      <c r="J33" s="6590"/>
      <c r="K33" s="6590"/>
      <c r="L33" s="6590"/>
      <c r="M33" s="6590"/>
      <c r="N33" s="6590"/>
      <c r="O33" s="6590"/>
      <c r="P33" s="6590"/>
      <c r="Q33" s="6590"/>
      <c r="R33" s="6590"/>
      <c r="S33" s="6590"/>
      <c r="T33" s="6590"/>
      <c r="U33" s="6590"/>
      <c r="V33" s="6590"/>
      <c r="W33" s="6590"/>
      <c r="X33" s="6590"/>
      <c r="Y33" s="6590"/>
      <c r="Z33" s="6590"/>
      <c r="AA33" s="6590"/>
      <c r="AB33" s="6590"/>
      <c r="AC33" s="6590"/>
      <c r="AD33" s="6590"/>
      <c r="AE33" s="413" t="s">
        <v>959</v>
      </c>
      <c r="AF33" s="667"/>
      <c r="AG33" s="1760"/>
      <c r="AH33" s="1760"/>
      <c r="AM33" s="1760"/>
      <c r="AP33" s="668"/>
      <c r="AV33" s="1756"/>
      <c r="AW33" s="1756"/>
      <c r="AX33" s="1756"/>
      <c r="AY33" s="1756"/>
      <c r="AZ33" s="1756"/>
      <c r="BA33" s="1284">
        <v>23</v>
      </c>
    </row>
    <row s="7158" customFormat="1" customHeight="1" ht="24">
      <c r="A34" s="1111"/>
      <c r="C34" s="1760"/>
      <c r="D34" s="1762"/>
      <c r="E34" s="1788" t="s">
        <v>960</v>
      </c>
      <c r="F34" s="814" t="s">
        <v>961</v>
      </c>
      <c r="G34" s="1778" t="s">
        <v>664</v>
      </c>
      <c r="H34" s="681"/>
      <c r="I34" s="681"/>
      <c r="J34" s="6590"/>
      <c r="K34" s="6590"/>
      <c r="L34" s="6590"/>
      <c r="M34" s="6590"/>
      <c r="N34" s="6590"/>
      <c r="O34" s="6590"/>
      <c r="P34" s="6590"/>
      <c r="Q34" s="6590"/>
      <c r="R34" s="6590"/>
      <c r="S34" s="6590"/>
      <c r="T34" s="6590"/>
      <c r="U34" s="6590"/>
      <c r="V34" s="6590"/>
      <c r="W34" s="6590"/>
      <c r="X34" s="6590"/>
      <c r="Y34" s="6590"/>
      <c r="Z34" s="6590"/>
      <c r="AA34" s="6590"/>
      <c r="AB34" s="6590"/>
      <c r="AC34" s="6590"/>
      <c r="AD34" s="6590"/>
      <c r="AE34" s="413" t="s">
        <v>962</v>
      </c>
      <c r="AF34" s="667"/>
      <c r="AG34" s="1760"/>
      <c r="AH34" s="1760"/>
      <c r="AM34" s="1760"/>
      <c r="AP34" s="668"/>
      <c r="AV34" s="1756"/>
      <c r="AW34" s="1756"/>
      <c r="AX34" s="1756"/>
      <c r="AY34" s="1756"/>
      <c r="AZ34" s="1756"/>
      <c r="BA34" s="1284">
        <v>23</v>
      </c>
    </row>
    <row s="7158" customFormat="1" customHeight="1" ht="24">
      <c r="A35" s="1111"/>
      <c r="C35" s="1760"/>
      <c r="D35" s="1762"/>
      <c r="E35" s="1788" t="s">
        <v>963</v>
      </c>
      <c r="F35" s="814" t="s">
        <v>926</v>
      </c>
      <c r="G35" s="1778" t="s">
        <v>664</v>
      </c>
      <c r="H35" s="681"/>
      <c r="I35" s="681"/>
      <c r="J35" s="6590"/>
      <c r="K35" s="6590"/>
      <c r="L35" s="6590"/>
      <c r="M35" s="6590"/>
      <c r="N35" s="6590"/>
      <c r="O35" s="6590"/>
      <c r="P35" s="6590"/>
      <c r="Q35" s="6590"/>
      <c r="R35" s="6590"/>
      <c r="S35" s="6590"/>
      <c r="T35" s="6590"/>
      <c r="U35" s="6590"/>
      <c r="V35" s="6590"/>
      <c r="W35" s="6590"/>
      <c r="X35" s="6590"/>
      <c r="Y35" s="6590"/>
      <c r="Z35" s="6590"/>
      <c r="AA35" s="6590"/>
      <c r="AB35" s="6590"/>
      <c r="AC35" s="6590"/>
      <c r="AD35" s="6590"/>
      <c r="AE35" s="413" t="s">
        <v>964</v>
      </c>
      <c r="AF35" s="667"/>
      <c r="AG35" s="1760"/>
      <c r="AH35" s="1760"/>
      <c r="AM35" s="1760"/>
      <c r="AP35" s="668"/>
      <c r="AV35" s="1756"/>
      <c r="AW35" s="1756"/>
      <c r="AX35" s="1756"/>
      <c r="AY35" s="1756"/>
      <c r="AZ35" s="1756"/>
      <c r="BA35" s="1284">
        <v>23</v>
      </c>
    </row>
    <row s="7158" customFormat="1" customHeight="1" ht="35.699999999999996">
      <c r="A36" s="1111"/>
      <c r="C36" s="1760" t="s">
        <v>715</v>
      </c>
      <c r="D36" s="1762"/>
      <c r="E36" s="1788" t="s">
        <v>116</v>
      </c>
      <c r="F36" s="1785" t="s">
        <v>786</v>
      </c>
      <c r="G36" s="1781" t="s">
        <v>418</v>
      </c>
      <c r="H36" s="8133"/>
      <c r="I36" s="8133"/>
      <c r="J36" s="8133"/>
      <c r="K36" s="8133"/>
      <c r="L36" s="8133"/>
      <c r="M36" s="8133"/>
      <c r="N36" s="8133"/>
      <c r="O36" s="8133"/>
      <c r="P36" s="8133"/>
      <c r="Q36" s="8133"/>
      <c r="R36" s="8133"/>
      <c r="S36" s="8133"/>
      <c r="T36" s="8133"/>
      <c r="U36" s="8133"/>
      <c r="V36" s="8133"/>
      <c r="W36" s="8133"/>
      <c r="X36" s="8133"/>
      <c r="Y36" s="8133"/>
      <c r="Z36" s="8133"/>
      <c r="AA36" s="8133"/>
      <c r="AB36" s="8133"/>
      <c r="AC36" s="8133"/>
      <c r="AD36" s="8133"/>
      <c r="AE36" s="413" t="s">
        <v>965</v>
      </c>
      <c r="AF36" s="667"/>
      <c r="AG36" s="1760"/>
      <c r="AH36" s="1760"/>
      <c r="AM36" s="1760"/>
      <c r="AP36" s="668"/>
      <c r="AV36" s="1756"/>
      <c r="AW36" s="1756"/>
      <c r="AX36" s="1756"/>
      <c r="AY36" s="1756"/>
      <c r="AZ36" s="1756"/>
      <c r="BA36" s="1284">
        <v>34</v>
      </c>
    </row>
    <row s="7158" customFormat="1" customHeight="1" ht="35.699999999999996">
      <c r="A37" s="1111"/>
      <c r="C37" s="1760"/>
      <c r="D37" s="1762"/>
      <c r="E37" s="1788" t="s">
        <v>92</v>
      </c>
      <c r="F37" s="1785" t="s">
        <v>966</v>
      </c>
      <c r="G37" s="1778" t="s">
        <v>931</v>
      </c>
      <c r="H37" s="2206"/>
      <c r="I37" s="2206"/>
      <c r="J37" s="6843"/>
      <c r="K37" s="6843"/>
      <c r="L37" s="6843"/>
      <c r="M37" s="6843"/>
      <c r="N37" s="6843"/>
      <c r="O37" s="6843"/>
      <c r="P37" s="6843"/>
      <c r="Q37" s="6843"/>
      <c r="R37" s="6843"/>
      <c r="S37" s="6843"/>
      <c r="T37" s="6843"/>
      <c r="U37" s="6843"/>
      <c r="V37" s="6843"/>
      <c r="W37" s="6843"/>
      <c r="X37" s="6843"/>
      <c r="Y37" s="6843"/>
      <c r="Z37" s="6843"/>
      <c r="AA37" s="6843"/>
      <c r="AB37" s="6843"/>
      <c r="AC37" s="6843"/>
      <c r="AD37" s="6843"/>
      <c r="AE37" s="413" t="s">
        <v>932</v>
      </c>
      <c r="AF37" s="667"/>
      <c r="AG37" s="1760"/>
      <c r="AH37" s="1760"/>
      <c r="AM37" s="1760"/>
      <c r="AP37" s="668"/>
      <c r="AV37" s="1756"/>
      <c r="AW37" s="1756"/>
      <c r="AX37" s="1756"/>
      <c r="AY37" s="1756"/>
      <c r="AZ37" s="1756"/>
      <c r="BA37" s="1284">
        <v>34</v>
      </c>
    </row>
    <row s="7158" customFormat="1" customHeight="1" ht="33.75">
      <c r="A38" s="1111"/>
      <c r="C38" s="1760"/>
      <c r="D38" s="2199"/>
      <c r="E38" s="1788" t="s">
        <v>809</v>
      </c>
      <c r="F38" s="2207" t="s">
        <v>967</v>
      </c>
      <c r="G38" s="2198" t="s">
        <v>931</v>
      </c>
      <c r="H38" s="669"/>
      <c r="I38" s="669"/>
      <c r="J38" s="6574"/>
      <c r="K38" s="6574"/>
      <c r="L38" s="6574"/>
      <c r="M38" s="6574"/>
      <c r="N38" s="6574"/>
      <c r="O38" s="6574"/>
      <c r="P38" s="6574"/>
      <c r="Q38" s="6574"/>
      <c r="R38" s="6574"/>
      <c r="S38" s="6574"/>
      <c r="T38" s="6574"/>
      <c r="U38" s="6574"/>
      <c r="V38" s="6574"/>
      <c r="W38" s="6574"/>
      <c r="X38" s="6574"/>
      <c r="Y38" s="6574"/>
      <c r="Z38" s="6574"/>
      <c r="AA38" s="6574"/>
      <c r="AB38" s="6574"/>
      <c r="AC38" s="6574"/>
      <c r="AD38" s="6574"/>
      <c r="AE38" s="2205" t="s">
        <v>968</v>
      </c>
      <c r="AF38" s="667"/>
      <c r="AG38" s="1760"/>
      <c r="AH38" s="1760"/>
      <c r="AM38" s="1760"/>
      <c r="AP38" s="668"/>
      <c r="AV38" s="1756"/>
      <c r="AW38" s="1756"/>
      <c r="AX38" s="1756"/>
      <c r="AY38" s="1756"/>
      <c r="AZ38" s="1756"/>
    </row>
    <row s="7158" customFormat="1" customHeight="1" ht="33.75">
      <c r="A39" s="1111"/>
      <c r="C39" s="1760"/>
      <c r="D39" s="2199"/>
      <c r="E39" s="1788" t="s">
        <v>813</v>
      </c>
      <c r="F39" s="2207" t="s">
        <v>969</v>
      </c>
      <c r="G39" s="2198" t="s">
        <v>931</v>
      </c>
      <c r="H39" s="669"/>
      <c r="I39" s="669"/>
      <c r="J39" s="6574"/>
      <c r="K39" s="6574"/>
      <c r="L39" s="6574"/>
      <c r="M39" s="6574"/>
      <c r="N39" s="6574"/>
      <c r="O39" s="6574"/>
      <c r="P39" s="6574"/>
      <c r="Q39" s="6574"/>
      <c r="R39" s="6574"/>
      <c r="S39" s="6574"/>
      <c r="T39" s="6574"/>
      <c r="U39" s="6574"/>
      <c r="V39" s="6574"/>
      <c r="W39" s="6574"/>
      <c r="X39" s="6574"/>
      <c r="Y39" s="6574"/>
      <c r="Z39" s="6574"/>
      <c r="AA39" s="6574"/>
      <c r="AB39" s="6574"/>
      <c r="AC39" s="6574"/>
      <c r="AD39" s="6574"/>
      <c r="AE39" s="2205" t="s">
        <v>970</v>
      </c>
      <c r="AF39" s="667"/>
      <c r="AG39" s="1760"/>
      <c r="AH39" s="1760"/>
      <c r="AM39" s="1760"/>
      <c r="AP39" s="668"/>
      <c r="AV39" s="1756"/>
      <c r="AW39" s="1756"/>
      <c r="AX39" s="1756"/>
      <c r="AY39" s="1756"/>
      <c r="AZ39" s="1756"/>
    </row>
    <row s="7158" customFormat="1" customHeight="1" ht="24">
      <c r="A40" s="1111"/>
      <c r="C40" s="1760"/>
      <c r="D40" s="1762"/>
      <c r="E40" s="1788" t="s">
        <v>93</v>
      </c>
      <c r="F40" s="1785" t="s">
        <v>971</v>
      </c>
      <c r="G40" s="1778" t="s">
        <v>934</v>
      </c>
      <c r="H40" s="2206"/>
      <c r="I40" s="2206"/>
      <c r="J40" s="6843"/>
      <c r="K40" s="6843"/>
      <c r="L40" s="6843"/>
      <c r="M40" s="6843"/>
      <c r="N40" s="6843"/>
      <c r="O40" s="6843"/>
      <c r="P40" s="6843"/>
      <c r="Q40" s="6843"/>
      <c r="R40" s="6843"/>
      <c r="S40" s="6843"/>
      <c r="T40" s="6843"/>
      <c r="U40" s="6843"/>
      <c r="V40" s="6843"/>
      <c r="W40" s="6843"/>
      <c r="X40" s="6843"/>
      <c r="Y40" s="6843"/>
      <c r="Z40" s="6843"/>
      <c r="AA40" s="6843"/>
      <c r="AB40" s="6843"/>
      <c r="AC40" s="6843"/>
      <c r="AD40" s="6843"/>
      <c r="AE40" s="413" t="s">
        <v>935</v>
      </c>
      <c r="AF40" s="667"/>
      <c r="AG40" s="1760"/>
      <c r="AH40" s="1760"/>
      <c r="AM40" s="1760"/>
      <c r="AP40" s="668"/>
      <c r="AV40" s="1756"/>
      <c r="AW40" s="1756"/>
      <c r="AX40" s="1756"/>
      <c r="AY40" s="1756"/>
      <c r="AZ40" s="1756"/>
      <c r="BA40" s="1284">
        <v>23</v>
      </c>
    </row>
    <row s="7158" customFormat="1" customHeight="1" ht="24">
      <c r="A41" s="1111"/>
      <c r="C41" s="1760"/>
      <c r="D41" s="2199"/>
      <c r="E41" s="1788" t="s">
        <v>972</v>
      </c>
      <c r="F41" s="2207" t="s">
        <v>973</v>
      </c>
      <c r="G41" s="2198" t="s">
        <v>934</v>
      </c>
      <c r="H41" s="669"/>
      <c r="I41" s="669"/>
      <c r="J41" s="6574"/>
      <c r="K41" s="6574"/>
      <c r="L41" s="6574"/>
      <c r="M41" s="6574"/>
      <c r="N41" s="6574"/>
      <c r="O41" s="6574"/>
      <c r="P41" s="6574"/>
      <c r="Q41" s="6574"/>
      <c r="R41" s="6574"/>
      <c r="S41" s="6574"/>
      <c r="T41" s="6574"/>
      <c r="U41" s="6574"/>
      <c r="V41" s="6574"/>
      <c r="W41" s="6574"/>
      <c r="X41" s="6574"/>
      <c r="Y41" s="6574"/>
      <c r="Z41" s="6574"/>
      <c r="AA41" s="6574"/>
      <c r="AB41" s="6574"/>
      <c r="AC41" s="6574"/>
      <c r="AD41" s="6574"/>
      <c r="AE41" s="2205" t="s">
        <v>974</v>
      </c>
      <c r="AF41" s="667"/>
      <c r="AG41" s="1760"/>
      <c r="AH41" s="1760"/>
      <c r="AM41" s="1760"/>
      <c r="AP41" s="668"/>
      <c r="AV41" s="1756"/>
      <c r="AW41" s="1756"/>
      <c r="AX41" s="1756"/>
      <c r="AY41" s="1756"/>
      <c r="AZ41" s="1756"/>
      <c r="BA41" s="1490">
        <v>23</v>
      </c>
    </row>
    <row s="7158" customFormat="1" customHeight="1" ht="24">
      <c r="A42" s="1111"/>
      <c r="C42" s="1760"/>
      <c r="D42" s="2199"/>
      <c r="E42" s="1788" t="s">
        <v>975</v>
      </c>
      <c r="F42" s="2207" t="s">
        <v>976</v>
      </c>
      <c r="G42" s="2198" t="s">
        <v>934</v>
      </c>
      <c r="H42" s="669"/>
      <c r="I42" s="669"/>
      <c r="J42" s="6574"/>
      <c r="K42" s="6574"/>
      <c r="L42" s="6574"/>
      <c r="M42" s="6574"/>
      <c r="N42" s="6574"/>
      <c r="O42" s="6574"/>
      <c r="P42" s="6574"/>
      <c r="Q42" s="6574"/>
      <c r="R42" s="6574"/>
      <c r="S42" s="6574"/>
      <c r="T42" s="6574"/>
      <c r="U42" s="6574"/>
      <c r="V42" s="6574"/>
      <c r="W42" s="6574"/>
      <c r="X42" s="6574"/>
      <c r="Y42" s="6574"/>
      <c r="Z42" s="6574"/>
      <c r="AA42" s="6574"/>
      <c r="AB42" s="6574"/>
      <c r="AC42" s="6574"/>
      <c r="AD42" s="6574"/>
      <c r="AE42" s="2205" t="s">
        <v>977</v>
      </c>
      <c r="AF42" s="667"/>
      <c r="AG42" s="1760"/>
      <c r="AH42" s="1760"/>
      <c r="AM42" s="1760"/>
      <c r="AP42" s="668"/>
      <c r="AV42" s="1756"/>
      <c r="AW42" s="1756"/>
      <c r="AX42" s="1756"/>
      <c r="AY42" s="1756"/>
      <c r="AZ42" s="1756"/>
      <c r="BA42" s="1490">
        <v>23</v>
      </c>
    </row>
    <row customHeight="1" ht="11.549999999999999">
      <c r="D43" s="1762"/>
      <c r="J43" s="7213"/>
      <c r="K43" s="7213"/>
      <c r="L43" s="7213"/>
      <c r="M43" s="7213"/>
      <c r="N43" s="7213"/>
      <c r="O43" s="7213"/>
      <c r="P43" s="7213"/>
      <c r="Q43" s="7213"/>
      <c r="R43" s="7213"/>
      <c r="S43" s="7213"/>
      <c r="T43" s="7213"/>
      <c r="U43" s="7213"/>
      <c r="V43" s="7213"/>
      <c r="W43" s="7213"/>
      <c r="X43" s="7213"/>
      <c r="Y43" s="7213"/>
      <c r="Z43" s="7213"/>
      <c r="AA43" s="7213"/>
      <c r="AB43" s="7213"/>
      <c r="AC43" s="7213"/>
      <c r="AD43" s="7213"/>
      <c r="BA43" s="1755">
        <v>11</v>
      </c>
    </row>
    <row customHeight="1" ht="27.299999999999997">
      <c r="D44" s="1762"/>
      <c r="E44" s="1377" t="s">
        <v>978</v>
      </c>
      <c r="F44" s="2422" t="s">
        <v>979</v>
      </c>
      <c r="G44" s="2422"/>
      <c r="H44" s="493"/>
      <c r="I44" s="493"/>
      <c r="J44" s="7241"/>
      <c r="K44" s="7241"/>
      <c r="L44" s="7241"/>
      <c r="M44" s="7241"/>
      <c r="N44" s="7241"/>
      <c r="O44" s="7241"/>
      <c r="P44" s="7241"/>
      <c r="Q44" s="7241"/>
      <c r="R44" s="7241"/>
      <c r="S44" s="7241"/>
      <c r="T44" s="7241"/>
      <c r="U44" s="7241"/>
      <c r="V44" s="7241"/>
      <c r="W44" s="7241"/>
      <c r="X44" s="7241"/>
      <c r="Y44" s="7241"/>
      <c r="Z44" s="7241"/>
      <c r="AA44" s="7241"/>
      <c r="AB44" s="7241"/>
      <c r="AC44" s="7241"/>
      <c r="AD44" s="7241"/>
      <c r="AE44" s="493"/>
      <c r="BA44" s="1755">
        <v>26</v>
      </c>
    </row>
    <row s="6292" customFormat="1" customHeight="1" ht="39.75">
      <c r="A45" s="1111"/>
      <c r="B45" s="1760"/>
      <c r="C45" s="1760"/>
      <c r="D45" s="475"/>
      <c r="F45" s="2422" t="s">
        <v>980</v>
      </c>
      <c r="G45" s="2422"/>
      <c r="H45" s="493"/>
      <c r="I45" s="493"/>
      <c r="J45" s="7241"/>
      <c r="K45" s="7241"/>
      <c r="L45" s="7241"/>
      <c r="M45" s="7241"/>
      <c r="N45" s="7241"/>
      <c r="O45" s="7241"/>
      <c r="P45" s="7241"/>
      <c r="Q45" s="7241"/>
      <c r="R45" s="7241"/>
      <c r="S45" s="7241"/>
      <c r="T45" s="7241"/>
      <c r="U45" s="7241"/>
      <c r="V45" s="7241"/>
      <c r="W45" s="7241"/>
      <c r="X45" s="7241"/>
      <c r="Y45" s="7241"/>
      <c r="Z45" s="7241"/>
      <c r="AA45" s="7241"/>
      <c r="AB45" s="7241"/>
      <c r="AC45" s="7241"/>
      <c r="AD45" s="7241"/>
      <c r="AE45" s="493"/>
      <c r="AF45" s="1284"/>
      <c r="AG45" s="1760"/>
      <c r="AH45" s="1760"/>
      <c r="AI45" s="1284"/>
      <c r="AJ45" s="1284"/>
      <c r="AK45" s="1284"/>
      <c r="AL45" s="1284"/>
      <c r="AM45" s="1760"/>
      <c r="AN45" s="1284"/>
      <c r="AO45" s="1284"/>
      <c r="AP45" s="668"/>
      <c r="AQ45" s="1284"/>
      <c r="AR45" s="1284"/>
      <c r="AS45" s="1284"/>
      <c r="AT45" s="1284"/>
      <c r="AU45" s="1284"/>
      <c r="AV45" s="1756"/>
      <c r="AW45" s="690"/>
      <c r="AX45" s="690"/>
      <c r="AY45" s="690"/>
      <c r="AZ45" s="690"/>
      <c r="BA45" s="1765">
        <v>38</v>
      </c>
    </row>
    <row s="6292" customFormat="1" customHeight="1" ht="11.549999999999999">
      <c r="A46" s="1111"/>
      <c r="B46" s="1760"/>
      <c r="C46" s="1760"/>
      <c r="D46" s="475"/>
      <c r="J46" s="6292"/>
      <c r="K46" s="6292"/>
      <c r="L46" s="6292"/>
      <c r="M46" s="6292"/>
      <c r="N46" s="6292"/>
      <c r="O46" s="6292"/>
      <c r="P46" s="6292"/>
      <c r="Q46" s="6292"/>
      <c r="R46" s="6292"/>
      <c r="S46" s="6292"/>
      <c r="T46" s="6292"/>
      <c r="U46" s="6292"/>
      <c r="V46" s="6292"/>
      <c r="W46" s="6292"/>
      <c r="X46" s="6292"/>
      <c r="Y46" s="6292"/>
      <c r="Z46" s="6292"/>
      <c r="AA46" s="6292"/>
      <c r="AB46" s="6292"/>
      <c r="AC46" s="6292"/>
      <c r="AD46" s="6292"/>
      <c r="AF46" s="1284"/>
      <c r="AG46" s="1760"/>
      <c r="AH46" s="1760"/>
      <c r="AI46" s="1284"/>
      <c r="AJ46" s="1284"/>
      <c r="AK46" s="1284"/>
      <c r="AL46" s="1284"/>
      <c r="AM46" s="1760"/>
      <c r="AN46" s="1284"/>
      <c r="AO46" s="1284"/>
      <c r="AP46" s="668"/>
      <c r="AQ46" s="1284"/>
      <c r="AR46" s="1284"/>
      <c r="AS46" s="1284"/>
      <c r="AT46" s="1284"/>
      <c r="AU46" s="1284"/>
      <c r="AV46" s="1756"/>
      <c r="AW46" s="690"/>
      <c r="AX46" s="690"/>
      <c r="AY46" s="690"/>
      <c r="AZ46" s="690"/>
      <c r="BA46" s="1765">
        <v>11</v>
      </c>
    </row>
    <row s="6292" customFormat="1" customHeight="1" ht="11.549999999999999">
      <c r="A47" s="1111"/>
      <c r="B47" s="1760"/>
      <c r="C47" s="1760"/>
      <c r="D47" s="475"/>
      <c r="J47" s="6292"/>
      <c r="K47" s="6292"/>
      <c r="L47" s="6292"/>
      <c r="M47" s="6292"/>
      <c r="N47" s="6292"/>
      <c r="O47" s="6292"/>
      <c r="P47" s="6292"/>
      <c r="Q47" s="6292"/>
      <c r="R47" s="6292"/>
      <c r="S47" s="6292"/>
      <c r="T47" s="6292"/>
      <c r="U47" s="6292"/>
      <c r="V47" s="6292"/>
      <c r="W47" s="6292"/>
      <c r="X47" s="6292"/>
      <c r="Y47" s="6292"/>
      <c r="Z47" s="6292"/>
      <c r="AA47" s="6292"/>
      <c r="AB47" s="6292"/>
      <c r="AC47" s="6292"/>
      <c r="AD47" s="6292"/>
      <c r="AF47" s="1284"/>
      <c r="AG47" s="1760"/>
      <c r="AH47" s="1760"/>
      <c r="AI47" s="1284"/>
      <c r="AJ47" s="1284"/>
      <c r="AK47" s="1284"/>
      <c r="AL47" s="1284"/>
      <c r="AM47" s="1760"/>
      <c r="AN47" s="1284"/>
      <c r="AO47" s="1284"/>
      <c r="AP47" s="668"/>
      <c r="AQ47" s="1284"/>
      <c r="AR47" s="1284"/>
      <c r="AS47" s="1284"/>
      <c r="AT47" s="1284"/>
      <c r="AU47" s="1284"/>
      <c r="AV47" s="1756"/>
      <c r="AW47" s="690"/>
      <c r="AX47" s="690"/>
      <c r="AY47" s="690"/>
      <c r="AZ47" s="690"/>
      <c r="BA47" s="1765">
        <v>11</v>
      </c>
    </row>
    <row s="6292" customFormat="1" customHeight="1" ht="11.549999999999999">
      <c r="A48" s="1111"/>
      <c r="B48" s="1760"/>
      <c r="C48" s="1760"/>
      <c r="D48" s="475"/>
      <c r="H48" s="690"/>
      <c r="I48" s="690"/>
      <c r="J48" s="6688"/>
      <c r="K48" s="6688"/>
      <c r="L48" s="6688"/>
      <c r="M48" s="6688"/>
      <c r="N48" s="6688"/>
      <c r="O48" s="6688"/>
      <c r="P48" s="6688"/>
      <c r="Q48" s="6688"/>
      <c r="R48" s="6688"/>
      <c r="S48" s="6688"/>
      <c r="T48" s="6688"/>
      <c r="U48" s="6688"/>
      <c r="V48" s="6688"/>
      <c r="W48" s="6688"/>
      <c r="X48" s="6688"/>
      <c r="Y48" s="6688"/>
      <c r="Z48" s="6688"/>
      <c r="AA48" s="6688"/>
      <c r="AB48" s="6688"/>
      <c r="AC48" s="6688"/>
      <c r="AD48" s="6688"/>
      <c r="AF48" s="1284"/>
      <c r="AG48" s="1760"/>
      <c r="AH48" s="1760"/>
      <c r="AI48" s="1284"/>
      <c r="AJ48" s="1284"/>
      <c r="AK48" s="1284"/>
      <c r="AL48" s="1284"/>
      <c r="AM48" s="1760"/>
      <c r="AN48" s="1284"/>
      <c r="AO48" s="1284"/>
      <c r="AP48" s="668"/>
      <c r="AQ48" s="1284"/>
      <c r="AR48" s="1284"/>
      <c r="AS48" s="1284"/>
      <c r="AT48" s="1284"/>
      <c r="AU48" s="1284"/>
      <c r="AV48" s="1756"/>
      <c r="AW48" s="690"/>
      <c r="AX48" s="690"/>
      <c r="AY48" s="690"/>
      <c r="AZ48" s="690"/>
      <c r="BA48" s="1765">
        <v>11</v>
      </c>
    </row>
    <row s="6292" customFormat="1" customHeight="1" ht="11.549999999999999">
      <c r="A49" s="1111"/>
      <c r="B49" s="1760"/>
      <c r="C49" s="1760"/>
      <c r="D49" s="475"/>
      <c r="J49" s="6292"/>
      <c r="K49" s="6292"/>
      <c r="L49" s="6292"/>
      <c r="M49" s="6292"/>
      <c r="N49" s="6292"/>
      <c r="O49" s="6292"/>
      <c r="P49" s="6292"/>
      <c r="Q49" s="6292"/>
      <c r="R49" s="6292"/>
      <c r="S49" s="6292"/>
      <c r="T49" s="6292"/>
      <c r="U49" s="6292"/>
      <c r="V49" s="6292"/>
      <c r="W49" s="6292"/>
      <c r="X49" s="6292"/>
      <c r="Y49" s="6292"/>
      <c r="Z49" s="6292"/>
      <c r="AA49" s="6292"/>
      <c r="AB49" s="6292"/>
      <c r="AC49" s="6292"/>
      <c r="AD49" s="6292"/>
      <c r="AF49" s="1284"/>
      <c r="AG49" s="1760"/>
      <c r="AH49" s="1760"/>
      <c r="AI49" s="1284"/>
      <c r="AJ49" s="1284"/>
      <c r="AK49" s="1284"/>
      <c r="AL49" s="1284"/>
      <c r="AM49" s="1760"/>
      <c r="AN49" s="1284"/>
      <c r="AO49" s="1284"/>
      <c r="AP49" s="668"/>
      <c r="AQ49" s="1284"/>
      <c r="AR49" s="1284"/>
      <c r="AS49" s="1284"/>
      <c r="AT49" s="1284"/>
      <c r="AU49" s="1284"/>
      <c r="AV49" s="1756"/>
      <c r="AW49" s="690"/>
      <c r="AX49" s="690"/>
      <c r="AY49" s="690"/>
      <c r="AZ49" s="690"/>
      <c r="BA49" s="1765">
        <v>11</v>
      </c>
    </row>
    <row s="6292" customFormat="1" customHeight="1" ht="11.549999999999999">
      <c r="A50" s="1111"/>
      <c r="B50" s="1760"/>
      <c r="C50" s="1760"/>
      <c r="D50" s="475"/>
      <c r="J50" s="6292"/>
      <c r="K50" s="6292"/>
      <c r="L50" s="6292"/>
      <c r="M50" s="6292"/>
      <c r="N50" s="6292"/>
      <c r="O50" s="6292"/>
      <c r="P50" s="6292"/>
      <c r="Q50" s="6292"/>
      <c r="R50" s="6292"/>
      <c r="S50" s="6292"/>
      <c r="T50" s="6292"/>
      <c r="U50" s="6292"/>
      <c r="V50" s="6292"/>
      <c r="W50" s="6292"/>
      <c r="X50" s="6292"/>
      <c r="Y50" s="6292"/>
      <c r="Z50" s="6292"/>
      <c r="AA50" s="6292"/>
      <c r="AB50" s="6292"/>
      <c r="AC50" s="6292"/>
      <c r="AD50" s="6292"/>
      <c r="AF50" s="1284"/>
      <c r="AG50" s="1760"/>
      <c r="AH50" s="1760"/>
      <c r="AI50" s="1284"/>
      <c r="AJ50" s="1284"/>
      <c r="AK50" s="1284"/>
      <c r="AL50" s="1284"/>
      <c r="AM50" s="1760"/>
      <c r="AN50" s="1284"/>
      <c r="AO50" s="1284"/>
      <c r="AP50" s="668"/>
      <c r="AQ50" s="1284"/>
      <c r="AR50" s="1284"/>
      <c r="AS50" s="1284"/>
      <c r="AT50" s="1284"/>
      <c r="AU50" s="1284"/>
      <c r="AV50" s="1756"/>
      <c r="AW50" s="690"/>
      <c r="AX50" s="690"/>
      <c r="AY50" s="690"/>
      <c r="AZ50" s="690"/>
      <c r="BA50" s="1765">
        <v>11</v>
      </c>
    </row>
    <row s="6292" customFormat="1" customHeight="1" ht="11.549999999999999">
      <c r="A51" s="1111"/>
      <c r="B51" s="1760"/>
      <c r="C51" s="1760"/>
      <c r="D51" s="475"/>
      <c r="J51" s="6292"/>
      <c r="K51" s="6292"/>
      <c r="L51" s="6292"/>
      <c r="M51" s="6292"/>
      <c r="N51" s="6292"/>
      <c r="O51" s="6292"/>
      <c r="P51" s="6292"/>
      <c r="Q51" s="6292"/>
      <c r="R51" s="6292"/>
      <c r="S51" s="6292"/>
      <c r="T51" s="6292"/>
      <c r="U51" s="6292"/>
      <c r="V51" s="6292"/>
      <c r="W51" s="6292"/>
      <c r="X51" s="6292"/>
      <c r="Y51" s="6292"/>
      <c r="Z51" s="6292"/>
      <c r="AA51" s="6292"/>
      <c r="AB51" s="6292"/>
      <c r="AC51" s="6292"/>
      <c r="AD51" s="6292"/>
      <c r="AF51" s="1284"/>
      <c r="AG51" s="1760"/>
      <c r="AH51" s="1760"/>
      <c r="AI51" s="1284"/>
      <c r="AJ51" s="1284"/>
      <c r="AK51" s="1284"/>
      <c r="AL51" s="1284"/>
      <c r="AM51" s="1760"/>
      <c r="AN51" s="1284"/>
      <c r="AO51" s="1284"/>
      <c r="AP51" s="668"/>
      <c r="AQ51" s="1284"/>
      <c r="AR51" s="1284"/>
      <c r="AS51" s="1284"/>
      <c r="AT51" s="1284"/>
      <c r="AU51" s="1284"/>
      <c r="AV51" s="1756"/>
      <c r="AW51" s="690"/>
      <c r="AX51" s="690"/>
      <c r="AY51" s="690"/>
      <c r="AZ51" s="690"/>
      <c r="BA51" s="1765">
        <v>11</v>
      </c>
    </row>
    <row s="6292" customFormat="1" customHeight="1" ht="11.549999999999999">
      <c r="A52" s="1111"/>
      <c r="B52" s="1760"/>
      <c r="C52" s="1760"/>
      <c r="D52" s="475"/>
      <c r="J52" s="6292"/>
      <c r="K52" s="6292"/>
      <c r="L52" s="6292"/>
      <c r="M52" s="6292"/>
      <c r="N52" s="6292"/>
      <c r="O52" s="6292"/>
      <c r="P52" s="6292"/>
      <c r="Q52" s="6292"/>
      <c r="R52" s="6292"/>
      <c r="S52" s="6292"/>
      <c r="T52" s="6292"/>
      <c r="U52" s="6292"/>
      <c r="V52" s="6292"/>
      <c r="W52" s="6292"/>
      <c r="X52" s="6292"/>
      <c r="Y52" s="6292"/>
      <c r="Z52" s="6292"/>
      <c r="AA52" s="6292"/>
      <c r="AB52" s="6292"/>
      <c r="AC52" s="6292"/>
      <c r="AD52" s="6292"/>
      <c r="AF52" s="1284"/>
      <c r="AG52" s="1760"/>
      <c r="AH52" s="1760"/>
      <c r="AI52" s="1284"/>
      <c r="AJ52" s="1284"/>
      <c r="AK52" s="1284"/>
      <c r="AL52" s="1284"/>
      <c r="AM52" s="1760"/>
      <c r="AN52" s="1284"/>
      <c r="AO52" s="1284"/>
      <c r="AP52" s="668"/>
      <c r="AQ52" s="1284"/>
      <c r="AR52" s="1284"/>
      <c r="AS52" s="1284"/>
      <c r="AT52" s="1284"/>
      <c r="AU52" s="1284"/>
      <c r="AV52" s="1756"/>
      <c r="AW52" s="690"/>
      <c r="AX52" s="690"/>
      <c r="AY52" s="690"/>
      <c r="AZ52" s="690"/>
      <c r="BA52" s="1765">
        <v>11</v>
      </c>
    </row>
    <row s="6292" customFormat="1" customHeight="1" ht="11.549999999999999">
      <c r="A53" s="1111"/>
      <c r="B53" s="1760"/>
      <c r="C53" s="1760"/>
      <c r="D53" s="475"/>
      <c r="J53" s="6292"/>
      <c r="K53" s="6292"/>
      <c r="L53" s="6292"/>
      <c r="M53" s="6292"/>
      <c r="N53" s="6292"/>
      <c r="O53" s="6292"/>
      <c r="P53" s="6292"/>
      <c r="Q53" s="6292"/>
      <c r="R53" s="6292"/>
      <c r="S53" s="6292"/>
      <c r="T53" s="6292"/>
      <c r="U53" s="6292"/>
      <c r="V53" s="6292"/>
      <c r="W53" s="6292"/>
      <c r="X53" s="6292"/>
      <c r="Y53" s="6292"/>
      <c r="Z53" s="6292"/>
      <c r="AA53" s="6292"/>
      <c r="AB53" s="6292"/>
      <c r="AC53" s="6292"/>
      <c r="AD53" s="6292"/>
      <c r="AF53" s="1284"/>
      <c r="AG53" s="1760"/>
      <c r="AH53" s="1760"/>
      <c r="AI53" s="1284"/>
      <c r="AJ53" s="1284"/>
      <c r="AK53" s="1284"/>
      <c r="AL53" s="1284"/>
      <c r="AM53" s="1760"/>
      <c r="AN53" s="1284"/>
      <c r="AO53" s="1284"/>
      <c r="AP53" s="668"/>
      <c r="AQ53" s="1284"/>
      <c r="AR53" s="1284"/>
      <c r="AS53" s="1284"/>
      <c r="AT53" s="1284"/>
      <c r="AU53" s="1284"/>
      <c r="AV53" s="1756"/>
      <c r="AW53" s="690"/>
      <c r="AX53" s="690"/>
      <c r="AY53" s="690"/>
      <c r="AZ53" s="690"/>
      <c r="BA53" s="1765">
        <v>11</v>
      </c>
    </row>
    <row s="6292" customFormat="1" customHeight="1" ht="11.549999999999999">
      <c r="A54" s="1111"/>
      <c r="B54" s="1760"/>
      <c r="C54" s="1760"/>
      <c r="D54" s="475"/>
      <c r="J54" s="6292"/>
      <c r="K54" s="6292"/>
      <c r="L54" s="6292"/>
      <c r="M54" s="6292"/>
      <c r="N54" s="6292"/>
      <c r="O54" s="6292"/>
      <c r="P54" s="6292"/>
      <c r="Q54" s="6292"/>
      <c r="R54" s="6292"/>
      <c r="S54" s="6292"/>
      <c r="T54" s="6292"/>
      <c r="U54" s="6292"/>
      <c r="V54" s="6292"/>
      <c r="W54" s="6292"/>
      <c r="X54" s="6292"/>
      <c r="Y54" s="6292"/>
      <c r="Z54" s="6292"/>
      <c r="AA54" s="6292"/>
      <c r="AB54" s="6292"/>
      <c r="AC54" s="6292"/>
      <c r="AD54" s="6292"/>
      <c r="AF54" s="1284"/>
      <c r="AG54" s="1760"/>
      <c r="AH54" s="1760"/>
      <c r="AI54" s="1284"/>
      <c r="AJ54" s="1284"/>
      <c r="AK54" s="1284"/>
      <c r="AL54" s="1284"/>
      <c r="AM54" s="1760"/>
      <c r="AN54" s="1284"/>
      <c r="AO54" s="1284"/>
      <c r="AP54" s="668"/>
      <c r="AQ54" s="1284"/>
      <c r="AR54" s="1284"/>
      <c r="AS54" s="1284"/>
      <c r="AT54" s="1284"/>
      <c r="AU54" s="1284"/>
      <c r="AV54" s="1756"/>
      <c r="AW54" s="690"/>
      <c r="AX54" s="690"/>
      <c r="AY54" s="690"/>
      <c r="AZ54" s="690"/>
      <c r="BA54" s="1765">
        <v>11</v>
      </c>
    </row>
    <row s="6292" customFormat="1" customHeight="1" ht="11.549999999999999">
      <c r="A55" s="1111"/>
      <c r="B55" s="1760"/>
      <c r="C55" s="1760"/>
      <c r="D55" s="475"/>
      <c r="J55" s="6292"/>
      <c r="K55" s="6292"/>
      <c r="L55" s="6292"/>
      <c r="M55" s="6292"/>
      <c r="N55" s="6292"/>
      <c r="O55" s="6292"/>
      <c r="P55" s="6292"/>
      <c r="Q55" s="6292"/>
      <c r="R55" s="6292"/>
      <c r="S55" s="6292"/>
      <c r="T55" s="6292"/>
      <c r="U55" s="6292"/>
      <c r="V55" s="6292"/>
      <c r="W55" s="6292"/>
      <c r="X55" s="6292"/>
      <c r="Y55" s="6292"/>
      <c r="Z55" s="6292"/>
      <c r="AA55" s="6292"/>
      <c r="AB55" s="6292"/>
      <c r="AC55" s="6292"/>
      <c r="AD55" s="6292"/>
      <c r="AF55" s="1284"/>
      <c r="AG55" s="1760"/>
      <c r="AH55" s="1760"/>
      <c r="AI55" s="1284"/>
      <c r="AJ55" s="1284"/>
      <c r="AK55" s="1284"/>
      <c r="AL55" s="1284"/>
      <c r="AM55" s="1760"/>
      <c r="AN55" s="1284"/>
      <c r="AO55" s="1284"/>
      <c r="AP55" s="668"/>
      <c r="AQ55" s="1284"/>
      <c r="AR55" s="1284"/>
      <c r="AS55" s="1284"/>
      <c r="AT55" s="1284"/>
      <c r="AU55" s="1284"/>
      <c r="AV55" s="1756"/>
      <c r="AW55" s="690"/>
      <c r="AX55" s="690"/>
      <c r="AY55" s="690"/>
      <c r="AZ55" s="690"/>
      <c r="BA55" s="1765">
        <v>11</v>
      </c>
    </row>
    <row s="6292" customFormat="1" customHeight="1" ht="11.549999999999999">
      <c r="A56" s="1111"/>
      <c r="B56" s="1760"/>
      <c r="C56" s="1760"/>
      <c r="D56" s="475"/>
      <c r="J56" s="6292"/>
      <c r="K56" s="6292"/>
      <c r="L56" s="6292"/>
      <c r="M56" s="6292"/>
      <c r="N56" s="6292"/>
      <c r="O56" s="6292"/>
      <c r="P56" s="6292"/>
      <c r="Q56" s="6292"/>
      <c r="R56" s="6292"/>
      <c r="S56" s="6292"/>
      <c r="T56" s="6292"/>
      <c r="U56" s="6292"/>
      <c r="V56" s="6292"/>
      <c r="W56" s="6292"/>
      <c r="X56" s="6292"/>
      <c r="Y56" s="6292"/>
      <c r="Z56" s="6292"/>
      <c r="AA56" s="6292"/>
      <c r="AB56" s="6292"/>
      <c r="AC56" s="6292"/>
      <c r="AD56" s="6292"/>
      <c r="AF56" s="1284"/>
      <c r="AG56" s="1760"/>
      <c r="AH56" s="1760"/>
      <c r="AI56" s="1284"/>
      <c r="AJ56" s="1284"/>
      <c r="AK56" s="1284"/>
      <c r="AL56" s="1284"/>
      <c r="AM56" s="1760"/>
      <c r="AN56" s="1284"/>
      <c r="AO56" s="1284"/>
      <c r="AP56" s="668"/>
      <c r="AQ56" s="1284"/>
      <c r="AR56" s="1284"/>
      <c r="AS56" s="1284"/>
      <c r="AT56" s="1284"/>
      <c r="AU56" s="1284"/>
      <c r="AV56" s="1756"/>
      <c r="AW56" s="690"/>
      <c r="AX56" s="690"/>
      <c r="AY56" s="690"/>
      <c r="AZ56" s="690"/>
      <c r="BA56" s="1765">
        <v>11</v>
      </c>
    </row>
    <row s="6292" customFormat="1" customHeight="1" ht="11.549999999999999">
      <c r="A57" s="1111"/>
      <c r="B57" s="1760"/>
      <c r="C57" s="1760"/>
      <c r="D57" s="475"/>
      <c r="J57" s="6292"/>
      <c r="K57" s="6292"/>
      <c r="L57" s="6292"/>
      <c r="M57" s="6292"/>
      <c r="N57" s="6292"/>
      <c r="O57" s="6292"/>
      <c r="P57" s="6292"/>
      <c r="Q57" s="6292"/>
      <c r="R57" s="6292"/>
      <c r="S57" s="6292"/>
      <c r="T57" s="6292"/>
      <c r="U57" s="6292"/>
      <c r="V57" s="6292"/>
      <c r="W57" s="6292"/>
      <c r="X57" s="6292"/>
      <c r="Y57" s="6292"/>
      <c r="Z57" s="6292"/>
      <c r="AA57" s="6292"/>
      <c r="AB57" s="6292"/>
      <c r="AC57" s="6292"/>
      <c r="AD57" s="6292"/>
      <c r="AF57" s="1284"/>
      <c r="AG57" s="1760"/>
      <c r="AH57" s="1760"/>
      <c r="AI57" s="1284"/>
      <c r="AJ57" s="1284"/>
      <c r="AK57" s="1284"/>
      <c r="AL57" s="1284"/>
      <c r="AM57" s="1760"/>
      <c r="AN57" s="1284"/>
      <c r="AO57" s="1284"/>
      <c r="AP57" s="668"/>
      <c r="AQ57" s="1284"/>
      <c r="AR57" s="1284"/>
      <c r="AS57" s="1284"/>
      <c r="AT57" s="1284"/>
      <c r="AU57" s="1284"/>
      <c r="AV57" s="1756"/>
      <c r="AW57" s="690"/>
      <c r="AX57" s="690"/>
      <c r="AY57" s="690"/>
      <c r="AZ57" s="690"/>
      <c r="BA57" s="1765">
        <v>11</v>
      </c>
    </row>
    <row s="6292" customFormat="1" customHeight="1" ht="11.549999999999999">
      <c r="A58" s="1111"/>
      <c r="B58" s="1760"/>
      <c r="C58" s="1760"/>
      <c r="D58" s="475"/>
      <c r="J58" s="6292"/>
      <c r="K58" s="6292"/>
      <c r="L58" s="6292"/>
      <c r="M58" s="6292"/>
      <c r="N58" s="6292"/>
      <c r="O58" s="6292"/>
      <c r="P58" s="6292"/>
      <c r="Q58" s="6292"/>
      <c r="R58" s="6292"/>
      <c r="S58" s="6292"/>
      <c r="T58" s="6292"/>
      <c r="U58" s="6292"/>
      <c r="V58" s="6292"/>
      <c r="W58" s="6292"/>
      <c r="X58" s="6292"/>
      <c r="Y58" s="6292"/>
      <c r="Z58" s="6292"/>
      <c r="AA58" s="6292"/>
      <c r="AB58" s="6292"/>
      <c r="AC58" s="6292"/>
      <c r="AD58" s="6292"/>
      <c r="AF58" s="1284"/>
      <c r="AG58" s="1760"/>
      <c r="AH58" s="1760"/>
      <c r="AI58" s="1284"/>
      <c r="AJ58" s="1284"/>
      <c r="AK58" s="1284"/>
      <c r="AL58" s="1284"/>
      <c r="AM58" s="1760"/>
      <c r="AN58" s="1284"/>
      <c r="AO58" s="1284"/>
      <c r="AP58" s="668"/>
      <c r="AQ58" s="1284"/>
      <c r="AR58" s="1284"/>
      <c r="AS58" s="1284"/>
      <c r="AT58" s="1284"/>
      <c r="AU58" s="1284"/>
      <c r="AV58" s="1756"/>
      <c r="AW58" s="690"/>
      <c r="AX58" s="690"/>
      <c r="AY58" s="690"/>
      <c r="AZ58" s="690"/>
      <c r="BA58" s="1765">
        <v>11</v>
      </c>
    </row>
    <row s="6292" customFormat="1" customHeight="1" ht="11.549999999999999">
      <c r="A59" s="1111"/>
      <c r="B59" s="1760"/>
      <c r="C59" s="1760"/>
      <c r="D59" s="475"/>
      <c r="J59" s="6292"/>
      <c r="K59" s="6292"/>
      <c r="L59" s="6292"/>
      <c r="M59" s="6292"/>
      <c r="N59" s="6292"/>
      <c r="O59" s="6292"/>
      <c r="P59" s="6292"/>
      <c r="Q59" s="6292"/>
      <c r="R59" s="6292"/>
      <c r="S59" s="6292"/>
      <c r="T59" s="6292"/>
      <c r="U59" s="6292"/>
      <c r="V59" s="6292"/>
      <c r="W59" s="6292"/>
      <c r="X59" s="6292"/>
      <c r="Y59" s="6292"/>
      <c r="Z59" s="6292"/>
      <c r="AA59" s="6292"/>
      <c r="AB59" s="6292"/>
      <c r="AC59" s="6292"/>
      <c r="AD59" s="6292"/>
      <c r="AF59" s="1284"/>
      <c r="AG59" s="1760"/>
      <c r="AH59" s="1760"/>
      <c r="AI59" s="1284"/>
      <c r="AJ59" s="1284"/>
      <c r="AK59" s="1284"/>
      <c r="AL59" s="1284"/>
      <c r="AM59" s="1760"/>
      <c r="AN59" s="1284"/>
      <c r="AO59" s="1284"/>
      <c r="AP59" s="668"/>
      <c r="AQ59" s="1284"/>
      <c r="AR59" s="1284"/>
      <c r="AS59" s="1284"/>
      <c r="AT59" s="1284"/>
      <c r="AU59" s="1284"/>
      <c r="AV59" s="1756"/>
      <c r="AW59" s="690"/>
      <c r="AX59" s="690"/>
      <c r="AY59" s="690"/>
      <c r="AZ59" s="690"/>
      <c r="BA59" s="1765">
        <v>11</v>
      </c>
    </row>
    <row s="6292" customFormat="1" customHeight="1" ht="11.549999999999999">
      <c r="A60" s="1111"/>
      <c r="B60" s="1760"/>
      <c r="C60" s="1760"/>
      <c r="D60" s="475"/>
      <c r="J60" s="6292"/>
      <c r="K60" s="6292"/>
      <c r="L60" s="6292"/>
      <c r="M60" s="6292"/>
      <c r="N60" s="6292"/>
      <c r="O60" s="6292"/>
      <c r="P60" s="6292"/>
      <c r="Q60" s="6292"/>
      <c r="R60" s="6292"/>
      <c r="S60" s="6292"/>
      <c r="T60" s="6292"/>
      <c r="U60" s="6292"/>
      <c r="V60" s="6292"/>
      <c r="W60" s="6292"/>
      <c r="X60" s="6292"/>
      <c r="Y60" s="6292"/>
      <c r="Z60" s="6292"/>
      <c r="AA60" s="6292"/>
      <c r="AB60" s="6292"/>
      <c r="AC60" s="6292"/>
      <c r="AD60" s="6292"/>
      <c r="AF60" s="1284"/>
      <c r="AG60" s="1760"/>
      <c r="AH60" s="1760"/>
      <c r="AI60" s="1284"/>
      <c r="AJ60" s="1284"/>
      <c r="AK60" s="1284"/>
      <c r="AL60" s="1284"/>
      <c r="AM60" s="1760"/>
      <c r="AN60" s="1284"/>
      <c r="AO60" s="1284"/>
      <c r="AP60" s="668"/>
      <c r="AQ60" s="1284"/>
      <c r="AR60" s="1284"/>
      <c r="AS60" s="1284"/>
      <c r="AT60" s="1284"/>
      <c r="AU60" s="1284"/>
      <c r="AV60" s="1756"/>
      <c r="AW60" s="690"/>
      <c r="AX60" s="690"/>
      <c r="AY60" s="690"/>
      <c r="AZ60" s="690"/>
      <c r="BA60" s="1765">
        <v>11</v>
      </c>
    </row>
    <row s="6292" customFormat="1" customHeight="1" ht="11.549999999999999">
      <c r="A61" s="1111"/>
      <c r="B61" s="1760"/>
      <c r="C61" s="1760"/>
      <c r="D61" s="475"/>
      <c r="J61" s="6292"/>
      <c r="K61" s="6292"/>
      <c r="L61" s="6292"/>
      <c r="M61" s="6292"/>
      <c r="N61" s="6292"/>
      <c r="O61" s="6292"/>
      <c r="P61" s="6292"/>
      <c r="Q61" s="6292"/>
      <c r="R61" s="6292"/>
      <c r="S61" s="6292"/>
      <c r="T61" s="6292"/>
      <c r="U61" s="6292"/>
      <c r="V61" s="6292"/>
      <c r="W61" s="6292"/>
      <c r="X61" s="6292"/>
      <c r="Y61" s="6292"/>
      <c r="Z61" s="6292"/>
      <c r="AA61" s="6292"/>
      <c r="AB61" s="6292"/>
      <c r="AC61" s="6292"/>
      <c r="AD61" s="6292"/>
      <c r="AF61" s="1284"/>
      <c r="AG61" s="1760"/>
      <c r="AH61" s="1760"/>
      <c r="AI61" s="1284"/>
      <c r="AJ61" s="1284"/>
      <c r="AK61" s="1284"/>
      <c r="AL61" s="1284"/>
      <c r="AM61" s="1760"/>
      <c r="AN61" s="1284"/>
      <c r="AO61" s="1284"/>
      <c r="AP61" s="668"/>
      <c r="AQ61" s="1284"/>
      <c r="AR61" s="1284"/>
      <c r="AS61" s="1284"/>
      <c r="AT61" s="1284"/>
      <c r="AU61" s="1284"/>
      <c r="AV61" s="1756"/>
      <c r="AW61" s="690"/>
      <c r="AX61" s="690"/>
      <c r="AY61" s="690"/>
      <c r="AZ61" s="690"/>
      <c r="BA61" s="1765">
        <v>11</v>
      </c>
    </row>
    <row s="6292" customFormat="1" customHeight="1" ht="11.549999999999999">
      <c r="A62" s="1111"/>
      <c r="B62" s="1760"/>
      <c r="C62" s="1760"/>
      <c r="D62" s="475"/>
      <c r="J62" s="6292"/>
      <c r="K62" s="6292"/>
      <c r="L62" s="6292"/>
      <c r="M62" s="6292"/>
      <c r="N62" s="6292"/>
      <c r="O62" s="6292"/>
      <c r="P62" s="6292"/>
      <c r="Q62" s="6292"/>
      <c r="R62" s="6292"/>
      <c r="S62" s="6292"/>
      <c r="T62" s="6292"/>
      <c r="U62" s="6292"/>
      <c r="V62" s="6292"/>
      <c r="W62" s="6292"/>
      <c r="X62" s="6292"/>
      <c r="Y62" s="6292"/>
      <c r="Z62" s="6292"/>
      <c r="AA62" s="6292"/>
      <c r="AB62" s="6292"/>
      <c r="AC62" s="6292"/>
      <c r="AD62" s="6292"/>
      <c r="AF62" s="1284"/>
      <c r="AG62" s="1760"/>
      <c r="AH62" s="1760"/>
      <c r="AI62" s="1284"/>
      <c r="AJ62" s="1284"/>
      <c r="AK62" s="1284"/>
      <c r="AL62" s="1284"/>
      <c r="AM62" s="1760"/>
      <c r="AN62" s="1284"/>
      <c r="AO62" s="1284"/>
      <c r="AP62" s="668"/>
      <c r="AQ62" s="1284"/>
      <c r="AR62" s="1284"/>
      <c r="AS62" s="1284"/>
      <c r="AT62" s="1284"/>
      <c r="AU62" s="1284"/>
      <c r="AV62" s="1756"/>
      <c r="AW62" s="690"/>
      <c r="AX62" s="690"/>
      <c r="AY62" s="690"/>
      <c r="AZ62" s="690"/>
      <c r="BA62" s="1765">
        <v>11</v>
      </c>
    </row>
    <row s="6292" customFormat="1" customHeight="1" ht="11.549999999999999">
      <c r="A63" s="1111"/>
      <c r="B63" s="1760"/>
      <c r="C63" s="1760"/>
      <c r="D63" s="475"/>
      <c r="J63" s="6292"/>
      <c r="K63" s="6292"/>
      <c r="L63" s="6292"/>
      <c r="M63" s="6292"/>
      <c r="N63" s="6292"/>
      <c r="O63" s="6292"/>
      <c r="P63" s="6292"/>
      <c r="Q63" s="6292"/>
      <c r="R63" s="6292"/>
      <c r="S63" s="6292"/>
      <c r="T63" s="6292"/>
      <c r="U63" s="6292"/>
      <c r="V63" s="6292"/>
      <c r="W63" s="6292"/>
      <c r="X63" s="6292"/>
      <c r="Y63" s="6292"/>
      <c r="Z63" s="6292"/>
      <c r="AA63" s="6292"/>
      <c r="AB63" s="6292"/>
      <c r="AC63" s="6292"/>
      <c r="AD63" s="6292"/>
      <c r="AF63" s="1284"/>
      <c r="AG63" s="1760"/>
      <c r="AH63" s="1760"/>
      <c r="AI63" s="1284"/>
      <c r="AJ63" s="1284"/>
      <c r="AK63" s="1284"/>
      <c r="AL63" s="1284"/>
      <c r="AM63" s="1760"/>
      <c r="AN63" s="1284"/>
      <c r="AO63" s="1284"/>
      <c r="AP63" s="668"/>
      <c r="AQ63" s="1284"/>
      <c r="AR63" s="1284"/>
      <c r="AS63" s="1284"/>
      <c r="AT63" s="1284"/>
      <c r="AU63" s="1284"/>
      <c r="AV63" s="1756"/>
      <c r="AW63" s="690"/>
      <c r="AX63" s="690"/>
      <c r="AY63" s="690"/>
      <c r="AZ63" s="690"/>
      <c r="BA63" s="1765">
        <v>11</v>
      </c>
    </row>
    <row s="6292" customFormat="1" customHeight="1" ht="11.549999999999999">
      <c r="A64" s="1111"/>
      <c r="B64" s="1760"/>
      <c r="C64" s="1760"/>
      <c r="D64" s="475"/>
      <c r="J64" s="6292"/>
      <c r="K64" s="6292"/>
      <c r="L64" s="6292"/>
      <c r="M64" s="6292"/>
      <c r="N64" s="6292"/>
      <c r="O64" s="6292"/>
      <c r="P64" s="6292"/>
      <c r="Q64" s="6292"/>
      <c r="R64" s="6292"/>
      <c r="S64" s="6292"/>
      <c r="T64" s="6292"/>
      <c r="U64" s="6292"/>
      <c r="V64" s="6292"/>
      <c r="W64" s="6292"/>
      <c r="X64" s="6292"/>
      <c r="Y64" s="6292"/>
      <c r="Z64" s="6292"/>
      <c r="AA64" s="6292"/>
      <c r="AB64" s="6292"/>
      <c r="AC64" s="6292"/>
      <c r="AD64" s="6292"/>
      <c r="AF64" s="1284"/>
      <c r="AG64" s="1760"/>
      <c r="AH64" s="1760"/>
      <c r="AI64" s="1284"/>
      <c r="AJ64" s="1284"/>
      <c r="AK64" s="1284"/>
      <c r="AL64" s="1284"/>
      <c r="AM64" s="1760"/>
      <c r="AN64" s="1284"/>
      <c r="AO64" s="1284"/>
      <c r="AP64" s="668"/>
      <c r="AQ64" s="1284"/>
      <c r="AR64" s="1284"/>
      <c r="AS64" s="1284"/>
      <c r="AT64" s="1284"/>
      <c r="AU64" s="1284"/>
      <c r="AV64" s="1756"/>
      <c r="AW64" s="690"/>
      <c r="AX64" s="690"/>
      <c r="AY64" s="690"/>
      <c r="AZ64" s="690"/>
      <c r="BA64" s="1765">
        <v>11</v>
      </c>
    </row>
    <row s="6292" customFormat="1" customHeight="1" ht="11.549999999999999">
      <c r="A65" s="1111"/>
      <c r="B65" s="1760"/>
      <c r="C65" s="1760"/>
      <c r="D65" s="475"/>
      <c r="J65" s="6292"/>
      <c r="K65" s="6292"/>
      <c r="L65" s="6292"/>
      <c r="M65" s="6292"/>
      <c r="N65" s="6292"/>
      <c r="O65" s="6292"/>
      <c r="P65" s="6292"/>
      <c r="Q65" s="6292"/>
      <c r="R65" s="6292"/>
      <c r="S65" s="6292"/>
      <c r="T65" s="6292"/>
      <c r="U65" s="6292"/>
      <c r="V65" s="6292"/>
      <c r="W65" s="6292"/>
      <c r="X65" s="6292"/>
      <c r="Y65" s="6292"/>
      <c r="Z65" s="6292"/>
      <c r="AA65" s="6292"/>
      <c r="AB65" s="6292"/>
      <c r="AC65" s="6292"/>
      <c r="AD65" s="6292"/>
      <c r="AF65" s="1284"/>
      <c r="AG65" s="1760"/>
      <c r="AH65" s="1760"/>
      <c r="AI65" s="1284"/>
      <c r="AJ65" s="1284"/>
      <c r="AK65" s="1284"/>
      <c r="AL65" s="1284"/>
      <c r="AM65" s="1760"/>
      <c r="AN65" s="1284"/>
      <c r="AO65" s="1284"/>
      <c r="AP65" s="668"/>
      <c r="AQ65" s="1284"/>
      <c r="AR65" s="1284"/>
      <c r="AS65" s="1284"/>
      <c r="AT65" s="1284"/>
      <c r="AU65" s="1284"/>
      <c r="AV65" s="1756"/>
      <c r="AW65" s="690"/>
      <c r="AX65" s="690"/>
      <c r="AY65" s="690"/>
      <c r="AZ65" s="690"/>
      <c r="BA65" s="1765">
        <v>11</v>
      </c>
    </row>
    <row s="6292" customFormat="1" customHeight="1" ht="11.549999999999999">
      <c r="A66" s="1111"/>
      <c r="B66" s="1760"/>
      <c r="C66" s="1760"/>
      <c r="D66" s="475"/>
      <c r="J66" s="6292"/>
      <c r="K66" s="6292"/>
      <c r="L66" s="6292"/>
      <c r="M66" s="6292"/>
      <c r="N66" s="6292"/>
      <c r="O66" s="6292"/>
      <c r="P66" s="6292"/>
      <c r="Q66" s="6292"/>
      <c r="R66" s="6292"/>
      <c r="S66" s="6292"/>
      <c r="T66" s="6292"/>
      <c r="U66" s="6292"/>
      <c r="V66" s="6292"/>
      <c r="W66" s="6292"/>
      <c r="X66" s="6292"/>
      <c r="Y66" s="6292"/>
      <c r="Z66" s="6292"/>
      <c r="AA66" s="6292"/>
      <c r="AB66" s="6292"/>
      <c r="AC66" s="6292"/>
      <c r="AD66" s="6292"/>
      <c r="AF66" s="1284"/>
      <c r="AG66" s="1760"/>
      <c r="AH66" s="1760"/>
      <c r="AI66" s="1284"/>
      <c r="AJ66" s="1284"/>
      <c r="AK66" s="1284"/>
      <c r="AL66" s="1284"/>
      <c r="AM66" s="1760"/>
      <c r="AN66" s="1284"/>
      <c r="AO66" s="1284"/>
      <c r="AP66" s="668"/>
      <c r="AQ66" s="1284"/>
      <c r="AR66" s="1284"/>
      <c r="AS66" s="1284"/>
      <c r="AT66" s="1284"/>
      <c r="AU66" s="1284"/>
      <c r="AV66" s="1756"/>
      <c r="AW66" s="690"/>
      <c r="AX66" s="690"/>
      <c r="AY66" s="690"/>
      <c r="AZ66" s="690"/>
      <c r="BA66" s="1765">
        <v>11</v>
      </c>
    </row>
    <row s="6292" customFormat="1" customHeight="1" ht="11.549999999999999">
      <c r="A67" s="1111"/>
      <c r="B67" s="1760"/>
      <c r="C67" s="1760"/>
      <c r="D67" s="475"/>
      <c r="J67" s="6292"/>
      <c r="K67" s="6292"/>
      <c r="L67" s="6292"/>
      <c r="M67" s="6292"/>
      <c r="N67" s="6292"/>
      <c r="O67" s="6292"/>
      <c r="P67" s="6292"/>
      <c r="Q67" s="6292"/>
      <c r="R67" s="6292"/>
      <c r="S67" s="6292"/>
      <c r="T67" s="6292"/>
      <c r="U67" s="6292"/>
      <c r="V67" s="6292"/>
      <c r="W67" s="6292"/>
      <c r="X67" s="6292"/>
      <c r="Y67" s="6292"/>
      <c r="Z67" s="6292"/>
      <c r="AA67" s="6292"/>
      <c r="AB67" s="6292"/>
      <c r="AC67" s="6292"/>
      <c r="AD67" s="6292"/>
      <c r="AF67" s="1284"/>
      <c r="AG67" s="1760"/>
      <c r="AH67" s="1760"/>
      <c r="AI67" s="1284"/>
      <c r="AJ67" s="1284"/>
      <c r="AK67" s="1284"/>
      <c r="AL67" s="1284"/>
      <c r="AM67" s="1760"/>
      <c r="AN67" s="1284"/>
      <c r="AO67" s="1284"/>
      <c r="AP67" s="668"/>
      <c r="AQ67" s="1284"/>
      <c r="AR67" s="1284"/>
      <c r="AS67" s="1284"/>
      <c r="AT67" s="1284"/>
      <c r="AU67" s="1284"/>
      <c r="AV67" s="1756"/>
      <c r="AW67" s="690"/>
      <c r="AX67" s="690"/>
      <c r="AY67" s="690"/>
      <c r="AZ67" s="690"/>
      <c r="BA67" s="1765">
        <v>11</v>
      </c>
    </row>
    <row s="6292" customFormat="1" customHeight="1" ht="11.549999999999999">
      <c r="A68" s="1111"/>
      <c r="B68" s="1760"/>
      <c r="C68" s="1760"/>
      <c r="D68" s="475"/>
      <c r="J68" s="6292"/>
      <c r="K68" s="6292"/>
      <c r="L68" s="6292"/>
      <c r="M68" s="6292"/>
      <c r="N68" s="6292"/>
      <c r="O68" s="6292"/>
      <c r="P68" s="6292"/>
      <c r="Q68" s="6292"/>
      <c r="R68" s="6292"/>
      <c r="S68" s="6292"/>
      <c r="T68" s="6292"/>
      <c r="U68" s="6292"/>
      <c r="V68" s="6292"/>
      <c r="W68" s="6292"/>
      <c r="X68" s="6292"/>
      <c r="Y68" s="6292"/>
      <c r="Z68" s="6292"/>
      <c r="AA68" s="6292"/>
      <c r="AB68" s="6292"/>
      <c r="AC68" s="6292"/>
      <c r="AD68" s="6292"/>
      <c r="AF68" s="1284"/>
      <c r="AG68" s="1760"/>
      <c r="AH68" s="1760"/>
      <c r="AI68" s="1284"/>
      <c r="AJ68" s="1284"/>
      <c r="AK68" s="1284"/>
      <c r="AL68" s="1284"/>
      <c r="AM68" s="1760"/>
      <c r="AN68" s="1284"/>
      <c r="AO68" s="1284"/>
      <c r="AP68" s="668"/>
      <c r="AQ68" s="1284"/>
      <c r="AR68" s="1284"/>
      <c r="AS68" s="1284"/>
      <c r="AT68" s="1284"/>
      <c r="AU68" s="1284"/>
      <c r="AV68" s="1756"/>
      <c r="AW68" s="690"/>
      <c r="AX68" s="690"/>
      <c r="AY68" s="690"/>
      <c r="AZ68" s="690"/>
      <c r="BA68" s="1765">
        <v>11</v>
      </c>
    </row>
    <row s="6292" customFormat="1" customHeight="1" ht="11.549999999999999">
      <c r="A69" s="1111"/>
      <c r="B69" s="1760"/>
      <c r="C69" s="1760"/>
      <c r="D69" s="475"/>
      <c r="J69" s="6292"/>
      <c r="K69" s="6292"/>
      <c r="L69" s="6292"/>
      <c r="M69" s="6292"/>
      <c r="N69" s="6292"/>
      <c r="O69" s="6292"/>
      <c r="P69" s="6292"/>
      <c r="Q69" s="6292"/>
      <c r="R69" s="6292"/>
      <c r="S69" s="6292"/>
      <c r="T69" s="6292"/>
      <c r="U69" s="6292"/>
      <c r="V69" s="6292"/>
      <c r="W69" s="6292"/>
      <c r="X69" s="6292"/>
      <c r="Y69" s="6292"/>
      <c r="Z69" s="6292"/>
      <c r="AA69" s="6292"/>
      <c r="AB69" s="6292"/>
      <c r="AC69" s="6292"/>
      <c r="AD69" s="6292"/>
      <c r="AF69" s="1284"/>
      <c r="AG69" s="1760"/>
      <c r="AH69" s="1760"/>
      <c r="AI69" s="1284"/>
      <c r="AJ69" s="1284"/>
      <c r="AK69" s="1284"/>
      <c r="AL69" s="1284"/>
      <c r="AM69" s="1760"/>
      <c r="AN69" s="1284"/>
      <c r="AO69" s="1284"/>
      <c r="AP69" s="668"/>
      <c r="AQ69" s="1284"/>
      <c r="AR69" s="1284"/>
      <c r="AS69" s="1284"/>
      <c r="AT69" s="1284"/>
      <c r="AU69" s="1284"/>
      <c r="AV69" s="1756"/>
      <c r="AW69" s="690"/>
      <c r="AX69" s="690"/>
      <c r="AY69" s="690"/>
      <c r="AZ69" s="690"/>
      <c r="BA69" s="1765">
        <v>11</v>
      </c>
    </row>
    <row s="6292" customFormat="1" customHeight="1" ht="11.549999999999999">
      <c r="A70" s="1111"/>
      <c r="B70" s="1760"/>
      <c r="C70" s="1760"/>
      <c r="D70" s="475"/>
      <c r="J70" s="6292"/>
      <c r="K70" s="6292"/>
      <c r="L70" s="6292"/>
      <c r="M70" s="6292"/>
      <c r="N70" s="6292"/>
      <c r="O70" s="6292"/>
      <c r="P70" s="6292"/>
      <c r="Q70" s="6292"/>
      <c r="R70" s="6292"/>
      <c r="S70" s="6292"/>
      <c r="T70" s="6292"/>
      <c r="U70" s="6292"/>
      <c r="V70" s="6292"/>
      <c r="W70" s="6292"/>
      <c r="X70" s="6292"/>
      <c r="Y70" s="6292"/>
      <c r="Z70" s="6292"/>
      <c r="AA70" s="6292"/>
      <c r="AB70" s="6292"/>
      <c r="AC70" s="6292"/>
      <c r="AD70" s="6292"/>
      <c r="AF70" s="1284"/>
      <c r="AG70" s="1760"/>
      <c r="AH70" s="1760"/>
      <c r="AI70" s="1284"/>
      <c r="AJ70" s="1284"/>
      <c r="AK70" s="1284"/>
      <c r="AL70" s="1284"/>
      <c r="AM70" s="1760"/>
      <c r="AN70" s="1284"/>
      <c r="AO70" s="1284"/>
      <c r="AP70" s="668"/>
      <c r="AQ70" s="1284"/>
      <c r="AR70" s="1284"/>
      <c r="AS70" s="1284"/>
      <c r="AT70" s="1284"/>
      <c r="AU70" s="1284"/>
      <c r="AV70" s="1756"/>
      <c r="AW70" s="690"/>
      <c r="AX70" s="690"/>
      <c r="AY70" s="690"/>
      <c r="AZ70" s="690"/>
      <c r="BA70" s="1765">
        <v>11</v>
      </c>
    </row>
    <row s="6292" customFormat="1" customHeight="1" ht="11.549999999999999">
      <c r="A71" s="1111"/>
      <c r="B71" s="1760"/>
      <c r="C71" s="1760"/>
      <c r="D71" s="475"/>
      <c r="J71" s="6292"/>
      <c r="K71" s="6292"/>
      <c r="L71" s="6292"/>
      <c r="M71" s="6292"/>
      <c r="N71" s="6292"/>
      <c r="O71" s="6292"/>
      <c r="P71" s="6292"/>
      <c r="Q71" s="6292"/>
      <c r="R71" s="6292"/>
      <c r="S71" s="6292"/>
      <c r="T71" s="6292"/>
      <c r="U71" s="6292"/>
      <c r="V71" s="6292"/>
      <c r="W71" s="6292"/>
      <c r="X71" s="6292"/>
      <c r="Y71" s="6292"/>
      <c r="Z71" s="6292"/>
      <c r="AA71" s="6292"/>
      <c r="AB71" s="6292"/>
      <c r="AC71" s="6292"/>
      <c r="AD71" s="6292"/>
      <c r="AF71" s="1284"/>
      <c r="AG71" s="1760"/>
      <c r="AH71" s="1760"/>
      <c r="AI71" s="1284"/>
      <c r="AJ71" s="1284"/>
      <c r="AK71" s="1284"/>
      <c r="AL71" s="1284"/>
      <c r="AM71" s="1760"/>
      <c r="AN71" s="1284"/>
      <c r="AO71" s="1284"/>
      <c r="AP71" s="668"/>
      <c r="AQ71" s="1284"/>
      <c r="AR71" s="1284"/>
      <c r="AS71" s="1284"/>
      <c r="AT71" s="1284"/>
      <c r="AU71" s="1284"/>
      <c r="AV71" s="1756"/>
      <c r="AW71" s="690"/>
      <c r="AX71" s="690"/>
      <c r="AY71" s="690"/>
      <c r="AZ71" s="690"/>
      <c r="BA71" s="1765">
        <v>11</v>
      </c>
    </row>
    <row s="6292" customFormat="1" customHeight="1" ht="11.549999999999999">
      <c r="A72" s="1111"/>
      <c r="B72" s="1760"/>
      <c r="C72" s="1760"/>
      <c r="D72" s="475"/>
      <c r="J72" s="6292"/>
      <c r="K72" s="6292"/>
      <c r="L72" s="6292"/>
      <c r="M72" s="6292"/>
      <c r="N72" s="6292"/>
      <c r="O72" s="6292"/>
      <c r="P72" s="6292"/>
      <c r="Q72" s="6292"/>
      <c r="R72" s="6292"/>
      <c r="S72" s="6292"/>
      <c r="T72" s="6292"/>
      <c r="U72" s="6292"/>
      <c r="V72" s="6292"/>
      <c r="W72" s="6292"/>
      <c r="X72" s="6292"/>
      <c r="Y72" s="6292"/>
      <c r="Z72" s="6292"/>
      <c r="AA72" s="6292"/>
      <c r="AB72" s="6292"/>
      <c r="AC72" s="6292"/>
      <c r="AD72" s="6292"/>
      <c r="AF72" s="1284"/>
      <c r="AG72" s="1760"/>
      <c r="AH72" s="1760"/>
      <c r="AI72" s="1284"/>
      <c r="AJ72" s="1284"/>
      <c r="AK72" s="1284"/>
      <c r="AL72" s="1284"/>
      <c r="AM72" s="1760"/>
      <c r="AN72" s="1284"/>
      <c r="AO72" s="1284"/>
      <c r="AP72" s="668"/>
      <c r="AQ72" s="1284"/>
      <c r="AR72" s="1284"/>
      <c r="AS72" s="1284"/>
      <c r="AT72" s="1284"/>
      <c r="AU72" s="1284"/>
      <c r="AV72" s="1756"/>
      <c r="AW72" s="690"/>
      <c r="AX72" s="690"/>
      <c r="AY72" s="690"/>
      <c r="AZ72" s="690"/>
      <c r="BA72" s="1765">
        <v>11</v>
      </c>
    </row>
    <row s="6292" customFormat="1" customHeight="1" ht="11.549999999999999">
      <c r="A73" s="1111"/>
      <c r="B73" s="1760"/>
      <c r="C73" s="1760"/>
      <c r="D73" s="475"/>
      <c r="J73" s="6292"/>
      <c r="K73" s="6292"/>
      <c r="L73" s="6292"/>
      <c r="M73" s="6292"/>
      <c r="N73" s="6292"/>
      <c r="O73" s="6292"/>
      <c r="P73" s="6292"/>
      <c r="Q73" s="6292"/>
      <c r="R73" s="6292"/>
      <c r="S73" s="6292"/>
      <c r="T73" s="6292"/>
      <c r="U73" s="6292"/>
      <c r="V73" s="6292"/>
      <c r="W73" s="6292"/>
      <c r="X73" s="6292"/>
      <c r="Y73" s="6292"/>
      <c r="Z73" s="6292"/>
      <c r="AA73" s="6292"/>
      <c r="AB73" s="6292"/>
      <c r="AC73" s="6292"/>
      <c r="AD73" s="6292"/>
      <c r="AF73" s="1284"/>
      <c r="AG73" s="1760"/>
      <c r="AH73" s="1760"/>
      <c r="AI73" s="1284"/>
      <c r="AJ73" s="1284"/>
      <c r="AK73" s="1284"/>
      <c r="AL73" s="1284"/>
      <c r="AM73" s="1760"/>
      <c r="AN73" s="1284"/>
      <c r="AO73" s="1284"/>
      <c r="AP73" s="668"/>
      <c r="AQ73" s="1284"/>
      <c r="AR73" s="1284"/>
      <c r="AS73" s="1284"/>
      <c r="AT73" s="1284"/>
      <c r="AU73" s="1284"/>
      <c r="AV73" s="1756"/>
      <c r="AW73" s="690"/>
      <c r="AX73" s="690"/>
      <c r="AY73" s="690"/>
      <c r="AZ73" s="690"/>
      <c r="BA73" s="1765">
        <v>11</v>
      </c>
    </row>
    <row s="6292" customFormat="1" customHeight="1" ht="11.549999999999999">
      <c r="A74" s="1111"/>
      <c r="B74" s="1760"/>
      <c r="C74" s="1760"/>
      <c r="D74" s="475"/>
      <c r="J74" s="6292"/>
      <c r="K74" s="6292"/>
      <c r="L74" s="6292"/>
      <c r="M74" s="6292"/>
      <c r="N74" s="6292"/>
      <c r="O74" s="6292"/>
      <c r="P74" s="6292"/>
      <c r="Q74" s="6292"/>
      <c r="R74" s="6292"/>
      <c r="S74" s="6292"/>
      <c r="T74" s="6292"/>
      <c r="U74" s="6292"/>
      <c r="V74" s="6292"/>
      <c r="W74" s="6292"/>
      <c r="X74" s="6292"/>
      <c r="Y74" s="6292"/>
      <c r="Z74" s="6292"/>
      <c r="AA74" s="6292"/>
      <c r="AB74" s="6292"/>
      <c r="AC74" s="6292"/>
      <c r="AD74" s="6292"/>
      <c r="AF74" s="1284"/>
      <c r="AG74" s="1760"/>
      <c r="AH74" s="1760"/>
      <c r="AI74" s="1284"/>
      <c r="AJ74" s="1284"/>
      <c r="AK74" s="1284"/>
      <c r="AL74" s="1284"/>
      <c r="AM74" s="1760"/>
      <c r="AN74" s="1284"/>
      <c r="AO74" s="1284"/>
      <c r="AP74" s="668"/>
      <c r="AQ74" s="1284"/>
      <c r="AR74" s="1284"/>
      <c r="AS74" s="1284"/>
      <c r="AT74" s="1284"/>
      <c r="AU74" s="1284"/>
      <c r="AV74" s="1756"/>
      <c r="AW74" s="690"/>
      <c r="AX74" s="690"/>
      <c r="AY74" s="690"/>
      <c r="AZ74" s="690"/>
      <c r="BA74" s="1765">
        <v>11</v>
      </c>
    </row>
    <row s="6292" customFormat="1" customHeight="1" ht="11.549999999999999">
      <c r="A75" s="1111"/>
      <c r="B75" s="1760"/>
      <c r="C75" s="1760"/>
      <c r="D75" s="475"/>
      <c r="J75" s="6292"/>
      <c r="K75" s="6292"/>
      <c r="L75" s="6292"/>
      <c r="M75" s="6292"/>
      <c r="N75" s="6292"/>
      <c r="O75" s="6292"/>
      <c r="P75" s="6292"/>
      <c r="Q75" s="6292"/>
      <c r="R75" s="6292"/>
      <c r="S75" s="6292"/>
      <c r="T75" s="6292"/>
      <c r="U75" s="6292"/>
      <c r="V75" s="6292"/>
      <c r="W75" s="6292"/>
      <c r="X75" s="6292"/>
      <c r="Y75" s="6292"/>
      <c r="Z75" s="6292"/>
      <c r="AA75" s="6292"/>
      <c r="AB75" s="6292"/>
      <c r="AC75" s="6292"/>
      <c r="AD75" s="6292"/>
      <c r="AF75" s="1284"/>
      <c r="AG75" s="1760"/>
      <c r="AH75" s="1760"/>
      <c r="AI75" s="1284"/>
      <c r="AJ75" s="1284"/>
      <c r="AK75" s="1284"/>
      <c r="AL75" s="1284"/>
      <c r="AM75" s="1760"/>
      <c r="AN75" s="1284"/>
      <c r="AO75" s="1284"/>
      <c r="AP75" s="668"/>
      <c r="AQ75" s="1284"/>
      <c r="AR75" s="1284"/>
      <c r="AS75" s="1284"/>
      <c r="AT75" s="1284"/>
      <c r="AU75" s="1284"/>
      <c r="AV75" s="1756"/>
      <c r="AW75" s="690"/>
      <c r="AX75" s="690"/>
      <c r="AY75" s="690"/>
      <c r="AZ75" s="690"/>
      <c r="BA75" s="1765">
        <v>11</v>
      </c>
    </row>
    <row s="6292" customFormat="1" customHeight="1" ht="11.549999999999999">
      <c r="A76" s="1111"/>
      <c r="B76" s="1760"/>
      <c r="C76" s="1760"/>
      <c r="D76" s="475"/>
      <c r="J76" s="6292"/>
      <c r="K76" s="6292"/>
      <c r="L76" s="6292"/>
      <c r="M76" s="6292"/>
      <c r="N76" s="6292"/>
      <c r="O76" s="6292"/>
      <c r="P76" s="6292"/>
      <c r="Q76" s="6292"/>
      <c r="R76" s="6292"/>
      <c r="S76" s="6292"/>
      <c r="T76" s="6292"/>
      <c r="U76" s="6292"/>
      <c r="V76" s="6292"/>
      <c r="W76" s="6292"/>
      <c r="X76" s="6292"/>
      <c r="Y76" s="6292"/>
      <c r="Z76" s="6292"/>
      <c r="AA76" s="6292"/>
      <c r="AB76" s="6292"/>
      <c r="AC76" s="6292"/>
      <c r="AD76" s="6292"/>
      <c r="AF76" s="1284"/>
      <c r="AG76" s="1760"/>
      <c r="AH76" s="1760"/>
      <c r="AI76" s="1284"/>
      <c r="AJ76" s="1284"/>
      <c r="AK76" s="1284"/>
      <c r="AL76" s="1284"/>
      <c r="AM76" s="1760"/>
      <c r="AN76" s="1284"/>
      <c r="AO76" s="1284"/>
      <c r="AP76" s="668"/>
      <c r="AQ76" s="1284"/>
      <c r="AR76" s="1284"/>
      <c r="AS76" s="1284"/>
      <c r="AT76" s="1284"/>
      <c r="AU76" s="1284"/>
      <c r="AV76" s="1756"/>
      <c r="AW76" s="690"/>
      <c r="AX76" s="690"/>
      <c r="AY76" s="690"/>
      <c r="AZ76" s="690"/>
      <c r="BA76" s="1765">
        <v>11</v>
      </c>
    </row>
    <row s="6292" customFormat="1" customHeight="1" ht="11.549999999999999">
      <c r="A77" s="1111"/>
      <c r="B77" s="1760"/>
      <c r="C77" s="1760"/>
      <c r="D77" s="475"/>
      <c r="J77" s="6292"/>
      <c r="K77" s="6292"/>
      <c r="L77" s="6292"/>
      <c r="M77" s="6292"/>
      <c r="N77" s="6292"/>
      <c r="O77" s="6292"/>
      <c r="P77" s="6292"/>
      <c r="Q77" s="6292"/>
      <c r="R77" s="6292"/>
      <c r="S77" s="6292"/>
      <c r="T77" s="6292"/>
      <c r="U77" s="6292"/>
      <c r="V77" s="6292"/>
      <c r="W77" s="6292"/>
      <c r="X77" s="6292"/>
      <c r="Y77" s="6292"/>
      <c r="Z77" s="6292"/>
      <c r="AA77" s="6292"/>
      <c r="AB77" s="6292"/>
      <c r="AC77" s="6292"/>
      <c r="AD77" s="6292"/>
      <c r="AF77" s="1284"/>
      <c r="AG77" s="1760"/>
      <c r="AH77" s="1760"/>
      <c r="AI77" s="1284"/>
      <c r="AJ77" s="1284"/>
      <c r="AK77" s="1284"/>
      <c r="AL77" s="1284"/>
      <c r="AM77" s="1760"/>
      <c r="AN77" s="1284"/>
      <c r="AO77" s="1284"/>
      <c r="AP77" s="668"/>
      <c r="AQ77" s="1284"/>
      <c r="AR77" s="1284"/>
      <c r="AS77" s="1284"/>
      <c r="AT77" s="1284"/>
      <c r="AU77" s="1284"/>
      <c r="AV77" s="1756"/>
      <c r="AW77" s="690"/>
      <c r="AX77" s="690"/>
      <c r="AY77" s="690"/>
      <c r="AZ77" s="690"/>
      <c r="BA77" s="1765">
        <v>11</v>
      </c>
    </row>
    <row s="6292" customFormat="1" customHeight="1" ht="11.549999999999999">
      <c r="A78" s="1111"/>
      <c r="B78" s="1760"/>
      <c r="C78" s="1760"/>
      <c r="D78" s="475"/>
      <c r="J78" s="6292"/>
      <c r="K78" s="6292"/>
      <c r="L78" s="6292"/>
      <c r="M78" s="6292"/>
      <c r="N78" s="6292"/>
      <c r="O78" s="6292"/>
      <c r="P78" s="6292"/>
      <c r="Q78" s="6292"/>
      <c r="R78" s="6292"/>
      <c r="S78" s="6292"/>
      <c r="T78" s="6292"/>
      <c r="U78" s="6292"/>
      <c r="V78" s="6292"/>
      <c r="W78" s="6292"/>
      <c r="X78" s="6292"/>
      <c r="Y78" s="6292"/>
      <c r="Z78" s="6292"/>
      <c r="AA78" s="6292"/>
      <c r="AB78" s="6292"/>
      <c r="AC78" s="6292"/>
      <c r="AD78" s="6292"/>
      <c r="AF78" s="1284"/>
      <c r="AG78" s="1760"/>
      <c r="AH78" s="1760"/>
      <c r="AI78" s="1284"/>
      <c r="AJ78" s="1284"/>
      <c r="AK78" s="1284"/>
      <c r="AL78" s="1284"/>
      <c r="AM78" s="1760"/>
      <c r="AN78" s="1284"/>
      <c r="AO78" s="1284"/>
      <c r="AP78" s="668"/>
      <c r="AQ78" s="1284"/>
      <c r="AR78" s="1284"/>
      <c r="AS78" s="1284"/>
      <c r="AT78" s="1284"/>
      <c r="AU78" s="1284"/>
      <c r="AV78" s="1756"/>
      <c r="AW78" s="690"/>
      <c r="AX78" s="690"/>
      <c r="AY78" s="690"/>
      <c r="AZ78" s="690"/>
      <c r="BA78" s="1765">
        <v>11</v>
      </c>
    </row>
    <row s="6292" customFormat="1" customHeight="1" ht="11.549999999999999">
      <c r="A79" s="1111"/>
      <c r="B79" s="1760"/>
      <c r="C79" s="1760"/>
      <c r="D79" s="475"/>
      <c r="J79" s="6292"/>
      <c r="K79" s="6292"/>
      <c r="L79" s="6292"/>
      <c r="M79" s="6292"/>
      <c r="N79" s="6292"/>
      <c r="O79" s="6292"/>
      <c r="P79" s="6292"/>
      <c r="Q79" s="6292"/>
      <c r="R79" s="6292"/>
      <c r="S79" s="6292"/>
      <c r="T79" s="6292"/>
      <c r="U79" s="6292"/>
      <c r="V79" s="6292"/>
      <c r="W79" s="6292"/>
      <c r="X79" s="6292"/>
      <c r="Y79" s="6292"/>
      <c r="Z79" s="6292"/>
      <c r="AA79" s="6292"/>
      <c r="AB79" s="6292"/>
      <c r="AC79" s="6292"/>
      <c r="AD79" s="6292"/>
      <c r="AF79" s="1284"/>
      <c r="AG79" s="1760"/>
      <c r="AH79" s="1760"/>
      <c r="AI79" s="1284"/>
      <c r="AJ79" s="1284"/>
      <c r="AK79" s="1284"/>
      <c r="AL79" s="1284"/>
      <c r="AM79" s="1760"/>
      <c r="AN79" s="1284"/>
      <c r="AO79" s="1284"/>
      <c r="AP79" s="668"/>
      <c r="AQ79" s="1284"/>
      <c r="AR79" s="1284"/>
      <c r="AS79" s="1284"/>
      <c r="AT79" s="1284"/>
      <c r="AU79" s="1284"/>
      <c r="AV79" s="1756"/>
      <c r="AW79" s="690"/>
      <c r="AX79" s="690"/>
      <c r="AY79" s="690"/>
      <c r="AZ79" s="690"/>
      <c r="BA79" s="1765">
        <v>11</v>
      </c>
    </row>
    <row s="6292" customFormat="1" customHeight="1" ht="11.549999999999999">
      <c r="A80" s="1111"/>
      <c r="B80" s="1760"/>
      <c r="C80" s="1760"/>
      <c r="D80" s="475"/>
      <c r="J80" s="6292"/>
      <c r="K80" s="6292"/>
      <c r="L80" s="6292"/>
      <c r="M80" s="6292"/>
      <c r="N80" s="6292"/>
      <c r="O80" s="6292"/>
      <c r="P80" s="6292"/>
      <c r="Q80" s="6292"/>
      <c r="R80" s="6292"/>
      <c r="S80" s="6292"/>
      <c r="T80" s="6292"/>
      <c r="U80" s="6292"/>
      <c r="V80" s="6292"/>
      <c r="W80" s="6292"/>
      <c r="X80" s="6292"/>
      <c r="Y80" s="6292"/>
      <c r="Z80" s="6292"/>
      <c r="AA80" s="6292"/>
      <c r="AB80" s="6292"/>
      <c r="AC80" s="6292"/>
      <c r="AD80" s="6292"/>
      <c r="AF80" s="1284"/>
      <c r="AG80" s="1760"/>
      <c r="AH80" s="1760"/>
      <c r="AI80" s="1284"/>
      <c r="AJ80" s="1284"/>
      <c r="AK80" s="1284"/>
      <c r="AL80" s="1284"/>
      <c r="AM80" s="1760"/>
      <c r="AN80" s="1284"/>
      <c r="AO80" s="1284"/>
      <c r="AP80" s="668"/>
      <c r="AQ80" s="1284"/>
      <c r="AR80" s="1284"/>
      <c r="AS80" s="1284"/>
      <c r="AT80" s="1284"/>
      <c r="AU80" s="1284"/>
      <c r="AV80" s="1756"/>
      <c r="AW80" s="690"/>
      <c r="AX80" s="690"/>
      <c r="AY80" s="690"/>
      <c r="AZ80" s="690"/>
      <c r="BA80" s="1765">
        <v>11</v>
      </c>
    </row>
    <row s="6292" customFormat="1" customHeight="1" ht="11.549999999999999">
      <c r="A81" s="1111"/>
      <c r="B81" s="1760"/>
      <c r="C81" s="1760"/>
      <c r="D81" s="475"/>
      <c r="J81" s="6292"/>
      <c r="K81" s="6292"/>
      <c r="L81" s="6292"/>
      <c r="M81" s="6292"/>
      <c r="N81" s="6292"/>
      <c r="O81" s="6292"/>
      <c r="P81" s="6292"/>
      <c r="Q81" s="6292"/>
      <c r="R81" s="6292"/>
      <c r="S81" s="6292"/>
      <c r="T81" s="6292"/>
      <c r="U81" s="6292"/>
      <c r="V81" s="6292"/>
      <c r="W81" s="6292"/>
      <c r="X81" s="6292"/>
      <c r="Y81" s="6292"/>
      <c r="Z81" s="6292"/>
      <c r="AA81" s="6292"/>
      <c r="AB81" s="6292"/>
      <c r="AC81" s="6292"/>
      <c r="AD81" s="6292"/>
      <c r="AF81" s="1284"/>
      <c r="AG81" s="1760"/>
      <c r="AH81" s="1760"/>
      <c r="AI81" s="1284"/>
      <c r="AJ81" s="1284"/>
      <c r="AK81" s="1284"/>
      <c r="AL81" s="1284"/>
      <c r="AM81" s="1760"/>
      <c r="AN81" s="1284"/>
      <c r="AO81" s="1284"/>
      <c r="AP81" s="668"/>
      <c r="AQ81" s="1284"/>
      <c r="AR81" s="1284"/>
      <c r="AS81" s="1284"/>
      <c r="AT81" s="1284"/>
      <c r="AU81" s="1284"/>
      <c r="AV81" s="1756"/>
      <c r="AW81" s="690"/>
      <c r="AX81" s="690"/>
      <c r="AY81" s="690"/>
      <c r="AZ81" s="690"/>
      <c r="BA81" s="1765">
        <v>11</v>
      </c>
    </row>
    <row s="6292" customFormat="1" customHeight="1" ht="11.549999999999999">
      <c r="A82" s="1111"/>
      <c r="B82" s="1760"/>
      <c r="C82" s="1760"/>
      <c r="D82" s="475"/>
      <c r="J82" s="6292"/>
      <c r="K82" s="6292"/>
      <c r="L82" s="6292"/>
      <c r="M82" s="6292"/>
      <c r="N82" s="6292"/>
      <c r="O82" s="6292"/>
      <c r="P82" s="6292"/>
      <c r="Q82" s="6292"/>
      <c r="R82" s="6292"/>
      <c r="S82" s="6292"/>
      <c r="T82" s="6292"/>
      <c r="U82" s="6292"/>
      <c r="V82" s="6292"/>
      <c r="W82" s="6292"/>
      <c r="X82" s="6292"/>
      <c r="Y82" s="6292"/>
      <c r="Z82" s="6292"/>
      <c r="AA82" s="6292"/>
      <c r="AB82" s="6292"/>
      <c r="AC82" s="6292"/>
      <c r="AD82" s="6292"/>
      <c r="AF82" s="1284"/>
      <c r="AG82" s="1760"/>
      <c r="AH82" s="1760"/>
      <c r="AI82" s="1284"/>
      <c r="AJ82" s="1284"/>
      <c r="AK82" s="1284"/>
      <c r="AL82" s="1284"/>
      <c r="AM82" s="1760"/>
      <c r="AN82" s="1284"/>
      <c r="AO82" s="1284"/>
      <c r="AP82" s="668"/>
      <c r="AQ82" s="1284"/>
      <c r="AR82" s="1284"/>
      <c r="AS82" s="1284"/>
      <c r="AT82" s="1284"/>
      <c r="AU82" s="1284"/>
      <c r="AV82" s="1756"/>
      <c r="AW82" s="690"/>
      <c r="AX82" s="690"/>
      <c r="AY82" s="690"/>
      <c r="AZ82" s="690"/>
      <c r="BA82" s="1765">
        <v>11</v>
      </c>
    </row>
    <row s="6292" customFormat="1" customHeight="1" ht="11.549999999999999">
      <c r="A83" s="1111"/>
      <c r="B83" s="1760"/>
      <c r="C83" s="1760"/>
      <c r="D83" s="475"/>
      <c r="J83" s="6292"/>
      <c r="K83" s="6292"/>
      <c r="L83" s="6292"/>
      <c r="M83" s="6292"/>
      <c r="N83" s="6292"/>
      <c r="O83" s="6292"/>
      <c r="P83" s="6292"/>
      <c r="Q83" s="6292"/>
      <c r="R83" s="6292"/>
      <c r="S83" s="6292"/>
      <c r="T83" s="6292"/>
      <c r="U83" s="6292"/>
      <c r="V83" s="6292"/>
      <c r="W83" s="6292"/>
      <c r="X83" s="6292"/>
      <c r="Y83" s="6292"/>
      <c r="Z83" s="6292"/>
      <c r="AA83" s="6292"/>
      <c r="AB83" s="6292"/>
      <c r="AC83" s="6292"/>
      <c r="AD83" s="6292"/>
      <c r="AF83" s="1284"/>
      <c r="AG83" s="1760"/>
      <c r="AH83" s="1760"/>
      <c r="AI83" s="1284"/>
      <c r="AJ83" s="1284"/>
      <c r="AK83" s="1284"/>
      <c r="AL83" s="1284"/>
      <c r="AM83" s="1760"/>
      <c r="AN83" s="1284"/>
      <c r="AO83" s="1284"/>
      <c r="AP83" s="668"/>
      <c r="AQ83" s="1284"/>
      <c r="AR83" s="1284"/>
      <c r="AS83" s="1284"/>
      <c r="AT83" s="1284"/>
      <c r="AU83" s="1284"/>
      <c r="AV83" s="1756"/>
      <c r="AW83" s="690"/>
      <c r="AX83" s="690"/>
      <c r="AY83" s="690"/>
      <c r="AZ83" s="690"/>
      <c r="BA83" s="1765">
        <v>11</v>
      </c>
    </row>
    <row s="6292" customFormat="1" customHeight="1" ht="11.549999999999999">
      <c r="A84" s="1111"/>
      <c r="B84" s="1760"/>
      <c r="C84" s="1760"/>
      <c r="D84" s="475"/>
      <c r="J84" s="6292"/>
      <c r="K84" s="6292"/>
      <c r="L84" s="6292"/>
      <c r="M84" s="6292"/>
      <c r="N84" s="6292"/>
      <c r="O84" s="6292"/>
      <c r="P84" s="6292"/>
      <c r="Q84" s="6292"/>
      <c r="R84" s="6292"/>
      <c r="S84" s="6292"/>
      <c r="T84" s="6292"/>
      <c r="U84" s="6292"/>
      <c r="V84" s="6292"/>
      <c r="W84" s="6292"/>
      <c r="X84" s="6292"/>
      <c r="Y84" s="6292"/>
      <c r="Z84" s="6292"/>
      <c r="AA84" s="6292"/>
      <c r="AB84" s="6292"/>
      <c r="AC84" s="6292"/>
      <c r="AD84" s="6292"/>
      <c r="AF84" s="1284"/>
      <c r="AG84" s="1760"/>
      <c r="AH84" s="1760"/>
      <c r="AI84" s="1284"/>
      <c r="AJ84" s="1284"/>
      <c r="AK84" s="1284"/>
      <c r="AL84" s="1284"/>
      <c r="AM84" s="1760"/>
      <c r="AN84" s="1284"/>
      <c r="AO84" s="1284"/>
      <c r="AP84" s="668"/>
      <c r="AQ84" s="1284"/>
      <c r="AR84" s="1284"/>
      <c r="AS84" s="1284"/>
      <c r="AT84" s="1284"/>
      <c r="AU84" s="1284"/>
      <c r="AV84" s="1756"/>
      <c r="AW84" s="690"/>
      <c r="AX84" s="690"/>
      <c r="AY84" s="690"/>
      <c r="AZ84" s="690"/>
      <c r="BA84" s="1765">
        <v>11</v>
      </c>
    </row>
    <row s="6292" customFormat="1" customHeight="1" ht="11.549999999999999">
      <c r="A85" s="1111"/>
      <c r="B85" s="1760"/>
      <c r="C85" s="1760"/>
      <c r="D85" s="475"/>
      <c r="J85" s="6292"/>
      <c r="K85" s="6292"/>
      <c r="L85" s="6292"/>
      <c r="M85" s="6292"/>
      <c r="N85" s="6292"/>
      <c r="O85" s="6292"/>
      <c r="P85" s="6292"/>
      <c r="Q85" s="6292"/>
      <c r="R85" s="6292"/>
      <c r="S85" s="6292"/>
      <c r="T85" s="6292"/>
      <c r="U85" s="6292"/>
      <c r="V85" s="6292"/>
      <c r="W85" s="6292"/>
      <c r="X85" s="6292"/>
      <c r="Y85" s="6292"/>
      <c r="Z85" s="6292"/>
      <c r="AA85" s="6292"/>
      <c r="AB85" s="6292"/>
      <c r="AC85" s="6292"/>
      <c r="AD85" s="6292"/>
      <c r="AF85" s="1284"/>
      <c r="AG85" s="1760"/>
      <c r="AH85" s="1760"/>
      <c r="AI85" s="1284"/>
      <c r="AJ85" s="1284"/>
      <c r="AK85" s="1284"/>
      <c r="AL85" s="1284"/>
      <c r="AM85" s="1760"/>
      <c r="AN85" s="1284"/>
      <c r="AO85" s="1284"/>
      <c r="AP85" s="668"/>
      <c r="AQ85" s="1284"/>
      <c r="AR85" s="1284"/>
      <c r="AS85" s="1284"/>
      <c r="AT85" s="1284"/>
      <c r="AU85" s="1284"/>
      <c r="AV85" s="1756"/>
      <c r="AW85" s="690"/>
      <c r="AX85" s="690"/>
      <c r="AY85" s="690"/>
      <c r="AZ85" s="690"/>
      <c r="BA85" s="1765">
        <v>11</v>
      </c>
    </row>
    <row s="6292" customFormat="1" customHeight="1" ht="11.549999999999999">
      <c r="A86" s="1111"/>
      <c r="B86" s="1760"/>
      <c r="C86" s="1760"/>
      <c r="D86" s="475"/>
      <c r="J86" s="6292"/>
      <c r="K86" s="6292"/>
      <c r="L86" s="6292"/>
      <c r="M86" s="6292"/>
      <c r="N86" s="6292"/>
      <c r="O86" s="6292"/>
      <c r="P86" s="6292"/>
      <c r="Q86" s="6292"/>
      <c r="R86" s="6292"/>
      <c r="S86" s="6292"/>
      <c r="T86" s="6292"/>
      <c r="U86" s="6292"/>
      <c r="V86" s="6292"/>
      <c r="W86" s="6292"/>
      <c r="X86" s="6292"/>
      <c r="Y86" s="6292"/>
      <c r="Z86" s="6292"/>
      <c r="AA86" s="6292"/>
      <c r="AB86" s="6292"/>
      <c r="AC86" s="6292"/>
      <c r="AD86" s="6292"/>
      <c r="AF86" s="1284"/>
      <c r="AG86" s="1760"/>
      <c r="AH86" s="1760"/>
      <c r="AI86" s="1284"/>
      <c r="AJ86" s="1284"/>
      <c r="AK86" s="1284"/>
      <c r="AL86" s="1284"/>
      <c r="AM86" s="1760"/>
      <c r="AN86" s="1284"/>
      <c r="AO86" s="1284"/>
      <c r="AP86" s="668"/>
      <c r="AQ86" s="1284"/>
      <c r="AR86" s="1284"/>
      <c r="AS86" s="1284"/>
      <c r="AT86" s="1284"/>
      <c r="AU86" s="1284"/>
      <c r="AV86" s="1756"/>
      <c r="AW86" s="690"/>
      <c r="AX86" s="690"/>
      <c r="AY86" s="690"/>
      <c r="AZ86" s="690"/>
      <c r="BA86" s="1765">
        <v>11</v>
      </c>
    </row>
    <row s="6292" customFormat="1" customHeight="1" ht="11.549999999999999">
      <c r="A87" s="1111"/>
      <c r="B87" s="1760"/>
      <c r="C87" s="1760"/>
      <c r="D87" s="475"/>
      <c r="J87" s="6292"/>
      <c r="K87" s="6292"/>
      <c r="L87" s="6292"/>
      <c r="M87" s="6292"/>
      <c r="N87" s="6292"/>
      <c r="O87" s="6292"/>
      <c r="P87" s="6292"/>
      <c r="Q87" s="6292"/>
      <c r="R87" s="6292"/>
      <c r="S87" s="6292"/>
      <c r="T87" s="6292"/>
      <c r="U87" s="6292"/>
      <c r="V87" s="6292"/>
      <c r="W87" s="6292"/>
      <c r="X87" s="6292"/>
      <c r="Y87" s="6292"/>
      <c r="Z87" s="6292"/>
      <c r="AA87" s="6292"/>
      <c r="AB87" s="6292"/>
      <c r="AC87" s="6292"/>
      <c r="AD87" s="6292"/>
      <c r="AF87" s="1284"/>
      <c r="AG87" s="1760"/>
      <c r="AH87" s="1760"/>
      <c r="AI87" s="1284"/>
      <c r="AJ87" s="1284"/>
      <c r="AK87" s="1284"/>
      <c r="AL87" s="1284"/>
      <c r="AM87" s="1760"/>
      <c r="AN87" s="1284"/>
      <c r="AO87" s="1284"/>
      <c r="AP87" s="668"/>
      <c r="AQ87" s="1284"/>
      <c r="AR87" s="1284"/>
      <c r="AS87" s="1284"/>
      <c r="AT87" s="1284"/>
      <c r="AU87" s="1284"/>
      <c r="AV87" s="1756"/>
      <c r="AW87" s="690"/>
      <c r="AX87" s="690"/>
      <c r="AY87" s="690"/>
      <c r="AZ87" s="690"/>
      <c r="BA87" s="1765">
        <v>11</v>
      </c>
    </row>
    <row s="6292" customFormat="1" customHeight="1" ht="11.549999999999999">
      <c r="A88" s="1111"/>
      <c r="B88" s="1760"/>
      <c r="C88" s="1760"/>
      <c r="D88" s="475"/>
      <c r="J88" s="6292"/>
      <c r="K88" s="6292"/>
      <c r="L88" s="6292"/>
      <c r="M88" s="6292"/>
      <c r="N88" s="6292"/>
      <c r="O88" s="6292"/>
      <c r="P88" s="6292"/>
      <c r="Q88" s="6292"/>
      <c r="R88" s="6292"/>
      <c r="S88" s="6292"/>
      <c r="T88" s="6292"/>
      <c r="U88" s="6292"/>
      <c r="V88" s="6292"/>
      <c r="W88" s="6292"/>
      <c r="X88" s="6292"/>
      <c r="Y88" s="6292"/>
      <c r="Z88" s="6292"/>
      <c r="AA88" s="6292"/>
      <c r="AB88" s="6292"/>
      <c r="AC88" s="6292"/>
      <c r="AD88" s="6292"/>
      <c r="AF88" s="1284"/>
      <c r="AG88" s="1760"/>
      <c r="AH88" s="1760"/>
      <c r="AI88" s="1284"/>
      <c r="AJ88" s="1284"/>
      <c r="AK88" s="1284"/>
      <c r="AL88" s="1284"/>
      <c r="AM88" s="1760"/>
      <c r="AN88" s="1284"/>
      <c r="AO88" s="1284"/>
      <c r="AP88" s="668"/>
      <c r="AQ88" s="1284"/>
      <c r="AR88" s="1284"/>
      <c r="AS88" s="1284"/>
      <c r="AT88" s="1284"/>
      <c r="AU88" s="1284"/>
      <c r="AV88" s="1756"/>
      <c r="AW88" s="690"/>
      <c r="AX88" s="690"/>
      <c r="AY88" s="690"/>
      <c r="AZ88" s="690"/>
      <c r="BA88" s="1765">
        <v>11</v>
      </c>
    </row>
    <row s="6292" customFormat="1" customHeight="1" ht="11.549999999999999">
      <c r="A89" s="1111"/>
      <c r="B89" s="1760"/>
      <c r="C89" s="1760"/>
      <c r="D89" s="475"/>
      <c r="J89" s="6292"/>
      <c r="K89" s="6292"/>
      <c r="L89" s="6292"/>
      <c r="M89" s="6292"/>
      <c r="N89" s="6292"/>
      <c r="O89" s="6292"/>
      <c r="P89" s="6292"/>
      <c r="Q89" s="6292"/>
      <c r="R89" s="6292"/>
      <c r="S89" s="6292"/>
      <c r="T89" s="6292"/>
      <c r="U89" s="6292"/>
      <c r="V89" s="6292"/>
      <c r="W89" s="6292"/>
      <c r="X89" s="6292"/>
      <c r="Y89" s="6292"/>
      <c r="Z89" s="6292"/>
      <c r="AA89" s="6292"/>
      <c r="AB89" s="6292"/>
      <c r="AC89" s="6292"/>
      <c r="AD89" s="6292"/>
      <c r="AF89" s="1284"/>
      <c r="AG89" s="1760"/>
      <c r="AH89" s="1760"/>
      <c r="AI89" s="1284"/>
      <c r="AJ89" s="1284"/>
      <c r="AK89" s="1284"/>
      <c r="AL89" s="1284"/>
      <c r="AM89" s="1760"/>
      <c r="AN89" s="1284"/>
      <c r="AO89" s="1284"/>
      <c r="AP89" s="668"/>
      <c r="AQ89" s="1284"/>
      <c r="AR89" s="1284"/>
      <c r="AS89" s="1284"/>
      <c r="AT89" s="1284"/>
      <c r="AU89" s="1284"/>
      <c r="AV89" s="1756"/>
      <c r="AW89" s="690"/>
      <c r="AX89" s="690"/>
      <c r="AY89" s="690"/>
      <c r="AZ89" s="690"/>
      <c r="BA89" s="1765">
        <v>11</v>
      </c>
    </row>
    <row s="6292" customFormat="1" customHeight="1" ht="11.549999999999999">
      <c r="A90" s="1111"/>
      <c r="B90" s="1760"/>
      <c r="C90" s="1760"/>
      <c r="D90" s="475"/>
      <c r="J90" s="6292"/>
      <c r="K90" s="6292"/>
      <c r="L90" s="6292"/>
      <c r="M90" s="6292"/>
      <c r="N90" s="6292"/>
      <c r="O90" s="6292"/>
      <c r="P90" s="6292"/>
      <c r="Q90" s="6292"/>
      <c r="R90" s="6292"/>
      <c r="S90" s="6292"/>
      <c r="T90" s="6292"/>
      <c r="U90" s="6292"/>
      <c r="V90" s="6292"/>
      <c r="W90" s="6292"/>
      <c r="X90" s="6292"/>
      <c r="Y90" s="6292"/>
      <c r="Z90" s="6292"/>
      <c r="AA90" s="6292"/>
      <c r="AB90" s="6292"/>
      <c r="AC90" s="6292"/>
      <c r="AD90" s="6292"/>
      <c r="AF90" s="1284"/>
      <c r="AG90" s="1760"/>
      <c r="AH90" s="1760"/>
      <c r="AI90" s="1284"/>
      <c r="AJ90" s="1284"/>
      <c r="AK90" s="1284"/>
      <c r="AL90" s="1284"/>
      <c r="AM90" s="1760"/>
      <c r="AN90" s="1284"/>
      <c r="AO90" s="1284"/>
      <c r="AP90" s="668"/>
      <c r="AQ90" s="1284"/>
      <c r="AR90" s="1284"/>
      <c r="AS90" s="1284"/>
      <c r="AT90" s="1284"/>
      <c r="AU90" s="1284"/>
      <c r="AV90" s="1756"/>
      <c r="AW90" s="690"/>
      <c r="AX90" s="690"/>
      <c r="AY90" s="690"/>
      <c r="AZ90" s="690"/>
      <c r="BA90" s="1765">
        <v>11</v>
      </c>
    </row>
    <row s="6292" customFormat="1" customHeight="1" ht="11.549999999999999">
      <c r="A91" s="1111"/>
      <c r="B91" s="1760"/>
      <c r="C91" s="1760"/>
      <c r="D91" s="475"/>
      <c r="J91" s="6292"/>
      <c r="K91" s="6292"/>
      <c r="L91" s="6292"/>
      <c r="M91" s="6292"/>
      <c r="N91" s="6292"/>
      <c r="O91" s="6292"/>
      <c r="P91" s="6292"/>
      <c r="Q91" s="6292"/>
      <c r="R91" s="6292"/>
      <c r="S91" s="6292"/>
      <c r="T91" s="6292"/>
      <c r="U91" s="6292"/>
      <c r="V91" s="6292"/>
      <c r="W91" s="6292"/>
      <c r="X91" s="6292"/>
      <c r="Y91" s="6292"/>
      <c r="Z91" s="6292"/>
      <c r="AA91" s="6292"/>
      <c r="AB91" s="6292"/>
      <c r="AC91" s="6292"/>
      <c r="AD91" s="6292"/>
      <c r="AF91" s="1284"/>
      <c r="AG91" s="1760"/>
      <c r="AH91" s="1760"/>
      <c r="AI91" s="1284"/>
      <c r="AJ91" s="1284"/>
      <c r="AK91" s="1284"/>
      <c r="AL91" s="1284"/>
      <c r="AM91" s="1760"/>
      <c r="AN91" s="1284"/>
      <c r="AO91" s="1284"/>
      <c r="AP91" s="668"/>
      <c r="AQ91" s="1284"/>
      <c r="AR91" s="1284"/>
      <c r="AS91" s="1284"/>
      <c r="AT91" s="1284"/>
      <c r="AU91" s="1284"/>
      <c r="AV91" s="1756"/>
      <c r="AW91" s="690"/>
      <c r="AX91" s="690"/>
      <c r="AY91" s="690"/>
      <c r="AZ91" s="690"/>
      <c r="BA91" s="1765">
        <v>11</v>
      </c>
    </row>
    <row s="6292" customFormat="1" customHeight="1" ht="11.549999999999999">
      <c r="A92" s="1111"/>
      <c r="B92" s="1760"/>
      <c r="C92" s="1760"/>
      <c r="D92" s="475"/>
      <c r="J92" s="6292"/>
      <c r="K92" s="6292"/>
      <c r="L92" s="6292"/>
      <c r="M92" s="6292"/>
      <c r="N92" s="6292"/>
      <c r="O92" s="6292"/>
      <c r="P92" s="6292"/>
      <c r="Q92" s="6292"/>
      <c r="R92" s="6292"/>
      <c r="S92" s="6292"/>
      <c r="T92" s="6292"/>
      <c r="U92" s="6292"/>
      <c r="V92" s="6292"/>
      <c r="W92" s="6292"/>
      <c r="X92" s="6292"/>
      <c r="Y92" s="6292"/>
      <c r="Z92" s="6292"/>
      <c r="AA92" s="6292"/>
      <c r="AB92" s="6292"/>
      <c r="AC92" s="6292"/>
      <c r="AD92" s="6292"/>
      <c r="AF92" s="1284"/>
      <c r="AG92" s="1760"/>
      <c r="AH92" s="1760"/>
      <c r="AI92" s="1284"/>
      <c r="AJ92" s="1284"/>
      <c r="AK92" s="1284"/>
      <c r="AL92" s="1284"/>
      <c r="AM92" s="1760"/>
      <c r="AN92" s="1284"/>
      <c r="AO92" s="1284"/>
      <c r="AP92" s="668"/>
      <c r="AQ92" s="1284"/>
      <c r="AR92" s="1284"/>
      <c r="AS92" s="1284"/>
      <c r="AT92" s="1284"/>
      <c r="AU92" s="1284"/>
      <c r="AV92" s="1756"/>
      <c r="AW92" s="690"/>
      <c r="AX92" s="690"/>
      <c r="AY92" s="690"/>
      <c r="AZ92" s="690"/>
      <c r="BA92" s="1765">
        <v>11</v>
      </c>
    </row>
    <row s="6292" customFormat="1" customHeight="1" ht="11.549999999999999">
      <c r="A93" s="1111"/>
      <c r="B93" s="1760"/>
      <c r="C93" s="1760"/>
      <c r="D93" s="475"/>
      <c r="J93" s="6292"/>
      <c r="K93" s="6292"/>
      <c r="L93" s="6292"/>
      <c r="M93" s="6292"/>
      <c r="N93" s="6292"/>
      <c r="O93" s="6292"/>
      <c r="P93" s="6292"/>
      <c r="Q93" s="6292"/>
      <c r="R93" s="6292"/>
      <c r="S93" s="6292"/>
      <c r="T93" s="6292"/>
      <c r="U93" s="6292"/>
      <c r="V93" s="6292"/>
      <c r="W93" s="6292"/>
      <c r="X93" s="6292"/>
      <c r="Y93" s="6292"/>
      <c r="Z93" s="6292"/>
      <c r="AA93" s="6292"/>
      <c r="AB93" s="6292"/>
      <c r="AC93" s="6292"/>
      <c r="AD93" s="6292"/>
      <c r="AF93" s="1284"/>
      <c r="AG93" s="1760"/>
      <c r="AH93" s="1760"/>
      <c r="AI93" s="1284"/>
      <c r="AJ93" s="1284"/>
      <c r="AK93" s="1284"/>
      <c r="AL93" s="1284"/>
      <c r="AM93" s="1760"/>
      <c r="AN93" s="1284"/>
      <c r="AO93" s="1284"/>
      <c r="AP93" s="668"/>
      <c r="AQ93" s="1284"/>
      <c r="AR93" s="1284"/>
      <c r="AS93" s="1284"/>
      <c r="AT93" s="1284"/>
      <c r="AU93" s="1284"/>
      <c r="AV93" s="1756"/>
      <c r="AW93" s="690"/>
      <c r="AX93" s="690"/>
      <c r="AY93" s="690"/>
      <c r="AZ93" s="690"/>
      <c r="BA93" s="1765">
        <v>11</v>
      </c>
    </row>
    <row s="6292" customFormat="1" customHeight="1" ht="11.549999999999999">
      <c r="A94" s="1111"/>
      <c r="B94" s="1760"/>
      <c r="C94" s="1760"/>
      <c r="D94" s="475"/>
      <c r="J94" s="6292"/>
      <c r="K94" s="6292"/>
      <c r="L94" s="6292"/>
      <c r="M94" s="6292"/>
      <c r="N94" s="6292"/>
      <c r="O94" s="6292"/>
      <c r="P94" s="6292"/>
      <c r="Q94" s="6292"/>
      <c r="R94" s="6292"/>
      <c r="S94" s="6292"/>
      <c r="T94" s="6292"/>
      <c r="U94" s="6292"/>
      <c r="V94" s="6292"/>
      <c r="W94" s="6292"/>
      <c r="X94" s="6292"/>
      <c r="Y94" s="6292"/>
      <c r="Z94" s="6292"/>
      <c r="AA94" s="6292"/>
      <c r="AB94" s="6292"/>
      <c r="AC94" s="6292"/>
      <c r="AD94" s="6292"/>
      <c r="AF94" s="1284"/>
      <c r="AG94" s="1760"/>
      <c r="AH94" s="1760"/>
      <c r="AI94" s="1284"/>
      <c r="AJ94" s="1284"/>
      <c r="AK94" s="1284"/>
      <c r="AL94" s="1284"/>
      <c r="AM94" s="1760"/>
      <c r="AN94" s="1284"/>
      <c r="AO94" s="1284"/>
      <c r="AP94" s="668"/>
      <c r="AQ94" s="1284"/>
      <c r="AR94" s="1284"/>
      <c r="AS94" s="1284"/>
      <c r="AT94" s="1284"/>
      <c r="AU94" s="1284"/>
      <c r="AV94" s="1756"/>
      <c r="AW94" s="690"/>
      <c r="AX94" s="690"/>
      <c r="AY94" s="690"/>
      <c r="AZ94" s="690"/>
      <c r="BA94" s="1765">
        <v>11</v>
      </c>
    </row>
    <row s="6292" customFormat="1" customHeight="1" ht="11.549999999999999">
      <c r="A95" s="1111"/>
      <c r="B95" s="1760"/>
      <c r="C95" s="1760"/>
      <c r="D95" s="475"/>
      <c r="J95" s="6292"/>
      <c r="K95" s="6292"/>
      <c r="L95" s="6292"/>
      <c r="M95" s="6292"/>
      <c r="N95" s="6292"/>
      <c r="O95" s="6292"/>
      <c r="P95" s="6292"/>
      <c r="Q95" s="6292"/>
      <c r="R95" s="6292"/>
      <c r="S95" s="6292"/>
      <c r="T95" s="6292"/>
      <c r="U95" s="6292"/>
      <c r="V95" s="6292"/>
      <c r="W95" s="6292"/>
      <c r="X95" s="6292"/>
      <c r="Y95" s="6292"/>
      <c r="Z95" s="6292"/>
      <c r="AA95" s="6292"/>
      <c r="AB95" s="6292"/>
      <c r="AC95" s="6292"/>
      <c r="AD95" s="6292"/>
      <c r="AF95" s="1284"/>
      <c r="AG95" s="1760"/>
      <c r="AH95" s="1760"/>
      <c r="AI95" s="1284"/>
      <c r="AJ95" s="1284"/>
      <c r="AK95" s="1284"/>
      <c r="AL95" s="1284"/>
      <c r="AM95" s="1760"/>
      <c r="AN95" s="1284"/>
      <c r="AO95" s="1284"/>
      <c r="AP95" s="668"/>
      <c r="AQ95" s="1284"/>
      <c r="AR95" s="1284"/>
      <c r="AS95" s="1284"/>
      <c r="AT95" s="1284"/>
      <c r="AU95" s="1284"/>
      <c r="AV95" s="1756"/>
      <c r="AW95" s="690"/>
      <c r="AX95" s="690"/>
      <c r="AY95" s="690"/>
      <c r="AZ95" s="690"/>
      <c r="BA95" s="1765">
        <v>11</v>
      </c>
    </row>
    <row s="6292" customFormat="1" customHeight="1" ht="11.549999999999999">
      <c r="A96" s="1111"/>
      <c r="B96" s="1760"/>
      <c r="C96" s="1760"/>
      <c r="D96" s="475"/>
      <c r="J96" s="6292"/>
      <c r="K96" s="6292"/>
      <c r="L96" s="6292"/>
      <c r="M96" s="6292"/>
      <c r="N96" s="6292"/>
      <c r="O96" s="6292"/>
      <c r="P96" s="6292"/>
      <c r="Q96" s="6292"/>
      <c r="R96" s="6292"/>
      <c r="S96" s="6292"/>
      <c r="T96" s="6292"/>
      <c r="U96" s="6292"/>
      <c r="V96" s="6292"/>
      <c r="W96" s="6292"/>
      <c r="X96" s="6292"/>
      <c r="Y96" s="6292"/>
      <c r="Z96" s="6292"/>
      <c r="AA96" s="6292"/>
      <c r="AB96" s="6292"/>
      <c r="AC96" s="6292"/>
      <c r="AD96" s="6292"/>
      <c r="AF96" s="1284"/>
      <c r="AG96" s="1760"/>
      <c r="AH96" s="1760"/>
      <c r="AI96" s="1284"/>
      <c r="AJ96" s="1284"/>
      <c r="AK96" s="1284"/>
      <c r="AL96" s="1284"/>
      <c r="AM96" s="1760"/>
      <c r="AN96" s="1284"/>
      <c r="AO96" s="1284"/>
      <c r="AP96" s="668"/>
      <c r="AQ96" s="1284"/>
      <c r="AR96" s="1284"/>
      <c r="AS96" s="1284"/>
      <c r="AT96" s="1284"/>
      <c r="AU96" s="1284"/>
      <c r="AV96" s="1756"/>
      <c r="AW96" s="690"/>
      <c r="AX96" s="690"/>
      <c r="AY96" s="690"/>
      <c r="AZ96" s="690"/>
      <c r="BA96" s="1765">
        <v>11</v>
      </c>
    </row>
    <row s="6292" customFormat="1" customHeight="1" ht="11.549999999999999">
      <c r="A97" s="1111"/>
      <c r="B97" s="1760"/>
      <c r="C97" s="1760"/>
      <c r="D97" s="475"/>
      <c r="J97" s="6292"/>
      <c r="K97" s="6292"/>
      <c r="L97" s="6292"/>
      <c r="M97" s="6292"/>
      <c r="N97" s="6292"/>
      <c r="O97" s="6292"/>
      <c r="P97" s="6292"/>
      <c r="Q97" s="6292"/>
      <c r="R97" s="6292"/>
      <c r="S97" s="6292"/>
      <c r="T97" s="6292"/>
      <c r="U97" s="6292"/>
      <c r="V97" s="6292"/>
      <c r="W97" s="6292"/>
      <c r="X97" s="6292"/>
      <c r="Y97" s="6292"/>
      <c r="Z97" s="6292"/>
      <c r="AA97" s="6292"/>
      <c r="AB97" s="6292"/>
      <c r="AC97" s="6292"/>
      <c r="AD97" s="6292"/>
      <c r="AF97" s="1284"/>
      <c r="AG97" s="1760"/>
      <c r="AH97" s="1760"/>
      <c r="AI97" s="1284"/>
      <c r="AJ97" s="1284"/>
      <c r="AK97" s="1284"/>
      <c r="AL97" s="1284"/>
      <c r="AM97" s="1760"/>
      <c r="AN97" s="1284"/>
      <c r="AO97" s="1284"/>
      <c r="AP97" s="668"/>
      <c r="AQ97" s="1284"/>
      <c r="AR97" s="1284"/>
      <c r="AS97" s="1284"/>
      <c r="AT97" s="1284"/>
      <c r="AU97" s="1284"/>
      <c r="AV97" s="1756"/>
      <c r="AW97" s="690"/>
      <c r="AX97" s="690"/>
      <c r="AY97" s="690"/>
      <c r="AZ97" s="690"/>
      <c r="BA97" s="1765">
        <v>11</v>
      </c>
    </row>
    <row s="6292" customFormat="1" customHeight="1" ht="11.549999999999999">
      <c r="A98" s="1111"/>
      <c r="B98" s="1760"/>
      <c r="C98" s="1760"/>
      <c r="D98" s="475"/>
      <c r="J98" s="6292"/>
      <c r="K98" s="6292"/>
      <c r="L98" s="6292"/>
      <c r="M98" s="6292"/>
      <c r="N98" s="6292"/>
      <c r="O98" s="6292"/>
      <c r="P98" s="6292"/>
      <c r="Q98" s="6292"/>
      <c r="R98" s="6292"/>
      <c r="S98" s="6292"/>
      <c r="T98" s="6292"/>
      <c r="U98" s="6292"/>
      <c r="V98" s="6292"/>
      <c r="W98" s="6292"/>
      <c r="X98" s="6292"/>
      <c r="Y98" s="6292"/>
      <c r="Z98" s="6292"/>
      <c r="AA98" s="6292"/>
      <c r="AB98" s="6292"/>
      <c r="AC98" s="6292"/>
      <c r="AD98" s="6292"/>
      <c r="AF98" s="1284"/>
      <c r="AG98" s="1760"/>
      <c r="AH98" s="1760"/>
      <c r="AI98" s="1284"/>
      <c r="AJ98" s="1284"/>
      <c r="AK98" s="1284"/>
      <c r="AL98" s="1284"/>
      <c r="AM98" s="1760"/>
      <c r="AN98" s="1284"/>
      <c r="AO98" s="1284"/>
      <c r="AP98" s="668"/>
      <c r="AQ98" s="1284"/>
      <c r="AR98" s="1284"/>
      <c r="AS98" s="1284"/>
      <c r="AT98" s="1284"/>
      <c r="AU98" s="1284"/>
      <c r="AV98" s="1756"/>
      <c r="AW98" s="690"/>
      <c r="AX98" s="690"/>
      <c r="AY98" s="690"/>
      <c r="AZ98" s="690"/>
      <c r="BA98" s="1765">
        <v>11</v>
      </c>
    </row>
    <row s="6292" customFormat="1" customHeight="1" ht="11.549999999999999">
      <c r="A99" s="1111"/>
      <c r="B99" s="1760"/>
      <c r="C99" s="1760"/>
      <c r="D99" s="475"/>
      <c r="J99" s="6292"/>
      <c r="K99" s="6292"/>
      <c r="L99" s="6292"/>
      <c r="M99" s="6292"/>
      <c r="N99" s="6292"/>
      <c r="O99" s="6292"/>
      <c r="P99" s="6292"/>
      <c r="Q99" s="6292"/>
      <c r="R99" s="6292"/>
      <c r="S99" s="6292"/>
      <c r="T99" s="6292"/>
      <c r="U99" s="6292"/>
      <c r="V99" s="6292"/>
      <c r="W99" s="6292"/>
      <c r="X99" s="6292"/>
      <c r="Y99" s="6292"/>
      <c r="Z99" s="6292"/>
      <c r="AA99" s="6292"/>
      <c r="AB99" s="6292"/>
      <c r="AC99" s="6292"/>
      <c r="AD99" s="6292"/>
      <c r="AF99" s="1284"/>
      <c r="AG99" s="1760"/>
      <c r="AH99" s="1760"/>
      <c r="AI99" s="1284"/>
      <c r="AJ99" s="1284"/>
      <c r="AK99" s="1284"/>
      <c r="AL99" s="1284"/>
      <c r="AM99" s="1760"/>
      <c r="AN99" s="1284"/>
      <c r="AO99" s="1284"/>
      <c r="AP99" s="668"/>
      <c r="AQ99" s="1284"/>
      <c r="AR99" s="1284"/>
      <c r="AS99" s="1284"/>
      <c r="AT99" s="1284"/>
      <c r="AU99" s="1284"/>
      <c r="AV99" s="1756"/>
      <c r="AW99" s="690"/>
      <c r="AX99" s="690"/>
      <c r="AY99" s="690"/>
      <c r="AZ99" s="690"/>
      <c r="BA99" s="1765">
        <v>11</v>
      </c>
    </row>
    <row s="6292" customFormat="1" customHeight="1" ht="11.549999999999999">
      <c r="A100" s="1111"/>
      <c r="B100" s="1760"/>
      <c r="C100" s="1760"/>
      <c r="D100" s="475"/>
      <c r="J100" s="6292"/>
      <c r="K100" s="6292"/>
      <c r="L100" s="6292"/>
      <c r="M100" s="6292"/>
      <c r="N100" s="6292"/>
      <c r="O100" s="6292"/>
      <c r="P100" s="6292"/>
      <c r="Q100" s="6292"/>
      <c r="R100" s="6292"/>
      <c r="S100" s="6292"/>
      <c r="T100" s="6292"/>
      <c r="U100" s="6292"/>
      <c r="V100" s="6292"/>
      <c r="W100" s="6292"/>
      <c r="X100" s="6292"/>
      <c r="Y100" s="6292"/>
      <c r="Z100" s="6292"/>
      <c r="AA100" s="6292"/>
      <c r="AB100" s="6292"/>
      <c r="AC100" s="6292"/>
      <c r="AD100" s="6292"/>
      <c r="AF100" s="1284"/>
      <c r="AG100" s="1760"/>
      <c r="AH100" s="1760"/>
      <c r="AI100" s="1284"/>
      <c r="AJ100" s="1284"/>
      <c r="AK100" s="1284"/>
      <c r="AL100" s="1284"/>
      <c r="AM100" s="1760"/>
      <c r="AN100" s="1284"/>
      <c r="AO100" s="1284"/>
      <c r="AP100" s="668"/>
      <c r="AQ100" s="1284"/>
      <c r="AR100" s="1284"/>
      <c r="AS100" s="1284"/>
      <c r="AT100" s="1284"/>
      <c r="AU100" s="1284"/>
      <c r="AV100" s="1756"/>
      <c r="AW100" s="690"/>
      <c r="AX100" s="690"/>
      <c r="AY100" s="690"/>
      <c r="AZ100" s="690"/>
      <c r="BA100" s="1765">
        <v>11</v>
      </c>
    </row>
    <row s="6292" customFormat="1" customHeight="1" ht="11.549999999999999">
      <c r="A101" s="1111"/>
      <c r="B101" s="1760"/>
      <c r="C101" s="1760"/>
      <c r="D101" s="475"/>
      <c r="J101" s="6292"/>
      <c r="K101" s="6292"/>
      <c r="L101" s="6292"/>
      <c r="M101" s="6292"/>
      <c r="N101" s="6292"/>
      <c r="O101" s="6292"/>
      <c r="P101" s="6292"/>
      <c r="Q101" s="6292"/>
      <c r="R101" s="6292"/>
      <c r="S101" s="6292"/>
      <c r="T101" s="6292"/>
      <c r="U101" s="6292"/>
      <c r="V101" s="6292"/>
      <c r="W101" s="6292"/>
      <c r="X101" s="6292"/>
      <c r="Y101" s="6292"/>
      <c r="Z101" s="6292"/>
      <c r="AA101" s="6292"/>
      <c r="AB101" s="6292"/>
      <c r="AC101" s="6292"/>
      <c r="AD101" s="6292"/>
      <c r="AF101" s="1284"/>
      <c r="AG101" s="1760"/>
      <c r="AH101" s="1760"/>
      <c r="AI101" s="1284"/>
      <c r="AJ101" s="1284"/>
      <c r="AK101" s="1284"/>
      <c r="AL101" s="1284"/>
      <c r="AM101" s="1760"/>
      <c r="AN101" s="1284"/>
      <c r="AO101" s="1284"/>
      <c r="AP101" s="668"/>
      <c r="AQ101" s="1284"/>
      <c r="AR101" s="1284"/>
      <c r="AS101" s="1284"/>
      <c r="AT101" s="1284"/>
      <c r="AU101" s="1284"/>
      <c r="AV101" s="1756"/>
      <c r="AW101" s="690"/>
      <c r="AX101" s="690"/>
      <c r="AY101" s="690"/>
      <c r="AZ101" s="690"/>
      <c r="BA101" s="1765">
        <v>11</v>
      </c>
    </row>
    <row s="6292" customFormat="1" customHeight="1" ht="11.549999999999999">
      <c r="A102" s="1111"/>
      <c r="B102" s="1760"/>
      <c r="C102" s="1760"/>
      <c r="D102" s="475"/>
      <c r="J102" s="6292"/>
      <c r="K102" s="6292"/>
      <c r="L102" s="6292"/>
      <c r="M102" s="6292"/>
      <c r="N102" s="6292"/>
      <c r="O102" s="6292"/>
      <c r="P102" s="6292"/>
      <c r="Q102" s="6292"/>
      <c r="R102" s="6292"/>
      <c r="S102" s="6292"/>
      <c r="T102" s="6292"/>
      <c r="U102" s="6292"/>
      <c r="V102" s="6292"/>
      <c r="W102" s="6292"/>
      <c r="X102" s="6292"/>
      <c r="Y102" s="6292"/>
      <c r="Z102" s="6292"/>
      <c r="AA102" s="6292"/>
      <c r="AB102" s="6292"/>
      <c r="AC102" s="6292"/>
      <c r="AD102" s="6292"/>
      <c r="AF102" s="1284"/>
      <c r="AG102" s="1760"/>
      <c r="AH102" s="1760"/>
      <c r="AI102" s="1284"/>
      <c r="AJ102" s="1284"/>
      <c r="AK102" s="1284"/>
      <c r="AL102" s="1284"/>
      <c r="AM102" s="1760"/>
      <c r="AN102" s="1284"/>
      <c r="AO102" s="1284"/>
      <c r="AP102" s="668"/>
      <c r="AQ102" s="1284"/>
      <c r="AR102" s="1284"/>
      <c r="AS102" s="1284"/>
      <c r="AT102" s="1284"/>
      <c r="AU102" s="1284"/>
      <c r="AV102" s="1756"/>
      <c r="AW102" s="690"/>
      <c r="AX102" s="690"/>
      <c r="AY102" s="690"/>
      <c r="AZ102" s="690"/>
      <c r="BA102" s="1765">
        <v>11</v>
      </c>
    </row>
    <row s="6292" customFormat="1" customHeight="1" ht="11.549999999999999">
      <c r="A103" s="1111"/>
      <c r="B103" s="1760"/>
      <c r="C103" s="1760"/>
      <c r="D103" s="475"/>
      <c r="J103" s="6292"/>
      <c r="K103" s="6292"/>
      <c r="L103" s="6292"/>
      <c r="M103" s="6292"/>
      <c r="N103" s="6292"/>
      <c r="O103" s="6292"/>
      <c r="P103" s="6292"/>
      <c r="Q103" s="6292"/>
      <c r="R103" s="6292"/>
      <c r="S103" s="6292"/>
      <c r="T103" s="6292"/>
      <c r="U103" s="6292"/>
      <c r="V103" s="6292"/>
      <c r="W103" s="6292"/>
      <c r="X103" s="6292"/>
      <c r="Y103" s="6292"/>
      <c r="Z103" s="6292"/>
      <c r="AA103" s="6292"/>
      <c r="AB103" s="6292"/>
      <c r="AC103" s="6292"/>
      <c r="AD103" s="6292"/>
      <c r="AF103" s="1284"/>
      <c r="AG103" s="1760"/>
      <c r="AH103" s="1760"/>
      <c r="AI103" s="1284"/>
      <c r="AJ103" s="1284"/>
      <c r="AK103" s="1284"/>
      <c r="AL103" s="1284"/>
      <c r="AM103" s="1760"/>
      <c r="AN103" s="1284"/>
      <c r="AO103" s="1284"/>
      <c r="AP103" s="668"/>
      <c r="AQ103" s="1284"/>
      <c r="AR103" s="1284"/>
      <c r="AS103" s="1284"/>
      <c r="AT103" s="1284"/>
      <c r="AU103" s="1284"/>
      <c r="AV103" s="1756"/>
      <c r="AW103" s="690"/>
      <c r="AX103" s="690"/>
      <c r="AY103" s="690"/>
      <c r="AZ103" s="690"/>
      <c r="BA103" s="1765">
        <v>11</v>
      </c>
    </row>
    <row s="6292" customFormat="1" customHeight="1" ht="11.549999999999999">
      <c r="A104" s="1111"/>
      <c r="B104" s="1760"/>
      <c r="C104" s="1760"/>
      <c r="D104" s="475"/>
      <c r="J104" s="6292"/>
      <c r="K104" s="6292"/>
      <c r="L104" s="6292"/>
      <c r="M104" s="6292"/>
      <c r="N104" s="6292"/>
      <c r="O104" s="6292"/>
      <c r="P104" s="6292"/>
      <c r="Q104" s="6292"/>
      <c r="R104" s="6292"/>
      <c r="S104" s="6292"/>
      <c r="T104" s="6292"/>
      <c r="U104" s="6292"/>
      <c r="V104" s="6292"/>
      <c r="W104" s="6292"/>
      <c r="X104" s="6292"/>
      <c r="Y104" s="6292"/>
      <c r="Z104" s="6292"/>
      <c r="AA104" s="6292"/>
      <c r="AB104" s="6292"/>
      <c r="AC104" s="6292"/>
      <c r="AD104" s="6292"/>
      <c r="AF104" s="1284"/>
      <c r="AG104" s="1760"/>
      <c r="AH104" s="1760"/>
      <c r="AI104" s="1284"/>
      <c r="AJ104" s="1284"/>
      <c r="AK104" s="1284"/>
      <c r="AL104" s="1284"/>
      <c r="AM104" s="1760"/>
      <c r="AN104" s="1284"/>
      <c r="AO104" s="1284"/>
      <c r="AP104" s="668"/>
      <c r="AQ104" s="1284"/>
      <c r="AR104" s="1284"/>
      <c r="AS104" s="1284"/>
      <c r="AT104" s="1284"/>
      <c r="AU104" s="1284"/>
      <c r="AV104" s="1756"/>
      <c r="AW104" s="690"/>
      <c r="AX104" s="690"/>
      <c r="AY104" s="690"/>
      <c r="AZ104" s="690"/>
      <c r="BA104" s="1765">
        <v>11</v>
      </c>
    </row>
    <row s="6292" customFormat="1" customHeight="1" ht="11.549999999999999">
      <c r="A105" s="1111"/>
      <c r="B105" s="1760"/>
      <c r="C105" s="1760"/>
      <c r="D105" s="475"/>
      <c r="J105" s="6292"/>
      <c r="K105" s="6292"/>
      <c r="L105" s="6292"/>
      <c r="M105" s="6292"/>
      <c r="N105" s="6292"/>
      <c r="O105" s="6292"/>
      <c r="P105" s="6292"/>
      <c r="Q105" s="6292"/>
      <c r="R105" s="6292"/>
      <c r="S105" s="6292"/>
      <c r="T105" s="6292"/>
      <c r="U105" s="6292"/>
      <c r="V105" s="6292"/>
      <c r="W105" s="6292"/>
      <c r="X105" s="6292"/>
      <c r="Y105" s="6292"/>
      <c r="Z105" s="6292"/>
      <c r="AA105" s="6292"/>
      <c r="AB105" s="6292"/>
      <c r="AC105" s="6292"/>
      <c r="AD105" s="6292"/>
      <c r="AF105" s="1284"/>
      <c r="AG105" s="1760"/>
      <c r="AH105" s="1760"/>
      <c r="AI105" s="1284"/>
      <c r="AJ105" s="1284"/>
      <c r="AK105" s="1284"/>
      <c r="AL105" s="1284"/>
      <c r="AM105" s="1760"/>
      <c r="AN105" s="1284"/>
      <c r="AO105" s="1284"/>
      <c r="AP105" s="668"/>
      <c r="AQ105" s="1284"/>
      <c r="AR105" s="1284"/>
      <c r="AS105" s="1284"/>
      <c r="AT105" s="1284"/>
      <c r="AU105" s="1284"/>
      <c r="AV105" s="1756"/>
      <c r="AW105" s="690"/>
      <c r="AX105" s="690"/>
      <c r="AY105" s="690"/>
      <c r="AZ105" s="690"/>
      <c r="BA105" s="1765">
        <v>11</v>
      </c>
    </row>
    <row s="6292" customFormat="1" customHeight="1" ht="11.549999999999999">
      <c r="A106" s="1111"/>
      <c r="B106" s="1760"/>
      <c r="C106" s="1760"/>
      <c r="D106" s="475"/>
      <c r="J106" s="6292"/>
      <c r="K106" s="6292"/>
      <c r="L106" s="6292"/>
      <c r="M106" s="6292"/>
      <c r="N106" s="6292"/>
      <c r="O106" s="6292"/>
      <c r="P106" s="6292"/>
      <c r="Q106" s="6292"/>
      <c r="R106" s="6292"/>
      <c r="S106" s="6292"/>
      <c r="T106" s="6292"/>
      <c r="U106" s="6292"/>
      <c r="V106" s="6292"/>
      <c r="W106" s="6292"/>
      <c r="X106" s="6292"/>
      <c r="Y106" s="6292"/>
      <c r="Z106" s="6292"/>
      <c r="AA106" s="6292"/>
      <c r="AB106" s="6292"/>
      <c r="AC106" s="6292"/>
      <c r="AD106" s="6292"/>
      <c r="AF106" s="1284"/>
      <c r="AG106" s="1760"/>
      <c r="AH106" s="1760"/>
      <c r="AI106" s="1284"/>
      <c r="AJ106" s="1284"/>
      <c r="AK106" s="1284"/>
      <c r="AL106" s="1284"/>
      <c r="AM106" s="1760"/>
      <c r="AN106" s="1284"/>
      <c r="AO106" s="1284"/>
      <c r="AP106" s="668"/>
      <c r="AQ106" s="1284"/>
      <c r="AR106" s="1284"/>
      <c r="AS106" s="1284"/>
      <c r="AT106" s="1284"/>
      <c r="AU106" s="1284"/>
      <c r="AV106" s="1756"/>
      <c r="AW106" s="690"/>
      <c r="AX106" s="690"/>
      <c r="AY106" s="690"/>
      <c r="AZ106" s="690"/>
      <c r="BA106" s="1765">
        <v>11</v>
      </c>
    </row>
    <row s="6292" customFormat="1" customHeight="1" ht="11.549999999999999">
      <c r="A107" s="1111"/>
      <c r="B107" s="1760"/>
      <c r="C107" s="1760"/>
      <c r="D107" s="475"/>
      <c r="J107" s="6292"/>
      <c r="K107" s="6292"/>
      <c r="L107" s="6292"/>
      <c r="M107" s="6292"/>
      <c r="N107" s="6292"/>
      <c r="O107" s="6292"/>
      <c r="P107" s="6292"/>
      <c r="Q107" s="6292"/>
      <c r="R107" s="6292"/>
      <c r="S107" s="6292"/>
      <c r="T107" s="6292"/>
      <c r="U107" s="6292"/>
      <c r="V107" s="6292"/>
      <c r="W107" s="6292"/>
      <c r="X107" s="6292"/>
      <c r="Y107" s="6292"/>
      <c r="Z107" s="6292"/>
      <c r="AA107" s="6292"/>
      <c r="AB107" s="6292"/>
      <c r="AC107" s="6292"/>
      <c r="AD107" s="6292"/>
      <c r="AF107" s="1284"/>
      <c r="AG107" s="1760"/>
      <c r="AH107" s="1760"/>
      <c r="AI107" s="1284"/>
      <c r="AJ107" s="1284"/>
      <c r="AK107" s="1284"/>
      <c r="AL107" s="1284"/>
      <c r="AM107" s="1760"/>
      <c r="AN107" s="1284"/>
      <c r="AO107" s="1284"/>
      <c r="AP107" s="668"/>
      <c r="AQ107" s="1284"/>
      <c r="AR107" s="1284"/>
      <c r="AS107" s="1284"/>
      <c r="AT107" s="1284"/>
      <c r="AU107" s="1284"/>
      <c r="AV107" s="1756"/>
      <c r="AW107" s="690"/>
      <c r="AX107" s="690"/>
      <c r="AY107" s="690"/>
      <c r="AZ107" s="690"/>
      <c r="BA107" s="1765">
        <v>11</v>
      </c>
    </row>
    <row s="6292" customFormat="1" customHeight="1" ht="11.549999999999999">
      <c r="A108" s="1111"/>
      <c r="B108" s="1760"/>
      <c r="C108" s="1760"/>
      <c r="D108" s="475"/>
      <c r="J108" s="6292"/>
      <c r="K108" s="6292"/>
      <c r="L108" s="6292"/>
      <c r="M108" s="6292"/>
      <c r="N108" s="6292"/>
      <c r="O108" s="6292"/>
      <c r="P108" s="6292"/>
      <c r="Q108" s="6292"/>
      <c r="R108" s="6292"/>
      <c r="S108" s="6292"/>
      <c r="T108" s="6292"/>
      <c r="U108" s="6292"/>
      <c r="V108" s="6292"/>
      <c r="W108" s="6292"/>
      <c r="X108" s="6292"/>
      <c r="Y108" s="6292"/>
      <c r="Z108" s="6292"/>
      <c r="AA108" s="6292"/>
      <c r="AB108" s="6292"/>
      <c r="AC108" s="6292"/>
      <c r="AD108" s="6292"/>
      <c r="AF108" s="1284"/>
      <c r="AG108" s="1760"/>
      <c r="AH108" s="1760"/>
      <c r="AI108" s="1284"/>
      <c r="AJ108" s="1284"/>
      <c r="AK108" s="1284"/>
      <c r="AL108" s="1284"/>
      <c r="AM108" s="1760"/>
      <c r="AN108" s="1284"/>
      <c r="AO108" s="1284"/>
      <c r="AP108" s="668"/>
      <c r="AQ108" s="1284"/>
      <c r="AR108" s="1284"/>
      <c r="AS108" s="1284"/>
      <c r="AT108" s="1284"/>
      <c r="AU108" s="1284"/>
      <c r="AV108" s="1756"/>
      <c r="AW108" s="690"/>
      <c r="AX108" s="690"/>
      <c r="AY108" s="690"/>
      <c r="AZ108" s="690"/>
      <c r="BA108" s="1765">
        <v>11</v>
      </c>
    </row>
    <row s="6292" customFormat="1" customHeight="1" ht="11.549999999999999">
      <c r="A109" s="1111"/>
      <c r="B109" s="1760"/>
      <c r="C109" s="1760"/>
      <c r="D109" s="475"/>
      <c r="J109" s="6292"/>
      <c r="K109" s="6292"/>
      <c r="L109" s="6292"/>
      <c r="M109" s="6292"/>
      <c r="N109" s="6292"/>
      <c r="O109" s="6292"/>
      <c r="P109" s="6292"/>
      <c r="Q109" s="6292"/>
      <c r="R109" s="6292"/>
      <c r="S109" s="6292"/>
      <c r="T109" s="6292"/>
      <c r="U109" s="6292"/>
      <c r="V109" s="6292"/>
      <c r="W109" s="6292"/>
      <c r="X109" s="6292"/>
      <c r="Y109" s="6292"/>
      <c r="Z109" s="6292"/>
      <c r="AA109" s="6292"/>
      <c r="AB109" s="6292"/>
      <c r="AC109" s="6292"/>
      <c r="AD109" s="6292"/>
      <c r="AF109" s="1284"/>
      <c r="AG109" s="1760"/>
      <c r="AH109" s="1760"/>
      <c r="AI109" s="1284"/>
      <c r="AJ109" s="1284"/>
      <c r="AK109" s="1284"/>
      <c r="AL109" s="1284"/>
      <c r="AM109" s="1760"/>
      <c r="AN109" s="1284"/>
      <c r="AO109" s="1284"/>
      <c r="AP109" s="668"/>
      <c r="AQ109" s="1284"/>
      <c r="AR109" s="1284"/>
      <c r="AS109" s="1284"/>
      <c r="AT109" s="1284"/>
      <c r="AU109" s="1284"/>
      <c r="AV109" s="1756"/>
      <c r="AW109" s="690"/>
      <c r="AX109" s="690"/>
      <c r="AY109" s="690"/>
      <c r="AZ109" s="690"/>
      <c r="BA109" s="1765">
        <v>11</v>
      </c>
    </row>
    <row s="6292" customFormat="1" customHeight="1" ht="11.549999999999999">
      <c r="A110" s="1111"/>
      <c r="B110" s="1760"/>
      <c r="C110" s="1760"/>
      <c r="D110" s="475"/>
      <c r="J110" s="6292"/>
      <c r="K110" s="6292"/>
      <c r="L110" s="6292"/>
      <c r="M110" s="6292"/>
      <c r="N110" s="6292"/>
      <c r="O110" s="6292"/>
      <c r="P110" s="6292"/>
      <c r="Q110" s="6292"/>
      <c r="R110" s="6292"/>
      <c r="S110" s="6292"/>
      <c r="T110" s="6292"/>
      <c r="U110" s="6292"/>
      <c r="V110" s="6292"/>
      <c r="W110" s="6292"/>
      <c r="X110" s="6292"/>
      <c r="Y110" s="6292"/>
      <c r="Z110" s="6292"/>
      <c r="AA110" s="6292"/>
      <c r="AB110" s="6292"/>
      <c r="AC110" s="6292"/>
      <c r="AD110" s="6292"/>
      <c r="AF110" s="1284"/>
      <c r="AG110" s="1760"/>
      <c r="AH110" s="1760"/>
      <c r="AI110" s="1284"/>
      <c r="AJ110" s="1284"/>
      <c r="AK110" s="1284"/>
      <c r="AL110" s="1284"/>
      <c r="AM110" s="1760"/>
      <c r="AN110" s="1284"/>
      <c r="AO110" s="1284"/>
      <c r="AP110" s="668"/>
      <c r="AQ110" s="1284"/>
      <c r="AR110" s="1284"/>
      <c r="AS110" s="1284"/>
      <c r="AT110" s="1284"/>
      <c r="AU110" s="1284"/>
      <c r="AV110" s="1756"/>
      <c r="AW110" s="690"/>
      <c r="AX110" s="690"/>
      <c r="AY110" s="690"/>
      <c r="AZ110" s="690"/>
      <c r="BA110" s="1765">
        <v>11</v>
      </c>
    </row>
    <row s="6292" customFormat="1" customHeight="1" ht="11.549999999999999">
      <c r="A111" s="1111"/>
      <c r="B111" s="1760"/>
      <c r="C111" s="1760"/>
      <c r="D111" s="475"/>
      <c r="J111" s="6292"/>
      <c r="K111" s="6292"/>
      <c r="L111" s="6292"/>
      <c r="M111" s="6292"/>
      <c r="N111" s="6292"/>
      <c r="O111" s="6292"/>
      <c r="P111" s="6292"/>
      <c r="Q111" s="6292"/>
      <c r="R111" s="6292"/>
      <c r="S111" s="6292"/>
      <c r="T111" s="6292"/>
      <c r="U111" s="6292"/>
      <c r="V111" s="6292"/>
      <c r="W111" s="6292"/>
      <c r="X111" s="6292"/>
      <c r="Y111" s="6292"/>
      <c r="Z111" s="6292"/>
      <c r="AA111" s="6292"/>
      <c r="AB111" s="6292"/>
      <c r="AC111" s="6292"/>
      <c r="AD111" s="6292"/>
      <c r="AF111" s="1284"/>
      <c r="AG111" s="1760"/>
      <c r="AH111" s="1760"/>
      <c r="AI111" s="1284"/>
      <c r="AJ111" s="1284"/>
      <c r="AK111" s="1284"/>
      <c r="AL111" s="1284"/>
      <c r="AM111" s="1760"/>
      <c r="AN111" s="1284"/>
      <c r="AO111" s="1284"/>
      <c r="AP111" s="668"/>
      <c r="AQ111" s="1284"/>
      <c r="AR111" s="1284"/>
      <c r="AS111" s="1284"/>
      <c r="AT111" s="1284"/>
      <c r="AU111" s="1284"/>
      <c r="AV111" s="1756"/>
      <c r="AW111" s="690"/>
      <c r="AX111" s="690"/>
      <c r="AY111" s="690"/>
      <c r="AZ111" s="690"/>
      <c r="BA111" s="1765">
        <v>11</v>
      </c>
    </row>
    <row s="6292" customFormat="1" customHeight="1" ht="11.549999999999999">
      <c r="A112" s="1111"/>
      <c r="B112" s="1760"/>
      <c r="C112" s="1760"/>
      <c r="D112" s="475"/>
      <c r="J112" s="6292"/>
      <c r="K112" s="6292"/>
      <c r="L112" s="6292"/>
      <c r="M112" s="6292"/>
      <c r="N112" s="6292"/>
      <c r="O112" s="6292"/>
      <c r="P112" s="6292"/>
      <c r="Q112" s="6292"/>
      <c r="R112" s="6292"/>
      <c r="S112" s="6292"/>
      <c r="T112" s="6292"/>
      <c r="U112" s="6292"/>
      <c r="V112" s="6292"/>
      <c r="W112" s="6292"/>
      <c r="X112" s="6292"/>
      <c r="Y112" s="6292"/>
      <c r="Z112" s="6292"/>
      <c r="AA112" s="6292"/>
      <c r="AB112" s="6292"/>
      <c r="AC112" s="6292"/>
      <c r="AD112" s="6292"/>
      <c r="AF112" s="1284"/>
      <c r="AG112" s="1760"/>
      <c r="AH112" s="1760"/>
      <c r="AI112" s="1284"/>
      <c r="AJ112" s="1284"/>
      <c r="AK112" s="1284"/>
      <c r="AL112" s="1284"/>
      <c r="AM112" s="1760"/>
      <c r="AN112" s="1284"/>
      <c r="AO112" s="1284"/>
      <c r="AP112" s="668"/>
      <c r="AQ112" s="1284"/>
      <c r="AR112" s="1284"/>
      <c r="AS112" s="1284"/>
      <c r="AT112" s="1284"/>
      <c r="AU112" s="1284"/>
      <c r="AV112" s="1756"/>
      <c r="AW112" s="690"/>
      <c r="AX112" s="690"/>
      <c r="AY112" s="690"/>
      <c r="AZ112" s="690"/>
      <c r="BA112" s="1765">
        <v>11</v>
      </c>
    </row>
    <row s="6292" customFormat="1" customHeight="1" ht="11.549999999999999">
      <c r="A113" s="1111"/>
      <c r="B113" s="1760"/>
      <c r="C113" s="1760"/>
      <c r="D113" s="475"/>
      <c r="J113" s="6292"/>
      <c r="K113" s="6292"/>
      <c r="L113" s="6292"/>
      <c r="M113" s="6292"/>
      <c r="N113" s="6292"/>
      <c r="O113" s="6292"/>
      <c r="P113" s="6292"/>
      <c r="Q113" s="6292"/>
      <c r="R113" s="6292"/>
      <c r="S113" s="6292"/>
      <c r="T113" s="6292"/>
      <c r="U113" s="6292"/>
      <c r="V113" s="6292"/>
      <c r="W113" s="6292"/>
      <c r="X113" s="6292"/>
      <c r="Y113" s="6292"/>
      <c r="Z113" s="6292"/>
      <c r="AA113" s="6292"/>
      <c r="AB113" s="6292"/>
      <c r="AC113" s="6292"/>
      <c r="AD113" s="6292"/>
      <c r="AF113" s="1284"/>
      <c r="AG113" s="1760"/>
      <c r="AH113" s="1760"/>
      <c r="AI113" s="1284"/>
      <c r="AJ113" s="1284"/>
      <c r="AK113" s="1284"/>
      <c r="AL113" s="1284"/>
      <c r="AM113" s="1760"/>
      <c r="AN113" s="1284"/>
      <c r="AO113" s="1284"/>
      <c r="AP113" s="668"/>
      <c r="AQ113" s="1284"/>
      <c r="AR113" s="1284"/>
      <c r="AS113" s="1284"/>
      <c r="AT113" s="1284"/>
      <c r="AU113" s="1284"/>
      <c r="AV113" s="1756"/>
      <c r="AW113" s="690"/>
      <c r="AX113" s="690"/>
      <c r="AY113" s="690"/>
      <c r="AZ113" s="690"/>
      <c r="BA113" s="1765">
        <v>11</v>
      </c>
    </row>
    <row s="6292" customFormat="1" customHeight="1" ht="11.549999999999999">
      <c r="A114" s="1111"/>
      <c r="B114" s="1760"/>
      <c r="C114" s="1760"/>
      <c r="D114" s="475"/>
      <c r="J114" s="6292"/>
      <c r="K114" s="6292"/>
      <c r="L114" s="6292"/>
      <c r="M114" s="6292"/>
      <c r="N114" s="6292"/>
      <c r="O114" s="6292"/>
      <c r="P114" s="6292"/>
      <c r="Q114" s="6292"/>
      <c r="R114" s="6292"/>
      <c r="S114" s="6292"/>
      <c r="T114" s="6292"/>
      <c r="U114" s="6292"/>
      <c r="V114" s="6292"/>
      <c r="W114" s="6292"/>
      <c r="X114" s="6292"/>
      <c r="Y114" s="6292"/>
      <c r="Z114" s="6292"/>
      <c r="AA114" s="6292"/>
      <c r="AB114" s="6292"/>
      <c r="AC114" s="6292"/>
      <c r="AD114" s="6292"/>
      <c r="AF114" s="1284"/>
      <c r="AG114" s="1760"/>
      <c r="AH114" s="1760"/>
      <c r="AI114" s="1284"/>
      <c r="AJ114" s="1284"/>
      <c r="AK114" s="1284"/>
      <c r="AL114" s="1284"/>
      <c r="AM114" s="1760"/>
      <c r="AN114" s="1284"/>
      <c r="AO114" s="1284"/>
      <c r="AP114" s="668"/>
      <c r="AQ114" s="1284"/>
      <c r="AR114" s="1284"/>
      <c r="AS114" s="1284"/>
      <c r="AT114" s="1284"/>
      <c r="AU114" s="1284"/>
      <c r="AV114" s="1756"/>
      <c r="AW114" s="690"/>
      <c r="AX114" s="690"/>
      <c r="AY114" s="690"/>
      <c r="AZ114" s="690"/>
      <c r="BA114" s="1765">
        <v>11</v>
      </c>
    </row>
    <row s="6292" customFormat="1" customHeight="1" ht="11.549999999999999">
      <c r="A115" s="1111"/>
      <c r="B115" s="1760"/>
      <c r="C115" s="1760"/>
      <c r="D115" s="475"/>
      <c r="J115" s="6292"/>
      <c r="K115" s="6292"/>
      <c r="L115" s="6292"/>
      <c r="M115" s="6292"/>
      <c r="N115" s="6292"/>
      <c r="O115" s="6292"/>
      <c r="P115" s="6292"/>
      <c r="Q115" s="6292"/>
      <c r="R115" s="6292"/>
      <c r="S115" s="6292"/>
      <c r="T115" s="6292"/>
      <c r="U115" s="6292"/>
      <c r="V115" s="6292"/>
      <c r="W115" s="6292"/>
      <c r="X115" s="6292"/>
      <c r="Y115" s="6292"/>
      <c r="Z115" s="6292"/>
      <c r="AA115" s="6292"/>
      <c r="AB115" s="6292"/>
      <c r="AC115" s="6292"/>
      <c r="AD115" s="6292"/>
      <c r="AF115" s="1284"/>
      <c r="AG115" s="1760"/>
      <c r="AH115" s="1760"/>
      <c r="AI115" s="1284"/>
      <c r="AJ115" s="1284"/>
      <c r="AK115" s="1284"/>
      <c r="AL115" s="1284"/>
      <c r="AM115" s="1760"/>
      <c r="AN115" s="1284"/>
      <c r="AO115" s="1284"/>
      <c r="AP115" s="668"/>
      <c r="AQ115" s="1284"/>
      <c r="AR115" s="1284"/>
      <c r="AS115" s="1284"/>
      <c r="AT115" s="1284"/>
      <c r="AU115" s="1284"/>
      <c r="AV115" s="1756"/>
      <c r="AW115" s="690"/>
      <c r="AX115" s="690"/>
      <c r="AY115" s="690"/>
      <c r="AZ115" s="690"/>
      <c r="BA115" s="1765">
        <v>11</v>
      </c>
    </row>
    <row s="6292" customFormat="1" customHeight="1" ht="11.549999999999999">
      <c r="A116" s="1111"/>
      <c r="B116" s="1760"/>
      <c r="C116" s="1760"/>
      <c r="D116" s="475"/>
      <c r="J116" s="6292"/>
      <c r="K116" s="6292"/>
      <c r="L116" s="6292"/>
      <c r="M116" s="6292"/>
      <c r="N116" s="6292"/>
      <c r="O116" s="6292"/>
      <c r="P116" s="6292"/>
      <c r="Q116" s="6292"/>
      <c r="R116" s="6292"/>
      <c r="S116" s="6292"/>
      <c r="T116" s="6292"/>
      <c r="U116" s="6292"/>
      <c r="V116" s="6292"/>
      <c r="W116" s="6292"/>
      <c r="X116" s="6292"/>
      <c r="Y116" s="6292"/>
      <c r="Z116" s="6292"/>
      <c r="AA116" s="6292"/>
      <c r="AB116" s="6292"/>
      <c r="AC116" s="6292"/>
      <c r="AD116" s="6292"/>
      <c r="AF116" s="1284"/>
      <c r="AG116" s="1760"/>
      <c r="AH116" s="1760"/>
      <c r="AI116" s="1284"/>
      <c r="AJ116" s="1284"/>
      <c r="AK116" s="1284"/>
      <c r="AL116" s="1284"/>
      <c r="AM116" s="1760"/>
      <c r="AN116" s="1284"/>
      <c r="AO116" s="1284"/>
      <c r="AP116" s="668"/>
      <c r="AQ116" s="1284"/>
      <c r="AR116" s="1284"/>
      <c r="AS116" s="1284"/>
      <c r="AT116" s="1284"/>
      <c r="AU116" s="1284"/>
      <c r="AV116" s="1756"/>
      <c r="AW116" s="690"/>
      <c r="AX116" s="690"/>
      <c r="AY116" s="690"/>
      <c r="AZ116" s="690"/>
      <c r="BA116" s="1765">
        <v>11</v>
      </c>
    </row>
    <row s="6292" customFormat="1" customHeight="1" ht="11.549999999999999">
      <c r="A117" s="1111"/>
      <c r="B117" s="1760"/>
      <c r="C117" s="1760"/>
      <c r="D117" s="475"/>
      <c r="J117" s="6292"/>
      <c r="K117" s="6292"/>
      <c r="L117" s="6292"/>
      <c r="M117" s="6292"/>
      <c r="N117" s="6292"/>
      <c r="O117" s="6292"/>
      <c r="P117" s="6292"/>
      <c r="Q117" s="6292"/>
      <c r="R117" s="6292"/>
      <c r="S117" s="6292"/>
      <c r="T117" s="6292"/>
      <c r="U117" s="6292"/>
      <c r="V117" s="6292"/>
      <c r="W117" s="6292"/>
      <c r="X117" s="6292"/>
      <c r="Y117" s="6292"/>
      <c r="Z117" s="6292"/>
      <c r="AA117" s="6292"/>
      <c r="AB117" s="6292"/>
      <c r="AC117" s="6292"/>
      <c r="AD117" s="6292"/>
      <c r="AF117" s="1284"/>
      <c r="AG117" s="1760"/>
      <c r="AH117" s="1760"/>
      <c r="AI117" s="1284"/>
      <c r="AJ117" s="1284"/>
      <c r="AK117" s="1284"/>
      <c r="AL117" s="1284"/>
      <c r="AM117" s="1760"/>
      <c r="AN117" s="1284"/>
      <c r="AO117" s="1284"/>
      <c r="AP117" s="668"/>
      <c r="AQ117" s="1284"/>
      <c r="AR117" s="1284"/>
      <c r="AS117" s="1284"/>
      <c r="AT117" s="1284"/>
      <c r="AU117" s="1284"/>
      <c r="AV117" s="1756"/>
      <c r="AW117" s="690"/>
      <c r="AX117" s="690"/>
      <c r="AY117" s="690"/>
      <c r="AZ117" s="690"/>
      <c r="BA117" s="1765">
        <v>11</v>
      </c>
    </row>
    <row s="6292" customFormat="1" customHeight="1" ht="11.549999999999999">
      <c r="A118" s="1111"/>
      <c r="B118" s="1760"/>
      <c r="C118" s="1760"/>
      <c r="D118" s="475"/>
      <c r="J118" s="6292"/>
      <c r="K118" s="6292"/>
      <c r="L118" s="6292"/>
      <c r="M118" s="6292"/>
      <c r="N118" s="6292"/>
      <c r="O118" s="6292"/>
      <c r="P118" s="6292"/>
      <c r="Q118" s="6292"/>
      <c r="R118" s="6292"/>
      <c r="S118" s="6292"/>
      <c r="T118" s="6292"/>
      <c r="U118" s="6292"/>
      <c r="V118" s="6292"/>
      <c r="W118" s="6292"/>
      <c r="X118" s="6292"/>
      <c r="Y118" s="6292"/>
      <c r="Z118" s="6292"/>
      <c r="AA118" s="6292"/>
      <c r="AB118" s="6292"/>
      <c r="AC118" s="6292"/>
      <c r="AD118" s="6292"/>
      <c r="AF118" s="1284"/>
      <c r="AG118" s="1760"/>
      <c r="AH118" s="1760"/>
      <c r="AI118" s="1284"/>
      <c r="AJ118" s="1284"/>
      <c r="AK118" s="1284"/>
      <c r="AL118" s="1284"/>
      <c r="AM118" s="1760"/>
      <c r="AN118" s="1284"/>
      <c r="AO118" s="1284"/>
      <c r="AP118" s="668"/>
      <c r="AQ118" s="1284"/>
      <c r="AR118" s="1284"/>
      <c r="AS118" s="1284"/>
      <c r="AT118" s="1284"/>
      <c r="AU118" s="1284"/>
      <c r="AV118" s="1756"/>
      <c r="AW118" s="690"/>
      <c r="AX118" s="690"/>
      <c r="AY118" s="690"/>
      <c r="AZ118" s="690"/>
      <c r="BA118" s="1765">
        <v>11</v>
      </c>
    </row>
    <row s="6292" customFormat="1" customHeight="1" ht="11.549999999999999">
      <c r="A119" s="1111"/>
      <c r="B119" s="1760"/>
      <c r="C119" s="1760"/>
      <c r="D119" s="475"/>
      <c r="J119" s="6292"/>
      <c r="K119" s="6292"/>
      <c r="L119" s="6292"/>
      <c r="M119" s="6292"/>
      <c r="N119" s="6292"/>
      <c r="O119" s="6292"/>
      <c r="P119" s="6292"/>
      <c r="Q119" s="6292"/>
      <c r="R119" s="6292"/>
      <c r="S119" s="6292"/>
      <c r="T119" s="6292"/>
      <c r="U119" s="6292"/>
      <c r="V119" s="6292"/>
      <c r="W119" s="6292"/>
      <c r="X119" s="6292"/>
      <c r="Y119" s="6292"/>
      <c r="Z119" s="6292"/>
      <c r="AA119" s="6292"/>
      <c r="AB119" s="6292"/>
      <c r="AC119" s="6292"/>
      <c r="AD119" s="6292"/>
      <c r="AF119" s="1284"/>
      <c r="AG119" s="1760"/>
      <c r="AH119" s="1760"/>
      <c r="AI119" s="1284"/>
      <c r="AJ119" s="1284"/>
      <c r="AK119" s="1284"/>
      <c r="AL119" s="1284"/>
      <c r="AM119" s="1760"/>
      <c r="AN119" s="1284"/>
      <c r="AO119" s="1284"/>
      <c r="AP119" s="668"/>
      <c r="AQ119" s="1284"/>
      <c r="AR119" s="1284"/>
      <c r="AS119" s="1284"/>
      <c r="AT119" s="1284"/>
      <c r="AU119" s="1284"/>
      <c r="AV119" s="1756"/>
      <c r="AW119" s="690"/>
      <c r="AX119" s="690"/>
      <c r="AY119" s="690"/>
      <c r="AZ119" s="690"/>
      <c r="BA119" s="1765">
        <v>11</v>
      </c>
    </row>
    <row s="6292" customFormat="1" customHeight="1" ht="11.549999999999999">
      <c r="A120" s="1111"/>
      <c r="B120" s="1760"/>
      <c r="C120" s="1760"/>
      <c r="D120" s="475"/>
      <c r="J120" s="6292"/>
      <c r="K120" s="6292"/>
      <c r="L120" s="6292"/>
      <c r="M120" s="6292"/>
      <c r="N120" s="6292"/>
      <c r="O120" s="6292"/>
      <c r="P120" s="6292"/>
      <c r="Q120" s="6292"/>
      <c r="R120" s="6292"/>
      <c r="S120" s="6292"/>
      <c r="T120" s="6292"/>
      <c r="U120" s="6292"/>
      <c r="V120" s="6292"/>
      <c r="W120" s="6292"/>
      <c r="X120" s="6292"/>
      <c r="Y120" s="6292"/>
      <c r="Z120" s="6292"/>
      <c r="AA120" s="6292"/>
      <c r="AB120" s="6292"/>
      <c r="AC120" s="6292"/>
      <c r="AD120" s="6292"/>
      <c r="AF120" s="1284"/>
      <c r="AG120" s="1760"/>
      <c r="AH120" s="1760"/>
      <c r="AI120" s="1284"/>
      <c r="AJ120" s="1284"/>
      <c r="AK120" s="1284"/>
      <c r="AL120" s="1284"/>
      <c r="AM120" s="1760"/>
      <c r="AN120" s="1284"/>
      <c r="AO120" s="1284"/>
      <c r="AP120" s="668"/>
      <c r="AQ120" s="1284"/>
      <c r="AR120" s="1284"/>
      <c r="AS120" s="1284"/>
      <c r="AT120" s="1284"/>
      <c r="AU120" s="1284"/>
      <c r="AV120" s="1756"/>
      <c r="AW120" s="690"/>
      <c r="AX120" s="690"/>
      <c r="AY120" s="690"/>
      <c r="AZ120" s="690"/>
      <c r="BA120" s="1765">
        <v>11</v>
      </c>
    </row>
    <row s="6292" customFormat="1" customHeight="1" ht="11.549999999999999">
      <c r="A121" s="1111"/>
      <c r="B121" s="1760"/>
      <c r="C121" s="1760"/>
      <c r="D121" s="475"/>
      <c r="J121" s="6292"/>
      <c r="K121" s="6292"/>
      <c r="L121" s="6292"/>
      <c r="M121" s="6292"/>
      <c r="N121" s="6292"/>
      <c r="O121" s="6292"/>
      <c r="P121" s="6292"/>
      <c r="Q121" s="6292"/>
      <c r="R121" s="6292"/>
      <c r="S121" s="6292"/>
      <c r="T121" s="6292"/>
      <c r="U121" s="6292"/>
      <c r="V121" s="6292"/>
      <c r="W121" s="6292"/>
      <c r="X121" s="6292"/>
      <c r="Y121" s="6292"/>
      <c r="Z121" s="6292"/>
      <c r="AA121" s="6292"/>
      <c r="AB121" s="6292"/>
      <c r="AC121" s="6292"/>
      <c r="AD121" s="6292"/>
      <c r="AF121" s="1284"/>
      <c r="AG121" s="1760"/>
      <c r="AH121" s="1760"/>
      <c r="AI121" s="1284"/>
      <c r="AJ121" s="1284"/>
      <c r="AK121" s="1284"/>
      <c r="AL121" s="1284"/>
      <c r="AM121" s="1760"/>
      <c r="AN121" s="1284"/>
      <c r="AO121" s="1284"/>
      <c r="AP121" s="668"/>
      <c r="AQ121" s="1284"/>
      <c r="AR121" s="1284"/>
      <c r="AS121" s="1284"/>
      <c r="AT121" s="1284"/>
      <c r="AU121" s="1284"/>
      <c r="AV121" s="1756"/>
      <c r="AW121" s="690"/>
      <c r="AX121" s="690"/>
      <c r="AY121" s="690"/>
      <c r="AZ121" s="690"/>
      <c r="BA121" s="1765">
        <v>11</v>
      </c>
    </row>
    <row s="6292" customFormat="1" customHeight="1" ht="11.549999999999999">
      <c r="A122" s="1111"/>
      <c r="B122" s="1760"/>
      <c r="C122" s="1760"/>
      <c r="D122" s="475"/>
      <c r="J122" s="6292"/>
      <c r="K122" s="6292"/>
      <c r="L122" s="6292"/>
      <c r="M122" s="6292"/>
      <c r="N122" s="6292"/>
      <c r="O122" s="6292"/>
      <c r="P122" s="6292"/>
      <c r="Q122" s="6292"/>
      <c r="R122" s="6292"/>
      <c r="S122" s="6292"/>
      <c r="T122" s="6292"/>
      <c r="U122" s="6292"/>
      <c r="V122" s="6292"/>
      <c r="W122" s="6292"/>
      <c r="X122" s="6292"/>
      <c r="Y122" s="6292"/>
      <c r="Z122" s="6292"/>
      <c r="AA122" s="6292"/>
      <c r="AB122" s="6292"/>
      <c r="AC122" s="6292"/>
      <c r="AD122" s="6292"/>
      <c r="AF122" s="1284"/>
      <c r="AG122" s="1760"/>
      <c r="AH122" s="1760"/>
      <c r="AI122" s="1284"/>
      <c r="AJ122" s="1284"/>
      <c r="AK122" s="1284"/>
      <c r="AL122" s="1284"/>
      <c r="AM122" s="1760"/>
      <c r="AN122" s="1284"/>
      <c r="AO122" s="1284"/>
      <c r="AP122" s="668"/>
      <c r="AQ122" s="1284"/>
      <c r="AR122" s="1284"/>
      <c r="AS122" s="1284"/>
      <c r="AT122" s="1284"/>
      <c r="AU122" s="1284"/>
      <c r="AV122" s="1756"/>
      <c r="AW122" s="690"/>
      <c r="AX122" s="690"/>
      <c r="AY122" s="690"/>
      <c r="AZ122" s="690"/>
      <c r="BA122" s="1765">
        <v>11</v>
      </c>
    </row>
    <row s="6292" customFormat="1" customHeight="1" ht="11.549999999999999">
      <c r="A123" s="1111"/>
      <c r="B123" s="1760"/>
      <c r="C123" s="1760"/>
      <c r="D123" s="475"/>
      <c r="J123" s="6292"/>
      <c r="K123" s="6292"/>
      <c r="L123" s="6292"/>
      <c r="M123" s="6292"/>
      <c r="N123" s="6292"/>
      <c r="O123" s="6292"/>
      <c r="P123" s="6292"/>
      <c r="Q123" s="6292"/>
      <c r="R123" s="6292"/>
      <c r="S123" s="6292"/>
      <c r="T123" s="6292"/>
      <c r="U123" s="6292"/>
      <c r="V123" s="6292"/>
      <c r="W123" s="6292"/>
      <c r="X123" s="6292"/>
      <c r="Y123" s="6292"/>
      <c r="Z123" s="6292"/>
      <c r="AA123" s="6292"/>
      <c r="AB123" s="6292"/>
      <c r="AC123" s="6292"/>
      <c r="AD123" s="6292"/>
      <c r="AF123" s="1284"/>
      <c r="AG123" s="1760"/>
      <c r="AH123" s="1760"/>
      <c r="AI123" s="1284"/>
      <c r="AJ123" s="1284"/>
      <c r="AK123" s="1284"/>
      <c r="AL123" s="1284"/>
      <c r="AM123" s="1760"/>
      <c r="AN123" s="1284"/>
      <c r="AO123" s="1284"/>
      <c r="AP123" s="668"/>
      <c r="AQ123" s="1284"/>
      <c r="AR123" s="1284"/>
      <c r="AS123" s="1284"/>
      <c r="AT123" s="1284"/>
      <c r="AU123" s="1284"/>
      <c r="AV123" s="1756"/>
      <c r="AW123" s="690"/>
      <c r="AX123" s="690"/>
      <c r="AY123" s="690"/>
      <c r="AZ123" s="690"/>
      <c r="BA123" s="1765">
        <v>11</v>
      </c>
    </row>
    <row s="6292" customFormat="1" customHeight="1" ht="11.549999999999999">
      <c r="A124" s="1111"/>
      <c r="B124" s="1760"/>
      <c r="C124" s="1760"/>
      <c r="D124" s="475"/>
      <c r="J124" s="6292"/>
      <c r="K124" s="6292"/>
      <c r="L124" s="6292"/>
      <c r="M124" s="6292"/>
      <c r="N124" s="6292"/>
      <c r="O124" s="6292"/>
      <c r="P124" s="6292"/>
      <c r="Q124" s="6292"/>
      <c r="R124" s="6292"/>
      <c r="S124" s="6292"/>
      <c r="T124" s="6292"/>
      <c r="U124" s="6292"/>
      <c r="V124" s="6292"/>
      <c r="W124" s="6292"/>
      <c r="X124" s="6292"/>
      <c r="Y124" s="6292"/>
      <c r="Z124" s="6292"/>
      <c r="AA124" s="6292"/>
      <c r="AB124" s="6292"/>
      <c r="AC124" s="6292"/>
      <c r="AD124" s="6292"/>
      <c r="AF124" s="1284"/>
      <c r="AG124" s="1760"/>
      <c r="AH124" s="1760"/>
      <c r="AI124" s="1284"/>
      <c r="AJ124" s="1284"/>
      <c r="AK124" s="1284"/>
      <c r="AL124" s="1284"/>
      <c r="AM124" s="1760"/>
      <c r="AN124" s="1284"/>
      <c r="AO124" s="1284"/>
      <c r="AP124" s="668"/>
      <c r="AQ124" s="1284"/>
      <c r="AR124" s="1284"/>
      <c r="AS124" s="1284"/>
      <c r="AT124" s="1284"/>
      <c r="AU124" s="1284"/>
      <c r="AV124" s="1756"/>
      <c r="AW124" s="690"/>
      <c r="AX124" s="690"/>
      <c r="AY124" s="690"/>
      <c r="AZ124" s="690"/>
      <c r="BA124" s="1765">
        <v>11</v>
      </c>
    </row>
    <row s="6292" customFormat="1" customHeight="1" ht="11.549999999999999">
      <c r="A125" s="1111"/>
      <c r="B125" s="1760"/>
      <c r="C125" s="1760"/>
      <c r="D125" s="475"/>
      <c r="J125" s="6292"/>
      <c r="K125" s="6292"/>
      <c r="L125" s="6292"/>
      <c r="M125" s="6292"/>
      <c r="N125" s="6292"/>
      <c r="O125" s="6292"/>
      <c r="P125" s="6292"/>
      <c r="Q125" s="6292"/>
      <c r="R125" s="6292"/>
      <c r="S125" s="6292"/>
      <c r="T125" s="6292"/>
      <c r="U125" s="6292"/>
      <c r="V125" s="6292"/>
      <c r="W125" s="6292"/>
      <c r="X125" s="6292"/>
      <c r="Y125" s="6292"/>
      <c r="Z125" s="6292"/>
      <c r="AA125" s="6292"/>
      <c r="AB125" s="6292"/>
      <c r="AC125" s="6292"/>
      <c r="AD125" s="6292"/>
      <c r="AF125" s="1284"/>
      <c r="AG125" s="1760"/>
      <c r="AH125" s="1760"/>
      <c r="AI125" s="1284"/>
      <c r="AJ125" s="1284"/>
      <c r="AK125" s="1284"/>
      <c r="AL125" s="1284"/>
      <c r="AM125" s="1760"/>
      <c r="AN125" s="1284"/>
      <c r="AO125" s="1284"/>
      <c r="AP125" s="668"/>
      <c r="AQ125" s="1284"/>
      <c r="AR125" s="1284"/>
      <c r="AS125" s="1284"/>
      <c r="AT125" s="1284"/>
      <c r="AU125" s="1284"/>
      <c r="AV125" s="1756"/>
      <c r="AW125" s="690"/>
      <c r="AX125" s="690"/>
      <c r="AY125" s="690"/>
      <c r="AZ125" s="690"/>
      <c r="BA125" s="1765">
        <v>11</v>
      </c>
    </row>
    <row s="6292" customFormat="1" customHeight="1" ht="11.549999999999999">
      <c r="A126" s="1111"/>
      <c r="B126" s="1760"/>
      <c r="C126" s="1760"/>
      <c r="D126" s="475"/>
      <c r="J126" s="6292"/>
      <c r="K126" s="6292"/>
      <c r="L126" s="6292"/>
      <c r="M126" s="6292"/>
      <c r="N126" s="6292"/>
      <c r="O126" s="6292"/>
      <c r="P126" s="6292"/>
      <c r="Q126" s="6292"/>
      <c r="R126" s="6292"/>
      <c r="S126" s="6292"/>
      <c r="T126" s="6292"/>
      <c r="U126" s="6292"/>
      <c r="V126" s="6292"/>
      <c r="W126" s="6292"/>
      <c r="X126" s="6292"/>
      <c r="Y126" s="6292"/>
      <c r="Z126" s="6292"/>
      <c r="AA126" s="6292"/>
      <c r="AB126" s="6292"/>
      <c r="AC126" s="6292"/>
      <c r="AD126" s="6292"/>
      <c r="AF126" s="1284"/>
      <c r="AG126" s="1760"/>
      <c r="AH126" s="1760"/>
      <c r="AI126" s="1284"/>
      <c r="AJ126" s="1284"/>
      <c r="AK126" s="1284"/>
      <c r="AL126" s="1284"/>
      <c r="AM126" s="1760"/>
      <c r="AN126" s="1284"/>
      <c r="AO126" s="1284"/>
      <c r="AP126" s="668"/>
      <c r="AQ126" s="1284"/>
      <c r="AR126" s="1284"/>
      <c r="AS126" s="1284"/>
      <c r="AT126" s="1284"/>
      <c r="AU126" s="1284"/>
      <c r="AV126" s="1756"/>
      <c r="AW126" s="690"/>
      <c r="AX126" s="690"/>
      <c r="AY126" s="690"/>
      <c r="AZ126" s="690"/>
      <c r="BA126" s="1765">
        <v>11</v>
      </c>
    </row>
    <row s="6292" customFormat="1" customHeight="1" ht="11.549999999999999">
      <c r="A127" s="1111"/>
      <c r="B127" s="1760"/>
      <c r="C127" s="1760"/>
      <c r="D127" s="475"/>
      <c r="J127" s="6292"/>
      <c r="K127" s="6292"/>
      <c r="L127" s="6292"/>
      <c r="M127" s="6292"/>
      <c r="N127" s="6292"/>
      <c r="O127" s="6292"/>
      <c r="P127" s="6292"/>
      <c r="Q127" s="6292"/>
      <c r="R127" s="6292"/>
      <c r="S127" s="6292"/>
      <c r="T127" s="6292"/>
      <c r="U127" s="6292"/>
      <c r="V127" s="6292"/>
      <c r="W127" s="6292"/>
      <c r="X127" s="6292"/>
      <c r="Y127" s="6292"/>
      <c r="Z127" s="6292"/>
      <c r="AA127" s="6292"/>
      <c r="AB127" s="6292"/>
      <c r="AC127" s="6292"/>
      <c r="AD127" s="6292"/>
      <c r="AF127" s="1284"/>
      <c r="AG127" s="1760"/>
      <c r="AH127" s="1760"/>
      <c r="AI127" s="1284"/>
      <c r="AJ127" s="1284"/>
      <c r="AK127" s="1284"/>
      <c r="AL127" s="1284"/>
      <c r="AM127" s="1760"/>
      <c r="AN127" s="1284"/>
      <c r="AO127" s="1284"/>
      <c r="AP127" s="668"/>
      <c r="AQ127" s="1284"/>
      <c r="AR127" s="1284"/>
      <c r="AS127" s="1284"/>
      <c r="AT127" s="1284"/>
      <c r="AU127" s="1284"/>
      <c r="AV127" s="1756"/>
      <c r="AW127" s="690"/>
      <c r="AX127" s="690"/>
      <c r="AY127" s="690"/>
      <c r="AZ127" s="690"/>
      <c r="BA127" s="1765">
        <v>11</v>
      </c>
    </row>
    <row s="6292" customFormat="1" customHeight="1" ht="11.549999999999999">
      <c r="A128" s="1111"/>
      <c r="B128" s="1760"/>
      <c r="C128" s="1760"/>
      <c r="D128" s="475"/>
      <c r="J128" s="6292"/>
      <c r="K128" s="6292"/>
      <c r="L128" s="6292"/>
      <c r="M128" s="6292"/>
      <c r="N128" s="6292"/>
      <c r="O128" s="6292"/>
      <c r="P128" s="6292"/>
      <c r="Q128" s="6292"/>
      <c r="R128" s="6292"/>
      <c r="S128" s="6292"/>
      <c r="T128" s="6292"/>
      <c r="U128" s="6292"/>
      <c r="V128" s="6292"/>
      <c r="W128" s="6292"/>
      <c r="X128" s="6292"/>
      <c r="Y128" s="6292"/>
      <c r="Z128" s="6292"/>
      <c r="AA128" s="6292"/>
      <c r="AB128" s="6292"/>
      <c r="AC128" s="6292"/>
      <c r="AD128" s="6292"/>
      <c r="AF128" s="1284"/>
      <c r="AG128" s="1760"/>
      <c r="AH128" s="1760"/>
      <c r="AI128" s="1284"/>
      <c r="AJ128" s="1284"/>
      <c r="AK128" s="1284"/>
      <c r="AL128" s="1284"/>
      <c r="AM128" s="1760"/>
      <c r="AN128" s="1284"/>
      <c r="AO128" s="1284"/>
      <c r="AP128" s="668"/>
      <c r="AQ128" s="1284"/>
      <c r="AR128" s="1284"/>
      <c r="AS128" s="1284"/>
      <c r="AT128" s="1284"/>
      <c r="AU128" s="1284"/>
      <c r="AV128" s="1756"/>
      <c r="AW128" s="690"/>
      <c r="AX128" s="690"/>
      <c r="AY128" s="690"/>
      <c r="AZ128" s="690"/>
      <c r="BA128" s="1765">
        <v>11</v>
      </c>
    </row>
    <row s="6292" customFormat="1" customHeight="1" ht="11.549999999999999">
      <c r="A129" s="1111"/>
      <c r="B129" s="1760"/>
      <c r="C129" s="1760"/>
      <c r="D129" s="475"/>
      <c r="J129" s="6292"/>
      <c r="K129" s="6292"/>
      <c r="L129" s="6292"/>
      <c r="M129" s="6292"/>
      <c r="N129" s="6292"/>
      <c r="O129" s="6292"/>
      <c r="P129" s="6292"/>
      <c r="Q129" s="6292"/>
      <c r="R129" s="6292"/>
      <c r="S129" s="6292"/>
      <c r="T129" s="6292"/>
      <c r="U129" s="6292"/>
      <c r="V129" s="6292"/>
      <c r="W129" s="6292"/>
      <c r="X129" s="6292"/>
      <c r="Y129" s="6292"/>
      <c r="Z129" s="6292"/>
      <c r="AA129" s="6292"/>
      <c r="AB129" s="6292"/>
      <c r="AC129" s="6292"/>
      <c r="AD129" s="6292"/>
      <c r="AF129" s="1284"/>
      <c r="AG129" s="1760"/>
      <c r="AH129" s="1760"/>
      <c r="AI129" s="1284"/>
      <c r="AJ129" s="1284"/>
      <c r="AK129" s="1284"/>
      <c r="AL129" s="1284"/>
      <c r="AM129" s="1760"/>
      <c r="AN129" s="1284"/>
      <c r="AO129" s="1284"/>
      <c r="AP129" s="668"/>
      <c r="AQ129" s="1284"/>
      <c r="AR129" s="1284"/>
      <c r="AS129" s="1284"/>
      <c r="AT129" s="1284"/>
      <c r="AU129" s="1284"/>
      <c r="AV129" s="1756"/>
      <c r="AW129" s="690"/>
      <c r="AX129" s="690"/>
      <c r="AY129" s="690"/>
      <c r="AZ129" s="690"/>
      <c r="BA129" s="1765">
        <v>11</v>
      </c>
    </row>
    <row s="6292" customFormat="1" customHeight="1" ht="11.549999999999999">
      <c r="A130" s="1111"/>
      <c r="B130" s="1760"/>
      <c r="C130" s="1760"/>
      <c r="D130" s="475"/>
      <c r="J130" s="6292"/>
      <c r="K130" s="6292"/>
      <c r="L130" s="6292"/>
      <c r="M130" s="6292"/>
      <c r="N130" s="6292"/>
      <c r="O130" s="6292"/>
      <c r="P130" s="6292"/>
      <c r="Q130" s="6292"/>
      <c r="R130" s="6292"/>
      <c r="S130" s="6292"/>
      <c r="T130" s="6292"/>
      <c r="U130" s="6292"/>
      <c r="V130" s="6292"/>
      <c r="W130" s="6292"/>
      <c r="X130" s="6292"/>
      <c r="Y130" s="6292"/>
      <c r="Z130" s="6292"/>
      <c r="AA130" s="6292"/>
      <c r="AB130" s="6292"/>
      <c r="AC130" s="6292"/>
      <c r="AD130" s="6292"/>
      <c r="AF130" s="1284"/>
      <c r="AG130" s="1760"/>
      <c r="AH130" s="1760"/>
      <c r="AI130" s="1284"/>
      <c r="AJ130" s="1284"/>
      <c r="AK130" s="1284"/>
      <c r="AL130" s="1284"/>
      <c r="AM130" s="1760"/>
      <c r="AN130" s="1284"/>
      <c r="AO130" s="1284"/>
      <c r="AP130" s="668"/>
      <c r="AQ130" s="1284"/>
      <c r="AR130" s="1284"/>
      <c r="AS130" s="1284"/>
      <c r="AT130" s="1284"/>
      <c r="AU130" s="1284"/>
      <c r="AV130" s="1756"/>
      <c r="AW130" s="690"/>
      <c r="AX130" s="690"/>
      <c r="AY130" s="690"/>
      <c r="AZ130" s="690"/>
      <c r="BA130" s="1765">
        <v>11</v>
      </c>
    </row>
    <row s="6292" customFormat="1" customHeight="1" ht="11.549999999999999">
      <c r="A131" s="1111"/>
      <c r="B131" s="1760"/>
      <c r="C131" s="1760"/>
      <c r="D131" s="475"/>
      <c r="J131" s="6292"/>
      <c r="K131" s="6292"/>
      <c r="L131" s="6292"/>
      <c r="M131" s="6292"/>
      <c r="N131" s="6292"/>
      <c r="O131" s="6292"/>
      <c r="P131" s="6292"/>
      <c r="Q131" s="6292"/>
      <c r="R131" s="6292"/>
      <c r="S131" s="6292"/>
      <c r="T131" s="6292"/>
      <c r="U131" s="6292"/>
      <c r="V131" s="6292"/>
      <c r="W131" s="6292"/>
      <c r="X131" s="6292"/>
      <c r="Y131" s="6292"/>
      <c r="Z131" s="6292"/>
      <c r="AA131" s="6292"/>
      <c r="AB131" s="6292"/>
      <c r="AC131" s="6292"/>
      <c r="AD131" s="6292"/>
      <c r="AF131" s="1284"/>
      <c r="AG131" s="1760"/>
      <c r="AH131" s="1760"/>
      <c r="AI131" s="1284"/>
      <c r="AJ131" s="1284"/>
      <c r="AK131" s="1284"/>
      <c r="AL131" s="1284"/>
      <c r="AM131" s="1760"/>
      <c r="AN131" s="1284"/>
      <c r="AO131" s="1284"/>
      <c r="AP131" s="668"/>
      <c r="AQ131" s="1284"/>
      <c r="AR131" s="1284"/>
      <c r="AS131" s="1284"/>
      <c r="AT131" s="1284"/>
      <c r="AU131" s="1284"/>
      <c r="AV131" s="1756"/>
      <c r="AW131" s="690"/>
      <c r="AX131" s="690"/>
      <c r="AY131" s="690"/>
      <c r="AZ131" s="690"/>
      <c r="BA131" s="1765">
        <v>11</v>
      </c>
    </row>
    <row s="6292" customFormat="1" customHeight="1" ht="11.549999999999999">
      <c r="A132" s="1111"/>
      <c r="B132" s="1760"/>
      <c r="C132" s="1760"/>
      <c r="D132" s="475"/>
      <c r="J132" s="6292"/>
      <c r="K132" s="6292"/>
      <c r="L132" s="6292"/>
      <c r="M132" s="6292"/>
      <c r="N132" s="6292"/>
      <c r="O132" s="6292"/>
      <c r="P132" s="6292"/>
      <c r="Q132" s="6292"/>
      <c r="R132" s="6292"/>
      <c r="S132" s="6292"/>
      <c r="T132" s="6292"/>
      <c r="U132" s="6292"/>
      <c r="V132" s="6292"/>
      <c r="W132" s="6292"/>
      <c r="X132" s="6292"/>
      <c r="Y132" s="6292"/>
      <c r="Z132" s="6292"/>
      <c r="AA132" s="6292"/>
      <c r="AB132" s="6292"/>
      <c r="AC132" s="6292"/>
      <c r="AD132" s="6292"/>
      <c r="AF132" s="1284"/>
      <c r="AG132" s="1760"/>
      <c r="AH132" s="1760"/>
      <c r="AI132" s="1284"/>
      <c r="AJ132" s="1284"/>
      <c r="AK132" s="1284"/>
      <c r="AL132" s="1284"/>
      <c r="AM132" s="1760"/>
      <c r="AN132" s="1284"/>
      <c r="AO132" s="1284"/>
      <c r="AP132" s="668"/>
      <c r="AQ132" s="1284"/>
      <c r="AR132" s="1284"/>
      <c r="AS132" s="1284"/>
      <c r="AT132" s="1284"/>
      <c r="AU132" s="1284"/>
      <c r="AV132" s="1756"/>
      <c r="AW132" s="690"/>
      <c r="AX132" s="690"/>
      <c r="AY132" s="690"/>
      <c r="AZ132" s="690"/>
      <c r="BA132" s="1765">
        <v>11</v>
      </c>
    </row>
    <row s="6292" customFormat="1" customHeight="1" ht="11.549999999999999">
      <c r="A133" s="1111"/>
      <c r="B133" s="1760"/>
      <c r="C133" s="1760"/>
      <c r="D133" s="475"/>
      <c r="J133" s="6292"/>
      <c r="K133" s="6292"/>
      <c r="L133" s="6292"/>
      <c r="M133" s="6292"/>
      <c r="N133" s="6292"/>
      <c r="O133" s="6292"/>
      <c r="P133" s="6292"/>
      <c r="Q133" s="6292"/>
      <c r="R133" s="6292"/>
      <c r="S133" s="6292"/>
      <c r="T133" s="6292"/>
      <c r="U133" s="6292"/>
      <c r="V133" s="6292"/>
      <c r="W133" s="6292"/>
      <c r="X133" s="6292"/>
      <c r="Y133" s="6292"/>
      <c r="Z133" s="6292"/>
      <c r="AA133" s="6292"/>
      <c r="AB133" s="6292"/>
      <c r="AC133" s="6292"/>
      <c r="AD133" s="6292"/>
      <c r="AF133" s="1284"/>
      <c r="AG133" s="1760"/>
      <c r="AH133" s="1760"/>
      <c r="AI133" s="1284"/>
      <c r="AJ133" s="1284"/>
      <c r="AK133" s="1284"/>
      <c r="AL133" s="1284"/>
      <c r="AM133" s="1760"/>
      <c r="AN133" s="1284"/>
      <c r="AO133" s="1284"/>
      <c r="AP133" s="668"/>
      <c r="AQ133" s="1284"/>
      <c r="AR133" s="1284"/>
      <c r="AS133" s="1284"/>
      <c r="AT133" s="1284"/>
      <c r="AU133" s="1284"/>
      <c r="AV133" s="1756"/>
      <c r="AW133" s="690"/>
      <c r="AX133" s="690"/>
      <c r="AY133" s="690"/>
      <c r="AZ133" s="690"/>
      <c r="BA133" s="1765">
        <v>11</v>
      </c>
    </row>
    <row s="6292" customFormat="1" customHeight="1" ht="11.549999999999999">
      <c r="A134" s="1111"/>
      <c r="B134" s="1760"/>
      <c r="C134" s="1760"/>
      <c r="D134" s="475"/>
      <c r="J134" s="6292"/>
      <c r="K134" s="6292"/>
      <c r="L134" s="6292"/>
      <c r="M134" s="6292"/>
      <c r="N134" s="6292"/>
      <c r="O134" s="6292"/>
      <c r="P134" s="6292"/>
      <c r="Q134" s="6292"/>
      <c r="R134" s="6292"/>
      <c r="S134" s="6292"/>
      <c r="T134" s="6292"/>
      <c r="U134" s="6292"/>
      <c r="V134" s="6292"/>
      <c r="W134" s="6292"/>
      <c r="X134" s="6292"/>
      <c r="Y134" s="6292"/>
      <c r="Z134" s="6292"/>
      <c r="AA134" s="6292"/>
      <c r="AB134" s="6292"/>
      <c r="AC134" s="6292"/>
      <c r="AD134" s="6292"/>
      <c r="AF134" s="1284"/>
      <c r="AG134" s="1760"/>
      <c r="AH134" s="1760"/>
      <c r="AI134" s="1284"/>
      <c r="AJ134" s="1284"/>
      <c r="AK134" s="1284"/>
      <c r="AL134" s="1284"/>
      <c r="AM134" s="1760"/>
      <c r="AN134" s="1284"/>
      <c r="AO134" s="1284"/>
      <c r="AP134" s="668"/>
      <c r="AQ134" s="1284"/>
      <c r="AR134" s="1284"/>
      <c r="AS134" s="1284"/>
      <c r="AT134" s="1284"/>
      <c r="AU134" s="1284"/>
      <c r="AV134" s="1756"/>
      <c r="AW134" s="690"/>
      <c r="AX134" s="690"/>
      <c r="AY134" s="690"/>
      <c r="AZ134" s="690"/>
      <c r="BA134" s="1765">
        <v>11</v>
      </c>
    </row>
    <row s="6292" customFormat="1" customHeight="1" ht="11.549999999999999">
      <c r="A135" s="1111"/>
      <c r="B135" s="1760"/>
      <c r="C135" s="1760"/>
      <c r="D135" s="475"/>
      <c r="J135" s="6292"/>
      <c r="K135" s="6292"/>
      <c r="L135" s="6292"/>
      <c r="M135" s="6292"/>
      <c r="N135" s="6292"/>
      <c r="O135" s="6292"/>
      <c r="P135" s="6292"/>
      <c r="Q135" s="6292"/>
      <c r="R135" s="6292"/>
      <c r="S135" s="6292"/>
      <c r="T135" s="6292"/>
      <c r="U135" s="6292"/>
      <c r="V135" s="6292"/>
      <c r="W135" s="6292"/>
      <c r="X135" s="6292"/>
      <c r="Y135" s="6292"/>
      <c r="Z135" s="6292"/>
      <c r="AA135" s="6292"/>
      <c r="AB135" s="6292"/>
      <c r="AC135" s="6292"/>
      <c r="AD135" s="6292"/>
      <c r="AF135" s="1284"/>
      <c r="AG135" s="1760"/>
      <c r="AH135" s="1760"/>
      <c r="AI135" s="1284"/>
      <c r="AJ135" s="1284"/>
      <c r="AK135" s="1284"/>
      <c r="AL135" s="1284"/>
      <c r="AM135" s="1760"/>
      <c r="AN135" s="1284"/>
      <c r="AO135" s="1284"/>
      <c r="AP135" s="668"/>
      <c r="AQ135" s="1284"/>
      <c r="AR135" s="1284"/>
      <c r="AS135" s="1284"/>
      <c r="AT135" s="1284"/>
      <c r="AU135" s="1284"/>
      <c r="AV135" s="1756"/>
      <c r="AW135" s="690"/>
      <c r="AX135" s="690"/>
      <c r="AY135" s="690"/>
      <c r="AZ135" s="690"/>
      <c r="BA135" s="1765">
        <v>11</v>
      </c>
    </row>
    <row s="6292" customFormat="1" customHeight="1" ht="11.549999999999999">
      <c r="A136" s="1111"/>
      <c r="B136" s="1760"/>
      <c r="C136" s="1760"/>
      <c r="D136" s="475"/>
      <c r="J136" s="6292"/>
      <c r="K136" s="6292"/>
      <c r="L136" s="6292"/>
      <c r="M136" s="6292"/>
      <c r="N136" s="6292"/>
      <c r="O136" s="6292"/>
      <c r="P136" s="6292"/>
      <c r="Q136" s="6292"/>
      <c r="R136" s="6292"/>
      <c r="S136" s="6292"/>
      <c r="T136" s="6292"/>
      <c r="U136" s="6292"/>
      <c r="V136" s="6292"/>
      <c r="W136" s="6292"/>
      <c r="X136" s="6292"/>
      <c r="Y136" s="6292"/>
      <c r="Z136" s="6292"/>
      <c r="AA136" s="6292"/>
      <c r="AB136" s="6292"/>
      <c r="AC136" s="6292"/>
      <c r="AD136" s="6292"/>
      <c r="AF136" s="1284"/>
      <c r="AG136" s="1760"/>
      <c r="AH136" s="1760"/>
      <c r="AI136" s="1284"/>
      <c r="AJ136" s="1284"/>
      <c r="AK136" s="1284"/>
      <c r="AL136" s="1284"/>
      <c r="AM136" s="1760"/>
      <c r="AN136" s="1284"/>
      <c r="AO136" s="1284"/>
      <c r="AP136" s="668"/>
      <c r="AQ136" s="1284"/>
      <c r="AR136" s="1284"/>
      <c r="AS136" s="1284"/>
      <c r="AT136" s="1284"/>
      <c r="AU136" s="1284"/>
      <c r="AV136" s="1756"/>
      <c r="AW136" s="690"/>
      <c r="AX136" s="690"/>
      <c r="AY136" s="690"/>
      <c r="AZ136" s="690"/>
      <c r="BA136" s="1765">
        <v>11</v>
      </c>
    </row>
    <row s="6292" customFormat="1" customHeight="1" ht="11.549999999999999">
      <c r="A137" s="1111"/>
      <c r="B137" s="1760"/>
      <c r="C137" s="1760"/>
      <c r="D137" s="475"/>
      <c r="J137" s="6292"/>
      <c r="K137" s="6292"/>
      <c r="L137" s="6292"/>
      <c r="M137" s="6292"/>
      <c r="N137" s="6292"/>
      <c r="O137" s="6292"/>
      <c r="P137" s="6292"/>
      <c r="Q137" s="6292"/>
      <c r="R137" s="6292"/>
      <c r="S137" s="6292"/>
      <c r="T137" s="6292"/>
      <c r="U137" s="6292"/>
      <c r="V137" s="6292"/>
      <c r="W137" s="6292"/>
      <c r="X137" s="6292"/>
      <c r="Y137" s="6292"/>
      <c r="Z137" s="6292"/>
      <c r="AA137" s="6292"/>
      <c r="AB137" s="6292"/>
      <c r="AC137" s="6292"/>
      <c r="AD137" s="6292"/>
      <c r="AF137" s="1284"/>
      <c r="AG137" s="1760"/>
      <c r="AH137" s="1760"/>
      <c r="AI137" s="1284"/>
      <c r="AJ137" s="1284"/>
      <c r="AK137" s="1284"/>
      <c r="AL137" s="1284"/>
      <c r="AM137" s="1760"/>
      <c r="AN137" s="1284"/>
      <c r="AO137" s="1284"/>
      <c r="AP137" s="668"/>
      <c r="AQ137" s="1284"/>
      <c r="AR137" s="1284"/>
      <c r="AS137" s="1284"/>
      <c r="AT137" s="1284"/>
      <c r="AU137" s="1284"/>
      <c r="AV137" s="1756"/>
      <c r="AW137" s="690"/>
      <c r="AX137" s="690"/>
      <c r="AY137" s="690"/>
      <c r="AZ137" s="690"/>
      <c r="BA137" s="1765">
        <v>11</v>
      </c>
    </row>
    <row s="6292" customFormat="1" customHeight="1" ht="11.549999999999999">
      <c r="A138" s="1111"/>
      <c r="B138" s="1760"/>
      <c r="C138" s="1760"/>
      <c r="D138" s="475"/>
      <c r="J138" s="6292"/>
      <c r="K138" s="6292"/>
      <c r="L138" s="6292"/>
      <c r="M138" s="6292"/>
      <c r="N138" s="6292"/>
      <c r="O138" s="6292"/>
      <c r="P138" s="6292"/>
      <c r="Q138" s="6292"/>
      <c r="R138" s="6292"/>
      <c r="S138" s="6292"/>
      <c r="T138" s="6292"/>
      <c r="U138" s="6292"/>
      <c r="V138" s="6292"/>
      <c r="W138" s="6292"/>
      <c r="X138" s="6292"/>
      <c r="Y138" s="6292"/>
      <c r="Z138" s="6292"/>
      <c r="AA138" s="6292"/>
      <c r="AB138" s="6292"/>
      <c r="AC138" s="6292"/>
      <c r="AD138" s="6292"/>
      <c r="AF138" s="1284"/>
      <c r="AG138" s="1760"/>
      <c r="AH138" s="1760"/>
      <c r="AI138" s="1284"/>
      <c r="AJ138" s="1284"/>
      <c r="AK138" s="1284"/>
      <c r="AL138" s="1284"/>
      <c r="AM138" s="1760"/>
      <c r="AN138" s="1284"/>
      <c r="AO138" s="1284"/>
      <c r="AP138" s="668"/>
      <c r="AQ138" s="1284"/>
      <c r="AR138" s="1284"/>
      <c r="AS138" s="1284"/>
      <c r="AT138" s="1284"/>
      <c r="AU138" s="1284"/>
      <c r="AV138" s="1756"/>
      <c r="AW138" s="690"/>
      <c r="AX138" s="690"/>
      <c r="AY138" s="690"/>
      <c r="AZ138" s="690"/>
      <c r="BA138" s="1765">
        <v>11</v>
      </c>
    </row>
    <row s="6292" customFormat="1" customHeight="1" ht="11.549999999999999">
      <c r="A139" s="1111"/>
      <c r="B139" s="1760"/>
      <c r="C139" s="1760"/>
      <c r="D139" s="475"/>
      <c r="J139" s="6292"/>
      <c r="K139" s="6292"/>
      <c r="L139" s="6292"/>
      <c r="M139" s="6292"/>
      <c r="N139" s="6292"/>
      <c r="O139" s="6292"/>
      <c r="P139" s="6292"/>
      <c r="Q139" s="6292"/>
      <c r="R139" s="6292"/>
      <c r="S139" s="6292"/>
      <c r="T139" s="6292"/>
      <c r="U139" s="6292"/>
      <c r="V139" s="6292"/>
      <c r="W139" s="6292"/>
      <c r="X139" s="6292"/>
      <c r="Y139" s="6292"/>
      <c r="Z139" s="6292"/>
      <c r="AA139" s="6292"/>
      <c r="AB139" s="6292"/>
      <c r="AC139" s="6292"/>
      <c r="AD139" s="6292"/>
      <c r="AF139" s="1284"/>
      <c r="AG139" s="1760"/>
      <c r="AH139" s="1760"/>
      <c r="AI139" s="1284"/>
      <c r="AJ139" s="1284"/>
      <c r="AK139" s="1284"/>
      <c r="AL139" s="1284"/>
      <c r="AM139" s="1760"/>
      <c r="AN139" s="1284"/>
      <c r="AO139" s="1284"/>
      <c r="AP139" s="668"/>
      <c r="AQ139" s="1284"/>
      <c r="AR139" s="1284"/>
      <c r="AS139" s="1284"/>
      <c r="AT139" s="1284"/>
      <c r="AU139" s="1284"/>
      <c r="AV139" s="1756"/>
      <c r="AW139" s="690"/>
      <c r="AX139" s="690"/>
      <c r="AY139" s="690"/>
      <c r="AZ139" s="690"/>
      <c r="BA139" s="1765">
        <v>11</v>
      </c>
    </row>
    <row s="6292" customFormat="1" customHeight="1" ht="11.549999999999999">
      <c r="A140" s="1111"/>
      <c r="B140" s="1760"/>
      <c r="C140" s="1760"/>
      <c r="D140" s="475"/>
      <c r="J140" s="6292"/>
      <c r="K140" s="6292"/>
      <c r="L140" s="6292"/>
      <c r="M140" s="6292"/>
      <c r="N140" s="6292"/>
      <c r="O140" s="6292"/>
      <c r="P140" s="6292"/>
      <c r="Q140" s="6292"/>
      <c r="R140" s="6292"/>
      <c r="S140" s="6292"/>
      <c r="T140" s="6292"/>
      <c r="U140" s="6292"/>
      <c r="V140" s="6292"/>
      <c r="W140" s="6292"/>
      <c r="X140" s="6292"/>
      <c r="Y140" s="6292"/>
      <c r="Z140" s="6292"/>
      <c r="AA140" s="6292"/>
      <c r="AB140" s="6292"/>
      <c r="AC140" s="6292"/>
      <c r="AD140" s="6292"/>
      <c r="AF140" s="1284"/>
      <c r="AG140" s="1760"/>
      <c r="AH140" s="1760"/>
      <c r="AI140" s="1284"/>
      <c r="AJ140" s="1284"/>
      <c r="AK140" s="1284"/>
      <c r="AL140" s="1284"/>
      <c r="AM140" s="1760"/>
      <c r="AN140" s="1284"/>
      <c r="AO140" s="1284"/>
      <c r="AP140" s="668"/>
      <c r="AQ140" s="1284"/>
      <c r="AR140" s="1284"/>
      <c r="AS140" s="1284"/>
      <c r="AT140" s="1284"/>
      <c r="AU140" s="1284"/>
      <c r="AV140" s="1756"/>
      <c r="AW140" s="690"/>
      <c r="AX140" s="690"/>
      <c r="AY140" s="690"/>
      <c r="AZ140" s="690"/>
      <c r="BA140" s="1765">
        <v>11</v>
      </c>
    </row>
    <row s="6292" customFormat="1" customHeight="1" ht="11.549999999999999">
      <c r="A141" s="1111"/>
      <c r="B141" s="1760"/>
      <c r="C141" s="1760"/>
      <c r="D141" s="475"/>
      <c r="J141" s="6292"/>
      <c r="K141" s="6292"/>
      <c r="L141" s="6292"/>
      <c r="M141" s="6292"/>
      <c r="N141" s="6292"/>
      <c r="O141" s="6292"/>
      <c r="P141" s="6292"/>
      <c r="Q141" s="6292"/>
      <c r="R141" s="6292"/>
      <c r="S141" s="6292"/>
      <c r="T141" s="6292"/>
      <c r="U141" s="6292"/>
      <c r="V141" s="6292"/>
      <c r="W141" s="6292"/>
      <c r="X141" s="6292"/>
      <c r="Y141" s="6292"/>
      <c r="Z141" s="6292"/>
      <c r="AA141" s="6292"/>
      <c r="AB141" s="6292"/>
      <c r="AC141" s="6292"/>
      <c r="AD141" s="6292"/>
      <c r="AF141" s="1284"/>
      <c r="AG141" s="1760"/>
      <c r="AH141" s="1760"/>
      <c r="AI141" s="1284"/>
      <c r="AJ141" s="1284"/>
      <c r="AK141" s="1284"/>
      <c r="AL141" s="1284"/>
      <c r="AM141" s="1760"/>
      <c r="AN141" s="1284"/>
      <c r="AO141" s="1284"/>
      <c r="AP141" s="668"/>
      <c r="AQ141" s="1284"/>
      <c r="AR141" s="1284"/>
      <c r="AS141" s="1284"/>
      <c r="AT141" s="1284"/>
      <c r="AU141" s="1284"/>
      <c r="AV141" s="1756"/>
      <c r="AW141" s="690"/>
      <c r="AX141" s="690"/>
      <c r="AY141" s="690"/>
      <c r="AZ141" s="690"/>
      <c r="BA141" s="1765">
        <v>11</v>
      </c>
    </row>
    <row s="6292" customFormat="1" customHeight="1" ht="11.549999999999999">
      <c r="A142" s="1111"/>
      <c r="B142" s="1760"/>
      <c r="C142" s="1760"/>
      <c r="D142" s="475"/>
      <c r="J142" s="6292"/>
      <c r="K142" s="6292"/>
      <c r="L142" s="6292"/>
      <c r="M142" s="6292"/>
      <c r="N142" s="6292"/>
      <c r="O142" s="6292"/>
      <c r="P142" s="6292"/>
      <c r="Q142" s="6292"/>
      <c r="R142" s="6292"/>
      <c r="S142" s="6292"/>
      <c r="T142" s="6292"/>
      <c r="U142" s="6292"/>
      <c r="V142" s="6292"/>
      <c r="W142" s="6292"/>
      <c r="X142" s="6292"/>
      <c r="Y142" s="6292"/>
      <c r="Z142" s="6292"/>
      <c r="AA142" s="6292"/>
      <c r="AB142" s="6292"/>
      <c r="AC142" s="6292"/>
      <c r="AD142" s="6292"/>
      <c r="AF142" s="1284"/>
      <c r="AG142" s="1760"/>
      <c r="AH142" s="1760"/>
      <c r="AI142" s="1284"/>
      <c r="AJ142" s="1284"/>
      <c r="AK142" s="1284"/>
      <c r="AL142" s="1284"/>
      <c r="AM142" s="1760"/>
      <c r="AN142" s="1284"/>
      <c r="AO142" s="1284"/>
      <c r="AP142" s="668"/>
      <c r="AQ142" s="1284"/>
      <c r="AR142" s="1284"/>
      <c r="AS142" s="1284"/>
      <c r="AT142" s="1284"/>
      <c r="AU142" s="1284"/>
      <c r="AV142" s="1756"/>
      <c r="AW142" s="690"/>
      <c r="AX142" s="690"/>
      <c r="AY142" s="690"/>
      <c r="AZ142" s="690"/>
      <c r="BA142" s="1765">
        <v>11</v>
      </c>
    </row>
    <row s="6292" customFormat="1" customHeight="1" ht="11.549999999999999">
      <c r="A143" s="1111"/>
      <c r="B143" s="1760"/>
      <c r="C143" s="1760"/>
      <c r="D143" s="475"/>
      <c r="J143" s="6292"/>
      <c r="K143" s="6292"/>
      <c r="L143" s="6292"/>
      <c r="M143" s="6292"/>
      <c r="N143" s="6292"/>
      <c r="O143" s="6292"/>
      <c r="P143" s="6292"/>
      <c r="Q143" s="6292"/>
      <c r="R143" s="6292"/>
      <c r="S143" s="6292"/>
      <c r="T143" s="6292"/>
      <c r="U143" s="6292"/>
      <c r="V143" s="6292"/>
      <c r="W143" s="6292"/>
      <c r="X143" s="6292"/>
      <c r="Y143" s="6292"/>
      <c r="Z143" s="6292"/>
      <c r="AA143" s="6292"/>
      <c r="AB143" s="6292"/>
      <c r="AC143" s="6292"/>
      <c r="AD143" s="6292"/>
      <c r="AF143" s="1284"/>
      <c r="AG143" s="1760"/>
      <c r="AH143" s="1760"/>
      <c r="AI143" s="1284"/>
      <c r="AJ143" s="1284"/>
      <c r="AK143" s="1284"/>
      <c r="AL143" s="1284"/>
      <c r="AM143" s="1760"/>
      <c r="AN143" s="1284"/>
      <c r="AO143" s="1284"/>
      <c r="AP143" s="668"/>
      <c r="AQ143" s="1284"/>
      <c r="AR143" s="1284"/>
      <c r="AS143" s="1284"/>
      <c r="AT143" s="1284"/>
      <c r="AU143" s="1284"/>
      <c r="AV143" s="1756"/>
      <c r="AW143" s="690"/>
      <c r="AX143" s="690"/>
      <c r="AY143" s="690"/>
      <c r="AZ143" s="690"/>
      <c r="BA143" s="1765">
        <v>11</v>
      </c>
    </row>
    <row s="6292" customFormat="1" customHeight="1" ht="11.549999999999999">
      <c r="A144" s="1111"/>
      <c r="B144" s="1760"/>
      <c r="C144" s="1760"/>
      <c r="D144" s="475"/>
      <c r="J144" s="6292"/>
      <c r="K144" s="6292"/>
      <c r="L144" s="6292"/>
      <c r="M144" s="6292"/>
      <c r="N144" s="6292"/>
      <c r="O144" s="6292"/>
      <c r="P144" s="6292"/>
      <c r="Q144" s="6292"/>
      <c r="R144" s="6292"/>
      <c r="S144" s="6292"/>
      <c r="T144" s="6292"/>
      <c r="U144" s="6292"/>
      <c r="V144" s="6292"/>
      <c r="W144" s="6292"/>
      <c r="X144" s="6292"/>
      <c r="Y144" s="6292"/>
      <c r="Z144" s="6292"/>
      <c r="AA144" s="6292"/>
      <c r="AB144" s="6292"/>
      <c r="AC144" s="6292"/>
      <c r="AD144" s="6292"/>
      <c r="AF144" s="1284"/>
      <c r="AG144" s="1760"/>
      <c r="AH144" s="1760"/>
      <c r="AI144" s="1284"/>
      <c r="AJ144" s="1284"/>
      <c r="AK144" s="1284"/>
      <c r="AL144" s="1284"/>
      <c r="AM144" s="1760"/>
      <c r="AN144" s="1284"/>
      <c r="AO144" s="1284"/>
      <c r="AP144" s="668"/>
      <c r="AQ144" s="1284"/>
      <c r="AR144" s="1284"/>
      <c r="AS144" s="1284"/>
      <c r="AT144" s="1284"/>
      <c r="AU144" s="1284"/>
      <c r="AV144" s="1756"/>
      <c r="AW144" s="690"/>
      <c r="AX144" s="690"/>
      <c r="AY144" s="690"/>
      <c r="AZ144" s="690"/>
      <c r="BA144" s="1765">
        <v>11</v>
      </c>
    </row>
    <row s="6292" customFormat="1" customHeight="1" ht="11.549999999999999">
      <c r="A145" s="1111"/>
      <c r="B145" s="1760"/>
      <c r="C145" s="1760"/>
      <c r="D145" s="475"/>
      <c r="J145" s="6292"/>
      <c r="K145" s="6292"/>
      <c r="L145" s="6292"/>
      <c r="M145" s="6292"/>
      <c r="N145" s="6292"/>
      <c r="O145" s="6292"/>
      <c r="P145" s="6292"/>
      <c r="Q145" s="6292"/>
      <c r="R145" s="6292"/>
      <c r="S145" s="6292"/>
      <c r="T145" s="6292"/>
      <c r="U145" s="6292"/>
      <c r="V145" s="6292"/>
      <c r="W145" s="6292"/>
      <c r="X145" s="6292"/>
      <c r="Y145" s="6292"/>
      <c r="Z145" s="6292"/>
      <c r="AA145" s="6292"/>
      <c r="AB145" s="6292"/>
      <c r="AC145" s="6292"/>
      <c r="AD145" s="6292"/>
      <c r="AF145" s="1284"/>
      <c r="AG145" s="1760"/>
      <c r="AH145" s="1760"/>
      <c r="AI145" s="1284"/>
      <c r="AJ145" s="1284"/>
      <c r="AK145" s="1284"/>
      <c r="AL145" s="1284"/>
      <c r="AM145" s="1760"/>
      <c r="AN145" s="1284"/>
      <c r="AO145" s="1284"/>
      <c r="AP145" s="668"/>
      <c r="AQ145" s="1284"/>
      <c r="AR145" s="1284"/>
      <c r="AS145" s="1284"/>
      <c r="AT145" s="1284"/>
      <c r="AU145" s="1284"/>
      <c r="AV145" s="1756"/>
      <c r="AW145" s="690"/>
      <c r="AX145" s="690"/>
      <c r="AY145" s="690"/>
      <c r="AZ145" s="690"/>
      <c r="BA145" s="1765">
        <v>11</v>
      </c>
    </row>
    <row s="6292" customFormat="1" customHeight="1" ht="11.549999999999999">
      <c r="A146" s="1111"/>
      <c r="B146" s="1760"/>
      <c r="C146" s="1760"/>
      <c r="D146" s="475"/>
      <c r="J146" s="6292"/>
      <c r="K146" s="6292"/>
      <c r="L146" s="6292"/>
      <c r="M146" s="6292"/>
      <c r="N146" s="6292"/>
      <c r="O146" s="6292"/>
      <c r="P146" s="6292"/>
      <c r="Q146" s="6292"/>
      <c r="R146" s="6292"/>
      <c r="S146" s="6292"/>
      <c r="T146" s="6292"/>
      <c r="U146" s="6292"/>
      <c r="V146" s="6292"/>
      <c r="W146" s="6292"/>
      <c r="X146" s="6292"/>
      <c r="Y146" s="6292"/>
      <c r="Z146" s="6292"/>
      <c r="AA146" s="6292"/>
      <c r="AB146" s="6292"/>
      <c r="AC146" s="6292"/>
      <c r="AD146" s="6292"/>
      <c r="AF146" s="1284"/>
      <c r="AG146" s="1760"/>
      <c r="AH146" s="1760"/>
      <c r="AI146" s="1284"/>
      <c r="AJ146" s="1284"/>
      <c r="AK146" s="1284"/>
      <c r="AL146" s="1284"/>
      <c r="AM146" s="1760"/>
      <c r="AN146" s="1284"/>
      <c r="AO146" s="1284"/>
      <c r="AP146" s="668"/>
      <c r="AQ146" s="1284"/>
      <c r="AR146" s="1284"/>
      <c r="AS146" s="1284"/>
      <c r="AT146" s="1284"/>
      <c r="AU146" s="1284"/>
      <c r="AV146" s="1756"/>
      <c r="AW146" s="690"/>
      <c r="AX146" s="690"/>
      <c r="AY146" s="690"/>
      <c r="AZ146" s="690"/>
      <c r="BA146" s="1765">
        <v>11</v>
      </c>
    </row>
    <row s="6292" customFormat="1" customHeight="1" ht="11.549999999999999">
      <c r="A147" s="1111"/>
      <c r="B147" s="1760"/>
      <c r="C147" s="1760"/>
      <c r="D147" s="475"/>
      <c r="J147" s="6292"/>
      <c r="K147" s="6292"/>
      <c r="L147" s="6292"/>
      <c r="M147" s="6292"/>
      <c r="N147" s="6292"/>
      <c r="O147" s="6292"/>
      <c r="P147" s="6292"/>
      <c r="Q147" s="6292"/>
      <c r="R147" s="6292"/>
      <c r="S147" s="6292"/>
      <c r="T147" s="6292"/>
      <c r="U147" s="6292"/>
      <c r="V147" s="6292"/>
      <c r="W147" s="6292"/>
      <c r="X147" s="6292"/>
      <c r="Y147" s="6292"/>
      <c r="Z147" s="6292"/>
      <c r="AA147" s="6292"/>
      <c r="AB147" s="6292"/>
      <c r="AC147" s="6292"/>
      <c r="AD147" s="6292"/>
      <c r="AF147" s="1284"/>
      <c r="AG147" s="1760"/>
      <c r="AH147" s="1760"/>
      <c r="AI147" s="1284"/>
      <c r="AJ147" s="1284"/>
      <c r="AK147" s="1284"/>
      <c r="AL147" s="1284"/>
      <c r="AM147" s="1760"/>
      <c r="AN147" s="1284"/>
      <c r="AO147" s="1284"/>
      <c r="AP147" s="668"/>
      <c r="AQ147" s="1284"/>
      <c r="AR147" s="1284"/>
      <c r="AS147" s="1284"/>
      <c r="AT147" s="1284"/>
      <c r="AU147" s="1284"/>
      <c r="AV147" s="1756"/>
      <c r="AW147" s="690"/>
      <c r="AX147" s="690"/>
      <c r="AY147" s="690"/>
      <c r="AZ147" s="690"/>
      <c r="BA147" s="1765">
        <v>11</v>
      </c>
    </row>
    <row s="6292" customFormat="1" customHeight="1" ht="11.549999999999999">
      <c r="A148" s="1111"/>
      <c r="B148" s="1760"/>
      <c r="C148" s="1760"/>
      <c r="D148" s="475"/>
      <c r="J148" s="6292"/>
      <c r="K148" s="6292"/>
      <c r="L148" s="6292"/>
      <c r="M148" s="6292"/>
      <c r="N148" s="6292"/>
      <c r="O148" s="6292"/>
      <c r="P148" s="6292"/>
      <c r="Q148" s="6292"/>
      <c r="R148" s="6292"/>
      <c r="S148" s="6292"/>
      <c r="T148" s="6292"/>
      <c r="U148" s="6292"/>
      <c r="V148" s="6292"/>
      <c r="W148" s="6292"/>
      <c r="X148" s="6292"/>
      <c r="Y148" s="6292"/>
      <c r="Z148" s="6292"/>
      <c r="AA148" s="6292"/>
      <c r="AB148" s="6292"/>
      <c r="AC148" s="6292"/>
      <c r="AD148" s="6292"/>
      <c r="AF148" s="1284"/>
      <c r="AG148" s="1760"/>
      <c r="AH148" s="1760"/>
      <c r="AI148" s="1284"/>
      <c r="AJ148" s="1284"/>
      <c r="AK148" s="1284"/>
      <c r="AL148" s="1284"/>
      <c r="AM148" s="1760"/>
      <c r="AN148" s="1284"/>
      <c r="AO148" s="1284"/>
      <c r="AP148" s="668"/>
      <c r="AQ148" s="1284"/>
      <c r="AR148" s="1284"/>
      <c r="AS148" s="1284"/>
      <c r="AT148" s="1284"/>
      <c r="AU148" s="1284"/>
      <c r="AV148" s="1756"/>
      <c r="AW148" s="690"/>
      <c r="AX148" s="690"/>
      <c r="AY148" s="690"/>
      <c r="AZ148" s="690"/>
      <c r="BA148" s="1765">
        <v>11</v>
      </c>
    </row>
    <row s="6292" customFormat="1" customHeight="1" ht="11.549999999999999">
      <c r="A149" s="1111"/>
      <c r="B149" s="1760"/>
      <c r="C149" s="1760"/>
      <c r="D149" s="475"/>
      <c r="J149" s="6292"/>
      <c r="K149" s="6292"/>
      <c r="L149" s="6292"/>
      <c r="M149" s="6292"/>
      <c r="N149" s="6292"/>
      <c r="O149" s="6292"/>
      <c r="P149" s="6292"/>
      <c r="Q149" s="6292"/>
      <c r="R149" s="6292"/>
      <c r="S149" s="6292"/>
      <c r="T149" s="6292"/>
      <c r="U149" s="6292"/>
      <c r="V149" s="6292"/>
      <c r="W149" s="6292"/>
      <c r="X149" s="6292"/>
      <c r="Y149" s="6292"/>
      <c r="Z149" s="6292"/>
      <c r="AA149" s="6292"/>
      <c r="AB149" s="6292"/>
      <c r="AC149" s="6292"/>
      <c r="AD149" s="6292"/>
      <c r="AF149" s="1284"/>
      <c r="AG149" s="1760"/>
      <c r="AH149" s="1760"/>
      <c r="AI149" s="1284"/>
      <c r="AJ149" s="1284"/>
      <c r="AK149" s="1284"/>
      <c r="AL149" s="1284"/>
      <c r="AM149" s="1760"/>
      <c r="AN149" s="1284"/>
      <c r="AO149" s="1284"/>
      <c r="AP149" s="668"/>
      <c r="AQ149" s="1284"/>
      <c r="AR149" s="1284"/>
      <c r="AS149" s="1284"/>
      <c r="AT149" s="1284"/>
      <c r="AU149" s="1284"/>
      <c r="AV149" s="1756"/>
      <c r="AW149" s="690"/>
      <c r="AX149" s="690"/>
      <c r="AY149" s="690"/>
      <c r="AZ149" s="690"/>
      <c r="BA149" s="1765">
        <v>11</v>
      </c>
    </row>
    <row s="6292" customFormat="1" customHeight="1" ht="11.549999999999999">
      <c r="A150" s="1111"/>
      <c r="B150" s="1760"/>
      <c r="C150" s="1760"/>
      <c r="D150" s="475"/>
      <c r="J150" s="6292"/>
      <c r="K150" s="6292"/>
      <c r="L150" s="6292"/>
      <c r="M150" s="6292"/>
      <c r="N150" s="6292"/>
      <c r="O150" s="6292"/>
      <c r="P150" s="6292"/>
      <c r="Q150" s="6292"/>
      <c r="R150" s="6292"/>
      <c r="S150" s="6292"/>
      <c r="T150" s="6292"/>
      <c r="U150" s="6292"/>
      <c r="V150" s="6292"/>
      <c r="W150" s="6292"/>
      <c r="X150" s="6292"/>
      <c r="Y150" s="6292"/>
      <c r="Z150" s="6292"/>
      <c r="AA150" s="6292"/>
      <c r="AB150" s="6292"/>
      <c r="AC150" s="6292"/>
      <c r="AD150" s="6292"/>
      <c r="AF150" s="1284"/>
      <c r="AG150" s="1760"/>
      <c r="AH150" s="1760"/>
      <c r="AI150" s="1284"/>
      <c r="AJ150" s="1284"/>
      <c r="AK150" s="1284"/>
      <c r="AL150" s="1284"/>
      <c r="AM150" s="1760"/>
      <c r="AN150" s="1284"/>
      <c r="AO150" s="1284"/>
      <c r="AP150" s="668"/>
      <c r="AQ150" s="1284"/>
      <c r="AR150" s="1284"/>
      <c r="AS150" s="1284"/>
      <c r="AT150" s="1284"/>
      <c r="AU150" s="1284"/>
      <c r="AV150" s="1756"/>
      <c r="AW150" s="690"/>
      <c r="AX150" s="690"/>
      <c r="AY150" s="690"/>
      <c r="AZ150" s="690"/>
      <c r="BA150" s="1765">
        <v>11</v>
      </c>
    </row>
    <row s="6292" customFormat="1" customHeight="1" ht="11.549999999999999">
      <c r="A151" s="1111"/>
      <c r="B151" s="1760"/>
      <c r="C151" s="1760"/>
      <c r="D151" s="475"/>
      <c r="J151" s="6292"/>
      <c r="K151" s="6292"/>
      <c r="L151" s="6292"/>
      <c r="M151" s="6292"/>
      <c r="N151" s="6292"/>
      <c r="O151" s="6292"/>
      <c r="P151" s="6292"/>
      <c r="Q151" s="6292"/>
      <c r="R151" s="6292"/>
      <c r="S151" s="6292"/>
      <c r="T151" s="6292"/>
      <c r="U151" s="6292"/>
      <c r="V151" s="6292"/>
      <c r="W151" s="6292"/>
      <c r="X151" s="6292"/>
      <c r="Y151" s="6292"/>
      <c r="Z151" s="6292"/>
      <c r="AA151" s="6292"/>
      <c r="AB151" s="6292"/>
      <c r="AC151" s="6292"/>
      <c r="AD151" s="6292"/>
      <c r="AF151" s="1284"/>
      <c r="AG151" s="1760"/>
      <c r="AH151" s="1760"/>
      <c r="AI151" s="1284"/>
      <c r="AJ151" s="1284"/>
      <c r="AK151" s="1284"/>
      <c r="AL151" s="1284"/>
      <c r="AM151" s="1760"/>
      <c r="AN151" s="1284"/>
      <c r="AO151" s="1284"/>
      <c r="AP151" s="668"/>
      <c r="AQ151" s="1284"/>
      <c r="AR151" s="1284"/>
      <c r="AS151" s="1284"/>
      <c r="AT151" s="1284"/>
      <c r="AU151" s="1284"/>
      <c r="AV151" s="1756"/>
      <c r="AW151" s="690"/>
      <c r="AX151" s="690"/>
      <c r="AY151" s="690"/>
      <c r="AZ151" s="690"/>
      <c r="BA151" s="1765">
        <v>11</v>
      </c>
    </row>
    <row s="6292" customFormat="1" customHeight="1" ht="11.549999999999999">
      <c r="A152" s="1111"/>
      <c r="B152" s="1760"/>
      <c r="C152" s="1760"/>
      <c r="D152" s="475"/>
      <c r="J152" s="6292"/>
      <c r="K152" s="6292"/>
      <c r="L152" s="6292"/>
      <c r="M152" s="6292"/>
      <c r="N152" s="6292"/>
      <c r="O152" s="6292"/>
      <c r="P152" s="6292"/>
      <c r="Q152" s="6292"/>
      <c r="R152" s="6292"/>
      <c r="S152" s="6292"/>
      <c r="T152" s="6292"/>
      <c r="U152" s="6292"/>
      <c r="V152" s="6292"/>
      <c r="W152" s="6292"/>
      <c r="X152" s="6292"/>
      <c r="Y152" s="6292"/>
      <c r="Z152" s="6292"/>
      <c r="AA152" s="6292"/>
      <c r="AB152" s="6292"/>
      <c r="AC152" s="6292"/>
      <c r="AD152" s="6292"/>
      <c r="AF152" s="1284"/>
      <c r="AG152" s="1760"/>
      <c r="AH152" s="1760"/>
      <c r="AI152" s="1284"/>
      <c r="AJ152" s="1284"/>
      <c r="AK152" s="1284"/>
      <c r="AL152" s="1284"/>
      <c r="AM152" s="1760"/>
      <c r="AN152" s="1284"/>
      <c r="AO152" s="1284"/>
      <c r="AP152" s="668"/>
      <c r="AQ152" s="1284"/>
      <c r="AR152" s="1284"/>
      <c r="AS152" s="1284"/>
      <c r="AT152" s="1284"/>
      <c r="AU152" s="1284"/>
      <c r="AV152" s="1756"/>
      <c r="AW152" s="690"/>
      <c r="AX152" s="690"/>
      <c r="AY152" s="690"/>
      <c r="AZ152" s="690"/>
      <c r="BA152" s="1765">
        <v>11</v>
      </c>
    </row>
    <row s="6292" customFormat="1" customHeight="1" ht="11.549999999999999">
      <c r="A153" s="1111"/>
      <c r="B153" s="1760"/>
      <c r="C153" s="1760"/>
      <c r="D153" s="475"/>
      <c r="J153" s="6292"/>
      <c r="K153" s="6292"/>
      <c r="L153" s="6292"/>
      <c r="M153" s="6292"/>
      <c r="N153" s="6292"/>
      <c r="O153" s="6292"/>
      <c r="P153" s="6292"/>
      <c r="Q153" s="6292"/>
      <c r="R153" s="6292"/>
      <c r="S153" s="6292"/>
      <c r="T153" s="6292"/>
      <c r="U153" s="6292"/>
      <c r="V153" s="6292"/>
      <c r="W153" s="6292"/>
      <c r="X153" s="6292"/>
      <c r="Y153" s="6292"/>
      <c r="Z153" s="6292"/>
      <c r="AA153" s="6292"/>
      <c r="AB153" s="6292"/>
      <c r="AC153" s="6292"/>
      <c r="AD153" s="6292"/>
      <c r="AF153" s="1284"/>
      <c r="AG153" s="1760"/>
      <c r="AH153" s="1760"/>
      <c r="AI153" s="1284"/>
      <c r="AJ153" s="1284"/>
      <c r="AK153" s="1284"/>
      <c r="AL153" s="1284"/>
      <c r="AM153" s="1760"/>
      <c r="AN153" s="1284"/>
      <c r="AO153" s="1284"/>
      <c r="AP153" s="668"/>
      <c r="AQ153" s="1284"/>
      <c r="AR153" s="1284"/>
      <c r="AS153" s="1284"/>
      <c r="AT153" s="1284"/>
      <c r="AU153" s="1284"/>
      <c r="AV153" s="1756"/>
      <c r="AW153" s="690"/>
      <c r="AX153" s="690"/>
      <c r="AY153" s="690"/>
      <c r="AZ153" s="690"/>
      <c r="BA153" s="1765">
        <v>11</v>
      </c>
    </row>
    <row s="6292" customFormat="1" customHeight="1" ht="11.549999999999999">
      <c r="A154" s="1111"/>
      <c r="B154" s="1760"/>
      <c r="C154" s="1760"/>
      <c r="D154" s="475"/>
      <c r="J154" s="6292"/>
      <c r="K154" s="6292"/>
      <c r="L154" s="6292"/>
      <c r="M154" s="6292"/>
      <c r="N154" s="6292"/>
      <c r="O154" s="6292"/>
      <c r="P154" s="6292"/>
      <c r="Q154" s="6292"/>
      <c r="R154" s="6292"/>
      <c r="S154" s="6292"/>
      <c r="T154" s="6292"/>
      <c r="U154" s="6292"/>
      <c r="V154" s="6292"/>
      <c r="W154" s="6292"/>
      <c r="X154" s="6292"/>
      <c r="Y154" s="6292"/>
      <c r="Z154" s="6292"/>
      <c r="AA154" s="6292"/>
      <c r="AB154" s="6292"/>
      <c r="AC154" s="6292"/>
      <c r="AD154" s="6292"/>
      <c r="AF154" s="1284"/>
      <c r="AG154" s="1760"/>
      <c r="AH154" s="1760"/>
      <c r="AI154" s="1284"/>
      <c r="AJ154" s="1284"/>
      <c r="AK154" s="1284"/>
      <c r="AL154" s="1284"/>
      <c r="AM154" s="1760"/>
      <c r="AN154" s="1284"/>
      <c r="AO154" s="1284"/>
      <c r="AP154" s="668"/>
      <c r="AQ154" s="1284"/>
      <c r="AR154" s="1284"/>
      <c r="AS154" s="1284"/>
      <c r="AT154" s="1284"/>
      <c r="AU154" s="1284"/>
      <c r="AV154" s="1756"/>
      <c r="AW154" s="690"/>
      <c r="AX154" s="690"/>
      <c r="AY154" s="690"/>
      <c r="AZ154" s="690"/>
      <c r="BA154" s="1765">
        <v>11</v>
      </c>
    </row>
    <row s="6292" customFormat="1" customHeight="1" ht="11.549999999999999">
      <c r="A155" s="1111"/>
      <c r="B155" s="1760"/>
      <c r="C155" s="1760"/>
      <c r="D155" s="475"/>
      <c r="J155" s="6292"/>
      <c r="K155" s="6292"/>
      <c r="L155" s="6292"/>
      <c r="M155" s="6292"/>
      <c r="N155" s="6292"/>
      <c r="O155" s="6292"/>
      <c r="P155" s="6292"/>
      <c r="Q155" s="6292"/>
      <c r="R155" s="6292"/>
      <c r="S155" s="6292"/>
      <c r="T155" s="6292"/>
      <c r="U155" s="6292"/>
      <c r="V155" s="6292"/>
      <c r="W155" s="6292"/>
      <c r="X155" s="6292"/>
      <c r="Y155" s="6292"/>
      <c r="Z155" s="6292"/>
      <c r="AA155" s="6292"/>
      <c r="AB155" s="6292"/>
      <c r="AC155" s="6292"/>
      <c r="AD155" s="6292"/>
      <c r="AF155" s="1284"/>
      <c r="AG155" s="1760"/>
      <c r="AH155" s="1760"/>
      <c r="AI155" s="1284"/>
      <c r="AJ155" s="1284"/>
      <c r="AK155" s="1284"/>
      <c r="AL155" s="1284"/>
      <c r="AM155" s="1760"/>
      <c r="AN155" s="1284"/>
      <c r="AO155" s="1284"/>
      <c r="AP155" s="668"/>
      <c r="AQ155" s="1284"/>
      <c r="AR155" s="1284"/>
      <c r="AS155" s="1284"/>
      <c r="AT155" s="1284"/>
      <c r="AU155" s="1284"/>
      <c r="AV155" s="1756"/>
      <c r="AW155" s="690"/>
      <c r="AX155" s="690"/>
      <c r="AY155" s="690"/>
      <c r="AZ155" s="690"/>
      <c r="BA155" s="1765">
        <v>11</v>
      </c>
    </row>
    <row s="6292" customFormat="1" customHeight="1" ht="11.549999999999999">
      <c r="A156" s="1111"/>
      <c r="B156" s="1760"/>
      <c r="C156" s="1760"/>
      <c r="D156" s="475"/>
      <c r="J156" s="6292"/>
      <c r="K156" s="6292"/>
      <c r="L156" s="6292"/>
      <c r="M156" s="6292"/>
      <c r="N156" s="6292"/>
      <c r="O156" s="6292"/>
      <c r="P156" s="6292"/>
      <c r="Q156" s="6292"/>
      <c r="R156" s="6292"/>
      <c r="S156" s="6292"/>
      <c r="T156" s="6292"/>
      <c r="U156" s="6292"/>
      <c r="V156" s="6292"/>
      <c r="W156" s="6292"/>
      <c r="X156" s="6292"/>
      <c r="Y156" s="6292"/>
      <c r="Z156" s="6292"/>
      <c r="AA156" s="6292"/>
      <c r="AB156" s="6292"/>
      <c r="AC156" s="6292"/>
      <c r="AD156" s="6292"/>
      <c r="AF156" s="1284"/>
      <c r="AG156" s="1760"/>
      <c r="AH156" s="1760"/>
      <c r="AI156" s="1284"/>
      <c r="AJ156" s="1284"/>
      <c r="AK156" s="1284"/>
      <c r="AL156" s="1284"/>
      <c r="AM156" s="1760"/>
      <c r="AN156" s="1284"/>
      <c r="AO156" s="1284"/>
      <c r="AP156" s="668"/>
      <c r="AQ156" s="1284"/>
      <c r="AR156" s="1284"/>
      <c r="AS156" s="1284"/>
      <c r="AT156" s="1284"/>
      <c r="AU156" s="1284"/>
      <c r="AV156" s="1756"/>
      <c r="AW156" s="690"/>
      <c r="AX156" s="690"/>
      <c r="AY156" s="690"/>
      <c r="AZ156" s="690"/>
      <c r="BA156" s="1765">
        <v>11</v>
      </c>
    </row>
    <row s="6292" customFormat="1" customHeight="1" ht="11.549999999999999">
      <c r="A157" s="1111"/>
      <c r="B157" s="1760"/>
      <c r="C157" s="1760"/>
      <c r="D157" s="475"/>
      <c r="J157" s="6292"/>
      <c r="K157" s="6292"/>
      <c r="L157" s="6292"/>
      <c r="M157" s="6292"/>
      <c r="N157" s="6292"/>
      <c r="O157" s="6292"/>
      <c r="P157" s="6292"/>
      <c r="Q157" s="6292"/>
      <c r="R157" s="6292"/>
      <c r="S157" s="6292"/>
      <c r="T157" s="6292"/>
      <c r="U157" s="6292"/>
      <c r="V157" s="6292"/>
      <c r="W157" s="6292"/>
      <c r="X157" s="6292"/>
      <c r="Y157" s="6292"/>
      <c r="Z157" s="6292"/>
      <c r="AA157" s="6292"/>
      <c r="AB157" s="6292"/>
      <c r="AC157" s="6292"/>
      <c r="AD157" s="6292"/>
      <c r="AF157" s="1284"/>
      <c r="AG157" s="1760"/>
      <c r="AH157" s="1760"/>
      <c r="AI157" s="1284"/>
      <c r="AJ157" s="1284"/>
      <c r="AK157" s="1284"/>
      <c r="AL157" s="1284"/>
      <c r="AM157" s="1760"/>
      <c r="AN157" s="1284"/>
      <c r="AO157" s="1284"/>
      <c r="AP157" s="668"/>
      <c r="AQ157" s="1284"/>
      <c r="AR157" s="1284"/>
      <c r="AS157" s="1284"/>
      <c r="AT157" s="1284"/>
      <c r="AU157" s="1284"/>
      <c r="AV157" s="1756"/>
      <c r="AW157" s="690"/>
      <c r="AX157" s="690"/>
      <c r="AY157" s="690"/>
      <c r="AZ157" s="690"/>
      <c r="BA157" s="1765">
        <v>11</v>
      </c>
    </row>
    <row s="6292" customFormat="1" customHeight="1" ht="11.549999999999999">
      <c r="A158" s="1111"/>
      <c r="B158" s="1760"/>
      <c r="C158" s="1760"/>
      <c r="D158" s="475"/>
      <c r="J158" s="6292"/>
      <c r="K158" s="6292"/>
      <c r="L158" s="6292"/>
      <c r="M158" s="6292"/>
      <c r="N158" s="6292"/>
      <c r="O158" s="6292"/>
      <c r="P158" s="6292"/>
      <c r="Q158" s="6292"/>
      <c r="R158" s="6292"/>
      <c r="S158" s="6292"/>
      <c r="T158" s="6292"/>
      <c r="U158" s="6292"/>
      <c r="V158" s="6292"/>
      <c r="W158" s="6292"/>
      <c r="X158" s="6292"/>
      <c r="Y158" s="6292"/>
      <c r="Z158" s="6292"/>
      <c r="AA158" s="6292"/>
      <c r="AB158" s="6292"/>
      <c r="AC158" s="6292"/>
      <c r="AD158" s="6292"/>
      <c r="AF158" s="1284"/>
      <c r="AG158" s="1760"/>
      <c r="AH158" s="1760"/>
      <c r="AI158" s="1284"/>
      <c r="AJ158" s="1284"/>
      <c r="AK158" s="1284"/>
      <c r="AL158" s="1284"/>
      <c r="AM158" s="1760"/>
      <c r="AN158" s="1284"/>
      <c r="AO158" s="1284"/>
      <c r="AP158" s="668"/>
      <c r="AQ158" s="1284"/>
      <c r="AR158" s="1284"/>
      <c r="AS158" s="1284"/>
      <c r="AT158" s="1284"/>
      <c r="AU158" s="1284"/>
      <c r="AV158" s="1756"/>
      <c r="AW158" s="690"/>
      <c r="AX158" s="690"/>
      <c r="AY158" s="690"/>
      <c r="AZ158" s="690"/>
      <c r="BA158" s="1765">
        <v>11</v>
      </c>
    </row>
    <row s="6292" customFormat="1" customHeight="1" ht="11.549999999999999">
      <c r="A159" s="1111"/>
      <c r="B159" s="1760"/>
      <c r="C159" s="1760"/>
      <c r="D159" s="475"/>
      <c r="J159" s="6292"/>
      <c r="K159" s="6292"/>
      <c r="L159" s="6292"/>
      <c r="M159" s="6292"/>
      <c r="N159" s="6292"/>
      <c r="O159" s="6292"/>
      <c r="P159" s="6292"/>
      <c r="Q159" s="6292"/>
      <c r="R159" s="6292"/>
      <c r="S159" s="6292"/>
      <c r="T159" s="6292"/>
      <c r="U159" s="6292"/>
      <c r="V159" s="6292"/>
      <c r="W159" s="6292"/>
      <c r="X159" s="6292"/>
      <c r="Y159" s="6292"/>
      <c r="Z159" s="6292"/>
      <c r="AA159" s="6292"/>
      <c r="AB159" s="6292"/>
      <c r="AC159" s="6292"/>
      <c r="AD159" s="6292"/>
      <c r="AF159" s="1284"/>
      <c r="AG159" s="1760"/>
      <c r="AH159" s="1760"/>
      <c r="AI159" s="1284"/>
      <c r="AJ159" s="1284"/>
      <c r="AK159" s="1284"/>
      <c r="AL159" s="1284"/>
      <c r="AM159" s="1760"/>
      <c r="AN159" s="1284"/>
      <c r="AO159" s="1284"/>
      <c r="AP159" s="668"/>
      <c r="AQ159" s="1284"/>
      <c r="AR159" s="1284"/>
      <c r="AS159" s="1284"/>
      <c r="AT159" s="1284"/>
      <c r="AU159" s="1284"/>
      <c r="AV159" s="1756"/>
      <c r="AW159" s="690"/>
      <c r="AX159" s="690"/>
      <c r="AY159" s="690"/>
      <c r="AZ159" s="690"/>
      <c r="BA159" s="1765">
        <v>11</v>
      </c>
    </row>
    <row s="6292" customFormat="1" customHeight="1" ht="11.549999999999999">
      <c r="A160" s="1111"/>
      <c r="B160" s="1760"/>
      <c r="C160" s="1760"/>
      <c r="D160" s="475"/>
      <c r="J160" s="6292"/>
      <c r="K160" s="6292"/>
      <c r="L160" s="6292"/>
      <c r="M160" s="6292"/>
      <c r="N160" s="6292"/>
      <c r="O160" s="6292"/>
      <c r="P160" s="6292"/>
      <c r="Q160" s="6292"/>
      <c r="R160" s="6292"/>
      <c r="S160" s="6292"/>
      <c r="T160" s="6292"/>
      <c r="U160" s="6292"/>
      <c r="V160" s="6292"/>
      <c r="W160" s="6292"/>
      <c r="X160" s="6292"/>
      <c r="Y160" s="6292"/>
      <c r="Z160" s="6292"/>
      <c r="AA160" s="6292"/>
      <c r="AB160" s="6292"/>
      <c r="AC160" s="6292"/>
      <c r="AD160" s="6292"/>
      <c r="AF160" s="1284"/>
      <c r="AG160" s="1760"/>
      <c r="AH160" s="1760"/>
      <c r="AI160" s="1284"/>
      <c r="AJ160" s="1284"/>
      <c r="AK160" s="1284"/>
      <c r="AL160" s="1284"/>
      <c r="AM160" s="1760"/>
      <c r="AN160" s="1284"/>
      <c r="AO160" s="1284"/>
      <c r="AP160" s="668"/>
      <c r="AQ160" s="1284"/>
      <c r="AR160" s="1284"/>
      <c r="AS160" s="1284"/>
      <c r="AT160" s="1284"/>
      <c r="AU160" s="1284"/>
      <c r="AV160" s="1756"/>
      <c r="AW160" s="690"/>
      <c r="AX160" s="690"/>
      <c r="AY160" s="690"/>
      <c r="AZ160" s="690"/>
      <c r="BA160" s="1765">
        <v>11</v>
      </c>
    </row>
    <row s="6292" customFormat="1" customHeight="1" ht="11.549999999999999">
      <c r="A161" s="1111"/>
      <c r="B161" s="1760"/>
      <c r="C161" s="1760"/>
      <c r="D161" s="475"/>
      <c r="J161" s="6292"/>
      <c r="K161" s="6292"/>
      <c r="L161" s="6292"/>
      <c r="M161" s="6292"/>
      <c r="N161" s="6292"/>
      <c r="O161" s="6292"/>
      <c r="P161" s="6292"/>
      <c r="Q161" s="6292"/>
      <c r="R161" s="6292"/>
      <c r="S161" s="6292"/>
      <c r="T161" s="6292"/>
      <c r="U161" s="6292"/>
      <c r="V161" s="6292"/>
      <c r="W161" s="6292"/>
      <c r="X161" s="6292"/>
      <c r="Y161" s="6292"/>
      <c r="Z161" s="6292"/>
      <c r="AA161" s="6292"/>
      <c r="AB161" s="6292"/>
      <c r="AC161" s="6292"/>
      <c r="AD161" s="6292"/>
      <c r="AF161" s="1284"/>
      <c r="AG161" s="1760"/>
      <c r="AH161" s="1760"/>
      <c r="AI161" s="1284"/>
      <c r="AJ161" s="1284"/>
      <c r="AK161" s="1284"/>
      <c r="AL161" s="1284"/>
      <c r="AM161" s="1760"/>
      <c r="AN161" s="1284"/>
      <c r="AO161" s="1284"/>
      <c r="AP161" s="668"/>
      <c r="AQ161" s="1284"/>
      <c r="AR161" s="1284"/>
      <c r="AS161" s="1284"/>
      <c r="AT161" s="1284"/>
      <c r="AU161" s="1284"/>
      <c r="AV161" s="1756"/>
      <c r="AW161" s="690"/>
      <c r="AX161" s="690"/>
      <c r="AY161" s="690"/>
      <c r="AZ161" s="690"/>
      <c r="BA161" s="1765">
        <v>11</v>
      </c>
    </row>
    <row s="6292" customFormat="1" customHeight="1" ht="11.549999999999999">
      <c r="A162" s="1111"/>
      <c r="B162" s="1760"/>
      <c r="C162" s="1760"/>
      <c r="D162" s="475"/>
      <c r="J162" s="6292"/>
      <c r="K162" s="6292"/>
      <c r="L162" s="6292"/>
      <c r="M162" s="6292"/>
      <c r="N162" s="6292"/>
      <c r="O162" s="6292"/>
      <c r="P162" s="6292"/>
      <c r="Q162" s="6292"/>
      <c r="R162" s="6292"/>
      <c r="S162" s="6292"/>
      <c r="T162" s="6292"/>
      <c r="U162" s="6292"/>
      <c r="V162" s="6292"/>
      <c r="W162" s="6292"/>
      <c r="X162" s="6292"/>
      <c r="Y162" s="6292"/>
      <c r="Z162" s="6292"/>
      <c r="AA162" s="6292"/>
      <c r="AB162" s="6292"/>
      <c r="AC162" s="6292"/>
      <c r="AD162" s="6292"/>
      <c r="AF162" s="1284"/>
      <c r="AG162" s="1760"/>
      <c r="AH162" s="1760"/>
      <c r="AI162" s="1284"/>
      <c r="AJ162" s="1284"/>
      <c r="AK162" s="1284"/>
      <c r="AL162" s="1284"/>
      <c r="AM162" s="1760"/>
      <c r="AN162" s="1284"/>
      <c r="AO162" s="1284"/>
      <c r="AP162" s="668"/>
      <c r="AQ162" s="1284"/>
      <c r="AR162" s="1284"/>
      <c r="AS162" s="1284"/>
      <c r="AT162" s="1284"/>
      <c r="AU162" s="1284"/>
      <c r="AV162" s="1756"/>
      <c r="AW162" s="690"/>
      <c r="AX162" s="690"/>
      <c r="AY162" s="690"/>
      <c r="AZ162" s="690"/>
      <c r="BA162" s="1765">
        <v>11</v>
      </c>
    </row>
    <row s="6292" customFormat="1" customHeight="1" ht="11.549999999999999">
      <c r="A163" s="1111"/>
      <c r="B163" s="1760"/>
      <c r="C163" s="1760"/>
      <c r="D163" s="475"/>
      <c r="J163" s="6292"/>
      <c r="K163" s="6292"/>
      <c r="L163" s="6292"/>
      <c r="M163" s="6292"/>
      <c r="N163" s="6292"/>
      <c r="O163" s="6292"/>
      <c r="P163" s="6292"/>
      <c r="Q163" s="6292"/>
      <c r="R163" s="6292"/>
      <c r="S163" s="6292"/>
      <c r="T163" s="6292"/>
      <c r="U163" s="6292"/>
      <c r="V163" s="6292"/>
      <c r="W163" s="6292"/>
      <c r="X163" s="6292"/>
      <c r="Y163" s="6292"/>
      <c r="Z163" s="6292"/>
      <c r="AA163" s="6292"/>
      <c r="AB163" s="6292"/>
      <c r="AC163" s="6292"/>
      <c r="AD163" s="6292"/>
      <c r="AF163" s="1284"/>
      <c r="AG163" s="1760"/>
      <c r="AH163" s="1760"/>
      <c r="AI163" s="1284"/>
      <c r="AJ163" s="1284"/>
      <c r="AK163" s="1284"/>
      <c r="AL163" s="1284"/>
      <c r="AM163" s="1760"/>
      <c r="AN163" s="1284"/>
      <c r="AO163" s="1284"/>
      <c r="AP163" s="668"/>
      <c r="AQ163" s="1284"/>
      <c r="AR163" s="1284"/>
      <c r="AS163" s="1284"/>
      <c r="AT163" s="1284"/>
      <c r="AU163" s="1284"/>
      <c r="AV163" s="1756"/>
      <c r="AW163" s="690"/>
      <c r="AX163" s="690"/>
      <c r="AY163" s="690"/>
      <c r="AZ163" s="690"/>
      <c r="BA163" s="1765">
        <v>11</v>
      </c>
    </row>
    <row s="6292" customFormat="1" customHeight="1" ht="11.549999999999999">
      <c r="A164" s="1111"/>
      <c r="B164" s="1760"/>
      <c r="C164" s="1760"/>
      <c r="D164" s="475"/>
      <c r="J164" s="6292"/>
      <c r="K164" s="6292"/>
      <c r="L164" s="6292"/>
      <c r="M164" s="6292"/>
      <c r="N164" s="6292"/>
      <c r="O164" s="6292"/>
      <c r="P164" s="6292"/>
      <c r="Q164" s="6292"/>
      <c r="R164" s="6292"/>
      <c r="S164" s="6292"/>
      <c r="T164" s="6292"/>
      <c r="U164" s="6292"/>
      <c r="V164" s="6292"/>
      <c r="W164" s="6292"/>
      <c r="X164" s="6292"/>
      <c r="Y164" s="6292"/>
      <c r="Z164" s="6292"/>
      <c r="AA164" s="6292"/>
      <c r="AB164" s="6292"/>
      <c r="AC164" s="6292"/>
      <c r="AD164" s="6292"/>
      <c r="AF164" s="1284"/>
      <c r="AG164" s="1760"/>
      <c r="AH164" s="1760"/>
      <c r="AI164" s="1284"/>
      <c r="AJ164" s="1284"/>
      <c r="AK164" s="1284"/>
      <c r="AL164" s="1284"/>
      <c r="AM164" s="1760"/>
      <c r="AN164" s="1284"/>
      <c r="AO164" s="1284"/>
      <c r="AP164" s="668"/>
      <c r="AQ164" s="1284"/>
      <c r="AR164" s="1284"/>
      <c r="AS164" s="1284"/>
      <c r="AT164" s="1284"/>
      <c r="AU164" s="1284"/>
      <c r="AV164" s="1756"/>
      <c r="AW164" s="690"/>
      <c r="AX164" s="690"/>
      <c r="AY164" s="690"/>
      <c r="AZ164" s="690"/>
      <c r="BA164" s="1765">
        <v>11</v>
      </c>
    </row>
    <row s="6292" customFormat="1" customHeight="1" ht="11.549999999999999">
      <c r="A165" s="1111"/>
      <c r="B165" s="1760"/>
      <c r="C165" s="1760"/>
      <c r="D165" s="475"/>
      <c r="J165" s="6292"/>
      <c r="K165" s="6292"/>
      <c r="L165" s="6292"/>
      <c r="M165" s="6292"/>
      <c r="N165" s="6292"/>
      <c r="O165" s="6292"/>
      <c r="P165" s="6292"/>
      <c r="Q165" s="6292"/>
      <c r="R165" s="6292"/>
      <c r="S165" s="6292"/>
      <c r="T165" s="6292"/>
      <c r="U165" s="6292"/>
      <c r="V165" s="6292"/>
      <c r="W165" s="6292"/>
      <c r="X165" s="6292"/>
      <c r="Y165" s="6292"/>
      <c r="Z165" s="6292"/>
      <c r="AA165" s="6292"/>
      <c r="AB165" s="6292"/>
      <c r="AC165" s="6292"/>
      <c r="AD165" s="6292"/>
      <c r="AF165" s="1284"/>
      <c r="AG165" s="1760"/>
      <c r="AH165" s="1760"/>
      <c r="AI165" s="1284"/>
      <c r="AJ165" s="1284"/>
      <c r="AK165" s="1284"/>
      <c r="AL165" s="1284"/>
      <c r="AM165" s="1760"/>
      <c r="AN165" s="1284"/>
      <c r="AO165" s="1284"/>
      <c r="AP165" s="668"/>
      <c r="AQ165" s="1284"/>
      <c r="AR165" s="1284"/>
      <c r="AS165" s="1284"/>
      <c r="AT165" s="1284"/>
      <c r="AU165" s="1284"/>
      <c r="AV165" s="1756"/>
      <c r="AW165" s="690"/>
      <c r="AX165" s="690"/>
      <c r="AY165" s="690"/>
      <c r="AZ165" s="690"/>
      <c r="BA165" s="1765">
        <v>11</v>
      </c>
    </row>
    <row s="6292" customFormat="1" customHeight="1" ht="11.549999999999999">
      <c r="A166" s="1111"/>
      <c r="B166" s="1760"/>
      <c r="C166" s="1760"/>
      <c r="D166" s="475"/>
      <c r="J166" s="6292"/>
      <c r="K166" s="6292"/>
      <c r="L166" s="6292"/>
      <c r="M166" s="6292"/>
      <c r="N166" s="6292"/>
      <c r="O166" s="6292"/>
      <c r="P166" s="6292"/>
      <c r="Q166" s="6292"/>
      <c r="R166" s="6292"/>
      <c r="S166" s="6292"/>
      <c r="T166" s="6292"/>
      <c r="U166" s="6292"/>
      <c r="V166" s="6292"/>
      <c r="W166" s="6292"/>
      <c r="X166" s="6292"/>
      <c r="Y166" s="6292"/>
      <c r="Z166" s="6292"/>
      <c r="AA166" s="6292"/>
      <c r="AB166" s="6292"/>
      <c r="AC166" s="6292"/>
      <c r="AD166" s="6292"/>
      <c r="AF166" s="1284"/>
      <c r="AG166" s="1760"/>
      <c r="AH166" s="1760"/>
      <c r="AI166" s="1284"/>
      <c r="AJ166" s="1284"/>
      <c r="AK166" s="1284"/>
      <c r="AL166" s="1284"/>
      <c r="AM166" s="1760"/>
      <c r="AN166" s="1284"/>
      <c r="AO166" s="1284"/>
      <c r="AP166" s="668"/>
      <c r="AQ166" s="1284"/>
      <c r="AR166" s="1284"/>
      <c r="AS166" s="1284"/>
      <c r="AT166" s="1284"/>
      <c r="AU166" s="1284"/>
      <c r="AV166" s="1756"/>
      <c r="AW166" s="690"/>
      <c r="AX166" s="690"/>
      <c r="AY166" s="690"/>
      <c r="AZ166" s="690"/>
      <c r="BA166" s="1765">
        <v>11</v>
      </c>
    </row>
    <row s="6292" customFormat="1" customHeight="1" ht="11.549999999999999">
      <c r="A167" s="1111"/>
      <c r="B167" s="1760"/>
      <c r="C167" s="1760"/>
      <c r="D167" s="475"/>
      <c r="J167" s="6292"/>
      <c r="K167" s="6292"/>
      <c r="L167" s="6292"/>
      <c r="M167" s="6292"/>
      <c r="N167" s="6292"/>
      <c r="O167" s="6292"/>
      <c r="P167" s="6292"/>
      <c r="Q167" s="6292"/>
      <c r="R167" s="6292"/>
      <c r="S167" s="6292"/>
      <c r="T167" s="6292"/>
      <c r="U167" s="6292"/>
      <c r="V167" s="6292"/>
      <c r="W167" s="6292"/>
      <c r="X167" s="6292"/>
      <c r="Y167" s="6292"/>
      <c r="Z167" s="6292"/>
      <c r="AA167" s="6292"/>
      <c r="AB167" s="6292"/>
      <c r="AC167" s="6292"/>
      <c r="AD167" s="6292"/>
      <c r="AF167" s="1284"/>
      <c r="AG167" s="1760"/>
      <c r="AH167" s="1760"/>
      <c r="AI167" s="1284"/>
      <c r="AJ167" s="1284"/>
      <c r="AK167" s="1284"/>
      <c r="AL167" s="1284"/>
      <c r="AM167" s="1760"/>
      <c r="AN167" s="1284"/>
      <c r="AO167" s="1284"/>
      <c r="AP167" s="668"/>
      <c r="AQ167" s="1284"/>
      <c r="AR167" s="1284"/>
      <c r="AS167" s="1284"/>
      <c r="AT167" s="1284"/>
      <c r="AU167" s="1284"/>
      <c r="AV167" s="1756"/>
      <c r="AW167" s="690"/>
      <c r="AX167" s="690"/>
      <c r="AY167" s="690"/>
      <c r="AZ167" s="690"/>
      <c r="BA167" s="1765">
        <v>11</v>
      </c>
    </row>
    <row s="6292" customFormat="1" customHeight="1" ht="11.549999999999999">
      <c r="A168" s="1111"/>
      <c r="B168" s="1760"/>
      <c r="C168" s="1760"/>
      <c r="D168" s="475"/>
      <c r="J168" s="6292"/>
      <c r="K168" s="6292"/>
      <c r="L168" s="6292"/>
      <c r="M168" s="6292"/>
      <c r="N168" s="6292"/>
      <c r="O168" s="6292"/>
      <c r="P168" s="6292"/>
      <c r="Q168" s="6292"/>
      <c r="R168" s="6292"/>
      <c r="S168" s="6292"/>
      <c r="T168" s="6292"/>
      <c r="U168" s="6292"/>
      <c r="V168" s="6292"/>
      <c r="W168" s="6292"/>
      <c r="X168" s="6292"/>
      <c r="Y168" s="6292"/>
      <c r="Z168" s="6292"/>
      <c r="AA168" s="6292"/>
      <c r="AB168" s="6292"/>
      <c r="AC168" s="6292"/>
      <c r="AD168" s="6292"/>
      <c r="AF168" s="1284"/>
      <c r="AG168" s="1760"/>
      <c r="AH168" s="1760"/>
      <c r="AI168" s="1284"/>
      <c r="AJ168" s="1284"/>
      <c r="AK168" s="1284"/>
      <c r="AL168" s="1284"/>
      <c r="AM168" s="1760"/>
      <c r="AN168" s="1284"/>
      <c r="AO168" s="1284"/>
      <c r="AP168" s="668"/>
      <c r="AQ168" s="1284"/>
      <c r="AR168" s="1284"/>
      <c r="AS168" s="1284"/>
      <c r="AT168" s="1284"/>
      <c r="AU168" s="1284"/>
      <c r="AV168" s="1756"/>
      <c r="AW168" s="690"/>
      <c r="AX168" s="690"/>
      <c r="AY168" s="690"/>
      <c r="AZ168" s="690"/>
      <c r="BA168" s="1765">
        <v>11</v>
      </c>
    </row>
    <row s="6292" customFormat="1" customHeight="1" ht="11.549999999999999">
      <c r="A169" s="1111"/>
      <c r="B169" s="1760"/>
      <c r="C169" s="1760"/>
      <c r="D169" s="475"/>
      <c r="J169" s="6292"/>
      <c r="K169" s="6292"/>
      <c r="L169" s="6292"/>
      <c r="M169" s="6292"/>
      <c r="N169" s="6292"/>
      <c r="O169" s="6292"/>
      <c r="P169" s="6292"/>
      <c r="Q169" s="6292"/>
      <c r="R169" s="6292"/>
      <c r="S169" s="6292"/>
      <c r="T169" s="6292"/>
      <c r="U169" s="6292"/>
      <c r="V169" s="6292"/>
      <c r="W169" s="6292"/>
      <c r="X169" s="6292"/>
      <c r="Y169" s="6292"/>
      <c r="Z169" s="6292"/>
      <c r="AA169" s="6292"/>
      <c r="AB169" s="6292"/>
      <c r="AC169" s="6292"/>
      <c r="AD169" s="6292"/>
      <c r="AF169" s="1284"/>
      <c r="AG169" s="1760"/>
      <c r="AH169" s="1760"/>
      <c r="AI169" s="1284"/>
      <c r="AJ169" s="1284"/>
      <c r="AK169" s="1284"/>
      <c r="AL169" s="1284"/>
      <c r="AM169" s="1760"/>
      <c r="AN169" s="1284"/>
      <c r="AO169" s="1284"/>
      <c r="AP169" s="668"/>
      <c r="AQ169" s="1284"/>
      <c r="AR169" s="1284"/>
      <c r="AS169" s="1284"/>
      <c r="AT169" s="1284"/>
      <c r="AU169" s="1284"/>
      <c r="AV169" s="1756"/>
      <c r="AW169" s="690"/>
      <c r="AX169" s="690"/>
      <c r="AY169" s="690"/>
      <c r="AZ169" s="690"/>
      <c r="BA169" s="1765">
        <v>11</v>
      </c>
    </row>
    <row s="6292" customFormat="1" customHeight="1" ht="11.549999999999999">
      <c r="A170" s="1111"/>
      <c r="B170" s="1760"/>
      <c r="C170" s="1760"/>
      <c r="D170" s="475"/>
      <c r="J170" s="6292"/>
      <c r="K170" s="6292"/>
      <c r="L170" s="6292"/>
      <c r="M170" s="6292"/>
      <c r="N170" s="6292"/>
      <c r="O170" s="6292"/>
      <c r="P170" s="6292"/>
      <c r="Q170" s="6292"/>
      <c r="R170" s="6292"/>
      <c r="S170" s="6292"/>
      <c r="T170" s="6292"/>
      <c r="U170" s="6292"/>
      <c r="V170" s="6292"/>
      <c r="W170" s="6292"/>
      <c r="X170" s="6292"/>
      <c r="Y170" s="6292"/>
      <c r="Z170" s="6292"/>
      <c r="AA170" s="6292"/>
      <c r="AB170" s="6292"/>
      <c r="AC170" s="6292"/>
      <c r="AD170" s="6292"/>
      <c r="AF170" s="1284"/>
      <c r="AG170" s="1760"/>
      <c r="AH170" s="1760"/>
      <c r="AI170" s="1284"/>
      <c r="AJ170" s="1284"/>
      <c r="AK170" s="1284"/>
      <c r="AL170" s="1284"/>
      <c r="AM170" s="1760"/>
      <c r="AN170" s="1284"/>
      <c r="AO170" s="1284"/>
      <c r="AP170" s="668"/>
      <c r="AQ170" s="1284"/>
      <c r="AR170" s="1284"/>
      <c r="AS170" s="1284"/>
      <c r="AT170" s="1284"/>
      <c r="AU170" s="1284"/>
      <c r="AV170" s="1756"/>
      <c r="AW170" s="690"/>
      <c r="AX170" s="690"/>
      <c r="AY170" s="690"/>
      <c r="AZ170" s="690"/>
      <c r="BA170" s="1765">
        <v>11</v>
      </c>
    </row>
    <row s="6292" customFormat="1" customHeight="1" ht="11.549999999999999">
      <c r="A171" s="1111"/>
      <c r="B171" s="1760"/>
      <c r="C171" s="1760"/>
      <c r="D171" s="475"/>
      <c r="J171" s="6292"/>
      <c r="K171" s="6292"/>
      <c r="L171" s="6292"/>
      <c r="M171" s="6292"/>
      <c r="N171" s="6292"/>
      <c r="O171" s="6292"/>
      <c r="P171" s="6292"/>
      <c r="Q171" s="6292"/>
      <c r="R171" s="6292"/>
      <c r="S171" s="6292"/>
      <c r="T171" s="6292"/>
      <c r="U171" s="6292"/>
      <c r="V171" s="6292"/>
      <c r="W171" s="6292"/>
      <c r="X171" s="6292"/>
      <c r="Y171" s="6292"/>
      <c r="Z171" s="6292"/>
      <c r="AA171" s="6292"/>
      <c r="AB171" s="6292"/>
      <c r="AC171" s="6292"/>
      <c r="AD171" s="6292"/>
      <c r="AF171" s="1284"/>
      <c r="AG171" s="1760"/>
      <c r="AH171" s="1760"/>
      <c r="AI171" s="1284"/>
      <c r="AJ171" s="1284"/>
      <c r="AK171" s="1284"/>
      <c r="AL171" s="1284"/>
      <c r="AM171" s="1760"/>
      <c r="AN171" s="1284"/>
      <c r="AO171" s="1284"/>
      <c r="AP171" s="668"/>
      <c r="AQ171" s="1284"/>
      <c r="AR171" s="1284"/>
      <c r="AS171" s="1284"/>
      <c r="AT171" s="1284"/>
      <c r="AU171" s="1284"/>
      <c r="AV171" s="1756"/>
      <c r="AW171" s="690"/>
      <c r="AX171" s="690"/>
      <c r="AY171" s="690"/>
      <c r="AZ171" s="690"/>
      <c r="BA171" s="1765">
        <v>11</v>
      </c>
    </row>
    <row s="6292" customFormat="1" customHeight="1" ht="11.549999999999999">
      <c r="A172" s="1111"/>
      <c r="B172" s="1760"/>
      <c r="C172" s="1760"/>
      <c r="D172" s="475"/>
      <c r="J172" s="6292"/>
      <c r="K172" s="6292"/>
      <c r="L172" s="6292"/>
      <c r="M172" s="6292"/>
      <c r="N172" s="6292"/>
      <c r="O172" s="6292"/>
      <c r="P172" s="6292"/>
      <c r="Q172" s="6292"/>
      <c r="R172" s="6292"/>
      <c r="S172" s="6292"/>
      <c r="T172" s="6292"/>
      <c r="U172" s="6292"/>
      <c r="V172" s="6292"/>
      <c r="W172" s="6292"/>
      <c r="X172" s="6292"/>
      <c r="Y172" s="6292"/>
      <c r="Z172" s="6292"/>
      <c r="AA172" s="6292"/>
      <c r="AB172" s="6292"/>
      <c r="AC172" s="6292"/>
      <c r="AD172" s="6292"/>
      <c r="AF172" s="1284"/>
      <c r="AG172" s="1760"/>
      <c r="AH172" s="1760"/>
      <c r="AI172" s="1284"/>
      <c r="AJ172" s="1284"/>
      <c r="AK172" s="1284"/>
      <c r="AL172" s="1284"/>
      <c r="AM172" s="1760"/>
      <c r="AN172" s="1284"/>
      <c r="AO172" s="1284"/>
      <c r="AP172" s="668"/>
      <c r="AQ172" s="1284"/>
      <c r="AR172" s="1284"/>
      <c r="AS172" s="1284"/>
      <c r="AT172" s="1284"/>
      <c r="AU172" s="1284"/>
      <c r="AV172" s="1756"/>
      <c r="AW172" s="690"/>
      <c r="AX172" s="690"/>
      <c r="AY172" s="690"/>
      <c r="AZ172" s="690"/>
      <c r="BA172" s="1765">
        <v>11</v>
      </c>
    </row>
    <row s="6292" customFormat="1" customHeight="1" ht="11.549999999999999">
      <c r="A173" s="1111"/>
      <c r="B173" s="1760"/>
      <c r="C173" s="1760"/>
      <c r="D173" s="475"/>
      <c r="J173" s="6292"/>
      <c r="K173" s="6292"/>
      <c r="L173" s="6292"/>
      <c r="M173" s="6292"/>
      <c r="N173" s="6292"/>
      <c r="O173" s="6292"/>
      <c r="P173" s="6292"/>
      <c r="Q173" s="6292"/>
      <c r="R173" s="6292"/>
      <c r="S173" s="6292"/>
      <c r="T173" s="6292"/>
      <c r="U173" s="6292"/>
      <c r="V173" s="6292"/>
      <c r="W173" s="6292"/>
      <c r="X173" s="6292"/>
      <c r="Y173" s="6292"/>
      <c r="Z173" s="6292"/>
      <c r="AA173" s="6292"/>
      <c r="AB173" s="6292"/>
      <c r="AC173" s="6292"/>
      <c r="AD173" s="6292"/>
      <c r="AF173" s="1284"/>
      <c r="AG173" s="1760"/>
      <c r="AH173" s="1760"/>
      <c r="AI173" s="1284"/>
      <c r="AJ173" s="1284"/>
      <c r="AK173" s="1284"/>
      <c r="AL173" s="1284"/>
      <c r="AM173" s="1760"/>
      <c r="AN173" s="1284"/>
      <c r="AO173" s="1284"/>
      <c r="AP173" s="668"/>
      <c r="AQ173" s="1284"/>
      <c r="AR173" s="1284"/>
      <c r="AS173" s="1284"/>
      <c r="AT173" s="1284"/>
      <c r="AU173" s="1284"/>
      <c r="AV173" s="1756"/>
      <c r="AW173" s="690"/>
      <c r="AX173" s="690"/>
      <c r="AY173" s="690"/>
      <c r="AZ173" s="690"/>
      <c r="BA173" s="1765">
        <v>11</v>
      </c>
    </row>
    <row s="6292" customFormat="1" customHeight="1" ht="11.549999999999999">
      <c r="A174" s="1111"/>
      <c r="B174" s="1760"/>
      <c r="C174" s="1760"/>
      <c r="D174" s="475"/>
      <c r="J174" s="6292"/>
      <c r="K174" s="6292"/>
      <c r="L174" s="6292"/>
      <c r="M174" s="6292"/>
      <c r="N174" s="6292"/>
      <c r="O174" s="6292"/>
      <c r="P174" s="6292"/>
      <c r="Q174" s="6292"/>
      <c r="R174" s="6292"/>
      <c r="S174" s="6292"/>
      <c r="T174" s="6292"/>
      <c r="U174" s="6292"/>
      <c r="V174" s="6292"/>
      <c r="W174" s="6292"/>
      <c r="X174" s="6292"/>
      <c r="Y174" s="6292"/>
      <c r="Z174" s="6292"/>
      <c r="AA174" s="6292"/>
      <c r="AB174" s="6292"/>
      <c r="AC174" s="6292"/>
      <c r="AD174" s="6292"/>
      <c r="AF174" s="1284"/>
      <c r="AG174" s="1760"/>
      <c r="AH174" s="1760"/>
      <c r="AI174" s="1284"/>
      <c r="AJ174" s="1284"/>
      <c r="AK174" s="1284"/>
      <c r="AL174" s="1284"/>
      <c r="AM174" s="1760"/>
      <c r="AN174" s="1284"/>
      <c r="AO174" s="1284"/>
      <c r="AP174" s="668"/>
      <c r="AQ174" s="1284"/>
      <c r="AR174" s="1284"/>
      <c r="AS174" s="1284"/>
      <c r="AT174" s="1284"/>
      <c r="AU174" s="1284"/>
      <c r="AV174" s="1756"/>
      <c r="AW174" s="690"/>
      <c r="AX174" s="690"/>
      <c r="AY174" s="690"/>
      <c r="AZ174" s="690"/>
      <c r="BA174" s="1765">
        <v>11</v>
      </c>
    </row>
    <row s="6292" customFormat="1" customHeight="1" ht="11.549999999999999">
      <c r="A175" s="1111"/>
      <c r="B175" s="1760"/>
      <c r="C175" s="1760"/>
      <c r="D175" s="475"/>
      <c r="J175" s="6292"/>
      <c r="K175" s="6292"/>
      <c r="L175" s="6292"/>
      <c r="M175" s="6292"/>
      <c r="N175" s="6292"/>
      <c r="O175" s="6292"/>
      <c r="P175" s="6292"/>
      <c r="Q175" s="6292"/>
      <c r="R175" s="6292"/>
      <c r="S175" s="6292"/>
      <c r="T175" s="6292"/>
      <c r="U175" s="6292"/>
      <c r="V175" s="6292"/>
      <c r="W175" s="6292"/>
      <c r="X175" s="6292"/>
      <c r="Y175" s="6292"/>
      <c r="Z175" s="6292"/>
      <c r="AA175" s="6292"/>
      <c r="AB175" s="6292"/>
      <c r="AC175" s="6292"/>
      <c r="AD175" s="6292"/>
      <c r="AF175" s="1284"/>
      <c r="AG175" s="1760"/>
      <c r="AH175" s="1760"/>
      <c r="AI175" s="1284"/>
      <c r="AJ175" s="1284"/>
      <c r="AK175" s="1284"/>
      <c r="AL175" s="1284"/>
      <c r="AM175" s="1760"/>
      <c r="AN175" s="1284"/>
      <c r="AO175" s="1284"/>
      <c r="AP175" s="668"/>
      <c r="AQ175" s="1284"/>
      <c r="AR175" s="1284"/>
      <c r="AS175" s="1284"/>
      <c r="AT175" s="1284"/>
      <c r="AU175" s="1284"/>
      <c r="AV175" s="1756"/>
      <c r="AW175" s="690"/>
      <c r="AX175" s="690"/>
      <c r="AY175" s="690"/>
      <c r="AZ175" s="690"/>
      <c r="BA175" s="1765">
        <v>11</v>
      </c>
    </row>
    <row s="6292" customFormat="1" customHeight="1" ht="11.549999999999999">
      <c r="A176" s="1111"/>
      <c r="B176" s="1760"/>
      <c r="C176" s="1760"/>
      <c r="D176" s="475"/>
      <c r="J176" s="6292"/>
      <c r="K176" s="6292"/>
      <c r="L176" s="6292"/>
      <c r="M176" s="6292"/>
      <c r="N176" s="6292"/>
      <c r="O176" s="6292"/>
      <c r="P176" s="6292"/>
      <c r="Q176" s="6292"/>
      <c r="R176" s="6292"/>
      <c r="S176" s="6292"/>
      <c r="T176" s="6292"/>
      <c r="U176" s="6292"/>
      <c r="V176" s="6292"/>
      <c r="W176" s="6292"/>
      <c r="X176" s="6292"/>
      <c r="Y176" s="6292"/>
      <c r="Z176" s="6292"/>
      <c r="AA176" s="6292"/>
      <c r="AB176" s="6292"/>
      <c r="AC176" s="6292"/>
      <c r="AD176" s="6292"/>
      <c r="AF176" s="1284"/>
      <c r="AG176" s="1760"/>
      <c r="AH176" s="1760"/>
      <c r="AI176" s="1284"/>
      <c r="AJ176" s="1284"/>
      <c r="AK176" s="1284"/>
      <c r="AL176" s="1284"/>
      <c r="AM176" s="1760"/>
      <c r="AN176" s="1284"/>
      <c r="AO176" s="1284"/>
      <c r="AP176" s="668"/>
      <c r="AQ176" s="1284"/>
      <c r="AR176" s="1284"/>
      <c r="AS176" s="1284"/>
      <c r="AT176" s="1284"/>
      <c r="AU176" s="1284"/>
      <c r="AV176" s="1756"/>
      <c r="AW176" s="690"/>
      <c r="AX176" s="690"/>
      <c r="AY176" s="690"/>
      <c r="AZ176" s="690"/>
      <c r="BA176" s="1765">
        <v>11</v>
      </c>
    </row>
    <row s="6292" customFormat="1" customHeight="1" ht="11.549999999999999">
      <c r="A177" s="1111"/>
      <c r="B177" s="1760"/>
      <c r="C177" s="1760"/>
      <c r="D177" s="475"/>
      <c r="J177" s="6292"/>
      <c r="K177" s="6292"/>
      <c r="L177" s="6292"/>
      <c r="M177" s="6292"/>
      <c r="N177" s="6292"/>
      <c r="O177" s="6292"/>
      <c r="P177" s="6292"/>
      <c r="Q177" s="6292"/>
      <c r="R177" s="6292"/>
      <c r="S177" s="6292"/>
      <c r="T177" s="6292"/>
      <c r="U177" s="6292"/>
      <c r="V177" s="6292"/>
      <c r="W177" s="6292"/>
      <c r="X177" s="6292"/>
      <c r="Y177" s="6292"/>
      <c r="Z177" s="6292"/>
      <c r="AA177" s="6292"/>
      <c r="AB177" s="6292"/>
      <c r="AC177" s="6292"/>
      <c r="AD177" s="6292"/>
      <c r="AF177" s="1284"/>
      <c r="AG177" s="1760"/>
      <c r="AH177" s="1760"/>
      <c r="AI177" s="1284"/>
      <c r="AJ177" s="1284"/>
      <c r="AK177" s="1284"/>
      <c r="AL177" s="1284"/>
      <c r="AM177" s="1760"/>
      <c r="AN177" s="1284"/>
      <c r="AO177" s="1284"/>
      <c r="AP177" s="668"/>
      <c r="AQ177" s="1284"/>
      <c r="AR177" s="1284"/>
      <c r="AS177" s="1284"/>
      <c r="AT177" s="1284"/>
      <c r="AU177" s="1284"/>
      <c r="AV177" s="1756"/>
      <c r="AW177" s="690"/>
      <c r="AX177" s="690"/>
      <c r="AY177" s="690"/>
      <c r="AZ177" s="690"/>
      <c r="BA177" s="1765">
        <v>11</v>
      </c>
    </row>
    <row s="6292" customFormat="1" customHeight="1" ht="11.549999999999999">
      <c r="A178" s="1111"/>
      <c r="B178" s="1760"/>
      <c r="C178" s="1760"/>
      <c r="D178" s="475"/>
      <c r="J178" s="6292"/>
      <c r="K178" s="6292"/>
      <c r="L178" s="6292"/>
      <c r="M178" s="6292"/>
      <c r="N178" s="6292"/>
      <c r="O178" s="6292"/>
      <c r="P178" s="6292"/>
      <c r="Q178" s="6292"/>
      <c r="R178" s="6292"/>
      <c r="S178" s="6292"/>
      <c r="T178" s="6292"/>
      <c r="U178" s="6292"/>
      <c r="V178" s="6292"/>
      <c r="W178" s="6292"/>
      <c r="X178" s="6292"/>
      <c r="Y178" s="6292"/>
      <c r="Z178" s="6292"/>
      <c r="AA178" s="6292"/>
      <c r="AB178" s="6292"/>
      <c r="AC178" s="6292"/>
      <c r="AD178" s="6292"/>
      <c r="AF178" s="1284"/>
      <c r="AG178" s="1760"/>
      <c r="AH178" s="1760"/>
      <c r="AI178" s="1284"/>
      <c r="AJ178" s="1284"/>
      <c r="AK178" s="1284"/>
      <c r="AL178" s="1284"/>
      <c r="AM178" s="1760"/>
      <c r="AN178" s="1284"/>
      <c r="AO178" s="1284"/>
      <c r="AP178" s="668"/>
      <c r="AQ178" s="1284"/>
      <c r="AR178" s="1284"/>
      <c r="AS178" s="1284"/>
      <c r="AT178" s="1284"/>
      <c r="AU178" s="1284"/>
      <c r="AV178" s="1756"/>
      <c r="AW178" s="690"/>
      <c r="AX178" s="690"/>
      <c r="AY178" s="690"/>
      <c r="AZ178" s="690"/>
      <c r="BA178" s="1765">
        <v>11</v>
      </c>
    </row>
    <row s="6292" customFormat="1" customHeight="1" ht="11.549999999999999">
      <c r="A179" s="1111"/>
      <c r="B179" s="1760"/>
      <c r="C179" s="1760"/>
      <c r="D179" s="475"/>
      <c r="J179" s="6292"/>
      <c r="K179" s="6292"/>
      <c r="L179" s="6292"/>
      <c r="M179" s="6292"/>
      <c r="N179" s="6292"/>
      <c r="O179" s="6292"/>
      <c r="P179" s="6292"/>
      <c r="Q179" s="6292"/>
      <c r="R179" s="6292"/>
      <c r="S179" s="6292"/>
      <c r="T179" s="6292"/>
      <c r="U179" s="6292"/>
      <c r="V179" s="6292"/>
      <c r="W179" s="6292"/>
      <c r="X179" s="6292"/>
      <c r="Y179" s="6292"/>
      <c r="Z179" s="6292"/>
      <c r="AA179" s="6292"/>
      <c r="AB179" s="6292"/>
      <c r="AC179" s="6292"/>
      <c r="AD179" s="6292"/>
      <c r="AF179" s="1284"/>
      <c r="AG179" s="1760"/>
      <c r="AH179" s="1760"/>
      <c r="AI179" s="1284"/>
      <c r="AJ179" s="1284"/>
      <c r="AK179" s="1284"/>
      <c r="AL179" s="1284"/>
      <c r="AM179" s="1760"/>
      <c r="AN179" s="1284"/>
      <c r="AO179" s="1284"/>
      <c r="AP179" s="668"/>
      <c r="AQ179" s="1284"/>
      <c r="AR179" s="1284"/>
      <c r="AS179" s="1284"/>
      <c r="AT179" s="1284"/>
      <c r="AU179" s="1284"/>
      <c r="AV179" s="1756"/>
      <c r="AW179" s="690"/>
      <c r="AX179" s="690"/>
      <c r="AY179" s="690"/>
      <c r="AZ179" s="690"/>
      <c r="BA179" s="1765">
        <v>11</v>
      </c>
    </row>
    <row s="6292" customFormat="1" customHeight="1" ht="11.549999999999999">
      <c r="A180" s="1111"/>
      <c r="B180" s="1760"/>
      <c r="C180" s="1760"/>
      <c r="D180" s="475"/>
      <c r="J180" s="6292"/>
      <c r="K180" s="6292"/>
      <c r="L180" s="6292"/>
      <c r="M180" s="6292"/>
      <c r="N180" s="6292"/>
      <c r="O180" s="6292"/>
      <c r="P180" s="6292"/>
      <c r="Q180" s="6292"/>
      <c r="R180" s="6292"/>
      <c r="S180" s="6292"/>
      <c r="T180" s="6292"/>
      <c r="U180" s="6292"/>
      <c r="V180" s="6292"/>
      <c r="W180" s="6292"/>
      <c r="X180" s="6292"/>
      <c r="Y180" s="6292"/>
      <c r="Z180" s="6292"/>
      <c r="AA180" s="6292"/>
      <c r="AB180" s="6292"/>
      <c r="AC180" s="6292"/>
      <c r="AD180" s="6292"/>
      <c r="AF180" s="1284"/>
      <c r="AG180" s="1760"/>
      <c r="AH180" s="1760"/>
      <c r="AI180" s="1284"/>
      <c r="AJ180" s="1284"/>
      <c r="AK180" s="1284"/>
      <c r="AL180" s="1284"/>
      <c r="AM180" s="1760"/>
      <c r="AN180" s="1284"/>
      <c r="AO180" s="1284"/>
      <c r="AP180" s="668"/>
      <c r="AQ180" s="1284"/>
      <c r="AR180" s="1284"/>
      <c r="AS180" s="1284"/>
      <c r="AT180" s="1284"/>
      <c r="AU180" s="1284"/>
      <c r="AV180" s="1756"/>
      <c r="AW180" s="690"/>
      <c r="AX180" s="690"/>
      <c r="AY180" s="690"/>
      <c r="AZ180" s="690"/>
      <c r="BA180" s="1765">
        <v>11</v>
      </c>
    </row>
    <row s="6292" customFormat="1" customHeight="1" ht="11.549999999999999">
      <c r="A181" s="1111"/>
      <c r="B181" s="1760"/>
      <c r="C181" s="1760"/>
      <c r="D181" s="475"/>
      <c r="J181" s="6292"/>
      <c r="K181" s="6292"/>
      <c r="L181" s="6292"/>
      <c r="M181" s="6292"/>
      <c r="N181" s="6292"/>
      <c r="O181" s="6292"/>
      <c r="P181" s="6292"/>
      <c r="Q181" s="6292"/>
      <c r="R181" s="6292"/>
      <c r="S181" s="6292"/>
      <c r="T181" s="6292"/>
      <c r="U181" s="6292"/>
      <c r="V181" s="6292"/>
      <c r="W181" s="6292"/>
      <c r="X181" s="6292"/>
      <c r="Y181" s="6292"/>
      <c r="Z181" s="6292"/>
      <c r="AA181" s="6292"/>
      <c r="AB181" s="6292"/>
      <c r="AC181" s="6292"/>
      <c r="AD181" s="6292"/>
      <c r="AF181" s="1284"/>
      <c r="AG181" s="1760"/>
      <c r="AH181" s="1760"/>
      <c r="AI181" s="1284"/>
      <c r="AJ181" s="1284"/>
      <c r="AK181" s="1284"/>
      <c r="AL181" s="1284"/>
      <c r="AM181" s="1760"/>
      <c r="AN181" s="1284"/>
      <c r="AO181" s="1284"/>
      <c r="AP181" s="668"/>
      <c r="AQ181" s="1284"/>
      <c r="AR181" s="1284"/>
      <c r="AS181" s="1284"/>
      <c r="AT181" s="1284"/>
      <c r="AU181" s="1284"/>
      <c r="AV181" s="1756"/>
      <c r="AW181" s="690"/>
      <c r="AX181" s="690"/>
      <c r="AY181" s="690"/>
      <c r="AZ181" s="690"/>
      <c r="BA181" s="1765">
        <v>11</v>
      </c>
    </row>
    <row s="6292" customFormat="1" customHeight="1" ht="11.549999999999999">
      <c r="A182" s="1111"/>
      <c r="B182" s="1760"/>
      <c r="C182" s="1760"/>
      <c r="D182" s="475"/>
      <c r="J182" s="6292"/>
      <c r="K182" s="6292"/>
      <c r="L182" s="6292"/>
      <c r="M182" s="6292"/>
      <c r="N182" s="6292"/>
      <c r="O182" s="6292"/>
      <c r="P182" s="6292"/>
      <c r="Q182" s="6292"/>
      <c r="R182" s="6292"/>
      <c r="S182" s="6292"/>
      <c r="T182" s="6292"/>
      <c r="U182" s="6292"/>
      <c r="V182" s="6292"/>
      <c r="W182" s="6292"/>
      <c r="X182" s="6292"/>
      <c r="Y182" s="6292"/>
      <c r="Z182" s="6292"/>
      <c r="AA182" s="6292"/>
      <c r="AB182" s="6292"/>
      <c r="AC182" s="6292"/>
      <c r="AD182" s="6292"/>
      <c r="AF182" s="1284"/>
      <c r="AG182" s="1760"/>
      <c r="AH182" s="1760"/>
      <c r="AI182" s="1284"/>
      <c r="AJ182" s="1284"/>
      <c r="AK182" s="1284"/>
      <c r="AL182" s="1284"/>
      <c r="AM182" s="1760"/>
      <c r="AN182" s="1284"/>
      <c r="AO182" s="1284"/>
      <c r="AP182" s="668"/>
      <c r="AQ182" s="1284"/>
      <c r="AR182" s="1284"/>
      <c r="AS182" s="1284"/>
      <c r="AT182" s="1284"/>
      <c r="AU182" s="1284"/>
      <c r="AV182" s="1756"/>
      <c r="AW182" s="690"/>
      <c r="AX182" s="690"/>
      <c r="AY182" s="690"/>
      <c r="AZ182" s="690"/>
      <c r="BA182" s="1765">
        <v>11</v>
      </c>
    </row>
    <row s="6292" customFormat="1" customHeight="1" ht="11.549999999999999">
      <c r="A183" s="1111"/>
      <c r="B183" s="1760"/>
      <c r="C183" s="1760"/>
      <c r="D183" s="475"/>
      <c r="J183" s="6292"/>
      <c r="K183" s="6292"/>
      <c r="L183" s="6292"/>
      <c r="M183" s="6292"/>
      <c r="N183" s="6292"/>
      <c r="O183" s="6292"/>
      <c r="P183" s="6292"/>
      <c r="Q183" s="6292"/>
      <c r="R183" s="6292"/>
      <c r="S183" s="6292"/>
      <c r="T183" s="6292"/>
      <c r="U183" s="6292"/>
      <c r="V183" s="6292"/>
      <c r="W183" s="6292"/>
      <c r="X183" s="6292"/>
      <c r="Y183" s="6292"/>
      <c r="Z183" s="6292"/>
      <c r="AA183" s="6292"/>
      <c r="AB183" s="6292"/>
      <c r="AC183" s="6292"/>
      <c r="AD183" s="6292"/>
      <c r="AF183" s="1284"/>
      <c r="AG183" s="1760"/>
      <c r="AH183" s="1760"/>
      <c r="AI183" s="1284"/>
      <c r="AJ183" s="1284"/>
      <c r="AK183" s="1284"/>
      <c r="AL183" s="1284"/>
      <c r="AM183" s="1760"/>
      <c r="AN183" s="1284"/>
      <c r="AO183" s="1284"/>
      <c r="AP183" s="668"/>
      <c r="AQ183" s="1284"/>
      <c r="AR183" s="1284"/>
      <c r="AS183" s="1284"/>
      <c r="AT183" s="1284"/>
      <c r="AU183" s="1284"/>
      <c r="AV183" s="1756"/>
      <c r="AW183" s="690"/>
      <c r="AX183" s="690"/>
      <c r="AY183" s="690"/>
      <c r="AZ183" s="690"/>
      <c r="BA183" s="1765">
        <v>11</v>
      </c>
    </row>
    <row s="6292" customFormat="1" customHeight="1" ht="11.549999999999999">
      <c r="A184" s="1111"/>
      <c r="B184" s="1760"/>
      <c r="C184" s="1760"/>
      <c r="D184" s="475"/>
      <c r="J184" s="6292"/>
      <c r="K184" s="6292"/>
      <c r="L184" s="6292"/>
      <c r="M184" s="6292"/>
      <c r="N184" s="6292"/>
      <c r="O184" s="6292"/>
      <c r="P184" s="6292"/>
      <c r="Q184" s="6292"/>
      <c r="R184" s="6292"/>
      <c r="S184" s="6292"/>
      <c r="T184" s="6292"/>
      <c r="U184" s="6292"/>
      <c r="V184" s="6292"/>
      <c r="W184" s="6292"/>
      <c r="X184" s="6292"/>
      <c r="Y184" s="6292"/>
      <c r="Z184" s="6292"/>
      <c r="AA184" s="6292"/>
      <c r="AB184" s="6292"/>
      <c r="AC184" s="6292"/>
      <c r="AD184" s="6292"/>
      <c r="AF184" s="1284"/>
      <c r="AG184" s="1760"/>
      <c r="AH184" s="1760"/>
      <c r="AI184" s="1284"/>
      <c r="AJ184" s="1284"/>
      <c r="AK184" s="1284"/>
      <c r="AL184" s="1284"/>
      <c r="AM184" s="1760"/>
      <c r="AN184" s="1284"/>
      <c r="AO184" s="1284"/>
      <c r="AP184" s="668"/>
      <c r="AQ184" s="1284"/>
      <c r="AR184" s="1284"/>
      <c r="AS184" s="1284"/>
      <c r="AT184" s="1284"/>
      <c r="AU184" s="1284"/>
      <c r="AV184" s="1756"/>
      <c r="AW184" s="690"/>
      <c r="AX184" s="690"/>
      <c r="AY184" s="690"/>
      <c r="AZ184" s="690"/>
      <c r="BA184" s="1765">
        <v>11</v>
      </c>
    </row>
    <row s="6292" customFormat="1" customHeight="1" ht="11.549999999999999">
      <c r="A185" s="1111"/>
      <c r="B185" s="1760"/>
      <c r="C185" s="1760"/>
      <c r="D185" s="475"/>
      <c r="J185" s="6292"/>
      <c r="K185" s="6292"/>
      <c r="L185" s="6292"/>
      <c r="M185" s="6292"/>
      <c r="N185" s="6292"/>
      <c r="O185" s="6292"/>
      <c r="P185" s="6292"/>
      <c r="Q185" s="6292"/>
      <c r="R185" s="6292"/>
      <c r="S185" s="6292"/>
      <c r="T185" s="6292"/>
      <c r="U185" s="6292"/>
      <c r="V185" s="6292"/>
      <c r="W185" s="6292"/>
      <c r="X185" s="6292"/>
      <c r="Y185" s="6292"/>
      <c r="Z185" s="6292"/>
      <c r="AA185" s="6292"/>
      <c r="AB185" s="6292"/>
      <c r="AC185" s="6292"/>
      <c r="AD185" s="6292"/>
      <c r="AF185" s="1284"/>
      <c r="AG185" s="1760"/>
      <c r="AH185" s="1760"/>
      <c r="AI185" s="1284"/>
      <c r="AJ185" s="1284"/>
      <c r="AK185" s="1284"/>
      <c r="AL185" s="1284"/>
      <c r="AM185" s="1760"/>
      <c r="AN185" s="1284"/>
      <c r="AO185" s="1284"/>
      <c r="AP185" s="668"/>
      <c r="AQ185" s="1284"/>
      <c r="AR185" s="1284"/>
      <c r="AS185" s="1284"/>
      <c r="AT185" s="1284"/>
      <c r="AU185" s="1284"/>
      <c r="AV185" s="1756"/>
      <c r="AW185" s="690"/>
      <c r="AX185" s="690"/>
      <c r="AY185" s="690"/>
      <c r="AZ185" s="690"/>
      <c r="BA185" s="1765">
        <v>11</v>
      </c>
    </row>
    <row s="6292" customFormat="1" customHeight="1" ht="11.549999999999999">
      <c r="A186" s="1111"/>
      <c r="B186" s="1760"/>
      <c r="C186" s="1760"/>
      <c r="D186" s="475"/>
      <c r="J186" s="6292"/>
      <c r="K186" s="6292"/>
      <c r="L186" s="6292"/>
      <c r="M186" s="6292"/>
      <c r="N186" s="6292"/>
      <c r="O186" s="6292"/>
      <c r="P186" s="6292"/>
      <c r="Q186" s="6292"/>
      <c r="R186" s="6292"/>
      <c r="S186" s="6292"/>
      <c r="T186" s="6292"/>
      <c r="U186" s="6292"/>
      <c r="V186" s="6292"/>
      <c r="W186" s="6292"/>
      <c r="X186" s="6292"/>
      <c r="Y186" s="6292"/>
      <c r="Z186" s="6292"/>
      <c r="AA186" s="6292"/>
      <c r="AB186" s="6292"/>
      <c r="AC186" s="6292"/>
      <c r="AD186" s="6292"/>
      <c r="AF186" s="1284"/>
      <c r="AG186" s="1760"/>
      <c r="AH186" s="1760"/>
      <c r="AI186" s="1284"/>
      <c r="AJ186" s="1284"/>
      <c r="AK186" s="1284"/>
      <c r="AL186" s="1284"/>
      <c r="AM186" s="1760"/>
      <c r="AN186" s="1284"/>
      <c r="AO186" s="1284"/>
      <c r="AP186" s="668"/>
      <c r="AQ186" s="1284"/>
      <c r="AR186" s="1284"/>
      <c r="AS186" s="1284"/>
      <c r="AT186" s="1284"/>
      <c r="AU186" s="1284"/>
      <c r="AV186" s="1756"/>
      <c r="AW186" s="690"/>
      <c r="AX186" s="690"/>
      <c r="AY186" s="690"/>
      <c r="AZ186" s="690"/>
      <c r="BA186" s="1765">
        <v>11</v>
      </c>
    </row>
    <row s="6292" customFormat="1" customHeight="1" ht="11.549999999999999">
      <c r="A187" s="1111"/>
      <c r="B187" s="1760"/>
      <c r="C187" s="1760"/>
      <c r="D187" s="475"/>
      <c r="J187" s="6292"/>
      <c r="K187" s="6292"/>
      <c r="L187" s="6292"/>
      <c r="M187" s="6292"/>
      <c r="N187" s="6292"/>
      <c r="O187" s="6292"/>
      <c r="P187" s="6292"/>
      <c r="Q187" s="6292"/>
      <c r="R187" s="6292"/>
      <c r="S187" s="6292"/>
      <c r="T187" s="6292"/>
      <c r="U187" s="6292"/>
      <c r="V187" s="6292"/>
      <c r="W187" s="6292"/>
      <c r="X187" s="6292"/>
      <c r="Y187" s="6292"/>
      <c r="Z187" s="6292"/>
      <c r="AA187" s="6292"/>
      <c r="AB187" s="6292"/>
      <c r="AC187" s="6292"/>
      <c r="AD187" s="6292"/>
      <c r="AF187" s="1284"/>
      <c r="AG187" s="1760"/>
      <c r="AH187" s="1760"/>
      <c r="AI187" s="1284"/>
      <c r="AJ187" s="1284"/>
      <c r="AK187" s="1284"/>
      <c r="AL187" s="1284"/>
      <c r="AM187" s="1760"/>
      <c r="AN187" s="1284"/>
      <c r="AO187" s="1284"/>
      <c r="AP187" s="668"/>
      <c r="AQ187" s="1284"/>
      <c r="AR187" s="1284"/>
      <c r="AS187" s="1284"/>
      <c r="AT187" s="1284"/>
      <c r="AU187" s="1284"/>
      <c r="AV187" s="1756"/>
      <c r="AW187" s="690"/>
      <c r="AX187" s="690"/>
      <c r="AY187" s="690"/>
      <c r="AZ187" s="690"/>
      <c r="BA187" s="1765">
        <v>11</v>
      </c>
    </row>
    <row s="6292" customFormat="1" customHeight="1" ht="11.549999999999999">
      <c r="A188" s="1111"/>
      <c r="B188" s="1760"/>
      <c r="C188" s="1760"/>
      <c r="D188" s="475"/>
      <c r="J188" s="6292"/>
      <c r="K188" s="6292"/>
      <c r="L188" s="6292"/>
      <c r="M188" s="6292"/>
      <c r="N188" s="6292"/>
      <c r="O188" s="6292"/>
      <c r="P188" s="6292"/>
      <c r="Q188" s="6292"/>
      <c r="R188" s="6292"/>
      <c r="S188" s="6292"/>
      <c r="T188" s="6292"/>
      <c r="U188" s="6292"/>
      <c r="V188" s="6292"/>
      <c r="W188" s="6292"/>
      <c r="X188" s="6292"/>
      <c r="Y188" s="6292"/>
      <c r="Z188" s="6292"/>
      <c r="AA188" s="6292"/>
      <c r="AB188" s="6292"/>
      <c r="AC188" s="6292"/>
      <c r="AD188" s="6292"/>
      <c r="AF188" s="1284"/>
      <c r="AG188" s="1760"/>
      <c r="AH188" s="1760"/>
      <c r="AI188" s="1284"/>
      <c r="AJ188" s="1284"/>
      <c r="AK188" s="1284"/>
      <c r="AL188" s="1284"/>
      <c r="AM188" s="1760"/>
      <c r="AN188" s="1284"/>
      <c r="AO188" s="1284"/>
      <c r="AP188" s="668"/>
      <c r="AQ188" s="1284"/>
      <c r="AR188" s="1284"/>
      <c r="AS188" s="1284"/>
      <c r="AT188" s="1284"/>
      <c r="AU188" s="1284"/>
      <c r="AV188" s="1756"/>
      <c r="AW188" s="690"/>
      <c r="AX188" s="690"/>
      <c r="AY188" s="690"/>
      <c r="AZ188" s="690"/>
      <c r="BA188" s="1765">
        <v>11</v>
      </c>
    </row>
    <row s="6292" customFormat="1" customHeight="1" ht="11.549999999999999">
      <c r="A189" s="1111"/>
      <c r="B189" s="1760"/>
      <c r="C189" s="1760"/>
      <c r="D189" s="475"/>
      <c r="J189" s="6292"/>
      <c r="K189" s="6292"/>
      <c r="L189" s="6292"/>
      <c r="M189" s="6292"/>
      <c r="N189" s="6292"/>
      <c r="O189" s="6292"/>
      <c r="P189" s="6292"/>
      <c r="Q189" s="6292"/>
      <c r="R189" s="6292"/>
      <c r="S189" s="6292"/>
      <c r="T189" s="6292"/>
      <c r="U189" s="6292"/>
      <c r="V189" s="6292"/>
      <c r="W189" s="6292"/>
      <c r="X189" s="6292"/>
      <c r="Y189" s="6292"/>
      <c r="Z189" s="6292"/>
      <c r="AA189" s="6292"/>
      <c r="AB189" s="6292"/>
      <c r="AC189" s="6292"/>
      <c r="AD189" s="6292"/>
      <c r="AF189" s="1284"/>
      <c r="AG189" s="1760"/>
      <c r="AH189" s="1760"/>
      <c r="AI189" s="1284"/>
      <c r="AJ189" s="1284"/>
      <c r="AK189" s="1284"/>
      <c r="AL189" s="1284"/>
      <c r="AM189" s="1760"/>
      <c r="AN189" s="1284"/>
      <c r="AO189" s="1284"/>
      <c r="AP189" s="668"/>
      <c r="AQ189" s="1284"/>
      <c r="AR189" s="1284"/>
      <c r="AS189" s="1284"/>
      <c r="AT189" s="1284"/>
      <c r="AU189" s="1284"/>
      <c r="AV189" s="1756"/>
      <c r="AW189" s="690"/>
      <c r="AX189" s="690"/>
      <c r="AY189" s="690"/>
      <c r="AZ189" s="690"/>
      <c r="BA189" s="1765">
        <v>11</v>
      </c>
    </row>
    <row s="6292" customFormat="1" customHeight="1" ht="11.549999999999999">
      <c r="A190" s="1111"/>
      <c r="B190" s="1760"/>
      <c r="C190" s="1760"/>
      <c r="D190" s="475"/>
      <c r="J190" s="6292"/>
      <c r="K190" s="6292"/>
      <c r="L190" s="6292"/>
      <c r="M190" s="6292"/>
      <c r="N190" s="6292"/>
      <c r="O190" s="6292"/>
      <c r="P190" s="6292"/>
      <c r="Q190" s="6292"/>
      <c r="R190" s="6292"/>
      <c r="S190" s="6292"/>
      <c r="T190" s="6292"/>
      <c r="U190" s="6292"/>
      <c r="V190" s="6292"/>
      <c r="W190" s="6292"/>
      <c r="X190" s="6292"/>
      <c r="Y190" s="6292"/>
      <c r="Z190" s="6292"/>
      <c r="AA190" s="6292"/>
      <c r="AB190" s="6292"/>
      <c r="AC190" s="6292"/>
      <c r="AD190" s="6292"/>
      <c r="AF190" s="1284"/>
      <c r="AG190" s="1760"/>
      <c r="AH190" s="1760"/>
      <c r="AI190" s="1284"/>
      <c r="AJ190" s="1284"/>
      <c r="AK190" s="1284"/>
      <c r="AL190" s="1284"/>
      <c r="AM190" s="1760"/>
      <c r="AN190" s="1284"/>
      <c r="AO190" s="1284"/>
      <c r="AP190" s="668"/>
      <c r="AQ190" s="1284"/>
      <c r="AR190" s="1284"/>
      <c r="AS190" s="1284"/>
      <c r="AT190" s="1284"/>
      <c r="AU190" s="1284"/>
      <c r="AV190" s="1756"/>
      <c r="AW190" s="690"/>
      <c r="AX190" s="690"/>
      <c r="AY190" s="690"/>
      <c r="AZ190" s="690"/>
      <c r="BA190" s="1765">
        <v>11</v>
      </c>
    </row>
    <row s="6292" customFormat="1" customHeight="1" ht="11.549999999999999">
      <c r="A191" s="1111"/>
      <c r="B191" s="1760"/>
      <c r="C191" s="1760"/>
      <c r="D191" s="475"/>
      <c r="J191" s="6292"/>
      <c r="K191" s="6292"/>
      <c r="L191" s="6292"/>
      <c r="M191" s="6292"/>
      <c r="N191" s="6292"/>
      <c r="O191" s="6292"/>
      <c r="P191" s="6292"/>
      <c r="Q191" s="6292"/>
      <c r="R191" s="6292"/>
      <c r="S191" s="6292"/>
      <c r="T191" s="6292"/>
      <c r="U191" s="6292"/>
      <c r="V191" s="6292"/>
      <c r="W191" s="6292"/>
      <c r="X191" s="6292"/>
      <c r="Y191" s="6292"/>
      <c r="Z191" s="6292"/>
      <c r="AA191" s="6292"/>
      <c r="AB191" s="6292"/>
      <c r="AC191" s="6292"/>
      <c r="AD191" s="6292"/>
      <c r="AF191" s="1284"/>
      <c r="AG191" s="1760"/>
      <c r="AH191" s="1760"/>
      <c r="AI191" s="1284"/>
      <c r="AJ191" s="1284"/>
      <c r="AK191" s="1284"/>
      <c r="AL191" s="1284"/>
      <c r="AM191" s="1760"/>
      <c r="AN191" s="1284"/>
      <c r="AO191" s="1284"/>
      <c r="AP191" s="668"/>
      <c r="AQ191" s="1284"/>
      <c r="AR191" s="1284"/>
      <c r="AS191" s="1284"/>
      <c r="AT191" s="1284"/>
      <c r="AU191" s="1284"/>
      <c r="AV191" s="1756"/>
      <c r="AW191" s="690"/>
      <c r="AX191" s="690"/>
      <c r="AY191" s="690"/>
      <c r="AZ191" s="690"/>
      <c r="BA191" s="1765">
        <v>11</v>
      </c>
    </row>
    <row s="6292" customFormat="1" customHeight="1" ht="11.549999999999999">
      <c r="A192" s="1111"/>
      <c r="B192" s="1760"/>
      <c r="C192" s="1760"/>
      <c r="D192" s="475"/>
      <c r="J192" s="6292"/>
      <c r="K192" s="6292"/>
      <c r="L192" s="6292"/>
      <c r="M192" s="6292"/>
      <c r="N192" s="6292"/>
      <c r="O192" s="6292"/>
      <c r="P192" s="6292"/>
      <c r="Q192" s="6292"/>
      <c r="R192" s="6292"/>
      <c r="S192" s="6292"/>
      <c r="T192" s="6292"/>
      <c r="U192" s="6292"/>
      <c r="V192" s="6292"/>
      <c r="W192" s="6292"/>
      <c r="X192" s="6292"/>
      <c r="Y192" s="6292"/>
      <c r="Z192" s="6292"/>
      <c r="AA192" s="6292"/>
      <c r="AB192" s="6292"/>
      <c r="AC192" s="6292"/>
      <c r="AD192" s="6292"/>
      <c r="AF192" s="1284"/>
      <c r="AG192" s="1760"/>
      <c r="AH192" s="1760"/>
      <c r="AI192" s="1284"/>
      <c r="AJ192" s="1284"/>
      <c r="AK192" s="1284"/>
      <c r="AL192" s="1284"/>
      <c r="AM192" s="1760"/>
      <c r="AN192" s="1284"/>
      <c r="AO192" s="1284"/>
      <c r="AP192" s="668"/>
      <c r="AQ192" s="1284"/>
      <c r="AR192" s="1284"/>
      <c r="AS192" s="1284"/>
      <c r="AT192" s="1284"/>
      <c r="AU192" s="1284"/>
      <c r="AV192" s="1756"/>
      <c r="AW192" s="690"/>
      <c r="AX192" s="690"/>
      <c r="AY192" s="690"/>
      <c r="AZ192" s="690"/>
      <c r="BA192" s="1765">
        <v>11</v>
      </c>
    </row>
    <row s="6292" customFormat="1" customHeight="1" ht="11.549999999999999">
      <c r="A193" s="1111"/>
      <c r="B193" s="1760"/>
      <c r="C193" s="1760"/>
      <c r="D193" s="475"/>
      <c r="J193" s="6292"/>
      <c r="K193" s="6292"/>
      <c r="L193" s="6292"/>
      <c r="M193" s="6292"/>
      <c r="N193" s="6292"/>
      <c r="O193" s="6292"/>
      <c r="P193" s="6292"/>
      <c r="Q193" s="6292"/>
      <c r="R193" s="6292"/>
      <c r="S193" s="6292"/>
      <c r="T193" s="6292"/>
      <c r="U193" s="6292"/>
      <c r="V193" s="6292"/>
      <c r="W193" s="6292"/>
      <c r="X193" s="6292"/>
      <c r="Y193" s="6292"/>
      <c r="Z193" s="6292"/>
      <c r="AA193" s="6292"/>
      <c r="AB193" s="6292"/>
      <c r="AC193" s="6292"/>
      <c r="AD193" s="6292"/>
      <c r="AF193" s="1284"/>
      <c r="AG193" s="1760"/>
      <c r="AH193" s="1760"/>
      <c r="AI193" s="1284"/>
      <c r="AJ193" s="1284"/>
      <c r="AK193" s="1284"/>
      <c r="AL193" s="1284"/>
      <c r="AM193" s="1760"/>
      <c r="AN193" s="1284"/>
      <c r="AO193" s="1284"/>
      <c r="AP193" s="668"/>
      <c r="AQ193" s="1284"/>
      <c r="AR193" s="1284"/>
      <c r="AS193" s="1284"/>
      <c r="AT193" s="1284"/>
      <c r="AU193" s="1284"/>
      <c r="AV193" s="1756"/>
      <c r="AW193" s="690"/>
      <c r="AX193" s="690"/>
      <c r="AY193" s="690"/>
      <c r="AZ193" s="690"/>
      <c r="BA193" s="1765">
        <v>11</v>
      </c>
    </row>
    <row s="6292" customFormat="1" customHeight="1" ht="11.549999999999999">
      <c r="A194" s="1111"/>
      <c r="B194" s="1760"/>
      <c r="C194" s="1760"/>
      <c r="D194" s="475"/>
      <c r="J194" s="6292"/>
      <c r="K194" s="6292"/>
      <c r="L194" s="6292"/>
      <c r="M194" s="6292"/>
      <c r="N194" s="6292"/>
      <c r="O194" s="6292"/>
      <c r="P194" s="6292"/>
      <c r="Q194" s="6292"/>
      <c r="R194" s="6292"/>
      <c r="S194" s="6292"/>
      <c r="T194" s="6292"/>
      <c r="U194" s="6292"/>
      <c r="V194" s="6292"/>
      <c r="W194" s="6292"/>
      <c r="X194" s="6292"/>
      <c r="Y194" s="6292"/>
      <c r="Z194" s="6292"/>
      <c r="AA194" s="6292"/>
      <c r="AB194" s="6292"/>
      <c r="AC194" s="6292"/>
      <c r="AD194" s="6292"/>
      <c r="AF194" s="1284"/>
      <c r="AG194" s="1760"/>
      <c r="AH194" s="1760"/>
      <c r="AI194" s="1284"/>
      <c r="AJ194" s="1284"/>
      <c r="AK194" s="1284"/>
      <c r="AL194" s="1284"/>
      <c r="AM194" s="1760"/>
      <c r="AN194" s="1284"/>
      <c r="AO194" s="1284"/>
      <c r="AP194" s="668"/>
      <c r="AQ194" s="1284"/>
      <c r="AR194" s="1284"/>
      <c r="AS194" s="1284"/>
      <c r="AT194" s="1284"/>
      <c r="AU194" s="1284"/>
      <c r="AV194" s="1756"/>
      <c r="AW194" s="690"/>
      <c r="AX194" s="690"/>
      <c r="AY194" s="690"/>
      <c r="AZ194" s="690"/>
      <c r="BA194" s="1765">
        <v>11</v>
      </c>
    </row>
    <row s="6292" customFormat="1" customHeight="1" ht="11.549999999999999">
      <c r="A195" s="1111"/>
      <c r="B195" s="1760"/>
      <c r="C195" s="1760"/>
      <c r="D195" s="475"/>
      <c r="J195" s="6292"/>
      <c r="K195" s="6292"/>
      <c r="L195" s="6292"/>
      <c r="M195" s="6292"/>
      <c r="N195" s="6292"/>
      <c r="O195" s="6292"/>
      <c r="P195" s="6292"/>
      <c r="Q195" s="6292"/>
      <c r="R195" s="6292"/>
      <c r="S195" s="6292"/>
      <c r="T195" s="6292"/>
      <c r="U195" s="6292"/>
      <c r="V195" s="6292"/>
      <c r="W195" s="6292"/>
      <c r="X195" s="6292"/>
      <c r="Y195" s="6292"/>
      <c r="Z195" s="6292"/>
      <c r="AA195" s="6292"/>
      <c r="AB195" s="6292"/>
      <c r="AC195" s="6292"/>
      <c r="AD195" s="6292"/>
      <c r="AF195" s="1284"/>
      <c r="AG195" s="1760"/>
      <c r="AH195" s="1760"/>
      <c r="AI195" s="1284"/>
      <c r="AJ195" s="1284"/>
      <c r="AK195" s="1284"/>
      <c r="AL195" s="1284"/>
      <c r="AM195" s="1760"/>
      <c r="AN195" s="1284"/>
      <c r="AO195" s="1284"/>
      <c r="AP195" s="668"/>
      <c r="AQ195" s="1284"/>
      <c r="AR195" s="1284"/>
      <c r="AS195" s="1284"/>
      <c r="AT195" s="1284"/>
      <c r="AU195" s="1284"/>
      <c r="AV195" s="1756"/>
      <c r="AW195" s="690"/>
      <c r="AX195" s="690"/>
      <c r="AY195" s="690"/>
      <c r="AZ195" s="690"/>
      <c r="BA195" s="1765">
        <v>11</v>
      </c>
    </row>
    <row s="6292" customFormat="1" customHeight="1" ht="11.549999999999999">
      <c r="A196" s="1111"/>
      <c r="B196" s="1760"/>
      <c r="C196" s="1760"/>
      <c r="D196" s="475"/>
      <c r="J196" s="6292"/>
      <c r="K196" s="6292"/>
      <c r="L196" s="6292"/>
      <c r="M196" s="6292"/>
      <c r="N196" s="6292"/>
      <c r="O196" s="6292"/>
      <c r="P196" s="6292"/>
      <c r="Q196" s="6292"/>
      <c r="R196" s="6292"/>
      <c r="S196" s="6292"/>
      <c r="T196" s="6292"/>
      <c r="U196" s="6292"/>
      <c r="V196" s="6292"/>
      <c r="W196" s="6292"/>
      <c r="X196" s="6292"/>
      <c r="Y196" s="6292"/>
      <c r="Z196" s="6292"/>
      <c r="AA196" s="6292"/>
      <c r="AB196" s="6292"/>
      <c r="AC196" s="6292"/>
      <c r="AD196" s="6292"/>
      <c r="AF196" s="1284"/>
      <c r="AG196" s="1760"/>
      <c r="AH196" s="1760"/>
      <c r="AI196" s="1284"/>
      <c r="AJ196" s="1284"/>
      <c r="AK196" s="1284"/>
      <c r="AL196" s="1284"/>
      <c r="AM196" s="1760"/>
      <c r="AN196" s="1284"/>
      <c r="AO196" s="1284"/>
      <c r="AP196" s="668"/>
      <c r="AQ196" s="1284"/>
      <c r="AR196" s="1284"/>
      <c r="AS196" s="1284"/>
      <c r="AT196" s="1284"/>
      <c r="AU196" s="1284"/>
      <c r="AV196" s="1756"/>
      <c r="AW196" s="690"/>
      <c r="AX196" s="690"/>
      <c r="AY196" s="690"/>
      <c r="AZ196" s="690"/>
      <c r="BA196" s="1765">
        <v>11</v>
      </c>
    </row>
    <row s="6292" customFormat="1" customHeight="1" ht="11.549999999999999">
      <c r="A197" s="1111"/>
      <c r="B197" s="1760"/>
      <c r="C197" s="1760"/>
      <c r="D197" s="475"/>
      <c r="J197" s="6292"/>
      <c r="K197" s="6292"/>
      <c r="L197" s="6292"/>
      <c r="M197" s="6292"/>
      <c r="N197" s="6292"/>
      <c r="O197" s="6292"/>
      <c r="P197" s="6292"/>
      <c r="Q197" s="6292"/>
      <c r="R197" s="6292"/>
      <c r="S197" s="6292"/>
      <c r="T197" s="6292"/>
      <c r="U197" s="6292"/>
      <c r="V197" s="6292"/>
      <c r="W197" s="6292"/>
      <c r="X197" s="6292"/>
      <c r="Y197" s="6292"/>
      <c r="Z197" s="6292"/>
      <c r="AA197" s="6292"/>
      <c r="AB197" s="6292"/>
      <c r="AC197" s="6292"/>
      <c r="AD197" s="6292"/>
      <c r="AF197" s="1284"/>
      <c r="AG197" s="1760"/>
      <c r="AH197" s="1760"/>
      <c r="AI197" s="1284"/>
      <c r="AJ197" s="1284"/>
      <c r="AK197" s="1284"/>
      <c r="AL197" s="1284"/>
      <c r="AM197" s="1760"/>
      <c r="AN197" s="1284"/>
      <c r="AO197" s="1284"/>
      <c r="AP197" s="668"/>
      <c r="AQ197" s="1284"/>
      <c r="AR197" s="1284"/>
      <c r="AS197" s="1284"/>
      <c r="AT197" s="1284"/>
      <c r="AU197" s="1284"/>
      <c r="AV197" s="1756"/>
      <c r="AW197" s="690"/>
      <c r="AX197" s="690"/>
      <c r="AY197" s="690"/>
      <c r="AZ197" s="690"/>
      <c r="BA197" s="1765">
        <v>11</v>
      </c>
    </row>
    <row s="6292" customFormat="1" customHeight="1" ht="11.549999999999999">
      <c r="A198" s="1111"/>
      <c r="B198" s="1760"/>
      <c r="C198" s="1760"/>
      <c r="D198" s="475"/>
      <c r="J198" s="6292"/>
      <c r="K198" s="6292"/>
      <c r="L198" s="6292"/>
      <c r="M198" s="6292"/>
      <c r="N198" s="6292"/>
      <c r="O198" s="6292"/>
      <c r="P198" s="6292"/>
      <c r="Q198" s="6292"/>
      <c r="R198" s="6292"/>
      <c r="S198" s="6292"/>
      <c r="T198" s="6292"/>
      <c r="U198" s="6292"/>
      <c r="V198" s="6292"/>
      <c r="W198" s="6292"/>
      <c r="X198" s="6292"/>
      <c r="Y198" s="6292"/>
      <c r="Z198" s="6292"/>
      <c r="AA198" s="6292"/>
      <c r="AB198" s="6292"/>
      <c r="AC198" s="6292"/>
      <c r="AD198" s="6292"/>
      <c r="AF198" s="1284"/>
      <c r="AG198" s="1760"/>
      <c r="AH198" s="1760"/>
      <c r="AI198" s="1284"/>
      <c r="AJ198" s="1284"/>
      <c r="AK198" s="1284"/>
      <c r="AL198" s="1284"/>
      <c r="AM198" s="1760"/>
      <c r="AN198" s="1284"/>
      <c r="AO198" s="1284"/>
      <c r="AP198" s="668"/>
      <c r="AQ198" s="1284"/>
      <c r="AR198" s="1284"/>
      <c r="AS198" s="1284"/>
      <c r="AT198" s="1284"/>
      <c r="AU198" s="1284"/>
      <c r="AV198" s="1756"/>
      <c r="AW198" s="690"/>
      <c r="AX198" s="690"/>
      <c r="AY198" s="690"/>
      <c r="AZ198" s="690"/>
      <c r="BA198" s="1765">
        <v>11</v>
      </c>
    </row>
    <row s="6292" customFormat="1" customHeight="1" ht="11.549999999999999">
      <c r="A199" s="1111"/>
      <c r="B199" s="1760"/>
      <c r="C199" s="1760"/>
      <c r="D199" s="475"/>
      <c r="J199" s="6292"/>
      <c r="K199" s="6292"/>
      <c r="L199" s="6292"/>
      <c r="M199" s="6292"/>
      <c r="N199" s="6292"/>
      <c r="O199" s="6292"/>
      <c r="P199" s="6292"/>
      <c r="Q199" s="6292"/>
      <c r="R199" s="6292"/>
      <c r="S199" s="6292"/>
      <c r="T199" s="6292"/>
      <c r="U199" s="6292"/>
      <c r="V199" s="6292"/>
      <c r="W199" s="6292"/>
      <c r="X199" s="6292"/>
      <c r="Y199" s="6292"/>
      <c r="Z199" s="6292"/>
      <c r="AA199" s="6292"/>
      <c r="AB199" s="6292"/>
      <c r="AC199" s="6292"/>
      <c r="AD199" s="6292"/>
      <c r="AF199" s="1284"/>
      <c r="AG199" s="1760"/>
      <c r="AH199" s="1760"/>
      <c r="AI199" s="1284"/>
      <c r="AJ199" s="1284"/>
      <c r="AK199" s="1284"/>
      <c r="AL199" s="1284"/>
      <c r="AM199" s="1760"/>
      <c r="AN199" s="1284"/>
      <c r="AO199" s="1284"/>
      <c r="AP199" s="668"/>
      <c r="AQ199" s="1284"/>
      <c r="AR199" s="1284"/>
      <c r="AS199" s="1284"/>
      <c r="AT199" s="1284"/>
      <c r="AU199" s="1284"/>
      <c r="AV199" s="1756"/>
      <c r="AW199" s="690"/>
      <c r="AX199" s="690"/>
      <c r="AY199" s="690"/>
      <c r="AZ199" s="690"/>
      <c r="BA199" s="1765">
        <v>11</v>
      </c>
    </row>
    <row s="6292" customFormat="1" customHeight="1" ht="11.549999999999999">
      <c r="A200" s="1111"/>
      <c r="B200" s="1760"/>
      <c r="C200" s="1760"/>
      <c r="D200" s="475"/>
      <c r="J200" s="6292"/>
      <c r="K200" s="6292"/>
      <c r="L200" s="6292"/>
      <c r="M200" s="6292"/>
      <c r="N200" s="6292"/>
      <c r="O200" s="6292"/>
      <c r="P200" s="6292"/>
      <c r="Q200" s="6292"/>
      <c r="R200" s="6292"/>
      <c r="S200" s="6292"/>
      <c r="T200" s="6292"/>
      <c r="U200" s="6292"/>
      <c r="V200" s="6292"/>
      <c r="W200" s="6292"/>
      <c r="X200" s="6292"/>
      <c r="Y200" s="6292"/>
      <c r="Z200" s="6292"/>
      <c r="AA200" s="6292"/>
      <c r="AB200" s="6292"/>
      <c r="AC200" s="6292"/>
      <c r="AD200" s="6292"/>
      <c r="AF200" s="1284"/>
      <c r="AG200" s="1760"/>
      <c r="AH200" s="1760"/>
      <c r="AI200" s="1284"/>
      <c r="AJ200" s="1284"/>
      <c r="AK200" s="1284"/>
      <c r="AL200" s="1284"/>
      <c r="AM200" s="1760"/>
      <c r="AN200" s="1284"/>
      <c r="AO200" s="1284"/>
      <c r="AP200" s="668"/>
      <c r="AQ200" s="1284"/>
      <c r="AR200" s="1284"/>
      <c r="AS200" s="1284"/>
      <c r="AT200" s="1284"/>
      <c r="AU200" s="1284"/>
      <c r="AV200" s="1756"/>
      <c r="AW200" s="690"/>
      <c r="AX200" s="690"/>
      <c r="AY200" s="690"/>
      <c r="AZ200" s="690"/>
      <c r="BA200" s="1765">
        <v>11</v>
      </c>
    </row>
    <row customHeight="1" ht="11.549999999999999">
      <c r="J201" s="7213"/>
      <c r="K201" s="7213"/>
      <c r="L201" s="7213"/>
      <c r="M201" s="7213"/>
      <c r="N201" s="7213"/>
      <c r="O201" s="7213"/>
      <c r="P201" s="7213"/>
      <c r="Q201" s="7213"/>
      <c r="R201" s="7213"/>
      <c r="S201" s="7213"/>
      <c r="T201" s="7213"/>
      <c r="U201" s="7213"/>
      <c r="V201" s="7213"/>
      <c r="W201" s="7213"/>
      <c r="X201" s="7213"/>
      <c r="Y201" s="7213"/>
      <c r="Z201" s="7213"/>
      <c r="AA201" s="7213"/>
      <c r="AB201" s="7213"/>
      <c r="AC201" s="7213"/>
      <c r="AD201" s="7213"/>
      <c r="BA201" s="1755">
        <v>11</v>
      </c>
    </row>
    <row customHeight="1" ht="11.549999999999999">
      <c r="J202" s="7213"/>
      <c r="K202" s="7213"/>
      <c r="L202" s="7213"/>
      <c r="M202" s="7213"/>
      <c r="N202" s="7213"/>
      <c r="O202" s="7213"/>
      <c r="P202" s="7213"/>
      <c r="Q202" s="7213"/>
      <c r="R202" s="7213"/>
      <c r="S202" s="7213"/>
      <c r="T202" s="7213"/>
      <c r="U202" s="7213"/>
      <c r="V202" s="7213"/>
      <c r="W202" s="7213"/>
      <c r="X202" s="7213"/>
      <c r="Y202" s="7213"/>
      <c r="Z202" s="7213"/>
      <c r="AA202" s="7213"/>
      <c r="AB202" s="7213"/>
      <c r="AC202" s="7213"/>
      <c r="AD202" s="7213"/>
      <c r="BA202" s="1755">
        <v>11</v>
      </c>
    </row>
    <row customHeight="1" ht="11.549999999999999">
      <c r="J203" s="7213"/>
      <c r="K203" s="7213"/>
      <c r="L203" s="7213"/>
      <c r="M203" s="7213"/>
      <c r="N203" s="7213"/>
      <c r="O203" s="7213"/>
      <c r="P203" s="7213"/>
      <c r="Q203" s="7213"/>
      <c r="R203" s="7213"/>
      <c r="S203" s="7213"/>
      <c r="T203" s="7213"/>
      <c r="U203" s="7213"/>
      <c r="V203" s="7213"/>
      <c r="W203" s="7213"/>
      <c r="X203" s="7213"/>
      <c r="Y203" s="7213"/>
      <c r="Z203" s="7213"/>
      <c r="AA203" s="7213"/>
      <c r="AB203" s="7213"/>
      <c r="AC203" s="7213"/>
      <c r="AD203" s="7213"/>
      <c r="BA203" s="1755">
        <v>11</v>
      </c>
    </row>
    <row customHeight="1" ht="11.549999999999999">
      <c r="A204" s="1114"/>
      <c r="B204" s="1755"/>
      <c r="D204" s="1755"/>
      <c r="J204" s="7213"/>
      <c r="K204" s="7213"/>
      <c r="L204" s="7213"/>
      <c r="M204" s="7213"/>
      <c r="N204" s="7213"/>
      <c r="O204" s="7213"/>
      <c r="P204" s="7213"/>
      <c r="Q204" s="7213"/>
      <c r="R204" s="7213"/>
      <c r="S204" s="7213"/>
      <c r="T204" s="7213"/>
      <c r="U204" s="7213"/>
      <c r="V204" s="7213"/>
      <c r="W204" s="7213"/>
      <c r="X204" s="7213"/>
      <c r="Y204" s="7213"/>
      <c r="Z204" s="7213"/>
      <c r="AA204" s="7213"/>
      <c r="AB204" s="7213"/>
      <c r="AC204" s="7213"/>
      <c r="AD204" s="7213"/>
      <c r="AF204" s="1755"/>
      <c r="AI204" s="1755"/>
      <c r="AJ204" s="1755"/>
      <c r="AK204" s="1755"/>
      <c r="AL204" s="1755"/>
      <c r="AN204" s="1755"/>
      <c r="AO204" s="1755"/>
      <c r="AP204" s="1755"/>
      <c r="AQ204" s="1755"/>
      <c r="AR204" s="1755"/>
      <c r="AS204" s="1755"/>
      <c r="AT204" s="1755"/>
      <c r="AU204" s="1755"/>
      <c r="AV204" s="1755"/>
      <c r="AW204" s="1755"/>
      <c r="AX204" s="1755"/>
      <c r="AY204" s="1755"/>
      <c r="AZ204" s="1755"/>
      <c r="BA204" s="1755">
        <v>11</v>
      </c>
    </row>
    <row customHeight="1" ht="11.549999999999999">
      <c r="A205" s="1114"/>
      <c r="B205" s="1755"/>
      <c r="D205" s="1755"/>
      <c r="J205" s="7213"/>
      <c r="K205" s="7213"/>
      <c r="L205" s="7213"/>
      <c r="M205" s="7213"/>
      <c r="N205" s="7213"/>
      <c r="O205" s="7213"/>
      <c r="P205" s="7213"/>
      <c r="Q205" s="7213"/>
      <c r="R205" s="7213"/>
      <c r="S205" s="7213"/>
      <c r="T205" s="7213"/>
      <c r="U205" s="7213"/>
      <c r="V205" s="7213"/>
      <c r="W205" s="7213"/>
      <c r="X205" s="7213"/>
      <c r="Y205" s="7213"/>
      <c r="Z205" s="7213"/>
      <c r="AA205" s="7213"/>
      <c r="AB205" s="7213"/>
      <c r="AC205" s="7213"/>
      <c r="AD205" s="7213"/>
      <c r="AF205" s="1755"/>
      <c r="AI205" s="1755"/>
      <c r="AJ205" s="1755"/>
      <c r="AK205" s="1755"/>
      <c r="AL205" s="1755"/>
      <c r="AN205" s="1755"/>
      <c r="AO205" s="1755"/>
      <c r="AP205" s="1755"/>
      <c r="AQ205" s="1755"/>
      <c r="AR205" s="1755"/>
      <c r="AS205" s="1755"/>
      <c r="AT205" s="1755"/>
      <c r="AU205" s="1755"/>
      <c r="AV205" s="1755"/>
      <c r="AW205" s="1755"/>
      <c r="AX205" s="1755"/>
      <c r="AY205" s="1755"/>
      <c r="AZ205" s="1755"/>
      <c r="BA205" s="1755">
        <v>11</v>
      </c>
    </row>
    <row customHeight="1" ht="11.549999999999999">
      <c r="A206" s="1114"/>
      <c r="B206" s="1755"/>
      <c r="D206" s="1755"/>
      <c r="J206" s="7213"/>
      <c r="K206" s="7213"/>
      <c r="L206" s="7213"/>
      <c r="M206" s="7213"/>
      <c r="N206" s="7213"/>
      <c r="O206" s="7213"/>
      <c r="P206" s="7213"/>
      <c r="Q206" s="7213"/>
      <c r="R206" s="7213"/>
      <c r="S206" s="7213"/>
      <c r="T206" s="7213"/>
      <c r="U206" s="7213"/>
      <c r="V206" s="7213"/>
      <c r="W206" s="7213"/>
      <c r="X206" s="7213"/>
      <c r="Y206" s="7213"/>
      <c r="Z206" s="7213"/>
      <c r="AA206" s="7213"/>
      <c r="AB206" s="7213"/>
      <c r="AC206" s="7213"/>
      <c r="AD206" s="7213"/>
      <c r="AF206" s="1755"/>
      <c r="AI206" s="1755"/>
      <c r="AJ206" s="1755"/>
      <c r="AK206" s="1755"/>
      <c r="AL206" s="1755"/>
      <c r="AN206" s="1755"/>
      <c r="AO206" s="1755"/>
      <c r="AP206" s="1755"/>
      <c r="AQ206" s="1755"/>
      <c r="AR206" s="1755"/>
      <c r="AS206" s="1755"/>
      <c r="AT206" s="1755"/>
      <c r="AU206" s="1755"/>
      <c r="AV206" s="1755"/>
      <c r="AW206" s="1755"/>
      <c r="AX206" s="1755"/>
      <c r="AY206" s="1755"/>
      <c r="AZ206" s="1755"/>
      <c r="BA206" s="1755">
        <v>11</v>
      </c>
    </row>
    <row customHeight="1" ht="11.549999999999999">
      <c r="A207" s="1114"/>
      <c r="B207" s="1755"/>
      <c r="D207" s="1755"/>
      <c r="J207" s="7213"/>
      <c r="K207" s="7213"/>
      <c r="L207" s="7213"/>
      <c r="M207" s="7213"/>
      <c r="N207" s="7213"/>
      <c r="O207" s="7213"/>
      <c r="P207" s="7213"/>
      <c r="Q207" s="7213"/>
      <c r="R207" s="7213"/>
      <c r="S207" s="7213"/>
      <c r="T207" s="7213"/>
      <c r="U207" s="7213"/>
      <c r="V207" s="7213"/>
      <c r="W207" s="7213"/>
      <c r="X207" s="7213"/>
      <c r="Y207" s="7213"/>
      <c r="Z207" s="7213"/>
      <c r="AA207" s="7213"/>
      <c r="AB207" s="7213"/>
      <c r="AC207" s="7213"/>
      <c r="AD207" s="7213"/>
      <c r="AF207" s="1755"/>
      <c r="AI207" s="1755"/>
      <c r="AJ207" s="1755"/>
      <c r="AK207" s="1755"/>
      <c r="AL207" s="1755"/>
      <c r="AN207" s="1755"/>
      <c r="AO207" s="1755"/>
      <c r="AP207" s="1755"/>
      <c r="AQ207" s="1755"/>
      <c r="AR207" s="1755"/>
      <c r="AS207" s="1755"/>
      <c r="AT207" s="1755"/>
      <c r="AU207" s="1755"/>
      <c r="AV207" s="1755"/>
      <c r="AW207" s="1755"/>
      <c r="AX207" s="1755"/>
      <c r="AY207" s="1755"/>
      <c r="AZ207" s="1755"/>
      <c r="BA207" s="1755">
        <v>11</v>
      </c>
    </row>
    <row customHeight="1" ht="11.549999999999999">
      <c r="A208" s="1114"/>
      <c r="B208" s="1755"/>
      <c r="D208" s="1755"/>
      <c r="J208" s="7213"/>
      <c r="K208" s="7213"/>
      <c r="L208" s="7213"/>
      <c r="M208" s="7213"/>
      <c r="N208" s="7213"/>
      <c r="O208" s="7213"/>
      <c r="P208" s="7213"/>
      <c r="Q208" s="7213"/>
      <c r="R208" s="7213"/>
      <c r="S208" s="7213"/>
      <c r="T208" s="7213"/>
      <c r="U208" s="7213"/>
      <c r="V208" s="7213"/>
      <c r="W208" s="7213"/>
      <c r="X208" s="7213"/>
      <c r="Y208" s="7213"/>
      <c r="Z208" s="7213"/>
      <c r="AA208" s="7213"/>
      <c r="AB208" s="7213"/>
      <c r="AC208" s="7213"/>
      <c r="AD208" s="7213"/>
      <c r="AF208" s="1755"/>
      <c r="AI208" s="1755"/>
      <c r="AJ208" s="1755"/>
      <c r="AK208" s="1755"/>
      <c r="AL208" s="1755"/>
      <c r="AN208" s="1755"/>
      <c r="AO208" s="1755"/>
      <c r="AP208" s="1755"/>
      <c r="AQ208" s="1755"/>
      <c r="AR208" s="1755"/>
      <c r="AS208" s="1755"/>
      <c r="AT208" s="1755"/>
      <c r="AU208" s="1755"/>
      <c r="AV208" s="1755"/>
      <c r="AW208" s="1755"/>
      <c r="AX208" s="1755"/>
      <c r="AY208" s="1755"/>
      <c r="AZ208" s="1755"/>
      <c r="BA208" s="1755">
        <v>11</v>
      </c>
    </row>
    <row customHeight="1" ht="11.549999999999999">
      <c r="A209" s="1114"/>
      <c r="B209" s="1755"/>
      <c r="D209" s="1755"/>
      <c r="J209" s="7213"/>
      <c r="K209" s="7213"/>
      <c r="L209" s="7213"/>
      <c r="M209" s="7213"/>
      <c r="N209" s="7213"/>
      <c r="O209" s="7213"/>
      <c r="P209" s="7213"/>
      <c r="Q209" s="7213"/>
      <c r="R209" s="7213"/>
      <c r="S209" s="7213"/>
      <c r="T209" s="7213"/>
      <c r="U209" s="7213"/>
      <c r="V209" s="7213"/>
      <c r="W209" s="7213"/>
      <c r="X209" s="7213"/>
      <c r="Y209" s="7213"/>
      <c r="Z209" s="7213"/>
      <c r="AA209" s="7213"/>
      <c r="AB209" s="7213"/>
      <c r="AC209" s="7213"/>
      <c r="AD209" s="7213"/>
      <c r="AF209" s="1755"/>
      <c r="AI209" s="1755"/>
      <c r="AJ209" s="1755"/>
      <c r="AK209" s="1755"/>
      <c r="AL209" s="1755"/>
      <c r="AN209" s="1755"/>
      <c r="AO209" s="1755"/>
      <c r="AP209" s="1755"/>
      <c r="AQ209" s="1755"/>
      <c r="AR209" s="1755"/>
      <c r="AS209" s="1755"/>
      <c r="AT209" s="1755"/>
      <c r="AU209" s="1755"/>
      <c r="AV209" s="1755"/>
      <c r="AW209" s="1755"/>
      <c r="AX209" s="1755"/>
      <c r="AY209" s="1755"/>
      <c r="AZ209" s="1755"/>
      <c r="BA209" s="1755">
        <v>11</v>
      </c>
    </row>
    <row customHeight="1" ht="11.549999999999999">
      <c r="A210" s="1114"/>
      <c r="B210" s="1755"/>
      <c r="D210" s="1755"/>
      <c r="J210" s="7213"/>
      <c r="K210" s="7213"/>
      <c r="L210" s="7213"/>
      <c r="M210" s="7213"/>
      <c r="N210" s="7213"/>
      <c r="O210" s="7213"/>
      <c r="P210" s="7213"/>
      <c r="Q210" s="7213"/>
      <c r="R210" s="7213"/>
      <c r="S210" s="7213"/>
      <c r="T210" s="7213"/>
      <c r="U210" s="7213"/>
      <c r="V210" s="7213"/>
      <c r="W210" s="7213"/>
      <c r="X210" s="7213"/>
      <c r="Y210" s="7213"/>
      <c r="Z210" s="7213"/>
      <c r="AA210" s="7213"/>
      <c r="AB210" s="7213"/>
      <c r="AC210" s="7213"/>
      <c r="AD210" s="7213"/>
      <c r="AF210" s="1755"/>
      <c r="AI210" s="1755"/>
      <c r="AJ210" s="1755"/>
      <c r="AK210" s="1755"/>
      <c r="AL210" s="1755"/>
      <c r="AN210" s="1755"/>
      <c r="AO210" s="1755"/>
      <c r="AP210" s="1755"/>
      <c r="AQ210" s="1755"/>
      <c r="AR210" s="1755"/>
      <c r="AS210" s="1755"/>
      <c r="AT210" s="1755"/>
      <c r="AU210" s="1755"/>
      <c r="AV210" s="1755"/>
      <c r="AW210" s="1755"/>
      <c r="AX210" s="1755"/>
      <c r="AY210" s="1755"/>
      <c r="AZ210" s="1755"/>
      <c r="BA210" s="1755">
        <v>11</v>
      </c>
    </row>
    <row customHeight="1" ht="11.549999999999999">
      <c r="A211" s="1114"/>
      <c r="B211" s="1755"/>
      <c r="D211" s="1755"/>
      <c r="J211" s="7213"/>
      <c r="K211" s="7213"/>
      <c r="L211" s="7213"/>
      <c r="M211" s="7213"/>
      <c r="N211" s="7213"/>
      <c r="O211" s="7213"/>
      <c r="P211" s="7213"/>
      <c r="Q211" s="7213"/>
      <c r="R211" s="7213"/>
      <c r="S211" s="7213"/>
      <c r="T211" s="7213"/>
      <c r="U211" s="7213"/>
      <c r="V211" s="7213"/>
      <c r="W211" s="7213"/>
      <c r="X211" s="7213"/>
      <c r="Y211" s="7213"/>
      <c r="Z211" s="7213"/>
      <c r="AA211" s="7213"/>
      <c r="AB211" s="7213"/>
      <c r="AC211" s="7213"/>
      <c r="AD211" s="7213"/>
      <c r="AF211" s="1755"/>
      <c r="AI211" s="1755"/>
      <c r="AJ211" s="1755"/>
      <c r="AK211" s="1755"/>
      <c r="AL211" s="1755"/>
      <c r="AN211" s="1755"/>
      <c r="AO211" s="1755"/>
      <c r="AP211" s="1755"/>
      <c r="AQ211" s="1755"/>
      <c r="AR211" s="1755"/>
      <c r="AS211" s="1755"/>
      <c r="AT211" s="1755"/>
      <c r="AU211" s="1755"/>
      <c r="AV211" s="1755"/>
      <c r="AW211" s="1755"/>
      <c r="AX211" s="1755"/>
      <c r="AY211" s="1755"/>
      <c r="AZ211" s="1755"/>
      <c r="BA211" s="1755">
        <v>11</v>
      </c>
    </row>
    <row customHeight="1" ht="11.549999999999999">
      <c r="A212" s="1114"/>
      <c r="B212" s="1755"/>
      <c r="D212" s="1755"/>
      <c r="J212" s="7213"/>
      <c r="K212" s="7213"/>
      <c r="L212" s="7213"/>
      <c r="M212" s="7213"/>
      <c r="N212" s="7213"/>
      <c r="O212" s="7213"/>
      <c r="P212" s="7213"/>
      <c r="Q212" s="7213"/>
      <c r="R212" s="7213"/>
      <c r="S212" s="7213"/>
      <c r="T212" s="7213"/>
      <c r="U212" s="7213"/>
      <c r="V212" s="7213"/>
      <c r="W212" s="7213"/>
      <c r="X212" s="7213"/>
      <c r="Y212" s="7213"/>
      <c r="Z212" s="7213"/>
      <c r="AA212" s="7213"/>
      <c r="AB212" s="7213"/>
      <c r="AC212" s="7213"/>
      <c r="AD212" s="7213"/>
      <c r="AF212" s="1755"/>
      <c r="AI212" s="1755"/>
      <c r="AJ212" s="1755"/>
      <c r="AK212" s="1755"/>
      <c r="AL212" s="1755"/>
      <c r="AN212" s="1755"/>
      <c r="AO212" s="1755"/>
      <c r="AP212" s="1755"/>
      <c r="AQ212" s="1755"/>
      <c r="AR212" s="1755"/>
      <c r="AS212" s="1755"/>
      <c r="AT212" s="1755"/>
      <c r="AU212" s="1755"/>
      <c r="AV212" s="1755"/>
      <c r="AW212" s="1755"/>
      <c r="AX212" s="1755"/>
      <c r="AY212" s="1755"/>
      <c r="AZ212" s="1755"/>
      <c r="BA212" s="1755">
        <v>11</v>
      </c>
    </row>
    <row customHeight="1" ht="11.549999999999999">
      <c r="A213" s="1114"/>
      <c r="B213" s="1755"/>
      <c r="D213" s="1755"/>
      <c r="J213" s="7213"/>
      <c r="K213" s="7213"/>
      <c r="L213" s="7213"/>
      <c r="M213" s="7213"/>
      <c r="N213" s="7213"/>
      <c r="O213" s="7213"/>
      <c r="P213" s="7213"/>
      <c r="Q213" s="7213"/>
      <c r="R213" s="7213"/>
      <c r="S213" s="7213"/>
      <c r="T213" s="7213"/>
      <c r="U213" s="7213"/>
      <c r="V213" s="7213"/>
      <c r="W213" s="7213"/>
      <c r="X213" s="7213"/>
      <c r="Y213" s="7213"/>
      <c r="Z213" s="7213"/>
      <c r="AA213" s="7213"/>
      <c r="AB213" s="7213"/>
      <c r="AC213" s="7213"/>
      <c r="AD213" s="7213"/>
      <c r="AF213" s="1755"/>
      <c r="AI213" s="1755"/>
      <c r="AJ213" s="1755"/>
      <c r="AK213" s="1755"/>
      <c r="AL213" s="1755"/>
      <c r="AN213" s="1755"/>
      <c r="AO213" s="1755"/>
      <c r="AP213" s="1755"/>
      <c r="AQ213" s="1755"/>
      <c r="AR213" s="1755"/>
      <c r="AS213" s="1755"/>
      <c r="AT213" s="1755"/>
      <c r="AU213" s="1755"/>
      <c r="AV213" s="1755"/>
      <c r="AW213" s="1755"/>
      <c r="AX213" s="1755"/>
      <c r="AY213" s="1755"/>
      <c r="AZ213" s="1755"/>
      <c r="BA213" s="1755">
        <v>11</v>
      </c>
    </row>
    <row customHeight="1" ht="11.549999999999999">
      <c r="A214" s="1114"/>
      <c r="B214" s="1755"/>
      <c r="D214" s="1755"/>
      <c r="J214" s="7213"/>
      <c r="K214" s="7213"/>
      <c r="L214" s="7213"/>
      <c r="M214" s="7213"/>
      <c r="N214" s="7213"/>
      <c r="O214" s="7213"/>
      <c r="P214" s="7213"/>
      <c r="Q214" s="7213"/>
      <c r="R214" s="7213"/>
      <c r="S214" s="7213"/>
      <c r="T214" s="7213"/>
      <c r="U214" s="7213"/>
      <c r="V214" s="7213"/>
      <c r="W214" s="7213"/>
      <c r="X214" s="7213"/>
      <c r="Y214" s="7213"/>
      <c r="Z214" s="7213"/>
      <c r="AA214" s="7213"/>
      <c r="AB214" s="7213"/>
      <c r="AC214" s="7213"/>
      <c r="AD214" s="7213"/>
      <c r="AF214" s="1755"/>
      <c r="AI214" s="1755"/>
      <c r="AJ214" s="1755"/>
      <c r="AK214" s="1755"/>
      <c r="AL214" s="1755"/>
      <c r="AN214" s="1755"/>
      <c r="AO214" s="1755"/>
      <c r="AP214" s="1755"/>
      <c r="AQ214" s="1755"/>
      <c r="AR214" s="1755"/>
      <c r="AS214" s="1755"/>
      <c r="AT214" s="1755"/>
      <c r="AU214" s="1755"/>
      <c r="AV214" s="1755"/>
      <c r="AW214" s="1755"/>
      <c r="AX214" s="1755"/>
      <c r="AY214" s="1755"/>
      <c r="AZ214" s="1755"/>
      <c r="BA214" s="1755">
        <v>11</v>
      </c>
    </row>
    <row customHeight="1" ht="11.25" hidden="1">
      <c r="A215" s="1111" t="s">
        <v>82</v>
      </c>
      <c r="B215" s="1284">
        <v>0</v>
      </c>
      <c r="C215" s="1760">
        <v>0</v>
      </c>
      <c r="D215" s="1759">
        <v>3</v>
      </c>
      <c r="E215" s="1755">
        <v>7</v>
      </c>
      <c r="F215" s="1755">
        <v>54</v>
      </c>
      <c r="G215" s="1755">
        <v>10</v>
      </c>
      <c r="H215" s="1755">
        <v>0</v>
      </c>
      <c r="I215" s="1755">
        <v>40</v>
      </c>
      <c r="J215" s="7213">
        <v>0</v>
      </c>
      <c r="K215" s="7213">
        <v>0</v>
      </c>
      <c r="L215" s="7213">
        <v>0</v>
      </c>
      <c r="M215" s="7213">
        <v>0</v>
      </c>
      <c r="N215" s="7213">
        <v>0</v>
      </c>
      <c r="O215" s="7213">
        <v>0</v>
      </c>
      <c r="P215" s="7213">
        <v>0</v>
      </c>
      <c r="Q215" s="7213">
        <v>0</v>
      </c>
      <c r="R215" s="7213">
        <v>0</v>
      </c>
      <c r="S215" s="7213">
        <v>0</v>
      </c>
      <c r="T215" s="7213">
        <v>0</v>
      </c>
      <c r="U215" s="7213">
        <v>0</v>
      </c>
      <c r="V215" s="7213">
        <v>0</v>
      </c>
      <c r="W215" s="7213">
        <v>0</v>
      </c>
      <c r="X215" s="7213">
        <v>0</v>
      </c>
      <c r="Y215" s="7213">
        <v>0</v>
      </c>
      <c r="Z215" s="7213">
        <v>0</v>
      </c>
      <c r="AA215" s="7213">
        <v>0</v>
      </c>
      <c r="AB215" s="7213">
        <v>0</v>
      </c>
      <c r="AC215" s="7213">
        <v>0</v>
      </c>
      <c r="AD215" s="7213">
        <v>0</v>
      </c>
      <c r="AE215" s="1755">
        <v>102</v>
      </c>
      <c r="AF215" s="1284">
        <v>9</v>
      </c>
      <c r="AG215" s="1760">
        <v>5</v>
      </c>
      <c r="AH215" s="1760">
        <v>3</v>
      </c>
      <c r="AI215" s="1284">
        <v>3</v>
      </c>
      <c r="AJ215" s="1284">
        <v>3</v>
      </c>
      <c r="AK215" s="1284">
        <v>3</v>
      </c>
      <c r="AL215" s="1284">
        <v>3</v>
      </c>
      <c r="AM215" s="1760">
        <v>10</v>
      </c>
      <c r="AN215" s="1284">
        <v>34</v>
      </c>
      <c r="AO215" s="1284">
        <v>9</v>
      </c>
      <c r="AP215" s="668">
        <v>8</v>
      </c>
      <c r="AQ215" s="1284">
        <v>8</v>
      </c>
      <c r="AR215" s="1284">
        <v>8</v>
      </c>
      <c r="AS215" s="1284">
        <v>8</v>
      </c>
      <c r="AT215" s="1284">
        <v>8</v>
      </c>
      <c r="AU215" s="1284">
        <v>8</v>
      </c>
      <c r="AV215" s="1756">
        <v>8</v>
      </c>
      <c r="AW215" s="1756">
        <v>8</v>
      </c>
      <c r="AX215" s="1756">
        <v>8</v>
      </c>
      <c r="AY215" s="1756">
        <v>8</v>
      </c>
      <c r="AZ215" s="1756">
        <v>8</v>
      </c>
      <c r="BA215" s="1755">
        <v>11</v>
      </c>
    </row>
  </sheetData>
  <sheetProtection formatColumns="0" formatRows="0" autoFilter="0" sort="0" insertRows="0" insertColumns="1" deleteRows="0" deleteColumns="0"/>
  <mergeCells count="9">
    <mergeCell ref="F45:G45"/>
    <mergeCell ref="E6:I6"/>
    <mergeCell ref="E7:I7"/>
    <mergeCell ref="F10:G10"/>
    <mergeCell ref="AE10:AE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D28">
      <formula1>900</formula1>
    </dataValidation>
    <dataValidation type="decimal" allowBlank="1" showErrorMessage="1" errorTitle="Ошибка" error="Допускается ввод только неотрицательных чисел!" sqref="H32:AD32 H2:AD2 H15:AD15 H17:AD27 H30:AD30 H41:AD42 H38:AD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D36">
      <formula1>900</formula1>
    </dataValidation>
    <dataValidation type="decimal" allowBlank="1" showErrorMessage="1" errorTitle="Ошибка" error="Допускается ввод только действительных чисел!" sqref="H31:AD31">
      <formula1>-9.99999999999999E+23</formula1>
      <formula2>9.99999999999999E+23</formula2>
    </dataValidation>
    <dataValidation type="decimal" allowBlank="1" showErrorMessage="1" errorTitle="Ошибка" error="Допускается ввод только действительных чисел!" sqref="H33:AD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C065DD-C2B3-B868-91B8-0535DAD8D958}" mc:Ignorable="x14ac xr xr2 xr3">
  <sheetPr>
    <tabColor theme="9" tint="-0.25"/>
  </sheetPr>
  <dimension ref="A1:BN102"/>
  <sheetViews>
    <sheetView showGridLines="0" zoomScale="90" workbookViewId="0">
      <pane xSplit="8" ySplit="11" topLeftCell="I12" activePane="bottomRight" state="frozen"/>
      <selection pane="bottomLeft" activeCell="A12" sqref="A12"/>
      <selection pane="topRight" activeCell="I1" sqref="I1"/>
      <selection pane="bottomRight" activeCell="C31" sqref="C31"/>
    </sheetView>
  </sheetViews>
  <sheetFormatPr defaultColWidth="10.57421875" customHeight="1" defaultRowHeight="11.25"/>
  <cols>
    <col min="1" max="1" style="6944" width="9.140625" hidden="1" customWidth="1"/>
    <col min="2" max="2" style="6698" width="3.57421875" hidden="1" customWidth="1"/>
    <col min="3" max="3" style="7213" width="3.00390625" customWidth="1"/>
    <col min="4" max="4" style="7213" width="7.00390625" customWidth="1"/>
    <col min="5" max="5" style="7213" width="69.00390625" customWidth="1"/>
    <col min="6" max="6" style="7213" width="10.00390625" customWidth="1"/>
    <col min="7" max="8" style="7213" width="44.00390625" hidden="1" customWidth="1"/>
    <col min="9" max="9" style="7213" width="44.00390625" customWidth="1"/>
    <col min="10" max="10" style="7213" width="43.00390625" customWidth="1"/>
    <col min="11" max="52" style="7213" width="44.00390625" customWidth="1"/>
    <col min="53" max="53" style="7213" width="73.00390625" customWidth="1"/>
    <col min="54" max="54" style="7213" width="3.00390625" customWidth="1"/>
    <col min="55" max="65" style="7213" width="10.00390625" customWidth="1"/>
    <col min="66" max="66" style="7213" width="10.57421875" hidden="1"/>
  </cols>
  <sheetData>
    <row s="7158" customFormat="1" customHeight="1" ht="22.5" hidden="1">
      <c r="A1" s="660"/>
      <c r="B1" s="635"/>
      <c r="G1" s="541">
        <v>4</v>
      </c>
      <c r="I1" s="541">
        <v>4</v>
      </c>
      <c r="K1" s="7158">
        <v>4</v>
      </c>
      <c r="L1" s="7158"/>
      <c r="M1" s="7158">
        <v>4</v>
      </c>
      <c r="N1" s="7158"/>
      <c r="O1" s="7158">
        <v>4</v>
      </c>
      <c r="P1" s="7158"/>
      <c r="Q1" s="7158">
        <v>4</v>
      </c>
      <c r="R1" s="7158"/>
      <c r="S1" s="7158">
        <v>4</v>
      </c>
      <c r="T1" s="7158"/>
      <c r="U1" s="7158">
        <v>4</v>
      </c>
      <c r="V1" s="7158"/>
      <c r="W1" s="7158">
        <v>4</v>
      </c>
      <c r="X1" s="7158"/>
      <c r="Y1" s="7158">
        <v>4</v>
      </c>
      <c r="Z1" s="7158"/>
      <c r="AA1" s="7158">
        <v>4</v>
      </c>
      <c r="AB1" s="7158"/>
      <c r="AC1" s="7158">
        <v>4</v>
      </c>
      <c r="AD1" s="7158"/>
      <c r="AE1" s="7158">
        <v>4</v>
      </c>
      <c r="AF1" s="7158"/>
      <c r="AG1" s="7158">
        <v>4</v>
      </c>
      <c r="AH1" s="7158"/>
      <c r="AI1" s="7158">
        <v>4</v>
      </c>
      <c r="AJ1" s="7158"/>
      <c r="AK1" s="7158">
        <v>4</v>
      </c>
      <c r="AL1" s="7158"/>
      <c r="AM1" s="7158">
        <v>4</v>
      </c>
      <c r="AN1" s="7158"/>
      <c r="AO1" s="7158">
        <v>4</v>
      </c>
      <c r="AP1" s="7158"/>
      <c r="AQ1" s="7158">
        <v>4</v>
      </c>
      <c r="AR1" s="7158"/>
      <c r="AS1" s="7158">
        <v>4</v>
      </c>
      <c r="AT1" s="7158"/>
      <c r="AU1" s="7158">
        <v>4</v>
      </c>
      <c r="AV1" s="7158"/>
      <c r="AW1" s="7158">
        <v>4</v>
      </c>
      <c r="AX1" s="7158"/>
      <c r="AY1" s="7158">
        <v>4</v>
      </c>
      <c r="AZ1" s="7158"/>
      <c r="BA1" s="541" t="s">
        <v>90</v>
      </c>
      <c r="BN1" s="541" t="s">
        <v>14</v>
      </c>
    </row>
    <row customHeight="1" ht="3">
      <c r="K2" s="7213"/>
      <c r="L2" s="7213"/>
      <c r="M2" s="7213"/>
      <c r="N2" s="7213"/>
      <c r="O2" s="7213"/>
      <c r="P2" s="7213"/>
      <c r="Q2" s="7213"/>
      <c r="R2" s="7213"/>
      <c r="S2" s="7213"/>
      <c r="T2" s="7213"/>
      <c r="U2" s="7213"/>
      <c r="V2" s="7213"/>
      <c r="W2" s="7213"/>
      <c r="X2" s="7213"/>
      <c r="Y2" s="7213"/>
      <c r="Z2" s="7213"/>
      <c r="AA2" s="7213"/>
      <c r="AB2" s="7213"/>
      <c r="AC2" s="7213"/>
      <c r="AD2" s="7213"/>
      <c r="AE2" s="7213"/>
      <c r="AF2" s="7213"/>
      <c r="AG2" s="7213"/>
      <c r="AH2" s="7213"/>
      <c r="AI2" s="7213"/>
      <c r="AJ2" s="7213"/>
      <c r="AK2" s="7213"/>
      <c r="AL2" s="7213"/>
      <c r="AM2" s="7213"/>
      <c r="AN2" s="7213"/>
      <c r="AO2" s="7213"/>
      <c r="AP2" s="7213"/>
      <c r="AQ2" s="7213"/>
      <c r="AR2" s="7213"/>
      <c r="AS2" s="7213"/>
      <c r="AT2" s="7213"/>
      <c r="AU2" s="7213"/>
      <c r="AV2" s="7213"/>
      <c r="AW2" s="7213"/>
      <c r="AX2" s="7213"/>
      <c r="AY2" s="7213"/>
      <c r="AZ2" s="7213"/>
      <c r="BN2" s="629">
        <v>3</v>
      </c>
    </row>
    <row customHeight="1" ht="78.75">
      <c r="D3" s="237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76"/>
      <c r="F3" s="2377"/>
      <c r="K3" s="7213"/>
      <c r="L3" s="7213"/>
      <c r="M3" s="7213"/>
      <c r="N3" s="7213"/>
      <c r="O3" s="7213"/>
      <c r="P3" s="7213"/>
      <c r="Q3" s="7213"/>
      <c r="R3" s="7213"/>
      <c r="S3" s="7213"/>
      <c r="T3" s="7213"/>
      <c r="U3" s="7213"/>
      <c r="V3" s="7213"/>
      <c r="W3" s="7213"/>
      <c r="X3" s="7213"/>
      <c r="Y3" s="7213"/>
      <c r="Z3" s="7213"/>
      <c r="AA3" s="7213"/>
      <c r="AB3" s="7213"/>
      <c r="AC3" s="7213"/>
      <c r="AD3" s="7213"/>
      <c r="AE3" s="7213"/>
      <c r="AF3" s="7213"/>
      <c r="AG3" s="7213"/>
      <c r="AH3" s="7213"/>
      <c r="AI3" s="7213"/>
      <c r="AJ3" s="7213"/>
      <c r="AK3" s="7213"/>
      <c r="AL3" s="7213"/>
      <c r="AM3" s="7213"/>
      <c r="AN3" s="7213"/>
      <c r="AO3" s="7213"/>
      <c r="AP3" s="7213"/>
      <c r="AQ3" s="7213"/>
      <c r="AR3" s="7213"/>
      <c r="AS3" s="7213"/>
      <c r="AT3" s="7213"/>
      <c r="AU3" s="7213"/>
      <c r="AV3" s="7213"/>
      <c r="AW3" s="7213"/>
      <c r="AX3" s="7213"/>
      <c r="AY3" s="7213"/>
      <c r="AZ3" s="7213"/>
      <c r="BN3" s="629">
        <v>75</v>
      </c>
    </row>
    <row s="7213" customFormat="1" customHeight="1" ht="21">
      <c r="A4" s="1075"/>
      <c r="B4" s="635"/>
      <c r="D4" s="2351" t="str">
        <f>IF(org=0,"Не определено",org)</f>
        <v>ООО "СамРЭК-Эксплуатация"</v>
      </c>
      <c r="E4" s="2352"/>
      <c r="F4" s="2353"/>
      <c r="K4" s="7213"/>
      <c r="L4" s="7213"/>
      <c r="M4" s="7213"/>
      <c r="N4" s="7213"/>
      <c r="O4" s="7213"/>
      <c r="P4" s="7213"/>
      <c r="Q4" s="7213"/>
      <c r="R4" s="7213"/>
      <c r="S4" s="7213"/>
      <c r="T4" s="7213"/>
      <c r="U4" s="7213"/>
      <c r="V4" s="7213"/>
      <c r="W4" s="7213"/>
      <c r="X4" s="7213"/>
      <c r="Y4" s="7213"/>
      <c r="Z4" s="7213"/>
      <c r="AA4" s="7213"/>
      <c r="AB4" s="7213"/>
      <c r="AC4" s="7213"/>
      <c r="AD4" s="7213"/>
      <c r="AE4" s="7213"/>
      <c r="AF4" s="7213"/>
      <c r="AG4" s="7213"/>
      <c r="AH4" s="7213"/>
      <c r="AI4" s="7213"/>
      <c r="AJ4" s="7213"/>
      <c r="AK4" s="7213"/>
      <c r="AL4" s="7213"/>
      <c r="AM4" s="7213"/>
      <c r="AN4" s="7213"/>
      <c r="AO4" s="7213"/>
      <c r="AP4" s="7213"/>
      <c r="AQ4" s="7213"/>
      <c r="AR4" s="7213"/>
      <c r="AS4" s="7213"/>
      <c r="AT4" s="7213"/>
      <c r="AU4" s="7213"/>
      <c r="AV4" s="7213"/>
      <c r="AW4" s="7213"/>
      <c r="AX4" s="7213"/>
      <c r="AY4" s="7213"/>
      <c r="AZ4" s="7213"/>
      <c r="BN4" s="882">
        <v>20</v>
      </c>
    </row>
    <row customHeight="1" ht="11.549999999999999">
      <c r="C5" s="633"/>
      <c r="D5" s="712"/>
      <c r="E5" s="712"/>
      <c r="F5" s="712"/>
      <c r="G5" s="712"/>
      <c r="H5" s="876"/>
      <c r="I5" s="712"/>
      <c r="J5" s="876"/>
      <c r="K5" s="7213"/>
      <c r="L5" s="5885"/>
      <c r="M5" s="7213"/>
      <c r="N5" s="5885"/>
      <c r="O5" s="7213"/>
      <c r="P5" s="5885"/>
      <c r="Q5" s="7213"/>
      <c r="R5" s="5885"/>
      <c r="S5" s="7213"/>
      <c r="T5" s="5885"/>
      <c r="U5" s="7213"/>
      <c r="V5" s="5885"/>
      <c r="W5" s="7213"/>
      <c r="X5" s="5885"/>
      <c r="Y5" s="7213"/>
      <c r="Z5" s="5885"/>
      <c r="AA5" s="7213"/>
      <c r="AB5" s="5885"/>
      <c r="AC5" s="7213"/>
      <c r="AD5" s="5885"/>
      <c r="AE5" s="7213"/>
      <c r="AF5" s="5885"/>
      <c r="AG5" s="7213"/>
      <c r="AH5" s="5885"/>
      <c r="AI5" s="7213"/>
      <c r="AJ5" s="5885"/>
      <c r="AK5" s="7213"/>
      <c r="AL5" s="5885"/>
      <c r="AM5" s="7213"/>
      <c r="AN5" s="5885"/>
      <c r="AO5" s="7213"/>
      <c r="AP5" s="5885"/>
      <c r="AQ5" s="7213"/>
      <c r="AR5" s="5885"/>
      <c r="AS5" s="7213"/>
      <c r="AT5" s="5885"/>
      <c r="AU5" s="7213"/>
      <c r="AV5" s="5885"/>
      <c r="AW5" s="7213"/>
      <c r="AX5" s="5885"/>
      <c r="AY5" s="7213"/>
      <c r="AZ5" s="5885"/>
      <c r="BA5" s="712"/>
      <c r="BN5" s="629">
        <v>11</v>
      </c>
    </row>
    <row customHeight="1" ht="1.05">
      <c r="C6" s="633"/>
      <c r="D6" s="633"/>
      <c r="E6" s="646"/>
      <c r="F6" s="738"/>
      <c r="G6" s="1146"/>
      <c r="H6" s="1146"/>
      <c r="I6" s="1146" t="s">
        <v>215</v>
      </c>
      <c r="J6" s="1146"/>
      <c r="K6" s="6846" t="s">
        <v>219</v>
      </c>
      <c r="L6" s="6846"/>
      <c r="M6" s="6846" t="s">
        <v>220</v>
      </c>
      <c r="N6" s="6846"/>
      <c r="O6" s="6846" t="s">
        <v>221</v>
      </c>
      <c r="P6" s="6846"/>
      <c r="Q6" s="6846" t="s">
        <v>222</v>
      </c>
      <c r="R6" s="6846"/>
      <c r="S6" s="6846" t="s">
        <v>223</v>
      </c>
      <c r="T6" s="6846"/>
      <c r="U6" s="6846" t="s">
        <v>224</v>
      </c>
      <c r="V6" s="6846"/>
      <c r="W6" s="6846" t="s">
        <v>225</v>
      </c>
      <c r="X6" s="6846"/>
      <c r="Y6" s="6846" t="s">
        <v>226</v>
      </c>
      <c r="Z6" s="6846"/>
      <c r="AA6" s="6846" t="s">
        <v>227</v>
      </c>
      <c r="AB6" s="6846"/>
      <c r="AC6" s="6846" t="s">
        <v>228</v>
      </c>
      <c r="AD6" s="6846"/>
      <c r="AE6" s="6846" t="s">
        <v>229</v>
      </c>
      <c r="AF6" s="6846"/>
      <c r="AG6" s="6846" t="s">
        <v>230</v>
      </c>
      <c r="AH6" s="6846"/>
      <c r="AI6" s="6846" t="s">
        <v>231</v>
      </c>
      <c r="AJ6" s="6846"/>
      <c r="AK6" s="6846" t="s">
        <v>232</v>
      </c>
      <c r="AL6" s="6846"/>
      <c r="AM6" s="6846" t="s">
        <v>233</v>
      </c>
      <c r="AN6" s="6846"/>
      <c r="AO6" s="6846" t="s">
        <v>234</v>
      </c>
      <c r="AP6" s="6846"/>
      <c r="AQ6" s="6846" t="s">
        <v>235</v>
      </c>
      <c r="AR6" s="6846"/>
      <c r="AS6" s="6846" t="s">
        <v>236</v>
      </c>
      <c r="AT6" s="6846"/>
      <c r="AU6" s="6846" t="s">
        <v>237</v>
      </c>
      <c r="AV6" s="6846"/>
      <c r="AW6" s="6846" t="s">
        <v>238</v>
      </c>
      <c r="AX6" s="6846"/>
      <c r="AY6" s="6846" t="s">
        <v>239</v>
      </c>
      <c r="AZ6" s="6846"/>
      <c r="BN6" s="629">
        <v>1</v>
      </c>
    </row>
    <row customHeight="1" ht="11.549999999999999">
      <c r="D7" s="835"/>
      <c r="E7" s="2504" t="s">
        <v>206</v>
      </c>
      <c r="F7" s="2505"/>
      <c r="G7" s="2530" t="str">
        <f>IF(G6="","",INDEX(DIFFERENTIATION_UNMERGE_VD,MATCH(G6,DIFFERENTIATION_ID_DIFF,0)))</f>
        <v/>
      </c>
      <c r="H7" s="2531"/>
      <c r="I7" s="2530" t="str">
        <f>IF(I6="","",INDEX(DIFFERENTIATION_UNMERGE_VD,MATCH(I6,DIFFERENTIATION_ID_DIFF,0)))</f>
        <v>Производство тепловой энергии. Некомбинированная выработка</v>
      </c>
      <c r="J7" s="2531"/>
      <c r="K7" s="6847" t="str">
        <f>IF(K6="","",INDEX(DIFFERENTIATION_UNMERGE_VD,MATCH(K6,DIFFERENTIATION_ID_DIFF,0)))</f>
        <v>Производство тепловой энергии. Некомбинированная выработка</v>
      </c>
      <c r="L7" s="6848"/>
      <c r="M7" s="6847" t="str">
        <f>IF(M6="","",INDEX(DIFFERENTIATION_UNMERGE_VD,MATCH(M6,DIFFERENTIATION_ID_DIFF,0)))</f>
        <v>Производство тепловой энергии. Некомбинированная выработка</v>
      </c>
      <c r="N7" s="6848"/>
      <c r="O7" s="6847" t="str">
        <f>IF(O6="","",INDEX(DIFFERENTIATION_UNMERGE_VD,MATCH(O6,DIFFERENTIATION_ID_DIFF,0)))</f>
        <v>Производство тепловой энергии. Некомбинированная выработка</v>
      </c>
      <c r="P7" s="6848"/>
      <c r="Q7" s="6847" t="str">
        <f>IF(Q6="","",INDEX(DIFFERENTIATION_UNMERGE_VD,MATCH(Q6,DIFFERENTIATION_ID_DIFF,0)))</f>
        <v>Производство тепловой энергии. Некомбинированная выработка</v>
      </c>
      <c r="R7" s="6848"/>
      <c r="S7" s="6847" t="str">
        <f>IF(S6="","",INDEX(DIFFERENTIATION_UNMERGE_VD,MATCH(S6,DIFFERENTIATION_ID_DIFF,0)))</f>
        <v>Производство тепловой энергии. Некомбинированная выработка</v>
      </c>
      <c r="T7" s="6848"/>
      <c r="U7" s="6847" t="str">
        <f>IF(U6="","",INDEX(DIFFERENTIATION_UNMERGE_VD,MATCH(U6,DIFFERENTIATION_ID_DIFF,0)))</f>
        <v>Производство тепловой энергии. Некомбинированная выработка</v>
      </c>
      <c r="V7" s="6848"/>
      <c r="W7" s="6847" t="str">
        <f>IF(W6="","",INDEX(DIFFERENTIATION_UNMERGE_VD,MATCH(W6,DIFFERENTIATION_ID_DIFF,0)))</f>
        <v>Производство тепловой энергии. Некомбинированная выработка</v>
      </c>
      <c r="X7" s="6848"/>
      <c r="Y7" s="6847" t="str">
        <f>IF(Y6="","",INDEX(DIFFERENTIATION_UNMERGE_VD,MATCH(Y6,DIFFERENTIATION_ID_DIFF,0)))</f>
        <v>Производство тепловой энергии. Некомбинированная выработка</v>
      </c>
      <c r="Z7" s="6848"/>
      <c r="AA7" s="6847" t="str">
        <f>IF(AA6="","",INDEX(DIFFERENTIATION_UNMERGE_VD,MATCH(AA6,DIFFERENTIATION_ID_DIFF,0)))</f>
        <v>Производство тепловой энергии. Некомбинированная выработка</v>
      </c>
      <c r="AB7" s="6848"/>
      <c r="AC7" s="6847" t="str">
        <f>IF(AC6="","",INDEX(DIFFERENTIATION_UNMERGE_VD,MATCH(AC6,DIFFERENTIATION_ID_DIFF,0)))</f>
        <v>Производство тепловой энергии. Некомбинированная выработка</v>
      </c>
      <c r="AD7" s="6848"/>
      <c r="AE7" s="6847" t="str">
        <f>IF(AE6="","",INDEX(DIFFERENTIATION_UNMERGE_VD,MATCH(AE6,DIFFERENTIATION_ID_DIFF,0)))</f>
        <v>Производство тепловой энергии. Некомбинированная выработка</v>
      </c>
      <c r="AF7" s="6848"/>
      <c r="AG7" s="6847" t="str">
        <f>IF(AG6="","",INDEX(DIFFERENTIATION_UNMERGE_VD,MATCH(AG6,DIFFERENTIATION_ID_DIFF,0)))</f>
        <v>Производство тепловой энергии. Некомбинированная выработка</v>
      </c>
      <c r="AH7" s="6848"/>
      <c r="AI7" s="6847" t="str">
        <f>IF(AI6="","",INDEX(DIFFERENTIATION_UNMERGE_VD,MATCH(AI6,DIFFERENTIATION_ID_DIFF,0)))</f>
        <v>Производство тепловой энергии. Некомбинированная выработка</v>
      </c>
      <c r="AJ7" s="6848"/>
      <c r="AK7" s="6847" t="str">
        <f>IF(AK6="","",INDEX(DIFFERENTIATION_UNMERGE_VD,MATCH(AK6,DIFFERENTIATION_ID_DIFF,0)))</f>
        <v>Производство тепловой энергии. Некомбинированная выработка</v>
      </c>
      <c r="AL7" s="6848"/>
      <c r="AM7" s="6847" t="str">
        <f>IF(AM6="","",INDEX(DIFFERENTIATION_UNMERGE_VD,MATCH(AM6,DIFFERENTIATION_ID_DIFF,0)))</f>
        <v>Производство тепловой энергии. Некомбинированная выработка</v>
      </c>
      <c r="AN7" s="6848"/>
      <c r="AO7" s="6847" t="str">
        <f>IF(AO6="","",INDEX(DIFFERENTIATION_UNMERGE_VD,MATCH(AO6,DIFFERENTIATION_ID_DIFF,0)))</f>
        <v>Производство тепловой энергии. Некомбинированная выработка</v>
      </c>
      <c r="AP7" s="6848"/>
      <c r="AQ7" s="6847" t="str">
        <f>IF(AQ6="","",INDEX(DIFFERENTIATION_UNMERGE_VD,MATCH(AQ6,DIFFERENTIATION_ID_DIFF,0)))</f>
        <v>Производство тепловой энергии. Некомбинированная выработка</v>
      </c>
      <c r="AR7" s="6848"/>
      <c r="AS7" s="6847" t="str">
        <f>IF(AS6="","",INDEX(DIFFERENTIATION_UNMERGE_VD,MATCH(AS6,DIFFERENTIATION_ID_DIFF,0)))</f>
        <v>Производство тепловой энергии. Некомбинированная выработка</v>
      </c>
      <c r="AT7" s="6848"/>
      <c r="AU7" s="6847" t="str">
        <f>IF(AU6="","",INDEX(DIFFERENTIATION_UNMERGE_VD,MATCH(AU6,DIFFERENTIATION_ID_DIFF,0)))</f>
        <v>Производство тепловой энергии. Некомбинированная выработка</v>
      </c>
      <c r="AV7" s="6848"/>
      <c r="AW7" s="6847" t="str">
        <f>IF(AW6="","",INDEX(DIFFERENTIATION_UNMERGE_VD,MATCH(AW6,DIFFERENTIATION_ID_DIFF,0)))</f>
        <v>Производство тепловой энергии. Некомбинированная выработка</v>
      </c>
      <c r="AX7" s="6848"/>
      <c r="AY7" s="6847" t="str">
        <f>IF(AY6="","",INDEX(DIFFERENTIATION_UNMERGE_VD,MATCH(AY6,DIFFERENTIATION_ID_DIFF,0)))</f>
        <v>Производство тепловой энергии. Некомбинированная выработка</v>
      </c>
      <c r="AZ7" s="6848"/>
      <c r="BA7" s="2312"/>
      <c r="BB7" s="633"/>
      <c r="BN7" s="629">
        <v>11</v>
      </c>
    </row>
    <row customHeight="1" ht="11.549999999999999">
      <c r="A8" s="828"/>
      <c r="D8" s="835"/>
      <c r="E8" s="2504" t="s">
        <v>676</v>
      </c>
      <c r="F8" s="2505"/>
      <c r="G8" s="2530" t="str">
        <f>IF(G6="","",INDEX(DIFFERENTIATION_UNMERGE_AREA,MATCH(G6,DIFFERENTIATION_ID_DIFF,0)))</f>
        <v/>
      </c>
      <c r="H8" s="2531"/>
      <c r="I8" s="2530" t="str">
        <f>IF(I6="","",INDEX(DIFFERENTIATION_UNMERGE_AREA,MATCH(I6,DIFFERENTIATION_ID_DIFF,0)))</f>
        <v>Территория 1</v>
      </c>
      <c r="J8" s="2531"/>
      <c r="K8" s="6847" t="str">
        <f>IF(K6="","",INDEX(DIFFERENTIATION_UNMERGE_AREA,MATCH(K6,DIFFERENTIATION_ID_DIFF,0)))</f>
        <v>Территория 2</v>
      </c>
      <c r="L8" s="6848"/>
      <c r="M8" s="6847" t="str">
        <f>IF(M6="","",INDEX(DIFFERENTIATION_UNMERGE_AREA,MATCH(M6,DIFFERENTIATION_ID_DIFF,0)))</f>
        <v>Территория 3</v>
      </c>
      <c r="N8" s="6848"/>
      <c r="O8" s="6847" t="str">
        <f>IF(O6="","",INDEX(DIFFERENTIATION_UNMERGE_AREA,MATCH(O6,DIFFERENTIATION_ID_DIFF,0)))</f>
        <v>Территория 4</v>
      </c>
      <c r="P8" s="6848"/>
      <c r="Q8" s="6847" t="str">
        <f>IF(Q6="","",INDEX(DIFFERENTIATION_UNMERGE_AREA,MATCH(Q6,DIFFERENTIATION_ID_DIFF,0)))</f>
        <v>Территория 5</v>
      </c>
      <c r="R8" s="6848"/>
      <c r="S8" s="6847" t="str">
        <f>IF(S6="","",INDEX(DIFFERENTIATION_UNMERGE_AREA,MATCH(S6,DIFFERENTIATION_ID_DIFF,0)))</f>
        <v>Территория 6</v>
      </c>
      <c r="T8" s="6848"/>
      <c r="U8" s="6847" t="str">
        <f>IF(U6="","",INDEX(DIFFERENTIATION_UNMERGE_AREA,MATCH(U6,DIFFERENTIATION_ID_DIFF,0)))</f>
        <v>Территория 7</v>
      </c>
      <c r="V8" s="6848"/>
      <c r="W8" s="6847" t="str">
        <f>IF(W6="","",INDEX(DIFFERENTIATION_UNMERGE_AREA,MATCH(W6,DIFFERENTIATION_ID_DIFF,0)))</f>
        <v>Территория 8</v>
      </c>
      <c r="X8" s="6848"/>
      <c r="Y8" s="6847" t="str">
        <f>IF(Y6="","",INDEX(DIFFERENTIATION_UNMERGE_AREA,MATCH(Y6,DIFFERENTIATION_ID_DIFF,0)))</f>
        <v>Территория 9</v>
      </c>
      <c r="Z8" s="6848"/>
      <c r="AA8" s="6847" t="str">
        <f>IF(AA6="","",INDEX(DIFFERENTIATION_UNMERGE_AREA,MATCH(AA6,DIFFERENTIATION_ID_DIFF,0)))</f>
        <v>Территория 10</v>
      </c>
      <c r="AB8" s="6848"/>
      <c r="AC8" s="6847" t="str">
        <f>IF(AC6="","",INDEX(DIFFERENTIATION_UNMERGE_AREA,MATCH(AC6,DIFFERENTIATION_ID_DIFF,0)))</f>
        <v>Территория 11</v>
      </c>
      <c r="AD8" s="6848"/>
      <c r="AE8" s="6847" t="str">
        <f>IF(AE6="","",INDEX(DIFFERENTIATION_UNMERGE_AREA,MATCH(AE6,DIFFERENTIATION_ID_DIFF,0)))</f>
        <v>Территория 12</v>
      </c>
      <c r="AF8" s="6848"/>
      <c r="AG8" s="6847" t="str">
        <f>IF(AG6="","",INDEX(DIFFERENTIATION_UNMERGE_AREA,MATCH(AG6,DIFFERENTIATION_ID_DIFF,0)))</f>
        <v>Территория 13</v>
      </c>
      <c r="AH8" s="6848"/>
      <c r="AI8" s="6847" t="str">
        <f>IF(AI6="","",INDEX(DIFFERENTIATION_UNMERGE_AREA,MATCH(AI6,DIFFERENTIATION_ID_DIFF,0)))</f>
        <v>Территория 14</v>
      </c>
      <c r="AJ8" s="6848"/>
      <c r="AK8" s="6847" t="str">
        <f>IF(AK6="","",INDEX(DIFFERENTIATION_UNMERGE_AREA,MATCH(AK6,DIFFERENTIATION_ID_DIFF,0)))</f>
        <v>Территория 15</v>
      </c>
      <c r="AL8" s="6848"/>
      <c r="AM8" s="6847" t="str">
        <f>IF(AM6="","",INDEX(DIFFERENTIATION_UNMERGE_AREA,MATCH(AM6,DIFFERENTIATION_ID_DIFF,0)))</f>
        <v>Территория 16</v>
      </c>
      <c r="AN8" s="6848"/>
      <c r="AO8" s="6847" t="str">
        <f>IF(AO6="","",INDEX(DIFFERENTIATION_UNMERGE_AREA,MATCH(AO6,DIFFERENTIATION_ID_DIFF,0)))</f>
        <v>Территория 17</v>
      </c>
      <c r="AP8" s="6848"/>
      <c r="AQ8" s="6847" t="str">
        <f>IF(AQ6="","",INDEX(DIFFERENTIATION_UNMERGE_AREA,MATCH(AQ6,DIFFERENTIATION_ID_DIFF,0)))</f>
        <v>Территория 18</v>
      </c>
      <c r="AR8" s="6848"/>
      <c r="AS8" s="6847" t="str">
        <f>IF(AS6="","",INDEX(DIFFERENTIATION_UNMERGE_AREA,MATCH(AS6,DIFFERENTIATION_ID_DIFF,0)))</f>
        <v>Территория 19</v>
      </c>
      <c r="AT8" s="6848"/>
      <c r="AU8" s="6847" t="str">
        <f>IF(AU6="","",INDEX(DIFFERENTIATION_UNMERGE_AREA,MATCH(AU6,DIFFERENTIATION_ID_DIFF,0)))</f>
        <v>Территория 20</v>
      </c>
      <c r="AV8" s="6848"/>
      <c r="AW8" s="6847" t="str">
        <f>IF(AW6="","",INDEX(DIFFERENTIATION_UNMERGE_AREA,MATCH(AW6,DIFFERENTIATION_ID_DIFF,0)))</f>
        <v>Территория 21</v>
      </c>
      <c r="AX8" s="6848"/>
      <c r="AY8" s="6847" t="str">
        <f>IF(AY6="","",INDEX(DIFFERENTIATION_UNMERGE_AREA,MATCH(AY6,DIFFERENTIATION_ID_DIFF,0)))</f>
        <v>Территория 22</v>
      </c>
      <c r="AZ8" s="6848"/>
      <c r="BA8" s="2336"/>
      <c r="BB8" s="633"/>
      <c r="BN8" s="629">
        <v>11</v>
      </c>
    </row>
    <row customHeight="1" ht="11.549999999999999">
      <c r="A9" s="828"/>
      <c r="D9" s="835"/>
      <c r="E9" s="2504" t="s">
        <v>677</v>
      </c>
      <c r="F9" s="2505"/>
      <c r="G9" s="2530" t="str">
        <f>IF(G6="","",INDEX(DIFFERENTIATION_UNMERGE_SYSTEM,MATCH(G6,DIFFERENTIATION_ID_DIFF,0)))</f>
        <v/>
      </c>
      <c r="H9" s="2531"/>
      <c r="I9" s="2530" t="str">
        <f>IF(I6="","",INDEX(DIFFERENTIATION_UNMERGE_SYSTEM,MATCH(I6,DIFFERENTIATION_ID_DIFF,0)))</f>
        <v>без дифференциации</v>
      </c>
      <c r="J9" s="2531"/>
      <c r="K9" s="6847" t="str">
        <f>IF(K6="","",INDEX(DIFFERENTIATION_UNMERGE_SYSTEM,MATCH(K6,DIFFERENTIATION_ID_DIFF,0)))</f>
        <v>без дифференциации</v>
      </c>
      <c r="L9" s="6848"/>
      <c r="M9" s="6847" t="str">
        <f>IF(M6="","",INDEX(DIFFERENTIATION_UNMERGE_SYSTEM,MATCH(M6,DIFFERENTIATION_ID_DIFF,0)))</f>
        <v>без дифференциации</v>
      </c>
      <c r="N9" s="6848"/>
      <c r="O9" s="6847" t="str">
        <f>IF(O6="","",INDEX(DIFFERENTIATION_UNMERGE_SYSTEM,MATCH(O6,DIFFERENTIATION_ID_DIFF,0)))</f>
        <v>без дифференциации</v>
      </c>
      <c r="P9" s="6848"/>
      <c r="Q9" s="6847" t="str">
        <f>IF(Q6="","",INDEX(DIFFERENTIATION_UNMERGE_SYSTEM,MATCH(Q6,DIFFERENTIATION_ID_DIFF,0)))</f>
        <v>без дифференциации</v>
      </c>
      <c r="R9" s="6848"/>
      <c r="S9" s="6847" t="str">
        <f>IF(S6="","",INDEX(DIFFERENTIATION_UNMERGE_SYSTEM,MATCH(S6,DIFFERENTIATION_ID_DIFF,0)))</f>
        <v>без дифференциации</v>
      </c>
      <c r="T9" s="6848"/>
      <c r="U9" s="6847" t="str">
        <f>IF(U6="","",INDEX(DIFFERENTIATION_UNMERGE_SYSTEM,MATCH(U6,DIFFERENTIATION_ID_DIFF,0)))</f>
        <v>без дифференциации</v>
      </c>
      <c r="V9" s="6848"/>
      <c r="W9" s="6847" t="str">
        <f>IF(W6="","",INDEX(DIFFERENTIATION_UNMERGE_SYSTEM,MATCH(W6,DIFFERENTIATION_ID_DIFF,0)))</f>
        <v>без дифференциации</v>
      </c>
      <c r="X9" s="6848"/>
      <c r="Y9" s="6847" t="str">
        <f>IF(Y6="","",INDEX(DIFFERENTIATION_UNMERGE_SYSTEM,MATCH(Y6,DIFFERENTIATION_ID_DIFF,0)))</f>
        <v>без дифференциации</v>
      </c>
      <c r="Z9" s="6848"/>
      <c r="AA9" s="6847" t="str">
        <f>IF(AA6="","",INDEX(DIFFERENTIATION_UNMERGE_SYSTEM,MATCH(AA6,DIFFERENTIATION_ID_DIFF,0)))</f>
        <v>без дифференциации</v>
      </c>
      <c r="AB9" s="6848"/>
      <c r="AC9" s="6847" t="str">
        <f>IF(AC6="","",INDEX(DIFFERENTIATION_UNMERGE_SYSTEM,MATCH(AC6,DIFFERENTIATION_ID_DIFF,0)))</f>
        <v>без дифференциации</v>
      </c>
      <c r="AD9" s="6848"/>
      <c r="AE9" s="6847" t="str">
        <f>IF(AE6="","",INDEX(DIFFERENTIATION_UNMERGE_SYSTEM,MATCH(AE6,DIFFERENTIATION_ID_DIFF,0)))</f>
        <v>без дифференциации</v>
      </c>
      <c r="AF9" s="6848"/>
      <c r="AG9" s="6847" t="str">
        <f>IF(AG6="","",INDEX(DIFFERENTIATION_UNMERGE_SYSTEM,MATCH(AG6,DIFFERENTIATION_ID_DIFF,0)))</f>
        <v>без дифференциации</v>
      </c>
      <c r="AH9" s="6848"/>
      <c r="AI9" s="6847" t="str">
        <f>IF(AI6="","",INDEX(DIFFERENTIATION_UNMERGE_SYSTEM,MATCH(AI6,DIFFERENTIATION_ID_DIFF,0)))</f>
        <v>без дифференциации</v>
      </c>
      <c r="AJ9" s="6848"/>
      <c r="AK9" s="6847" t="str">
        <f>IF(AK6="","",INDEX(DIFFERENTIATION_UNMERGE_SYSTEM,MATCH(AK6,DIFFERENTIATION_ID_DIFF,0)))</f>
        <v>без дифференциации</v>
      </c>
      <c r="AL9" s="6848"/>
      <c r="AM9" s="6847" t="str">
        <f>IF(AM6="","",INDEX(DIFFERENTIATION_UNMERGE_SYSTEM,MATCH(AM6,DIFFERENTIATION_ID_DIFF,0)))</f>
        <v>без дифференциации</v>
      </c>
      <c r="AN9" s="6848"/>
      <c r="AO9" s="6847" t="str">
        <f>IF(AO6="","",INDEX(DIFFERENTIATION_UNMERGE_SYSTEM,MATCH(AO6,DIFFERENTIATION_ID_DIFF,0)))</f>
        <v>без дифференциации</v>
      </c>
      <c r="AP9" s="6848"/>
      <c r="AQ9" s="6847" t="str">
        <f>IF(AQ6="","",INDEX(DIFFERENTIATION_UNMERGE_SYSTEM,MATCH(AQ6,DIFFERENTIATION_ID_DIFF,0)))</f>
        <v>без дифференциации</v>
      </c>
      <c r="AR9" s="6848"/>
      <c r="AS9" s="6847" t="str">
        <f>IF(AS6="","",INDEX(DIFFERENTIATION_UNMERGE_SYSTEM,MATCH(AS6,DIFFERENTIATION_ID_DIFF,0)))</f>
        <v>без дифференциации</v>
      </c>
      <c r="AT9" s="6848"/>
      <c r="AU9" s="6847" t="str">
        <f>IF(AU6="","",INDEX(DIFFERENTIATION_UNMERGE_SYSTEM,MATCH(AU6,DIFFERENTIATION_ID_DIFF,0)))</f>
        <v>без дифференциации</v>
      </c>
      <c r="AV9" s="6848"/>
      <c r="AW9" s="6847" t="str">
        <f>IF(AW6="","",INDEX(DIFFERENTIATION_UNMERGE_SYSTEM,MATCH(AW6,DIFFERENTIATION_ID_DIFF,0)))</f>
        <v>без дифференциации</v>
      </c>
      <c r="AX9" s="6848"/>
      <c r="AY9" s="6847" t="str">
        <f>IF(AY6="","",INDEX(DIFFERENTIATION_UNMERGE_SYSTEM,MATCH(AY6,DIFFERENTIATION_ID_DIFF,0)))</f>
        <v>без дифференциации</v>
      </c>
      <c r="AZ9" s="6848"/>
      <c r="BA9" s="2336"/>
      <c r="BB9" s="633"/>
      <c r="BN9" s="629">
        <v>11</v>
      </c>
    </row>
    <row s="7213" customFormat="1" customHeight="1" ht="11.549999999999999">
      <c r="A10" s="1145"/>
      <c r="B10" s="635"/>
      <c r="D10" s="2238" t="s">
        <v>412</v>
      </c>
      <c r="E10" s="2239"/>
      <c r="F10" s="2239"/>
      <c r="G10" s="2239"/>
      <c r="H10" s="2239"/>
      <c r="I10" s="2239"/>
      <c r="J10" s="2240"/>
      <c r="K10" s="7442"/>
      <c r="L10" s="7442"/>
      <c r="M10" s="7442"/>
      <c r="N10" s="7442"/>
      <c r="O10" s="7442"/>
      <c r="P10" s="7442"/>
      <c r="Q10" s="7442"/>
      <c r="R10" s="7442"/>
      <c r="S10" s="7442"/>
      <c r="T10" s="7442"/>
      <c r="U10" s="7442"/>
      <c r="V10" s="7442"/>
      <c r="W10" s="7442"/>
      <c r="X10" s="7442"/>
      <c r="Y10" s="7442"/>
      <c r="Z10" s="7442"/>
      <c r="AA10" s="7442"/>
      <c r="AB10" s="7442"/>
      <c r="AC10" s="7442"/>
      <c r="AD10" s="7442"/>
      <c r="AE10" s="7442"/>
      <c r="AF10" s="7442"/>
      <c r="AG10" s="7442"/>
      <c r="AH10" s="7442"/>
      <c r="AI10" s="7442"/>
      <c r="AJ10" s="7442"/>
      <c r="AK10" s="7442"/>
      <c r="AL10" s="7442"/>
      <c r="AM10" s="7442"/>
      <c r="AN10" s="7442"/>
      <c r="AO10" s="7442"/>
      <c r="AP10" s="7442"/>
      <c r="AQ10" s="7442"/>
      <c r="AR10" s="7442"/>
      <c r="AS10" s="7442"/>
      <c r="AT10" s="7442"/>
      <c r="AU10" s="7442"/>
      <c r="AV10" s="7442"/>
      <c r="AW10" s="7442"/>
      <c r="AX10" s="7442"/>
      <c r="AY10" s="7442"/>
      <c r="AZ10" s="7442"/>
      <c r="BA10" s="2336"/>
      <c r="BB10" s="633"/>
      <c r="BN10" s="882">
        <v>11</v>
      </c>
    </row>
    <row s="7213" customFormat="1" customHeight="1" ht="24">
      <c r="A11" s="2522"/>
      <c r="B11" s="2522"/>
      <c r="C11" s="781"/>
      <c r="D11" s="827" t="s">
        <v>88</v>
      </c>
      <c r="E11" s="829" t="s">
        <v>981</v>
      </c>
      <c r="F11" s="829" t="s">
        <v>678</v>
      </c>
      <c r="G11" s="589" t="s">
        <v>415</v>
      </c>
      <c r="H11" s="589" t="s">
        <v>502</v>
      </c>
      <c r="I11" s="931" t="s">
        <v>415</v>
      </c>
      <c r="J11" s="932" t="s">
        <v>502</v>
      </c>
      <c r="K11" s="7577" t="s">
        <v>415</v>
      </c>
      <c r="L11" s="7577" t="s">
        <v>502</v>
      </c>
      <c r="M11" s="7577" t="s">
        <v>415</v>
      </c>
      <c r="N11" s="7577" t="s">
        <v>502</v>
      </c>
      <c r="O11" s="7577" t="s">
        <v>415</v>
      </c>
      <c r="P11" s="7577" t="s">
        <v>502</v>
      </c>
      <c r="Q11" s="7577" t="s">
        <v>415</v>
      </c>
      <c r="R11" s="7577" t="s">
        <v>502</v>
      </c>
      <c r="S11" s="7577" t="s">
        <v>415</v>
      </c>
      <c r="T11" s="7577" t="s">
        <v>502</v>
      </c>
      <c r="U11" s="7577" t="s">
        <v>415</v>
      </c>
      <c r="V11" s="7577" t="s">
        <v>502</v>
      </c>
      <c r="W11" s="7577" t="s">
        <v>415</v>
      </c>
      <c r="X11" s="7577" t="s">
        <v>502</v>
      </c>
      <c r="Y11" s="7577" t="s">
        <v>415</v>
      </c>
      <c r="Z11" s="7577" t="s">
        <v>502</v>
      </c>
      <c r="AA11" s="7577" t="s">
        <v>415</v>
      </c>
      <c r="AB11" s="7577" t="s">
        <v>502</v>
      </c>
      <c r="AC11" s="7577" t="s">
        <v>415</v>
      </c>
      <c r="AD11" s="7577" t="s">
        <v>502</v>
      </c>
      <c r="AE11" s="7577" t="s">
        <v>415</v>
      </c>
      <c r="AF11" s="7577" t="s">
        <v>502</v>
      </c>
      <c r="AG11" s="7577" t="s">
        <v>415</v>
      </c>
      <c r="AH11" s="7577" t="s">
        <v>502</v>
      </c>
      <c r="AI11" s="7577" t="s">
        <v>415</v>
      </c>
      <c r="AJ11" s="7577" t="s">
        <v>502</v>
      </c>
      <c r="AK11" s="7577" t="s">
        <v>415</v>
      </c>
      <c r="AL11" s="7577" t="s">
        <v>502</v>
      </c>
      <c r="AM11" s="7577" t="s">
        <v>415</v>
      </c>
      <c r="AN11" s="7577" t="s">
        <v>502</v>
      </c>
      <c r="AO11" s="7577" t="s">
        <v>415</v>
      </c>
      <c r="AP11" s="7577" t="s">
        <v>502</v>
      </c>
      <c r="AQ11" s="7577" t="s">
        <v>415</v>
      </c>
      <c r="AR11" s="7577" t="s">
        <v>502</v>
      </c>
      <c r="AS11" s="7577" t="s">
        <v>415</v>
      </c>
      <c r="AT11" s="7577" t="s">
        <v>502</v>
      </c>
      <c r="AU11" s="7577" t="s">
        <v>415</v>
      </c>
      <c r="AV11" s="7577" t="s">
        <v>502</v>
      </c>
      <c r="AW11" s="7577" t="s">
        <v>415</v>
      </c>
      <c r="AX11" s="7577" t="s">
        <v>502</v>
      </c>
      <c r="AY11" s="7577" t="s">
        <v>415</v>
      </c>
      <c r="AZ11" s="7577" t="s">
        <v>502</v>
      </c>
      <c r="BA11" s="2369"/>
      <c r="BB11" s="782"/>
      <c r="BN11" s="633">
        <v>23</v>
      </c>
    </row>
    <row s="6698" customFormat="1" customHeight="1" ht="10.5">
      <c r="A12" s="1076"/>
      <c r="D12" s="1149" t="s">
        <v>210</v>
      </c>
      <c r="E12" s="1149" t="s">
        <v>102</v>
      </c>
      <c r="F12" s="1149" t="s">
        <v>90</v>
      </c>
      <c r="G12" s="1150" t="str">
        <f>G1&amp;".1"</f>
        <v>4.1</v>
      </c>
      <c r="H12" s="1150" t="str">
        <f>G1&amp;".2"</f>
        <v>4.2</v>
      </c>
      <c r="I12" s="1150" t="str">
        <f>I1&amp;".1"</f>
        <v>4.1</v>
      </c>
      <c r="J12" s="1150" t="str">
        <f>I1&amp;".2"</f>
        <v>4.2</v>
      </c>
      <c r="K12" s="7897" t="str">
        <f>K1&amp;".1"</f>
        <v>4.1</v>
      </c>
      <c r="L12" s="7897" t="str">
        <f>K1&amp;".2"</f>
        <v>4.2</v>
      </c>
      <c r="M12" s="7897" t="str">
        <f>M1&amp;".1"</f>
        <v>4.1</v>
      </c>
      <c r="N12" s="7897" t="str">
        <f>M1&amp;".2"</f>
        <v>4.2</v>
      </c>
      <c r="O12" s="7897" t="str">
        <f>O1&amp;".1"</f>
        <v>4.1</v>
      </c>
      <c r="P12" s="7897" t="str">
        <f>O1&amp;".2"</f>
        <v>4.2</v>
      </c>
      <c r="Q12" s="7897" t="str">
        <f>Q1&amp;".1"</f>
        <v>4.1</v>
      </c>
      <c r="R12" s="7897" t="str">
        <f>Q1&amp;".2"</f>
        <v>4.2</v>
      </c>
      <c r="S12" s="7897" t="str">
        <f>S1&amp;".1"</f>
        <v>4.1</v>
      </c>
      <c r="T12" s="7897" t="str">
        <f>S1&amp;".2"</f>
        <v>4.2</v>
      </c>
      <c r="U12" s="7897" t="str">
        <f>U1&amp;".1"</f>
        <v>4.1</v>
      </c>
      <c r="V12" s="7897" t="str">
        <f>U1&amp;".2"</f>
        <v>4.2</v>
      </c>
      <c r="W12" s="7897" t="str">
        <f>W1&amp;".1"</f>
        <v>4.1</v>
      </c>
      <c r="X12" s="7897" t="str">
        <f>W1&amp;".2"</f>
        <v>4.2</v>
      </c>
      <c r="Y12" s="7897" t="str">
        <f>Y1&amp;".1"</f>
        <v>4.1</v>
      </c>
      <c r="Z12" s="7897" t="str">
        <f>Y1&amp;".2"</f>
        <v>4.2</v>
      </c>
      <c r="AA12" s="7897" t="str">
        <f>AA1&amp;".1"</f>
        <v>4.1</v>
      </c>
      <c r="AB12" s="7897" t="str">
        <f>AA1&amp;".2"</f>
        <v>4.2</v>
      </c>
      <c r="AC12" s="7897" t="str">
        <f>AC1&amp;".1"</f>
        <v>4.1</v>
      </c>
      <c r="AD12" s="7897" t="str">
        <f>AC1&amp;".2"</f>
        <v>4.2</v>
      </c>
      <c r="AE12" s="7897" t="str">
        <f>AE1&amp;".1"</f>
        <v>4.1</v>
      </c>
      <c r="AF12" s="7897" t="str">
        <f>AE1&amp;".2"</f>
        <v>4.2</v>
      </c>
      <c r="AG12" s="7897" t="str">
        <f>AG1&amp;".1"</f>
        <v>4.1</v>
      </c>
      <c r="AH12" s="7897" t="str">
        <f>AG1&amp;".2"</f>
        <v>4.2</v>
      </c>
      <c r="AI12" s="7897" t="str">
        <f>AI1&amp;".1"</f>
        <v>4.1</v>
      </c>
      <c r="AJ12" s="7897" t="str">
        <f>AI1&amp;".2"</f>
        <v>4.2</v>
      </c>
      <c r="AK12" s="7897" t="str">
        <f>AK1&amp;".1"</f>
        <v>4.1</v>
      </c>
      <c r="AL12" s="7897" t="str">
        <f>AK1&amp;".2"</f>
        <v>4.2</v>
      </c>
      <c r="AM12" s="7897" t="str">
        <f>AM1&amp;".1"</f>
        <v>4.1</v>
      </c>
      <c r="AN12" s="7897" t="str">
        <f>AM1&amp;".2"</f>
        <v>4.2</v>
      </c>
      <c r="AO12" s="7897" t="str">
        <f>AO1&amp;".1"</f>
        <v>4.1</v>
      </c>
      <c r="AP12" s="7897" t="str">
        <f>AO1&amp;".2"</f>
        <v>4.2</v>
      </c>
      <c r="AQ12" s="7897" t="str">
        <f>AQ1&amp;".1"</f>
        <v>4.1</v>
      </c>
      <c r="AR12" s="7897" t="str">
        <f>AQ1&amp;".2"</f>
        <v>4.2</v>
      </c>
      <c r="AS12" s="7897" t="str">
        <f>AS1&amp;".1"</f>
        <v>4.1</v>
      </c>
      <c r="AT12" s="7897" t="str">
        <f>AS1&amp;".2"</f>
        <v>4.2</v>
      </c>
      <c r="AU12" s="7897" t="str">
        <f>AU1&amp;".1"</f>
        <v>4.1</v>
      </c>
      <c r="AV12" s="7897" t="str">
        <f>AU1&amp;".2"</f>
        <v>4.2</v>
      </c>
      <c r="AW12" s="7897" t="str">
        <f>AW1&amp;".1"</f>
        <v>4.1</v>
      </c>
      <c r="AX12" s="7897" t="str">
        <f>AW1&amp;".2"</f>
        <v>4.2</v>
      </c>
      <c r="AY12" s="7897" t="str">
        <f>AY1&amp;".1"</f>
        <v>4.1</v>
      </c>
      <c r="AZ12" s="7897" t="str">
        <f>AY1&amp;".2"</f>
        <v>4.2</v>
      </c>
      <c r="BA12" s="1150"/>
      <c r="BN12" s="635">
        <v>10</v>
      </c>
    </row>
    <row customHeight="1" ht="22.5">
      <c r="A13" s="2529" t="s">
        <v>982</v>
      </c>
      <c r="D13" s="1077" t="s">
        <v>210</v>
      </c>
      <c r="E13" s="403" t="s">
        <v>983</v>
      </c>
      <c r="F13" s="784" t="s">
        <v>984</v>
      </c>
      <c r="G13" s="681"/>
      <c r="H13" s="785"/>
      <c r="I13" s="681">
        <v>0</v>
      </c>
      <c r="J13" s="785"/>
      <c r="K13" s="6590">
        <v>0</v>
      </c>
      <c r="L13" s="6863"/>
      <c r="M13" s="6590">
        <v>0</v>
      </c>
      <c r="N13" s="6863"/>
      <c r="O13" s="6590">
        <v>0</v>
      </c>
      <c r="P13" s="6863"/>
      <c r="Q13" s="6590">
        <v>0</v>
      </c>
      <c r="R13" s="6863"/>
      <c r="S13" s="6590">
        <v>0</v>
      </c>
      <c r="T13" s="6863"/>
      <c r="U13" s="6590">
        <v>0</v>
      </c>
      <c r="V13" s="6863"/>
      <c r="W13" s="6590">
        <v>0</v>
      </c>
      <c r="X13" s="6863"/>
      <c r="Y13" s="6590">
        <v>0</v>
      </c>
      <c r="Z13" s="6863"/>
      <c r="AA13" s="6590">
        <v>0</v>
      </c>
      <c r="AB13" s="6863"/>
      <c r="AC13" s="6590">
        <v>0</v>
      </c>
      <c r="AD13" s="6863"/>
      <c r="AE13" s="6590">
        <v>0</v>
      </c>
      <c r="AF13" s="6863"/>
      <c r="AG13" s="6590">
        <v>0</v>
      </c>
      <c r="AH13" s="6863"/>
      <c r="AI13" s="6590">
        <v>0</v>
      </c>
      <c r="AJ13" s="6863"/>
      <c r="AK13" s="6590">
        <v>0</v>
      </c>
      <c r="AL13" s="6863"/>
      <c r="AM13" s="6590">
        <v>0</v>
      </c>
      <c r="AN13" s="6863"/>
      <c r="AO13" s="6590">
        <v>0</v>
      </c>
      <c r="AP13" s="6863"/>
      <c r="AQ13" s="6590">
        <v>0</v>
      </c>
      <c r="AR13" s="6863"/>
      <c r="AS13" s="6590">
        <v>0</v>
      </c>
      <c r="AT13" s="6863"/>
      <c r="AU13" s="6590">
        <v>0</v>
      </c>
      <c r="AV13" s="6863"/>
      <c r="AW13" s="6590">
        <v>0</v>
      </c>
      <c r="AX13" s="6863"/>
      <c r="AY13" s="6590">
        <v>0</v>
      </c>
      <c r="AZ13" s="6863"/>
      <c r="BA13" s="413" t="s">
        <v>985</v>
      </c>
      <c r="BB13" s="844"/>
      <c r="BN13" s="629">
        <v>0</v>
      </c>
    </row>
    <row customHeight="1" ht="22.5">
      <c r="A14" s="2529"/>
      <c r="D14" s="663" t="s">
        <v>102</v>
      </c>
      <c r="E14" s="403" t="s">
        <v>986</v>
      </c>
      <c r="F14" s="784" t="s">
        <v>987</v>
      </c>
      <c r="G14" s="681"/>
      <c r="H14" s="786"/>
      <c r="I14" s="681">
        <v>0</v>
      </c>
      <c r="J14" s="786"/>
      <c r="K14" s="6590">
        <v>0</v>
      </c>
      <c r="L14" s="6863"/>
      <c r="M14" s="6590">
        <v>0</v>
      </c>
      <c r="N14" s="6863"/>
      <c r="O14" s="6590">
        <v>0</v>
      </c>
      <c r="P14" s="6863"/>
      <c r="Q14" s="6590">
        <v>0</v>
      </c>
      <c r="R14" s="6863"/>
      <c r="S14" s="6590">
        <v>0</v>
      </c>
      <c r="T14" s="6863"/>
      <c r="U14" s="6590">
        <v>0</v>
      </c>
      <c r="V14" s="6863"/>
      <c r="W14" s="6590">
        <v>0</v>
      </c>
      <c r="X14" s="6863"/>
      <c r="Y14" s="6590">
        <v>0</v>
      </c>
      <c r="Z14" s="6863"/>
      <c r="AA14" s="6590">
        <v>0</v>
      </c>
      <c r="AB14" s="6863"/>
      <c r="AC14" s="6590">
        <v>0</v>
      </c>
      <c r="AD14" s="6863"/>
      <c r="AE14" s="6590">
        <v>0</v>
      </c>
      <c r="AF14" s="6863"/>
      <c r="AG14" s="6590">
        <v>0</v>
      </c>
      <c r="AH14" s="6863"/>
      <c r="AI14" s="6590">
        <v>0</v>
      </c>
      <c r="AJ14" s="6863"/>
      <c r="AK14" s="6590">
        <v>0</v>
      </c>
      <c r="AL14" s="6863"/>
      <c r="AM14" s="6590">
        <v>0</v>
      </c>
      <c r="AN14" s="6863"/>
      <c r="AO14" s="6590">
        <v>0</v>
      </c>
      <c r="AP14" s="6863"/>
      <c r="AQ14" s="6590">
        <v>0</v>
      </c>
      <c r="AR14" s="6863"/>
      <c r="AS14" s="6590">
        <v>0</v>
      </c>
      <c r="AT14" s="6863"/>
      <c r="AU14" s="6590">
        <v>0</v>
      </c>
      <c r="AV14" s="6863"/>
      <c r="AW14" s="6590">
        <v>0</v>
      </c>
      <c r="AX14" s="6863"/>
      <c r="AY14" s="6590">
        <v>0</v>
      </c>
      <c r="AZ14" s="6863"/>
      <c r="BA14" s="413" t="s">
        <v>988</v>
      </c>
      <c r="BB14" s="844"/>
      <c r="BN14" s="629">
        <v>0</v>
      </c>
    </row>
    <row s="7213" customFormat="1" customHeight="1" ht="78.75">
      <c r="A15" s="2529"/>
      <c r="B15" s="635"/>
      <c r="D15" s="1077" t="s">
        <v>90</v>
      </c>
      <c r="E15" s="831" t="s">
        <v>989</v>
      </c>
      <c r="F15" s="1074" t="s">
        <v>418</v>
      </c>
      <c r="G15" s="1074" t="s">
        <v>418</v>
      </c>
      <c r="H15" s="230"/>
      <c r="I15" s="1074" t="s">
        <v>418</v>
      </c>
      <c r="J15" s="230"/>
      <c r="K15" s="7577" t="s">
        <v>418</v>
      </c>
      <c r="L15" s="7744"/>
      <c r="M15" s="7577" t="s">
        <v>418</v>
      </c>
      <c r="N15" s="7744"/>
      <c r="O15" s="7577" t="s">
        <v>418</v>
      </c>
      <c r="P15" s="7744"/>
      <c r="Q15" s="7577" t="s">
        <v>418</v>
      </c>
      <c r="R15" s="7744"/>
      <c r="S15" s="7577" t="s">
        <v>418</v>
      </c>
      <c r="T15" s="7744"/>
      <c r="U15" s="7577" t="s">
        <v>418</v>
      </c>
      <c r="V15" s="7744"/>
      <c r="W15" s="7577" t="s">
        <v>418</v>
      </c>
      <c r="X15" s="7744"/>
      <c r="Y15" s="7577" t="s">
        <v>418</v>
      </c>
      <c r="Z15" s="7744"/>
      <c r="AA15" s="7577" t="s">
        <v>418</v>
      </c>
      <c r="AB15" s="7744"/>
      <c r="AC15" s="7577" t="s">
        <v>418</v>
      </c>
      <c r="AD15" s="7744"/>
      <c r="AE15" s="7577" t="s">
        <v>418</v>
      </c>
      <c r="AF15" s="7744"/>
      <c r="AG15" s="7577" t="s">
        <v>418</v>
      </c>
      <c r="AH15" s="7744"/>
      <c r="AI15" s="7577" t="s">
        <v>418</v>
      </c>
      <c r="AJ15" s="7744"/>
      <c r="AK15" s="7577" t="s">
        <v>418</v>
      </c>
      <c r="AL15" s="7744"/>
      <c r="AM15" s="7577" t="s">
        <v>418</v>
      </c>
      <c r="AN15" s="7744"/>
      <c r="AO15" s="7577" t="s">
        <v>418</v>
      </c>
      <c r="AP15" s="7744"/>
      <c r="AQ15" s="7577" t="s">
        <v>418</v>
      </c>
      <c r="AR15" s="7744"/>
      <c r="AS15" s="7577" t="s">
        <v>418</v>
      </c>
      <c r="AT15" s="7744"/>
      <c r="AU15" s="7577" t="s">
        <v>418</v>
      </c>
      <c r="AV15" s="7744"/>
      <c r="AW15" s="7577" t="s">
        <v>418</v>
      </c>
      <c r="AX15" s="7744"/>
      <c r="AY15" s="7577" t="s">
        <v>418</v>
      </c>
      <c r="AZ15" s="7744"/>
      <c r="BA15" s="413" t="s">
        <v>990</v>
      </c>
      <c r="BB15" s="844"/>
      <c r="BN15" s="882">
        <v>0</v>
      </c>
    </row>
    <row s="7213" customFormat="1" customHeight="1" ht="22.5">
      <c r="A16" s="2529"/>
      <c r="B16" s="635"/>
      <c r="D16" s="1077" t="s">
        <v>436</v>
      </c>
      <c r="E16" s="1078" t="s">
        <v>991</v>
      </c>
      <c r="F16" s="1074" t="s">
        <v>992</v>
      </c>
      <c r="G16" s="941"/>
      <c r="H16" s="230"/>
      <c r="I16" s="941"/>
      <c r="J16" s="230"/>
      <c r="K16" s="6868"/>
      <c r="L16" s="7744"/>
      <c r="M16" s="6868"/>
      <c r="N16" s="7744"/>
      <c r="O16" s="6868"/>
      <c r="P16" s="7744"/>
      <c r="Q16" s="6868"/>
      <c r="R16" s="7744"/>
      <c r="S16" s="6868"/>
      <c r="T16" s="7744"/>
      <c r="U16" s="6868"/>
      <c r="V16" s="7744"/>
      <c r="W16" s="6868"/>
      <c r="X16" s="7744"/>
      <c r="Y16" s="6868"/>
      <c r="Z16" s="7744"/>
      <c r="AA16" s="6868"/>
      <c r="AB16" s="7744"/>
      <c r="AC16" s="6868"/>
      <c r="AD16" s="7744"/>
      <c r="AE16" s="6868"/>
      <c r="AF16" s="7744"/>
      <c r="AG16" s="6868"/>
      <c r="AH16" s="7744"/>
      <c r="AI16" s="6868"/>
      <c r="AJ16" s="7744"/>
      <c r="AK16" s="6868"/>
      <c r="AL16" s="7744"/>
      <c r="AM16" s="6868"/>
      <c r="AN16" s="7744"/>
      <c r="AO16" s="6868"/>
      <c r="AP16" s="7744"/>
      <c r="AQ16" s="6868"/>
      <c r="AR16" s="7744"/>
      <c r="AS16" s="6868"/>
      <c r="AT16" s="7744"/>
      <c r="AU16" s="6868"/>
      <c r="AV16" s="7744"/>
      <c r="AW16" s="6868"/>
      <c r="AX16" s="7744"/>
      <c r="AY16" s="6868"/>
      <c r="AZ16" s="7744"/>
      <c r="BA16" s="413"/>
      <c r="BB16" s="844"/>
      <c r="BN16" s="882">
        <v>0</v>
      </c>
    </row>
    <row s="7213" customFormat="1" customHeight="1" ht="22.5">
      <c r="A17" s="2529"/>
      <c r="B17" s="635"/>
      <c r="D17" s="1077" t="s">
        <v>444</v>
      </c>
      <c r="E17" s="1078" t="s">
        <v>993</v>
      </c>
      <c r="F17" s="1074" t="s">
        <v>994</v>
      </c>
      <c r="G17" s="941"/>
      <c r="H17" s="230"/>
      <c r="I17" s="941"/>
      <c r="J17" s="230"/>
      <c r="K17" s="6868"/>
      <c r="L17" s="7744"/>
      <c r="M17" s="6868"/>
      <c r="N17" s="7744"/>
      <c r="O17" s="6868"/>
      <c r="P17" s="7744"/>
      <c r="Q17" s="6868"/>
      <c r="R17" s="7744"/>
      <c r="S17" s="6868"/>
      <c r="T17" s="7744"/>
      <c r="U17" s="6868"/>
      <c r="V17" s="7744"/>
      <c r="W17" s="6868"/>
      <c r="X17" s="7744"/>
      <c r="Y17" s="6868"/>
      <c r="Z17" s="7744"/>
      <c r="AA17" s="6868"/>
      <c r="AB17" s="7744"/>
      <c r="AC17" s="6868"/>
      <c r="AD17" s="7744"/>
      <c r="AE17" s="6868"/>
      <c r="AF17" s="7744"/>
      <c r="AG17" s="6868"/>
      <c r="AH17" s="7744"/>
      <c r="AI17" s="6868"/>
      <c r="AJ17" s="7744"/>
      <c r="AK17" s="6868"/>
      <c r="AL17" s="7744"/>
      <c r="AM17" s="6868"/>
      <c r="AN17" s="7744"/>
      <c r="AO17" s="6868"/>
      <c r="AP17" s="7744"/>
      <c r="AQ17" s="6868"/>
      <c r="AR17" s="7744"/>
      <c r="AS17" s="6868"/>
      <c r="AT17" s="7744"/>
      <c r="AU17" s="6868"/>
      <c r="AV17" s="7744"/>
      <c r="AW17" s="6868"/>
      <c r="AX17" s="7744"/>
      <c r="AY17" s="6868"/>
      <c r="AZ17" s="7744"/>
      <c r="BA17" s="413"/>
      <c r="BB17" s="844"/>
      <c r="BN17" s="882">
        <v>0</v>
      </c>
    </row>
    <row s="7213" customFormat="1" customHeight="1" ht="33.75">
      <c r="A18" s="2529"/>
      <c r="B18" s="635"/>
      <c r="D18" s="1077" t="s">
        <v>446</v>
      </c>
      <c r="E18" s="1078" t="s">
        <v>995</v>
      </c>
      <c r="F18" s="1074" t="s">
        <v>689</v>
      </c>
      <c r="G18" s="804"/>
      <c r="H18" s="230"/>
      <c r="I18" s="804"/>
      <c r="J18" s="230"/>
      <c r="K18" s="6869"/>
      <c r="L18" s="7744"/>
      <c r="M18" s="6869"/>
      <c r="N18" s="7744"/>
      <c r="O18" s="6869"/>
      <c r="P18" s="7744"/>
      <c r="Q18" s="6869"/>
      <c r="R18" s="7744"/>
      <c r="S18" s="6869"/>
      <c r="T18" s="7744"/>
      <c r="U18" s="6869"/>
      <c r="V18" s="7744"/>
      <c r="W18" s="6869"/>
      <c r="X18" s="7744"/>
      <c r="Y18" s="6869"/>
      <c r="Z18" s="7744"/>
      <c r="AA18" s="6869"/>
      <c r="AB18" s="7744"/>
      <c r="AC18" s="6869"/>
      <c r="AD18" s="7744"/>
      <c r="AE18" s="6869"/>
      <c r="AF18" s="7744"/>
      <c r="AG18" s="6869"/>
      <c r="AH18" s="7744"/>
      <c r="AI18" s="6869"/>
      <c r="AJ18" s="7744"/>
      <c r="AK18" s="6869"/>
      <c r="AL18" s="7744"/>
      <c r="AM18" s="6869"/>
      <c r="AN18" s="7744"/>
      <c r="AO18" s="6869"/>
      <c r="AP18" s="7744"/>
      <c r="AQ18" s="6869"/>
      <c r="AR18" s="7744"/>
      <c r="AS18" s="6869"/>
      <c r="AT18" s="7744"/>
      <c r="AU18" s="6869"/>
      <c r="AV18" s="7744"/>
      <c r="AW18" s="6869"/>
      <c r="AX18" s="7744"/>
      <c r="AY18" s="6869"/>
      <c r="AZ18" s="7744"/>
      <c r="BA18" s="413"/>
      <c r="BB18" s="844"/>
      <c r="BN18" s="882">
        <v>0</v>
      </c>
    </row>
    <row customHeight="1" ht="101.25">
      <c r="A19" s="2529"/>
      <c r="D19" s="1077" t="s">
        <v>91</v>
      </c>
      <c r="E19" s="403" t="s">
        <v>996</v>
      </c>
      <c r="F19" s="784" t="s">
        <v>658</v>
      </c>
      <c r="G19" s="787"/>
      <c r="H19" s="786"/>
      <c r="I19" s="7662" t="s">
        <v>997</v>
      </c>
      <c r="J19" s="786"/>
      <c r="K19" s="7662" t="s">
        <v>997</v>
      </c>
      <c r="L19" s="6863"/>
      <c r="M19" s="7662" t="s">
        <v>997</v>
      </c>
      <c r="N19" s="6863"/>
      <c r="O19" s="7662" t="s">
        <v>997</v>
      </c>
      <c r="P19" s="6863"/>
      <c r="Q19" s="7662" t="s">
        <v>997</v>
      </c>
      <c r="R19" s="6863"/>
      <c r="S19" s="7662" t="s">
        <v>997</v>
      </c>
      <c r="T19" s="6863"/>
      <c r="U19" s="7662" t="s">
        <v>997</v>
      </c>
      <c r="V19" s="6863"/>
      <c r="W19" s="7662" t="s">
        <v>997</v>
      </c>
      <c r="X19" s="6863"/>
      <c r="Y19" s="7662" t="s">
        <v>997</v>
      </c>
      <c r="Z19" s="6863"/>
      <c r="AA19" s="7662" t="s">
        <v>997</v>
      </c>
      <c r="AB19" s="6863"/>
      <c r="AC19" s="7662" t="s">
        <v>997</v>
      </c>
      <c r="AD19" s="6863"/>
      <c r="AE19" s="7662" t="s">
        <v>997</v>
      </c>
      <c r="AF19" s="6863"/>
      <c r="AG19" s="7662" t="s">
        <v>997</v>
      </c>
      <c r="AH19" s="6863"/>
      <c r="AI19" s="7662" t="s">
        <v>997</v>
      </c>
      <c r="AJ19" s="6863"/>
      <c r="AK19" s="7662" t="s">
        <v>997</v>
      </c>
      <c r="AL19" s="6863"/>
      <c r="AM19" s="7662" t="s">
        <v>997</v>
      </c>
      <c r="AN19" s="6863"/>
      <c r="AO19" s="7662" t="s">
        <v>997</v>
      </c>
      <c r="AP19" s="6863"/>
      <c r="AQ19" s="7662" t="s">
        <v>997</v>
      </c>
      <c r="AR19" s="6863"/>
      <c r="AS19" s="7662" t="s">
        <v>997</v>
      </c>
      <c r="AT19" s="6863"/>
      <c r="AU19" s="7662" t="s">
        <v>997</v>
      </c>
      <c r="AV19" s="6863"/>
      <c r="AW19" s="7662" t="s">
        <v>997</v>
      </c>
      <c r="AX19" s="6863"/>
      <c r="AY19" s="7662" t="s">
        <v>997</v>
      </c>
      <c r="AZ19" s="6863"/>
      <c r="BA19" s="413" t="s">
        <v>998</v>
      </c>
      <c r="BB19" s="844"/>
      <c r="BN19" s="629">
        <v>0</v>
      </c>
    </row>
    <row s="7213" customFormat="1" customHeight="1" ht="18.75">
      <c r="A20" s="2529"/>
      <c r="C20" s="1080"/>
      <c r="D20" s="1077" t="s">
        <v>916</v>
      </c>
      <c r="E20" s="1078" t="s">
        <v>999</v>
      </c>
      <c r="F20" s="1074" t="s">
        <v>418</v>
      </c>
      <c r="G20" s="1074" t="s">
        <v>418</v>
      </c>
      <c r="H20" s="1073" t="s">
        <v>418</v>
      </c>
      <c r="I20" s="1074" t="s">
        <v>418</v>
      </c>
      <c r="J20" s="1073" t="s">
        <v>418</v>
      </c>
      <c r="K20" s="7577" t="s">
        <v>418</v>
      </c>
      <c r="L20" s="7255" t="s">
        <v>418</v>
      </c>
      <c r="M20" s="7577" t="s">
        <v>418</v>
      </c>
      <c r="N20" s="7255" t="s">
        <v>418</v>
      </c>
      <c r="O20" s="7577" t="s">
        <v>418</v>
      </c>
      <c r="P20" s="7255" t="s">
        <v>418</v>
      </c>
      <c r="Q20" s="7577" t="s">
        <v>418</v>
      </c>
      <c r="R20" s="7255" t="s">
        <v>418</v>
      </c>
      <c r="S20" s="7577" t="s">
        <v>418</v>
      </c>
      <c r="T20" s="7255" t="s">
        <v>418</v>
      </c>
      <c r="U20" s="7577" t="s">
        <v>418</v>
      </c>
      <c r="V20" s="7255" t="s">
        <v>418</v>
      </c>
      <c r="W20" s="7577" t="s">
        <v>418</v>
      </c>
      <c r="X20" s="7255" t="s">
        <v>418</v>
      </c>
      <c r="Y20" s="7577" t="s">
        <v>418</v>
      </c>
      <c r="Z20" s="7255" t="s">
        <v>418</v>
      </c>
      <c r="AA20" s="7577" t="s">
        <v>418</v>
      </c>
      <c r="AB20" s="7255" t="s">
        <v>418</v>
      </c>
      <c r="AC20" s="7577" t="s">
        <v>418</v>
      </c>
      <c r="AD20" s="7255" t="s">
        <v>418</v>
      </c>
      <c r="AE20" s="7577" t="s">
        <v>418</v>
      </c>
      <c r="AF20" s="7255" t="s">
        <v>418</v>
      </c>
      <c r="AG20" s="7577" t="s">
        <v>418</v>
      </c>
      <c r="AH20" s="7255" t="s">
        <v>418</v>
      </c>
      <c r="AI20" s="7577" t="s">
        <v>418</v>
      </c>
      <c r="AJ20" s="7255" t="s">
        <v>418</v>
      </c>
      <c r="AK20" s="7577" t="s">
        <v>418</v>
      </c>
      <c r="AL20" s="7255" t="s">
        <v>418</v>
      </c>
      <c r="AM20" s="7577" t="s">
        <v>418</v>
      </c>
      <c r="AN20" s="7255" t="s">
        <v>418</v>
      </c>
      <c r="AO20" s="7577" t="s">
        <v>418</v>
      </c>
      <c r="AP20" s="7255" t="s">
        <v>418</v>
      </c>
      <c r="AQ20" s="7577" t="s">
        <v>418</v>
      </c>
      <c r="AR20" s="7255" t="s">
        <v>418</v>
      </c>
      <c r="AS20" s="7577" t="s">
        <v>418</v>
      </c>
      <c r="AT20" s="7255" t="s">
        <v>418</v>
      </c>
      <c r="AU20" s="7577" t="s">
        <v>418</v>
      </c>
      <c r="AV20" s="7255" t="s">
        <v>418</v>
      </c>
      <c r="AW20" s="7577" t="s">
        <v>418</v>
      </c>
      <c r="AX20" s="7255" t="s">
        <v>418</v>
      </c>
      <c r="AY20" s="7577" t="s">
        <v>418</v>
      </c>
      <c r="AZ20" s="7255" t="s">
        <v>418</v>
      </c>
      <c r="BA20" s="1072"/>
      <c r="BB20" s="844"/>
      <c r="BM20" s="799"/>
      <c r="BN20" s="882">
        <v>0</v>
      </c>
    </row>
    <row s="7213" customFormat="1" customHeight="1" ht="33.75">
      <c r="A21" s="2529"/>
      <c r="C21" s="1080"/>
      <c r="D21" s="1077" t="s">
        <v>919</v>
      </c>
      <c r="E21" s="700" t="s">
        <v>1000</v>
      </c>
      <c r="F21" s="1074" t="s">
        <v>1001</v>
      </c>
      <c r="G21" s="804"/>
      <c r="H21" s="230"/>
      <c r="I21" s="804"/>
      <c r="J21" s="230"/>
      <c r="K21" s="6869"/>
      <c r="L21" s="7744"/>
      <c r="M21" s="6869"/>
      <c r="N21" s="7744"/>
      <c r="O21" s="6869"/>
      <c r="P21" s="7744"/>
      <c r="Q21" s="6869"/>
      <c r="R21" s="7744"/>
      <c r="S21" s="6869"/>
      <c r="T21" s="7744"/>
      <c r="U21" s="6869"/>
      <c r="V21" s="7744"/>
      <c r="W21" s="6869"/>
      <c r="X21" s="7744"/>
      <c r="Y21" s="6869"/>
      <c r="Z21" s="7744"/>
      <c r="AA21" s="6869"/>
      <c r="AB21" s="7744"/>
      <c r="AC21" s="6869"/>
      <c r="AD21" s="7744"/>
      <c r="AE21" s="6869"/>
      <c r="AF21" s="7744"/>
      <c r="AG21" s="6869"/>
      <c r="AH21" s="7744"/>
      <c r="AI21" s="6869"/>
      <c r="AJ21" s="7744"/>
      <c r="AK21" s="6869"/>
      <c r="AL21" s="7744"/>
      <c r="AM21" s="6869"/>
      <c r="AN21" s="7744"/>
      <c r="AO21" s="6869"/>
      <c r="AP21" s="7744"/>
      <c r="AQ21" s="6869"/>
      <c r="AR21" s="7744"/>
      <c r="AS21" s="6869"/>
      <c r="AT21" s="7744"/>
      <c r="AU21" s="6869"/>
      <c r="AV21" s="7744"/>
      <c r="AW21" s="6869"/>
      <c r="AX21" s="7744"/>
      <c r="AY21" s="6869"/>
      <c r="AZ21" s="7744"/>
      <c r="BA21" s="1072"/>
      <c r="BB21" s="844"/>
      <c r="BM21" s="799"/>
      <c r="BN21" s="882">
        <v>0</v>
      </c>
    </row>
    <row s="7213" customFormat="1" customHeight="1" ht="33.75">
      <c r="A22" s="2529"/>
      <c r="C22" s="1080"/>
      <c r="D22" s="1077" t="s">
        <v>922</v>
      </c>
      <c r="E22" s="700" t="s">
        <v>1002</v>
      </c>
      <c r="F22" s="1074" t="s">
        <v>1003</v>
      </c>
      <c r="G22" s="804"/>
      <c r="H22" s="230"/>
      <c r="I22" s="804"/>
      <c r="J22" s="230"/>
      <c r="K22" s="6869"/>
      <c r="L22" s="7744"/>
      <c r="M22" s="6869"/>
      <c r="N22" s="7744"/>
      <c r="O22" s="6869"/>
      <c r="P22" s="7744"/>
      <c r="Q22" s="6869"/>
      <c r="R22" s="7744"/>
      <c r="S22" s="6869"/>
      <c r="T22" s="7744"/>
      <c r="U22" s="6869"/>
      <c r="V22" s="7744"/>
      <c r="W22" s="6869"/>
      <c r="X22" s="7744"/>
      <c r="Y22" s="6869"/>
      <c r="Z22" s="7744"/>
      <c r="AA22" s="6869"/>
      <c r="AB22" s="7744"/>
      <c r="AC22" s="6869"/>
      <c r="AD22" s="7744"/>
      <c r="AE22" s="6869"/>
      <c r="AF22" s="7744"/>
      <c r="AG22" s="6869"/>
      <c r="AH22" s="7744"/>
      <c r="AI22" s="6869"/>
      <c r="AJ22" s="7744"/>
      <c r="AK22" s="6869"/>
      <c r="AL22" s="7744"/>
      <c r="AM22" s="6869"/>
      <c r="AN22" s="7744"/>
      <c r="AO22" s="6869"/>
      <c r="AP22" s="7744"/>
      <c r="AQ22" s="6869"/>
      <c r="AR22" s="7744"/>
      <c r="AS22" s="6869"/>
      <c r="AT22" s="7744"/>
      <c r="AU22" s="6869"/>
      <c r="AV22" s="7744"/>
      <c r="AW22" s="6869"/>
      <c r="AX22" s="7744"/>
      <c r="AY22" s="6869"/>
      <c r="AZ22" s="7744"/>
      <c r="BA22" s="1072"/>
      <c r="BB22" s="844"/>
      <c r="BM22" s="799"/>
      <c r="BN22" s="882">
        <v>0</v>
      </c>
    </row>
    <row s="7213" customFormat="1" customHeight="1" ht="22.5">
      <c r="A23" s="2529"/>
      <c r="C23" s="1080"/>
      <c r="D23" s="1077" t="s">
        <v>960</v>
      </c>
      <c r="E23" s="1078" t="s">
        <v>1004</v>
      </c>
      <c r="F23" s="1074" t="s">
        <v>418</v>
      </c>
      <c r="G23" s="1074" t="s">
        <v>418</v>
      </c>
      <c r="H23" s="1073" t="s">
        <v>418</v>
      </c>
      <c r="I23" s="1074" t="s">
        <v>418</v>
      </c>
      <c r="J23" s="1073" t="s">
        <v>418</v>
      </c>
      <c r="K23" s="7577" t="s">
        <v>418</v>
      </c>
      <c r="L23" s="7255" t="s">
        <v>418</v>
      </c>
      <c r="M23" s="7577" t="s">
        <v>418</v>
      </c>
      <c r="N23" s="7255" t="s">
        <v>418</v>
      </c>
      <c r="O23" s="7577" t="s">
        <v>418</v>
      </c>
      <c r="P23" s="7255" t="s">
        <v>418</v>
      </c>
      <c r="Q23" s="7577" t="s">
        <v>418</v>
      </c>
      <c r="R23" s="7255" t="s">
        <v>418</v>
      </c>
      <c r="S23" s="7577" t="s">
        <v>418</v>
      </c>
      <c r="T23" s="7255" t="s">
        <v>418</v>
      </c>
      <c r="U23" s="7577" t="s">
        <v>418</v>
      </c>
      <c r="V23" s="7255" t="s">
        <v>418</v>
      </c>
      <c r="W23" s="7577" t="s">
        <v>418</v>
      </c>
      <c r="X23" s="7255" t="s">
        <v>418</v>
      </c>
      <c r="Y23" s="7577" t="s">
        <v>418</v>
      </c>
      <c r="Z23" s="7255" t="s">
        <v>418</v>
      </c>
      <c r="AA23" s="7577" t="s">
        <v>418</v>
      </c>
      <c r="AB23" s="7255" t="s">
        <v>418</v>
      </c>
      <c r="AC23" s="7577" t="s">
        <v>418</v>
      </c>
      <c r="AD23" s="7255" t="s">
        <v>418</v>
      </c>
      <c r="AE23" s="7577" t="s">
        <v>418</v>
      </c>
      <c r="AF23" s="7255" t="s">
        <v>418</v>
      </c>
      <c r="AG23" s="7577" t="s">
        <v>418</v>
      </c>
      <c r="AH23" s="7255" t="s">
        <v>418</v>
      </c>
      <c r="AI23" s="7577" t="s">
        <v>418</v>
      </c>
      <c r="AJ23" s="7255" t="s">
        <v>418</v>
      </c>
      <c r="AK23" s="7577" t="s">
        <v>418</v>
      </c>
      <c r="AL23" s="7255" t="s">
        <v>418</v>
      </c>
      <c r="AM23" s="7577" t="s">
        <v>418</v>
      </c>
      <c r="AN23" s="7255" t="s">
        <v>418</v>
      </c>
      <c r="AO23" s="7577" t="s">
        <v>418</v>
      </c>
      <c r="AP23" s="7255" t="s">
        <v>418</v>
      </c>
      <c r="AQ23" s="7577" t="s">
        <v>418</v>
      </c>
      <c r="AR23" s="7255" t="s">
        <v>418</v>
      </c>
      <c r="AS23" s="7577" t="s">
        <v>418</v>
      </c>
      <c r="AT23" s="7255" t="s">
        <v>418</v>
      </c>
      <c r="AU23" s="7577" t="s">
        <v>418</v>
      </c>
      <c r="AV23" s="7255" t="s">
        <v>418</v>
      </c>
      <c r="AW23" s="7577" t="s">
        <v>418</v>
      </c>
      <c r="AX23" s="7255" t="s">
        <v>418</v>
      </c>
      <c r="AY23" s="7577" t="s">
        <v>418</v>
      </c>
      <c r="AZ23" s="7255" t="s">
        <v>418</v>
      </c>
      <c r="BA23" s="1072"/>
      <c r="BB23" s="844"/>
      <c r="BM23" s="799"/>
      <c r="BN23" s="882">
        <v>0</v>
      </c>
    </row>
    <row s="7213" customFormat="1" customHeight="1" ht="22.5">
      <c r="A24" s="2529"/>
      <c r="C24" s="1080"/>
      <c r="D24" s="1077" t="s">
        <v>1005</v>
      </c>
      <c r="E24" s="700" t="s">
        <v>1006</v>
      </c>
      <c r="F24" s="1074" t="s">
        <v>1007</v>
      </c>
      <c r="G24" s="804"/>
      <c r="H24" s="810"/>
      <c r="I24" s="804"/>
      <c r="J24" s="810"/>
      <c r="K24" s="6869"/>
      <c r="L24" s="6877"/>
      <c r="M24" s="6869"/>
      <c r="N24" s="6877"/>
      <c r="O24" s="6869"/>
      <c r="P24" s="6877"/>
      <c r="Q24" s="6869"/>
      <c r="R24" s="6877"/>
      <c r="S24" s="6869"/>
      <c r="T24" s="6877"/>
      <c r="U24" s="6869"/>
      <c r="V24" s="6877"/>
      <c r="W24" s="6869"/>
      <c r="X24" s="6877"/>
      <c r="Y24" s="6869"/>
      <c r="Z24" s="6877"/>
      <c r="AA24" s="6869"/>
      <c r="AB24" s="6877"/>
      <c r="AC24" s="6869"/>
      <c r="AD24" s="6877"/>
      <c r="AE24" s="6869"/>
      <c r="AF24" s="6877"/>
      <c r="AG24" s="6869"/>
      <c r="AH24" s="6877"/>
      <c r="AI24" s="6869"/>
      <c r="AJ24" s="6877"/>
      <c r="AK24" s="6869"/>
      <c r="AL24" s="6877"/>
      <c r="AM24" s="6869"/>
      <c r="AN24" s="6877"/>
      <c r="AO24" s="6869"/>
      <c r="AP24" s="6877"/>
      <c r="AQ24" s="6869"/>
      <c r="AR24" s="6877"/>
      <c r="AS24" s="6869"/>
      <c r="AT24" s="6877"/>
      <c r="AU24" s="6869"/>
      <c r="AV24" s="6877"/>
      <c r="AW24" s="6869"/>
      <c r="AX24" s="6877"/>
      <c r="AY24" s="6869"/>
      <c r="AZ24" s="6877"/>
      <c r="BA24" s="1072"/>
      <c r="BB24" s="844"/>
      <c r="BM24" s="799"/>
      <c r="BN24" s="882">
        <v>0</v>
      </c>
    </row>
    <row s="7213" customFormat="1" customHeight="1" ht="22.5">
      <c r="A25" s="2529"/>
      <c r="C25" s="1080"/>
      <c r="D25" s="1077" t="s">
        <v>1008</v>
      </c>
      <c r="E25" s="700" t="s">
        <v>1009</v>
      </c>
      <c r="F25" s="1074" t="s">
        <v>418</v>
      </c>
      <c r="G25" s="1074" t="s">
        <v>418</v>
      </c>
      <c r="H25" s="1073" t="s">
        <v>418</v>
      </c>
      <c r="I25" s="1074" t="s">
        <v>418</v>
      </c>
      <c r="J25" s="1073" t="s">
        <v>418</v>
      </c>
      <c r="K25" s="7577" t="s">
        <v>418</v>
      </c>
      <c r="L25" s="7255" t="s">
        <v>418</v>
      </c>
      <c r="M25" s="7577" t="s">
        <v>418</v>
      </c>
      <c r="N25" s="7255" t="s">
        <v>418</v>
      </c>
      <c r="O25" s="7577" t="s">
        <v>418</v>
      </c>
      <c r="P25" s="7255" t="s">
        <v>418</v>
      </c>
      <c r="Q25" s="7577" t="s">
        <v>418</v>
      </c>
      <c r="R25" s="7255" t="s">
        <v>418</v>
      </c>
      <c r="S25" s="7577" t="s">
        <v>418</v>
      </c>
      <c r="T25" s="7255" t="s">
        <v>418</v>
      </c>
      <c r="U25" s="7577" t="s">
        <v>418</v>
      </c>
      <c r="V25" s="7255" t="s">
        <v>418</v>
      </c>
      <c r="W25" s="7577" t="s">
        <v>418</v>
      </c>
      <c r="X25" s="7255" t="s">
        <v>418</v>
      </c>
      <c r="Y25" s="7577" t="s">
        <v>418</v>
      </c>
      <c r="Z25" s="7255" t="s">
        <v>418</v>
      </c>
      <c r="AA25" s="7577" t="s">
        <v>418</v>
      </c>
      <c r="AB25" s="7255" t="s">
        <v>418</v>
      </c>
      <c r="AC25" s="7577" t="s">
        <v>418</v>
      </c>
      <c r="AD25" s="7255" t="s">
        <v>418</v>
      </c>
      <c r="AE25" s="7577" t="s">
        <v>418</v>
      </c>
      <c r="AF25" s="7255" t="s">
        <v>418</v>
      </c>
      <c r="AG25" s="7577" t="s">
        <v>418</v>
      </c>
      <c r="AH25" s="7255" t="s">
        <v>418</v>
      </c>
      <c r="AI25" s="7577" t="s">
        <v>418</v>
      </c>
      <c r="AJ25" s="7255" t="s">
        <v>418</v>
      </c>
      <c r="AK25" s="7577" t="s">
        <v>418</v>
      </c>
      <c r="AL25" s="7255" t="s">
        <v>418</v>
      </c>
      <c r="AM25" s="7577" t="s">
        <v>418</v>
      </c>
      <c r="AN25" s="7255" t="s">
        <v>418</v>
      </c>
      <c r="AO25" s="7577" t="s">
        <v>418</v>
      </c>
      <c r="AP25" s="7255" t="s">
        <v>418</v>
      </c>
      <c r="AQ25" s="7577" t="s">
        <v>418</v>
      </c>
      <c r="AR25" s="7255" t="s">
        <v>418</v>
      </c>
      <c r="AS25" s="7577" t="s">
        <v>418</v>
      </c>
      <c r="AT25" s="7255" t="s">
        <v>418</v>
      </c>
      <c r="AU25" s="7577" t="s">
        <v>418</v>
      </c>
      <c r="AV25" s="7255" t="s">
        <v>418</v>
      </c>
      <c r="AW25" s="7577" t="s">
        <v>418</v>
      </c>
      <c r="AX25" s="7255" t="s">
        <v>418</v>
      </c>
      <c r="AY25" s="7577" t="s">
        <v>418</v>
      </c>
      <c r="AZ25" s="7255" t="s">
        <v>418</v>
      </c>
      <c r="BA25" s="1072"/>
      <c r="BB25" s="844"/>
      <c r="BM25" s="799"/>
      <c r="BN25" s="882">
        <v>0</v>
      </c>
    </row>
    <row s="7213" customFormat="1" customHeight="1" ht="18.75">
      <c r="A26" s="2529"/>
      <c r="C26" s="1080"/>
      <c r="D26" s="1077" t="s">
        <v>1010</v>
      </c>
      <c r="E26" s="677" t="s">
        <v>1011</v>
      </c>
      <c r="F26" s="1074" t="s">
        <v>1012</v>
      </c>
      <c r="G26" s="804"/>
      <c r="H26" s="810"/>
      <c r="I26" s="804"/>
      <c r="J26" s="810"/>
      <c r="K26" s="6869"/>
      <c r="L26" s="6877"/>
      <c r="M26" s="6869"/>
      <c r="N26" s="6877"/>
      <c r="O26" s="6869"/>
      <c r="P26" s="6877"/>
      <c r="Q26" s="6869"/>
      <c r="R26" s="6877"/>
      <c r="S26" s="6869"/>
      <c r="T26" s="6877"/>
      <c r="U26" s="6869"/>
      <c r="V26" s="6877"/>
      <c r="W26" s="6869"/>
      <c r="X26" s="6877"/>
      <c r="Y26" s="6869"/>
      <c r="Z26" s="6877"/>
      <c r="AA26" s="6869"/>
      <c r="AB26" s="6877"/>
      <c r="AC26" s="6869"/>
      <c r="AD26" s="6877"/>
      <c r="AE26" s="6869"/>
      <c r="AF26" s="6877"/>
      <c r="AG26" s="6869"/>
      <c r="AH26" s="6877"/>
      <c r="AI26" s="6869"/>
      <c r="AJ26" s="6877"/>
      <c r="AK26" s="6869"/>
      <c r="AL26" s="6877"/>
      <c r="AM26" s="6869"/>
      <c r="AN26" s="6877"/>
      <c r="AO26" s="6869"/>
      <c r="AP26" s="6877"/>
      <c r="AQ26" s="6869"/>
      <c r="AR26" s="6877"/>
      <c r="AS26" s="6869"/>
      <c r="AT26" s="6877"/>
      <c r="AU26" s="6869"/>
      <c r="AV26" s="6877"/>
      <c r="AW26" s="6869"/>
      <c r="AX26" s="6877"/>
      <c r="AY26" s="6869"/>
      <c r="AZ26" s="6877"/>
      <c r="BA26" s="1072"/>
      <c r="BB26" s="844"/>
      <c r="BM26" s="799"/>
      <c r="BN26" s="882">
        <v>0</v>
      </c>
    </row>
    <row s="7213" customFormat="1" customHeight="1" ht="18.75">
      <c r="A27" s="2529"/>
      <c r="C27" s="1080"/>
      <c r="D27" s="1077" t="s">
        <v>1013</v>
      </c>
      <c r="E27" s="677" t="s">
        <v>1014</v>
      </c>
      <c r="F27" s="1074" t="s">
        <v>1015</v>
      </c>
      <c r="G27" s="804"/>
      <c r="H27" s="810"/>
      <c r="I27" s="804"/>
      <c r="J27" s="810"/>
      <c r="K27" s="6869"/>
      <c r="L27" s="6877"/>
      <c r="M27" s="6869"/>
      <c r="N27" s="6877"/>
      <c r="O27" s="6869"/>
      <c r="P27" s="6877"/>
      <c r="Q27" s="6869"/>
      <c r="R27" s="6877"/>
      <c r="S27" s="6869"/>
      <c r="T27" s="6877"/>
      <c r="U27" s="6869"/>
      <c r="V27" s="6877"/>
      <c r="W27" s="6869"/>
      <c r="X27" s="6877"/>
      <c r="Y27" s="6869"/>
      <c r="Z27" s="6877"/>
      <c r="AA27" s="6869"/>
      <c r="AB27" s="6877"/>
      <c r="AC27" s="6869"/>
      <c r="AD27" s="6877"/>
      <c r="AE27" s="6869"/>
      <c r="AF27" s="6877"/>
      <c r="AG27" s="6869"/>
      <c r="AH27" s="6877"/>
      <c r="AI27" s="6869"/>
      <c r="AJ27" s="6877"/>
      <c r="AK27" s="6869"/>
      <c r="AL27" s="6877"/>
      <c r="AM27" s="6869"/>
      <c r="AN27" s="6877"/>
      <c r="AO27" s="6869"/>
      <c r="AP27" s="6877"/>
      <c r="AQ27" s="6869"/>
      <c r="AR27" s="6877"/>
      <c r="AS27" s="6869"/>
      <c r="AT27" s="6877"/>
      <c r="AU27" s="6869"/>
      <c r="AV27" s="6877"/>
      <c r="AW27" s="6869"/>
      <c r="AX27" s="6877"/>
      <c r="AY27" s="6869"/>
      <c r="AZ27" s="6877"/>
      <c r="BA27" s="1072"/>
      <c r="BB27" s="844"/>
      <c r="BM27" s="799"/>
      <c r="BN27" s="882">
        <v>0</v>
      </c>
    </row>
    <row s="7213" customFormat="1" customHeight="1" ht="18.75">
      <c r="A28" s="2529"/>
      <c r="C28" s="1080"/>
      <c r="D28" s="1077" t="s">
        <v>1016</v>
      </c>
      <c r="E28" s="700" t="s">
        <v>1017</v>
      </c>
      <c r="F28" s="1074" t="s">
        <v>418</v>
      </c>
      <c r="G28" s="1074" t="s">
        <v>418</v>
      </c>
      <c r="H28" s="1073" t="s">
        <v>418</v>
      </c>
      <c r="I28" s="1074" t="s">
        <v>418</v>
      </c>
      <c r="J28" s="1073" t="s">
        <v>418</v>
      </c>
      <c r="K28" s="7577" t="s">
        <v>418</v>
      </c>
      <c r="L28" s="7255" t="s">
        <v>418</v>
      </c>
      <c r="M28" s="7577" t="s">
        <v>418</v>
      </c>
      <c r="N28" s="7255" t="s">
        <v>418</v>
      </c>
      <c r="O28" s="7577" t="s">
        <v>418</v>
      </c>
      <c r="P28" s="7255" t="s">
        <v>418</v>
      </c>
      <c r="Q28" s="7577" t="s">
        <v>418</v>
      </c>
      <c r="R28" s="7255" t="s">
        <v>418</v>
      </c>
      <c r="S28" s="7577" t="s">
        <v>418</v>
      </c>
      <c r="T28" s="7255" t="s">
        <v>418</v>
      </c>
      <c r="U28" s="7577" t="s">
        <v>418</v>
      </c>
      <c r="V28" s="7255" t="s">
        <v>418</v>
      </c>
      <c r="W28" s="7577" t="s">
        <v>418</v>
      </c>
      <c r="X28" s="7255" t="s">
        <v>418</v>
      </c>
      <c r="Y28" s="7577" t="s">
        <v>418</v>
      </c>
      <c r="Z28" s="7255" t="s">
        <v>418</v>
      </c>
      <c r="AA28" s="7577" t="s">
        <v>418</v>
      </c>
      <c r="AB28" s="7255" t="s">
        <v>418</v>
      </c>
      <c r="AC28" s="7577" t="s">
        <v>418</v>
      </c>
      <c r="AD28" s="7255" t="s">
        <v>418</v>
      </c>
      <c r="AE28" s="7577" t="s">
        <v>418</v>
      </c>
      <c r="AF28" s="7255" t="s">
        <v>418</v>
      </c>
      <c r="AG28" s="7577" t="s">
        <v>418</v>
      </c>
      <c r="AH28" s="7255" t="s">
        <v>418</v>
      </c>
      <c r="AI28" s="7577" t="s">
        <v>418</v>
      </c>
      <c r="AJ28" s="7255" t="s">
        <v>418</v>
      </c>
      <c r="AK28" s="7577" t="s">
        <v>418</v>
      </c>
      <c r="AL28" s="7255" t="s">
        <v>418</v>
      </c>
      <c r="AM28" s="7577" t="s">
        <v>418</v>
      </c>
      <c r="AN28" s="7255" t="s">
        <v>418</v>
      </c>
      <c r="AO28" s="7577" t="s">
        <v>418</v>
      </c>
      <c r="AP28" s="7255" t="s">
        <v>418</v>
      </c>
      <c r="AQ28" s="7577" t="s">
        <v>418</v>
      </c>
      <c r="AR28" s="7255" t="s">
        <v>418</v>
      </c>
      <c r="AS28" s="7577" t="s">
        <v>418</v>
      </c>
      <c r="AT28" s="7255" t="s">
        <v>418</v>
      </c>
      <c r="AU28" s="7577" t="s">
        <v>418</v>
      </c>
      <c r="AV28" s="7255" t="s">
        <v>418</v>
      </c>
      <c r="AW28" s="7577" t="s">
        <v>418</v>
      </c>
      <c r="AX28" s="7255" t="s">
        <v>418</v>
      </c>
      <c r="AY28" s="7577" t="s">
        <v>418</v>
      </c>
      <c r="AZ28" s="7255" t="s">
        <v>418</v>
      </c>
      <c r="BA28" s="1072"/>
      <c r="BB28" s="844"/>
      <c r="BM28" s="799"/>
      <c r="BN28" s="882">
        <v>0</v>
      </c>
    </row>
    <row s="7213" customFormat="1" customHeight="1" ht="18.75">
      <c r="A29" s="2529"/>
      <c r="C29" s="1080"/>
      <c r="D29" s="1077" t="s">
        <v>1018</v>
      </c>
      <c r="E29" s="677" t="s">
        <v>1011</v>
      </c>
      <c r="F29" s="1074" t="s">
        <v>1019</v>
      </c>
      <c r="G29" s="804"/>
      <c r="H29" s="810"/>
      <c r="I29" s="804"/>
      <c r="J29" s="810"/>
      <c r="K29" s="6869"/>
      <c r="L29" s="6877"/>
      <c r="M29" s="6869"/>
      <c r="N29" s="6877"/>
      <c r="O29" s="6869"/>
      <c r="P29" s="6877"/>
      <c r="Q29" s="6869"/>
      <c r="R29" s="6877"/>
      <c r="S29" s="6869"/>
      <c r="T29" s="6877"/>
      <c r="U29" s="6869"/>
      <c r="V29" s="6877"/>
      <c r="W29" s="6869"/>
      <c r="X29" s="6877"/>
      <c r="Y29" s="6869"/>
      <c r="Z29" s="6877"/>
      <c r="AA29" s="6869"/>
      <c r="AB29" s="6877"/>
      <c r="AC29" s="6869"/>
      <c r="AD29" s="6877"/>
      <c r="AE29" s="6869"/>
      <c r="AF29" s="6877"/>
      <c r="AG29" s="6869"/>
      <c r="AH29" s="6877"/>
      <c r="AI29" s="6869"/>
      <c r="AJ29" s="6877"/>
      <c r="AK29" s="6869"/>
      <c r="AL29" s="6877"/>
      <c r="AM29" s="6869"/>
      <c r="AN29" s="6877"/>
      <c r="AO29" s="6869"/>
      <c r="AP29" s="6877"/>
      <c r="AQ29" s="6869"/>
      <c r="AR29" s="6877"/>
      <c r="AS29" s="6869"/>
      <c r="AT29" s="6877"/>
      <c r="AU29" s="6869"/>
      <c r="AV29" s="6877"/>
      <c r="AW29" s="6869"/>
      <c r="AX29" s="6877"/>
      <c r="AY29" s="6869"/>
      <c r="AZ29" s="6877"/>
      <c r="BA29" s="1072"/>
      <c r="BB29" s="844"/>
      <c r="BM29" s="799"/>
      <c r="BN29" s="882">
        <v>0</v>
      </c>
    </row>
    <row s="7213" customFormat="1" customHeight="1" ht="18.75">
      <c r="A30" s="2529"/>
      <c r="C30" s="1080"/>
      <c r="D30" s="1077" t="s">
        <v>1020</v>
      </c>
      <c r="E30" s="677" t="s">
        <v>1021</v>
      </c>
      <c r="F30" s="1074" t="s">
        <v>1022</v>
      </c>
      <c r="G30" s="804"/>
      <c r="H30" s="810"/>
      <c r="I30" s="804"/>
      <c r="J30" s="810"/>
      <c r="K30" s="6869"/>
      <c r="L30" s="6877"/>
      <c r="M30" s="6869"/>
      <c r="N30" s="6877"/>
      <c r="O30" s="6869"/>
      <c r="P30" s="6877"/>
      <c r="Q30" s="6869"/>
      <c r="R30" s="6877"/>
      <c r="S30" s="6869"/>
      <c r="T30" s="6877"/>
      <c r="U30" s="6869"/>
      <c r="V30" s="6877"/>
      <c r="W30" s="6869"/>
      <c r="X30" s="6877"/>
      <c r="Y30" s="6869"/>
      <c r="Z30" s="6877"/>
      <c r="AA30" s="6869"/>
      <c r="AB30" s="6877"/>
      <c r="AC30" s="6869"/>
      <c r="AD30" s="6877"/>
      <c r="AE30" s="6869"/>
      <c r="AF30" s="6877"/>
      <c r="AG30" s="6869"/>
      <c r="AH30" s="6877"/>
      <c r="AI30" s="6869"/>
      <c r="AJ30" s="6877"/>
      <c r="AK30" s="6869"/>
      <c r="AL30" s="6877"/>
      <c r="AM30" s="6869"/>
      <c r="AN30" s="6877"/>
      <c r="AO30" s="6869"/>
      <c r="AP30" s="6877"/>
      <c r="AQ30" s="6869"/>
      <c r="AR30" s="6877"/>
      <c r="AS30" s="6869"/>
      <c r="AT30" s="6877"/>
      <c r="AU30" s="6869"/>
      <c r="AV30" s="6877"/>
      <c r="AW30" s="6869"/>
      <c r="AX30" s="6877"/>
      <c r="AY30" s="6869"/>
      <c r="AZ30" s="6877"/>
      <c r="BA30" s="1072"/>
      <c r="BB30" s="844"/>
      <c r="BM30" s="799"/>
      <c r="BN30" s="882">
        <v>0</v>
      </c>
    </row>
    <row customHeight="1" ht="126.75">
      <c r="A31" s="2529"/>
      <c r="D31" s="1077" t="s">
        <v>116</v>
      </c>
      <c r="E31" s="403" t="s">
        <v>1023</v>
      </c>
      <c r="F31" s="784" t="s">
        <v>670</v>
      </c>
      <c r="G31" s="681"/>
      <c r="H31" s="786"/>
      <c r="I31" s="681">
        <v>0</v>
      </c>
      <c r="J31" s="786"/>
      <c r="K31" s="6590">
        <v>0</v>
      </c>
      <c r="L31" s="6863"/>
      <c r="M31" s="6590">
        <v>0</v>
      </c>
      <c r="N31" s="6863"/>
      <c r="O31" s="6590">
        <v>0</v>
      </c>
      <c r="P31" s="6863"/>
      <c r="Q31" s="6590">
        <v>0</v>
      </c>
      <c r="R31" s="6863"/>
      <c r="S31" s="6590">
        <v>0</v>
      </c>
      <c r="T31" s="6863"/>
      <c r="U31" s="6590">
        <v>0</v>
      </c>
      <c r="V31" s="6863"/>
      <c r="W31" s="6590">
        <v>0</v>
      </c>
      <c r="X31" s="6863"/>
      <c r="Y31" s="6590">
        <v>0</v>
      </c>
      <c r="Z31" s="6863"/>
      <c r="AA31" s="6590">
        <v>0</v>
      </c>
      <c r="AB31" s="6863"/>
      <c r="AC31" s="6590">
        <v>0</v>
      </c>
      <c r="AD31" s="6863"/>
      <c r="AE31" s="6590">
        <v>0</v>
      </c>
      <c r="AF31" s="6863"/>
      <c r="AG31" s="6590">
        <v>0</v>
      </c>
      <c r="AH31" s="6863"/>
      <c r="AI31" s="6590">
        <v>0</v>
      </c>
      <c r="AJ31" s="6863"/>
      <c r="AK31" s="6590">
        <v>0</v>
      </c>
      <c r="AL31" s="6863"/>
      <c r="AM31" s="6590">
        <v>0</v>
      </c>
      <c r="AN31" s="6863"/>
      <c r="AO31" s="6590">
        <v>0</v>
      </c>
      <c r="AP31" s="6863"/>
      <c r="AQ31" s="6590">
        <v>0</v>
      </c>
      <c r="AR31" s="6863"/>
      <c r="AS31" s="6590">
        <v>0</v>
      </c>
      <c r="AT31" s="6863"/>
      <c r="AU31" s="6590">
        <v>0</v>
      </c>
      <c r="AV31" s="6863"/>
      <c r="AW31" s="6590">
        <v>0</v>
      </c>
      <c r="AX31" s="6863"/>
      <c r="AY31" s="6590">
        <v>0</v>
      </c>
      <c r="AZ31" s="6863"/>
      <c r="BA31" s="413" t="s">
        <v>1024</v>
      </c>
      <c r="BB31" s="844"/>
      <c r="BN31" s="629">
        <v>0</v>
      </c>
    </row>
    <row customHeight="1" ht="56.25">
      <c r="A32" s="2529"/>
      <c r="D32" s="1077" t="s">
        <v>92</v>
      </c>
      <c r="E32" s="403" t="s">
        <v>1025</v>
      </c>
      <c r="F32" s="663" t="s">
        <v>994</v>
      </c>
      <c r="G32" s="681"/>
      <c r="H32" s="786"/>
      <c r="I32" s="681">
        <v>0</v>
      </c>
      <c r="J32" s="786"/>
      <c r="K32" s="6590">
        <v>0</v>
      </c>
      <c r="L32" s="6863"/>
      <c r="M32" s="6590">
        <v>0</v>
      </c>
      <c r="N32" s="6863"/>
      <c r="O32" s="6590">
        <v>0</v>
      </c>
      <c r="P32" s="6863"/>
      <c r="Q32" s="6590">
        <v>0</v>
      </c>
      <c r="R32" s="6863"/>
      <c r="S32" s="6590">
        <v>0</v>
      </c>
      <c r="T32" s="6863"/>
      <c r="U32" s="6590">
        <v>0</v>
      </c>
      <c r="V32" s="6863"/>
      <c r="W32" s="6590">
        <v>0</v>
      </c>
      <c r="X32" s="6863"/>
      <c r="Y32" s="6590">
        <v>0</v>
      </c>
      <c r="Z32" s="6863"/>
      <c r="AA32" s="6590">
        <v>0</v>
      </c>
      <c r="AB32" s="6863"/>
      <c r="AC32" s="6590">
        <v>0</v>
      </c>
      <c r="AD32" s="6863"/>
      <c r="AE32" s="6590">
        <v>0</v>
      </c>
      <c r="AF32" s="6863"/>
      <c r="AG32" s="6590">
        <v>0</v>
      </c>
      <c r="AH32" s="6863"/>
      <c r="AI32" s="6590">
        <v>0</v>
      </c>
      <c r="AJ32" s="6863"/>
      <c r="AK32" s="6590">
        <v>0</v>
      </c>
      <c r="AL32" s="6863"/>
      <c r="AM32" s="6590">
        <v>0</v>
      </c>
      <c r="AN32" s="6863"/>
      <c r="AO32" s="6590">
        <v>0</v>
      </c>
      <c r="AP32" s="6863"/>
      <c r="AQ32" s="6590">
        <v>0</v>
      </c>
      <c r="AR32" s="6863"/>
      <c r="AS32" s="6590">
        <v>0</v>
      </c>
      <c r="AT32" s="6863"/>
      <c r="AU32" s="6590">
        <v>0</v>
      </c>
      <c r="AV32" s="6863"/>
      <c r="AW32" s="6590">
        <v>0</v>
      </c>
      <c r="AX32" s="6863"/>
      <c r="AY32" s="6590">
        <v>0</v>
      </c>
      <c r="AZ32" s="6863"/>
      <c r="BA32" s="413" t="s">
        <v>1026</v>
      </c>
      <c r="BB32" s="844"/>
      <c r="BN32" s="629">
        <v>0</v>
      </c>
    </row>
    <row customHeight="1" ht="11.25">
      <c r="A33" s="2529"/>
      <c r="E33" s="788"/>
      <c r="F33" s="305"/>
      <c r="G33" s="305"/>
      <c r="H33" s="305"/>
      <c r="I33" s="305"/>
      <c r="J33" s="305"/>
      <c r="K33" s="7116"/>
      <c r="L33" s="7116"/>
      <c r="M33" s="7116"/>
      <c r="N33" s="7116"/>
      <c r="O33" s="7116"/>
      <c r="P33" s="7116"/>
      <c r="Q33" s="7116"/>
      <c r="R33" s="7116"/>
      <c r="S33" s="7116"/>
      <c r="T33" s="7116"/>
      <c r="U33" s="7116"/>
      <c r="V33" s="7116"/>
      <c r="W33" s="7116"/>
      <c r="X33" s="7116"/>
      <c r="Y33" s="7116"/>
      <c r="Z33" s="7116"/>
      <c r="AA33" s="7116"/>
      <c r="AB33" s="7116"/>
      <c r="AC33" s="7116"/>
      <c r="AD33" s="7116"/>
      <c r="AE33" s="7116"/>
      <c r="AF33" s="7116"/>
      <c r="AG33" s="7116"/>
      <c r="AH33" s="7116"/>
      <c r="AI33" s="7116"/>
      <c r="AJ33" s="7116"/>
      <c r="AK33" s="7116"/>
      <c r="AL33" s="7116"/>
      <c r="AM33" s="7116"/>
      <c r="AN33" s="7116"/>
      <c r="AO33" s="7116"/>
      <c r="AP33" s="7116"/>
      <c r="AQ33" s="7116"/>
      <c r="AR33" s="7116"/>
      <c r="AS33" s="7116"/>
      <c r="AT33" s="7116"/>
      <c r="AU33" s="7116"/>
      <c r="AV33" s="7116"/>
      <c r="AW33" s="7116"/>
      <c r="AX33" s="7116"/>
      <c r="AY33" s="7116"/>
      <c r="AZ33" s="7116"/>
      <c r="BA33" s="305"/>
      <c r="BN33" s="629">
        <v>0</v>
      </c>
    </row>
    <row customHeight="1" ht="12.75">
      <c r="A34" s="2529"/>
      <c r="D34" s="189">
        <v>1</v>
      </c>
      <c r="E34" s="459" t="s">
        <v>1027</v>
      </c>
      <c r="K34" s="7213"/>
      <c r="L34" s="7213"/>
      <c r="M34" s="7213"/>
      <c r="N34" s="7213"/>
      <c r="O34" s="7213"/>
      <c r="P34" s="7213"/>
      <c r="Q34" s="7213"/>
      <c r="R34" s="7213"/>
      <c r="S34" s="7213"/>
      <c r="T34" s="7213"/>
      <c r="U34" s="7213"/>
      <c r="V34" s="7213"/>
      <c r="W34" s="7213"/>
      <c r="X34" s="7213"/>
      <c r="Y34" s="7213"/>
      <c r="Z34" s="7213"/>
      <c r="AA34" s="7213"/>
      <c r="AB34" s="7213"/>
      <c r="AC34" s="7213"/>
      <c r="AD34" s="7213"/>
      <c r="AE34" s="7213"/>
      <c r="AF34" s="7213"/>
      <c r="AG34" s="7213"/>
      <c r="AH34" s="7213"/>
      <c r="AI34" s="7213"/>
      <c r="AJ34" s="7213"/>
      <c r="AK34" s="7213"/>
      <c r="AL34" s="7213"/>
      <c r="AM34" s="7213"/>
      <c r="AN34" s="7213"/>
      <c r="AO34" s="7213"/>
      <c r="AP34" s="7213"/>
      <c r="AQ34" s="7213"/>
      <c r="AR34" s="7213"/>
      <c r="AS34" s="7213"/>
      <c r="AT34" s="7213"/>
      <c r="AU34" s="7213"/>
      <c r="AV34" s="7213"/>
      <c r="AW34" s="7213"/>
      <c r="AX34" s="7213"/>
      <c r="AY34" s="7213"/>
      <c r="AZ34" s="7213"/>
      <c r="BN34" s="629">
        <v>0</v>
      </c>
    </row>
    <row customHeight="1" ht="11.25">
      <c r="A35" s="2529"/>
      <c r="D35" s="493"/>
      <c r="E35" s="459" t="s">
        <v>1028</v>
      </c>
      <c r="K35" s="7213"/>
      <c r="L35" s="7213"/>
      <c r="M35" s="7213"/>
      <c r="N35" s="7213"/>
      <c r="O35" s="7213"/>
      <c r="P35" s="7213"/>
      <c r="Q35" s="7213"/>
      <c r="R35" s="7213"/>
      <c r="S35" s="7213"/>
      <c r="T35" s="7213"/>
      <c r="U35" s="7213"/>
      <c r="V35" s="7213"/>
      <c r="W35" s="7213"/>
      <c r="X35" s="7213"/>
      <c r="Y35" s="7213"/>
      <c r="Z35" s="7213"/>
      <c r="AA35" s="7213"/>
      <c r="AB35" s="7213"/>
      <c r="AC35" s="7213"/>
      <c r="AD35" s="7213"/>
      <c r="AE35" s="7213"/>
      <c r="AF35" s="7213"/>
      <c r="AG35" s="7213"/>
      <c r="AH35" s="7213"/>
      <c r="AI35" s="7213"/>
      <c r="AJ35" s="7213"/>
      <c r="AK35" s="7213"/>
      <c r="AL35" s="7213"/>
      <c r="AM35" s="7213"/>
      <c r="AN35" s="7213"/>
      <c r="AO35" s="7213"/>
      <c r="AP35" s="7213"/>
      <c r="AQ35" s="7213"/>
      <c r="AR35" s="7213"/>
      <c r="AS35" s="7213"/>
      <c r="AT35" s="7213"/>
      <c r="AU35" s="7213"/>
      <c r="AV35" s="7213"/>
      <c r="AW35" s="7213"/>
      <c r="AX35" s="7213"/>
      <c r="AY35" s="7213"/>
      <c r="AZ35" s="7213"/>
      <c r="BN35" s="629">
        <v>0</v>
      </c>
    </row>
    <row s="7213" customFormat="1" customHeight="1" ht="11.549999999999999">
      <c r="A36" s="1157"/>
      <c r="B36" s="642"/>
      <c r="D36" s="1158"/>
      <c r="E36" s="1159"/>
      <c r="K36" s="7213"/>
      <c r="L36" s="7213"/>
      <c r="M36" s="7213"/>
      <c r="N36" s="7213"/>
      <c r="O36" s="7213"/>
      <c r="P36" s="7213"/>
      <c r="Q36" s="7213"/>
      <c r="R36" s="7213"/>
      <c r="S36" s="7213"/>
      <c r="T36" s="7213"/>
      <c r="U36" s="7213"/>
      <c r="V36" s="7213"/>
      <c r="W36" s="7213"/>
      <c r="X36" s="7213"/>
      <c r="Y36" s="7213"/>
      <c r="Z36" s="7213"/>
      <c r="AA36" s="7213"/>
      <c r="AB36" s="7213"/>
      <c r="AC36" s="7213"/>
      <c r="AD36" s="7213"/>
      <c r="AE36" s="7213"/>
      <c r="AF36" s="7213"/>
      <c r="AG36" s="7213"/>
      <c r="AH36" s="7213"/>
      <c r="AI36" s="7213"/>
      <c r="AJ36" s="7213"/>
      <c r="AK36" s="7213"/>
      <c r="AL36" s="7213"/>
      <c r="AM36" s="7213"/>
      <c r="AN36" s="7213"/>
      <c r="AO36" s="7213"/>
      <c r="AP36" s="7213"/>
      <c r="AQ36" s="7213"/>
      <c r="AR36" s="7213"/>
      <c r="AS36" s="7213"/>
      <c r="AT36" s="7213"/>
      <c r="AU36" s="7213"/>
      <c r="AV36" s="7213"/>
      <c r="AW36" s="7213"/>
      <c r="AX36" s="7213"/>
      <c r="AY36" s="7213"/>
      <c r="AZ36" s="7213"/>
      <c r="BN36" s="633">
        <v>11</v>
      </c>
    </row>
    <row s="7213" customFormat="1" customHeight="1" ht="22.5" hidden="1">
      <c r="A37" s="2529" t="s">
        <v>1029</v>
      </c>
      <c r="B37" s="635"/>
      <c r="D37" s="1077">
        <v>1</v>
      </c>
      <c r="E37" s="831" t="s">
        <v>1030</v>
      </c>
      <c r="F37" s="784" t="s">
        <v>984</v>
      </c>
      <c r="G37" s="681"/>
      <c r="H37" s="643"/>
      <c r="I37" s="681"/>
      <c r="J37" s="643"/>
      <c r="K37" s="6590"/>
      <c r="L37" s="6882"/>
      <c r="M37" s="6590"/>
      <c r="N37" s="6882"/>
      <c r="O37" s="6590"/>
      <c r="P37" s="6882"/>
      <c r="Q37" s="6590"/>
      <c r="R37" s="6882"/>
      <c r="S37" s="6590"/>
      <c r="T37" s="6882"/>
      <c r="U37" s="6590"/>
      <c r="V37" s="6882"/>
      <c r="W37" s="6590"/>
      <c r="X37" s="6882"/>
      <c r="Y37" s="6590"/>
      <c r="Z37" s="6882"/>
      <c r="AA37" s="6590"/>
      <c r="AB37" s="6882"/>
      <c r="AC37" s="6590"/>
      <c r="AD37" s="6882"/>
      <c r="AE37" s="6590"/>
      <c r="AF37" s="6882"/>
      <c r="AG37" s="6590"/>
      <c r="AH37" s="6882"/>
      <c r="AI37" s="6590"/>
      <c r="AJ37" s="6882"/>
      <c r="AK37" s="6590"/>
      <c r="AL37" s="6882"/>
      <c r="AM37" s="6590"/>
      <c r="AN37" s="6882"/>
      <c r="AO37" s="6590"/>
      <c r="AP37" s="6882"/>
      <c r="AQ37" s="6590"/>
      <c r="AR37" s="6882"/>
      <c r="AS37" s="6590"/>
      <c r="AT37" s="6882"/>
      <c r="AU37" s="6590"/>
      <c r="AV37" s="6882"/>
      <c r="AW37" s="6590"/>
      <c r="AX37" s="6882"/>
      <c r="AY37" s="6590"/>
      <c r="AZ37" s="6882"/>
      <c r="BA37" s="413" t="s">
        <v>1031</v>
      </c>
      <c r="BN37" s="882">
        <v>0</v>
      </c>
    </row>
    <row s="7213" customFormat="1" customHeight="1" ht="22.5" hidden="1">
      <c r="A38" s="2529"/>
      <c r="B38" s="635"/>
      <c r="D38" s="793" t="s">
        <v>102</v>
      </c>
      <c r="E38" s="1156" t="s">
        <v>1032</v>
      </c>
      <c r="F38" s="1160" t="s">
        <v>658</v>
      </c>
      <c r="G38" s="1160" t="s">
        <v>658</v>
      </c>
      <c r="H38" s="1154"/>
      <c r="I38" s="1160" t="s">
        <v>658</v>
      </c>
      <c r="J38" s="1154"/>
      <c r="K38" s="6885" t="s">
        <v>658</v>
      </c>
      <c r="L38" s="6886"/>
      <c r="M38" s="6885" t="s">
        <v>658</v>
      </c>
      <c r="N38" s="6886"/>
      <c r="O38" s="6885" t="s">
        <v>658</v>
      </c>
      <c r="P38" s="6886"/>
      <c r="Q38" s="6885" t="s">
        <v>658</v>
      </c>
      <c r="R38" s="6886"/>
      <c r="S38" s="6885" t="s">
        <v>658</v>
      </c>
      <c r="T38" s="6886"/>
      <c r="U38" s="6885" t="s">
        <v>658</v>
      </c>
      <c r="V38" s="6886"/>
      <c r="W38" s="6885" t="s">
        <v>658</v>
      </c>
      <c r="X38" s="6886"/>
      <c r="Y38" s="6885" t="s">
        <v>658</v>
      </c>
      <c r="Z38" s="6886"/>
      <c r="AA38" s="6885" t="s">
        <v>658</v>
      </c>
      <c r="AB38" s="6886"/>
      <c r="AC38" s="6885" t="s">
        <v>658</v>
      </c>
      <c r="AD38" s="6886"/>
      <c r="AE38" s="6885" t="s">
        <v>658</v>
      </c>
      <c r="AF38" s="6886"/>
      <c r="AG38" s="6885" t="s">
        <v>658</v>
      </c>
      <c r="AH38" s="6886"/>
      <c r="AI38" s="6885" t="s">
        <v>658</v>
      </c>
      <c r="AJ38" s="6886"/>
      <c r="AK38" s="6885" t="s">
        <v>658</v>
      </c>
      <c r="AL38" s="6886"/>
      <c r="AM38" s="6885" t="s">
        <v>658</v>
      </c>
      <c r="AN38" s="6886"/>
      <c r="AO38" s="6885" t="s">
        <v>658</v>
      </c>
      <c r="AP38" s="6886"/>
      <c r="AQ38" s="6885" t="s">
        <v>658</v>
      </c>
      <c r="AR38" s="6886"/>
      <c r="AS38" s="6885" t="s">
        <v>658</v>
      </c>
      <c r="AT38" s="6886"/>
      <c r="AU38" s="6885" t="s">
        <v>658</v>
      </c>
      <c r="AV38" s="6886"/>
      <c r="AW38" s="6885" t="s">
        <v>658</v>
      </c>
      <c r="AX38" s="6886"/>
      <c r="AY38" s="6885" t="s">
        <v>658</v>
      </c>
      <c r="AZ38" s="6886"/>
      <c r="BA38" s="1155"/>
      <c r="BN38" s="882">
        <v>0</v>
      </c>
    </row>
    <row s="7213" customFormat="1" customHeight="1" ht="33.75" hidden="1">
      <c r="A39" s="2529"/>
      <c r="B39" s="635"/>
      <c r="D39" s="789" t="s">
        <v>868</v>
      </c>
      <c r="E39" s="847" t="s">
        <v>1033</v>
      </c>
      <c r="F39" s="784" t="s">
        <v>1034</v>
      </c>
      <c r="G39" s="792"/>
      <c r="H39" s="1147"/>
      <c r="I39" s="792"/>
      <c r="J39" s="1147"/>
      <c r="K39" s="7652"/>
      <c r="L39" s="6890"/>
      <c r="M39" s="7652"/>
      <c r="N39" s="6890"/>
      <c r="O39" s="7652"/>
      <c r="P39" s="6890"/>
      <c r="Q39" s="7652"/>
      <c r="R39" s="6890"/>
      <c r="S39" s="7652"/>
      <c r="T39" s="6890"/>
      <c r="U39" s="7652"/>
      <c r="V39" s="6890"/>
      <c r="W39" s="7652"/>
      <c r="X39" s="6890"/>
      <c r="Y39" s="7652"/>
      <c r="Z39" s="6890"/>
      <c r="AA39" s="7652"/>
      <c r="AB39" s="6890"/>
      <c r="AC39" s="7652"/>
      <c r="AD39" s="6890"/>
      <c r="AE39" s="7652"/>
      <c r="AF39" s="6890"/>
      <c r="AG39" s="7652"/>
      <c r="AH39" s="6890"/>
      <c r="AI39" s="7652"/>
      <c r="AJ39" s="6890"/>
      <c r="AK39" s="7652"/>
      <c r="AL39" s="6890"/>
      <c r="AM39" s="7652"/>
      <c r="AN39" s="6890"/>
      <c r="AO39" s="7652"/>
      <c r="AP39" s="6890"/>
      <c r="AQ39" s="7652"/>
      <c r="AR39" s="6890"/>
      <c r="AS39" s="7652"/>
      <c r="AT39" s="6890"/>
      <c r="AU39" s="7652"/>
      <c r="AV39" s="6890"/>
      <c r="AW39" s="7652"/>
      <c r="AX39" s="6890"/>
      <c r="AY39" s="7652"/>
      <c r="AZ39" s="6890"/>
      <c r="BA39" s="413" t="s">
        <v>1035</v>
      </c>
      <c r="BN39" s="882">
        <v>0</v>
      </c>
    </row>
    <row s="7213" customFormat="1" customHeight="1" ht="33.75" hidden="1">
      <c r="A40" s="2529"/>
      <c r="B40" s="635"/>
      <c r="D40" s="789" t="s">
        <v>871</v>
      </c>
      <c r="E40" s="847" t="s">
        <v>1036</v>
      </c>
      <c r="F40" s="1151" t="s">
        <v>1037</v>
      </c>
      <c r="G40" s="865"/>
      <c r="H40" s="1147"/>
      <c r="I40" s="865"/>
      <c r="J40" s="1147"/>
      <c r="K40" s="6892"/>
      <c r="L40" s="6890"/>
      <c r="M40" s="6892"/>
      <c r="N40" s="6890"/>
      <c r="O40" s="6892"/>
      <c r="P40" s="6890"/>
      <c r="Q40" s="6892"/>
      <c r="R40" s="6890"/>
      <c r="S40" s="6892"/>
      <c r="T40" s="6890"/>
      <c r="U40" s="6892"/>
      <c r="V40" s="6890"/>
      <c r="W40" s="6892"/>
      <c r="X40" s="6890"/>
      <c r="Y40" s="6892"/>
      <c r="Z40" s="6890"/>
      <c r="AA40" s="6892"/>
      <c r="AB40" s="6890"/>
      <c r="AC40" s="6892"/>
      <c r="AD40" s="6890"/>
      <c r="AE40" s="6892"/>
      <c r="AF40" s="6890"/>
      <c r="AG40" s="6892"/>
      <c r="AH40" s="6890"/>
      <c r="AI40" s="6892"/>
      <c r="AJ40" s="6890"/>
      <c r="AK40" s="6892"/>
      <c r="AL40" s="6890"/>
      <c r="AM40" s="6892"/>
      <c r="AN40" s="6890"/>
      <c r="AO40" s="6892"/>
      <c r="AP40" s="6890"/>
      <c r="AQ40" s="6892"/>
      <c r="AR40" s="6890"/>
      <c r="AS40" s="6892"/>
      <c r="AT40" s="6890"/>
      <c r="AU40" s="6892"/>
      <c r="AV40" s="6890"/>
      <c r="AW40" s="6892"/>
      <c r="AX40" s="6890"/>
      <c r="AY40" s="6892"/>
      <c r="AZ40" s="6890"/>
      <c r="BA40" s="413" t="s">
        <v>1038</v>
      </c>
      <c r="BN40" s="882">
        <v>0</v>
      </c>
    </row>
    <row s="7213" customFormat="1" customHeight="1" ht="22.5" hidden="1">
      <c r="A41" s="2529"/>
      <c r="B41" s="635"/>
      <c r="D41" s="789" t="s">
        <v>90</v>
      </c>
      <c r="E41" s="846" t="s">
        <v>1039</v>
      </c>
      <c r="F41" s="784" t="s">
        <v>658</v>
      </c>
      <c r="G41" s="784" t="s">
        <v>658</v>
      </c>
      <c r="H41" s="1148"/>
      <c r="I41" s="784" t="s">
        <v>658</v>
      </c>
      <c r="J41" s="1148"/>
      <c r="K41" s="6862" t="s">
        <v>658</v>
      </c>
      <c r="L41" s="6894"/>
      <c r="M41" s="6862" t="s">
        <v>658</v>
      </c>
      <c r="N41" s="6894"/>
      <c r="O41" s="6862" t="s">
        <v>658</v>
      </c>
      <c r="P41" s="6894"/>
      <c r="Q41" s="6862" t="s">
        <v>658</v>
      </c>
      <c r="R41" s="6894"/>
      <c r="S41" s="6862" t="s">
        <v>658</v>
      </c>
      <c r="T41" s="6894"/>
      <c r="U41" s="6862" t="s">
        <v>658</v>
      </c>
      <c r="V41" s="6894"/>
      <c r="W41" s="6862" t="s">
        <v>658</v>
      </c>
      <c r="X41" s="6894"/>
      <c r="Y41" s="6862" t="s">
        <v>658</v>
      </c>
      <c r="Z41" s="6894"/>
      <c r="AA41" s="6862" t="s">
        <v>658</v>
      </c>
      <c r="AB41" s="6894"/>
      <c r="AC41" s="6862" t="s">
        <v>658</v>
      </c>
      <c r="AD41" s="6894"/>
      <c r="AE41" s="6862" t="s">
        <v>658</v>
      </c>
      <c r="AF41" s="6894"/>
      <c r="AG41" s="6862" t="s">
        <v>658</v>
      </c>
      <c r="AH41" s="6894"/>
      <c r="AI41" s="6862" t="s">
        <v>658</v>
      </c>
      <c r="AJ41" s="6894"/>
      <c r="AK41" s="6862" t="s">
        <v>658</v>
      </c>
      <c r="AL41" s="6894"/>
      <c r="AM41" s="6862" t="s">
        <v>658</v>
      </c>
      <c r="AN41" s="6894"/>
      <c r="AO41" s="6862" t="s">
        <v>658</v>
      </c>
      <c r="AP41" s="6894"/>
      <c r="AQ41" s="6862" t="s">
        <v>658</v>
      </c>
      <c r="AR41" s="6894"/>
      <c r="AS41" s="6862" t="s">
        <v>658</v>
      </c>
      <c r="AT41" s="6894"/>
      <c r="AU41" s="6862" t="s">
        <v>658</v>
      </c>
      <c r="AV41" s="6894"/>
      <c r="AW41" s="6862" t="s">
        <v>658</v>
      </c>
      <c r="AX41" s="6894"/>
      <c r="AY41" s="6862" t="s">
        <v>658</v>
      </c>
      <c r="AZ41" s="6894"/>
      <c r="BA41" s="426"/>
      <c r="BN41" s="882">
        <v>0</v>
      </c>
    </row>
    <row s="7213" customFormat="1" customHeight="1" ht="45" hidden="1">
      <c r="A42" s="2529"/>
      <c r="B42" s="635"/>
      <c r="D42" s="789" t="s">
        <v>436</v>
      </c>
      <c r="E42" s="847" t="s">
        <v>1040</v>
      </c>
      <c r="F42" s="784" t="s">
        <v>670</v>
      </c>
      <c r="G42" s="681"/>
      <c r="H42" s="1148"/>
      <c r="I42" s="681"/>
      <c r="J42" s="1148"/>
      <c r="K42" s="6590"/>
      <c r="L42" s="6894"/>
      <c r="M42" s="6590"/>
      <c r="N42" s="6894"/>
      <c r="O42" s="6590"/>
      <c r="P42" s="6894"/>
      <c r="Q42" s="6590"/>
      <c r="R42" s="6894"/>
      <c r="S42" s="6590"/>
      <c r="T42" s="6894"/>
      <c r="U42" s="6590"/>
      <c r="V42" s="6894"/>
      <c r="W42" s="6590"/>
      <c r="X42" s="6894"/>
      <c r="Y42" s="6590"/>
      <c r="Z42" s="6894"/>
      <c r="AA42" s="6590"/>
      <c r="AB42" s="6894"/>
      <c r="AC42" s="6590"/>
      <c r="AD42" s="6894"/>
      <c r="AE42" s="6590"/>
      <c r="AF42" s="6894"/>
      <c r="AG42" s="6590"/>
      <c r="AH42" s="6894"/>
      <c r="AI42" s="6590"/>
      <c r="AJ42" s="6894"/>
      <c r="AK42" s="6590"/>
      <c r="AL42" s="6894"/>
      <c r="AM42" s="6590"/>
      <c r="AN42" s="6894"/>
      <c r="AO42" s="6590"/>
      <c r="AP42" s="6894"/>
      <c r="AQ42" s="6590"/>
      <c r="AR42" s="6894"/>
      <c r="AS42" s="6590"/>
      <c r="AT42" s="6894"/>
      <c r="AU42" s="6590"/>
      <c r="AV42" s="6894"/>
      <c r="AW42" s="6590"/>
      <c r="AX42" s="6894"/>
      <c r="AY42" s="6590"/>
      <c r="AZ42" s="6894"/>
      <c r="BA42" s="426" t="s">
        <v>1041</v>
      </c>
      <c r="BN42" s="882">
        <v>0</v>
      </c>
    </row>
    <row s="7213" customFormat="1" customHeight="1" ht="45" hidden="1">
      <c r="A43" s="2529"/>
      <c r="B43" s="635"/>
      <c r="D43" s="789" t="s">
        <v>444</v>
      </c>
      <c r="E43" s="791" t="s">
        <v>1042</v>
      </c>
      <c r="F43" s="1152" t="s">
        <v>670</v>
      </c>
      <c r="G43" s="866"/>
      <c r="H43" s="1147"/>
      <c r="I43" s="866"/>
      <c r="J43" s="1147"/>
      <c r="K43" s="6650"/>
      <c r="L43" s="6890"/>
      <c r="M43" s="6650"/>
      <c r="N43" s="6890"/>
      <c r="O43" s="6650"/>
      <c r="P43" s="6890"/>
      <c r="Q43" s="6650"/>
      <c r="R43" s="6890"/>
      <c r="S43" s="6650"/>
      <c r="T43" s="6890"/>
      <c r="U43" s="6650"/>
      <c r="V43" s="6890"/>
      <c r="W43" s="6650"/>
      <c r="X43" s="6890"/>
      <c r="Y43" s="6650"/>
      <c r="Z43" s="6890"/>
      <c r="AA43" s="6650"/>
      <c r="AB43" s="6890"/>
      <c r="AC43" s="6650"/>
      <c r="AD43" s="6890"/>
      <c r="AE43" s="6650"/>
      <c r="AF43" s="6890"/>
      <c r="AG43" s="6650"/>
      <c r="AH43" s="6890"/>
      <c r="AI43" s="6650"/>
      <c r="AJ43" s="6890"/>
      <c r="AK43" s="6650"/>
      <c r="AL43" s="6890"/>
      <c r="AM43" s="6650"/>
      <c r="AN43" s="6890"/>
      <c r="AO43" s="6650"/>
      <c r="AP43" s="6890"/>
      <c r="AQ43" s="6650"/>
      <c r="AR43" s="6890"/>
      <c r="AS43" s="6650"/>
      <c r="AT43" s="6890"/>
      <c r="AU43" s="6650"/>
      <c r="AV43" s="6890"/>
      <c r="AW43" s="6650"/>
      <c r="AX43" s="6890"/>
      <c r="AY43" s="6650"/>
      <c r="AZ43" s="6890"/>
      <c r="BA43" s="426" t="s">
        <v>1043</v>
      </c>
      <c r="BN43" s="882">
        <v>0</v>
      </c>
    </row>
    <row s="7213" customFormat="1" customHeight="1" ht="22.5" hidden="1">
      <c r="A44" s="2529"/>
      <c r="B44" s="635"/>
      <c r="D44" s="789" t="s">
        <v>91</v>
      </c>
      <c r="E44" s="790" t="s">
        <v>1044</v>
      </c>
      <c r="F44" s="784" t="s">
        <v>1034</v>
      </c>
      <c r="G44" s="792"/>
      <c r="H44" s="1147"/>
      <c r="I44" s="792"/>
      <c r="J44" s="1147"/>
      <c r="K44" s="7652"/>
      <c r="L44" s="6890"/>
      <c r="M44" s="7652"/>
      <c r="N44" s="6890"/>
      <c r="O44" s="7652"/>
      <c r="P44" s="6890"/>
      <c r="Q44" s="7652"/>
      <c r="R44" s="6890"/>
      <c r="S44" s="7652"/>
      <c r="T44" s="6890"/>
      <c r="U44" s="7652"/>
      <c r="V44" s="6890"/>
      <c r="W44" s="7652"/>
      <c r="X44" s="6890"/>
      <c r="Y44" s="7652"/>
      <c r="Z44" s="6890"/>
      <c r="AA44" s="7652"/>
      <c r="AB44" s="6890"/>
      <c r="AC44" s="7652"/>
      <c r="AD44" s="6890"/>
      <c r="AE44" s="7652"/>
      <c r="AF44" s="6890"/>
      <c r="AG44" s="7652"/>
      <c r="AH44" s="6890"/>
      <c r="AI44" s="7652"/>
      <c r="AJ44" s="6890"/>
      <c r="AK44" s="7652"/>
      <c r="AL44" s="6890"/>
      <c r="AM44" s="7652"/>
      <c r="AN44" s="6890"/>
      <c r="AO44" s="7652"/>
      <c r="AP44" s="6890"/>
      <c r="AQ44" s="7652"/>
      <c r="AR44" s="6890"/>
      <c r="AS44" s="7652"/>
      <c r="AT44" s="6890"/>
      <c r="AU44" s="7652"/>
      <c r="AV44" s="6890"/>
      <c r="AW44" s="7652"/>
      <c r="AX44" s="6890"/>
      <c r="AY44" s="7652"/>
      <c r="AZ44" s="6890"/>
      <c r="BA44" s="413"/>
      <c r="BN44" s="882">
        <v>0</v>
      </c>
    </row>
    <row s="7213" customFormat="1" customHeight="1" ht="11.25" hidden="1">
      <c r="A45" s="2529"/>
      <c r="B45" s="635"/>
      <c r="D45" s="789" t="s">
        <v>916</v>
      </c>
      <c r="E45" s="791" t="s">
        <v>1045</v>
      </c>
      <c r="F45" s="784" t="s">
        <v>1034</v>
      </c>
      <c r="G45" s="792"/>
      <c r="H45" s="1147"/>
      <c r="I45" s="792"/>
      <c r="J45" s="1147"/>
      <c r="K45" s="7652"/>
      <c r="L45" s="6890"/>
      <c r="M45" s="7652"/>
      <c r="N45" s="6890"/>
      <c r="O45" s="7652"/>
      <c r="P45" s="6890"/>
      <c r="Q45" s="7652"/>
      <c r="R45" s="6890"/>
      <c r="S45" s="7652"/>
      <c r="T45" s="6890"/>
      <c r="U45" s="7652"/>
      <c r="V45" s="6890"/>
      <c r="W45" s="7652"/>
      <c r="X45" s="6890"/>
      <c r="Y45" s="7652"/>
      <c r="Z45" s="6890"/>
      <c r="AA45" s="7652"/>
      <c r="AB45" s="6890"/>
      <c r="AC45" s="7652"/>
      <c r="AD45" s="6890"/>
      <c r="AE45" s="7652"/>
      <c r="AF45" s="6890"/>
      <c r="AG45" s="7652"/>
      <c r="AH45" s="6890"/>
      <c r="AI45" s="7652"/>
      <c r="AJ45" s="6890"/>
      <c r="AK45" s="7652"/>
      <c r="AL45" s="6890"/>
      <c r="AM45" s="7652"/>
      <c r="AN45" s="6890"/>
      <c r="AO45" s="7652"/>
      <c r="AP45" s="6890"/>
      <c r="AQ45" s="7652"/>
      <c r="AR45" s="6890"/>
      <c r="AS45" s="7652"/>
      <c r="AT45" s="6890"/>
      <c r="AU45" s="7652"/>
      <c r="AV45" s="6890"/>
      <c r="AW45" s="7652"/>
      <c r="AX45" s="6890"/>
      <c r="AY45" s="7652"/>
      <c r="AZ45" s="6890"/>
      <c r="BA45" s="413"/>
      <c r="BN45" s="882">
        <v>0</v>
      </c>
    </row>
    <row s="7213" customFormat="1" customHeight="1" ht="11.25" hidden="1">
      <c r="A46" s="2529"/>
      <c r="B46" s="635"/>
      <c r="D46" s="789" t="s">
        <v>960</v>
      </c>
      <c r="E46" s="791" t="s">
        <v>1046</v>
      </c>
      <c r="F46" s="784" t="s">
        <v>1034</v>
      </c>
      <c r="G46" s="792"/>
      <c r="H46" s="1147"/>
      <c r="I46" s="792"/>
      <c r="J46" s="1147"/>
      <c r="K46" s="7652"/>
      <c r="L46" s="6890"/>
      <c r="M46" s="7652"/>
      <c r="N46" s="6890"/>
      <c r="O46" s="7652"/>
      <c r="P46" s="6890"/>
      <c r="Q46" s="7652"/>
      <c r="R46" s="6890"/>
      <c r="S46" s="7652"/>
      <c r="T46" s="6890"/>
      <c r="U46" s="7652"/>
      <c r="V46" s="6890"/>
      <c r="W46" s="7652"/>
      <c r="X46" s="6890"/>
      <c r="Y46" s="7652"/>
      <c r="Z46" s="6890"/>
      <c r="AA46" s="7652"/>
      <c r="AB46" s="6890"/>
      <c r="AC46" s="7652"/>
      <c r="AD46" s="6890"/>
      <c r="AE46" s="7652"/>
      <c r="AF46" s="6890"/>
      <c r="AG46" s="7652"/>
      <c r="AH46" s="6890"/>
      <c r="AI46" s="7652"/>
      <c r="AJ46" s="6890"/>
      <c r="AK46" s="7652"/>
      <c r="AL46" s="6890"/>
      <c r="AM46" s="7652"/>
      <c r="AN46" s="6890"/>
      <c r="AO46" s="7652"/>
      <c r="AP46" s="6890"/>
      <c r="AQ46" s="7652"/>
      <c r="AR46" s="6890"/>
      <c r="AS46" s="7652"/>
      <c r="AT46" s="6890"/>
      <c r="AU46" s="7652"/>
      <c r="AV46" s="6890"/>
      <c r="AW46" s="7652"/>
      <c r="AX46" s="6890"/>
      <c r="AY46" s="7652"/>
      <c r="AZ46" s="6890"/>
      <c r="BA46" s="413"/>
      <c r="BN46" s="882">
        <v>0</v>
      </c>
    </row>
    <row s="7213" customFormat="1" customHeight="1" ht="11.25" hidden="1">
      <c r="A47" s="2529"/>
      <c r="B47" s="635"/>
      <c r="D47" s="789" t="s">
        <v>963</v>
      </c>
      <c r="E47" s="791" t="s">
        <v>1047</v>
      </c>
      <c r="F47" s="784" t="s">
        <v>1034</v>
      </c>
      <c r="G47" s="792"/>
      <c r="H47" s="1147"/>
      <c r="I47" s="792"/>
      <c r="J47" s="1147"/>
      <c r="K47" s="7652"/>
      <c r="L47" s="6890"/>
      <c r="M47" s="7652"/>
      <c r="N47" s="6890"/>
      <c r="O47" s="7652"/>
      <c r="P47" s="6890"/>
      <c r="Q47" s="7652"/>
      <c r="R47" s="6890"/>
      <c r="S47" s="7652"/>
      <c r="T47" s="6890"/>
      <c r="U47" s="7652"/>
      <c r="V47" s="6890"/>
      <c r="W47" s="7652"/>
      <c r="X47" s="6890"/>
      <c r="Y47" s="7652"/>
      <c r="Z47" s="6890"/>
      <c r="AA47" s="7652"/>
      <c r="AB47" s="6890"/>
      <c r="AC47" s="7652"/>
      <c r="AD47" s="6890"/>
      <c r="AE47" s="7652"/>
      <c r="AF47" s="6890"/>
      <c r="AG47" s="7652"/>
      <c r="AH47" s="6890"/>
      <c r="AI47" s="7652"/>
      <c r="AJ47" s="6890"/>
      <c r="AK47" s="7652"/>
      <c r="AL47" s="6890"/>
      <c r="AM47" s="7652"/>
      <c r="AN47" s="6890"/>
      <c r="AO47" s="7652"/>
      <c r="AP47" s="6890"/>
      <c r="AQ47" s="7652"/>
      <c r="AR47" s="6890"/>
      <c r="AS47" s="7652"/>
      <c r="AT47" s="6890"/>
      <c r="AU47" s="7652"/>
      <c r="AV47" s="6890"/>
      <c r="AW47" s="7652"/>
      <c r="AX47" s="6890"/>
      <c r="AY47" s="7652"/>
      <c r="AZ47" s="6890"/>
      <c r="BA47" s="413"/>
      <c r="BN47" s="882">
        <v>0</v>
      </c>
    </row>
    <row s="7213" customFormat="1" customHeight="1" ht="11.25" hidden="1">
      <c r="A48" s="2529"/>
      <c r="B48" s="635"/>
      <c r="D48" s="789" t="s">
        <v>1048</v>
      </c>
      <c r="E48" s="795" t="s">
        <v>1049</v>
      </c>
      <c r="F48" s="784" t="s">
        <v>1034</v>
      </c>
      <c r="G48" s="792"/>
      <c r="H48" s="1147"/>
      <c r="I48" s="792"/>
      <c r="J48" s="1147"/>
      <c r="K48" s="7652"/>
      <c r="L48" s="6890"/>
      <c r="M48" s="7652"/>
      <c r="N48" s="6890"/>
      <c r="O48" s="7652"/>
      <c r="P48" s="6890"/>
      <c r="Q48" s="7652"/>
      <c r="R48" s="6890"/>
      <c r="S48" s="7652"/>
      <c r="T48" s="6890"/>
      <c r="U48" s="7652"/>
      <c r="V48" s="6890"/>
      <c r="W48" s="7652"/>
      <c r="X48" s="6890"/>
      <c r="Y48" s="7652"/>
      <c r="Z48" s="6890"/>
      <c r="AA48" s="7652"/>
      <c r="AB48" s="6890"/>
      <c r="AC48" s="7652"/>
      <c r="AD48" s="6890"/>
      <c r="AE48" s="7652"/>
      <c r="AF48" s="6890"/>
      <c r="AG48" s="7652"/>
      <c r="AH48" s="6890"/>
      <c r="AI48" s="7652"/>
      <c r="AJ48" s="6890"/>
      <c r="AK48" s="7652"/>
      <c r="AL48" s="6890"/>
      <c r="AM48" s="7652"/>
      <c r="AN48" s="6890"/>
      <c r="AO48" s="7652"/>
      <c r="AP48" s="6890"/>
      <c r="AQ48" s="7652"/>
      <c r="AR48" s="6890"/>
      <c r="AS48" s="7652"/>
      <c r="AT48" s="6890"/>
      <c r="AU48" s="7652"/>
      <c r="AV48" s="6890"/>
      <c r="AW48" s="7652"/>
      <c r="AX48" s="6890"/>
      <c r="AY48" s="7652"/>
      <c r="AZ48" s="6890"/>
      <c r="BA48" s="413"/>
      <c r="BN48" s="882">
        <v>0</v>
      </c>
    </row>
    <row s="7213" customFormat="1" customHeight="1" ht="11.25" hidden="1">
      <c r="A49" s="2529"/>
      <c r="B49" s="635"/>
      <c r="D49" s="789" t="s">
        <v>1050</v>
      </c>
      <c r="E49" s="795" t="s">
        <v>1051</v>
      </c>
      <c r="F49" s="784" t="s">
        <v>1034</v>
      </c>
      <c r="G49" s="792"/>
      <c r="H49" s="1147"/>
      <c r="I49" s="792"/>
      <c r="J49" s="1147"/>
      <c r="K49" s="7652"/>
      <c r="L49" s="6890"/>
      <c r="M49" s="7652"/>
      <c r="N49" s="6890"/>
      <c r="O49" s="7652"/>
      <c r="P49" s="6890"/>
      <c r="Q49" s="7652"/>
      <c r="R49" s="6890"/>
      <c r="S49" s="7652"/>
      <c r="T49" s="6890"/>
      <c r="U49" s="7652"/>
      <c r="V49" s="6890"/>
      <c r="W49" s="7652"/>
      <c r="X49" s="6890"/>
      <c r="Y49" s="7652"/>
      <c r="Z49" s="6890"/>
      <c r="AA49" s="7652"/>
      <c r="AB49" s="6890"/>
      <c r="AC49" s="7652"/>
      <c r="AD49" s="6890"/>
      <c r="AE49" s="7652"/>
      <c r="AF49" s="6890"/>
      <c r="AG49" s="7652"/>
      <c r="AH49" s="6890"/>
      <c r="AI49" s="7652"/>
      <c r="AJ49" s="6890"/>
      <c r="AK49" s="7652"/>
      <c r="AL49" s="6890"/>
      <c r="AM49" s="7652"/>
      <c r="AN49" s="6890"/>
      <c r="AO49" s="7652"/>
      <c r="AP49" s="6890"/>
      <c r="AQ49" s="7652"/>
      <c r="AR49" s="6890"/>
      <c r="AS49" s="7652"/>
      <c r="AT49" s="6890"/>
      <c r="AU49" s="7652"/>
      <c r="AV49" s="6890"/>
      <c r="AW49" s="7652"/>
      <c r="AX49" s="6890"/>
      <c r="AY49" s="7652"/>
      <c r="AZ49" s="6890"/>
      <c r="BA49" s="413"/>
      <c r="BN49" s="882">
        <v>0</v>
      </c>
    </row>
    <row s="7213" customFormat="1" customHeight="1" ht="11.25" hidden="1">
      <c r="A50" s="2529"/>
      <c r="B50" s="635"/>
      <c r="D50" s="789" t="s">
        <v>1052</v>
      </c>
      <c r="E50" s="791" t="s">
        <v>1053</v>
      </c>
      <c r="F50" s="784" t="s">
        <v>1034</v>
      </c>
      <c r="G50" s="792"/>
      <c r="H50" s="1147"/>
      <c r="I50" s="792"/>
      <c r="J50" s="1147"/>
      <c r="K50" s="7652"/>
      <c r="L50" s="6890"/>
      <c r="M50" s="7652"/>
      <c r="N50" s="6890"/>
      <c r="O50" s="7652"/>
      <c r="P50" s="6890"/>
      <c r="Q50" s="7652"/>
      <c r="R50" s="6890"/>
      <c r="S50" s="7652"/>
      <c r="T50" s="6890"/>
      <c r="U50" s="7652"/>
      <c r="V50" s="6890"/>
      <c r="W50" s="7652"/>
      <c r="X50" s="6890"/>
      <c r="Y50" s="7652"/>
      <c r="Z50" s="6890"/>
      <c r="AA50" s="7652"/>
      <c r="AB50" s="6890"/>
      <c r="AC50" s="7652"/>
      <c r="AD50" s="6890"/>
      <c r="AE50" s="7652"/>
      <c r="AF50" s="6890"/>
      <c r="AG50" s="7652"/>
      <c r="AH50" s="6890"/>
      <c r="AI50" s="7652"/>
      <c r="AJ50" s="6890"/>
      <c r="AK50" s="7652"/>
      <c r="AL50" s="6890"/>
      <c r="AM50" s="7652"/>
      <c r="AN50" s="6890"/>
      <c r="AO50" s="7652"/>
      <c r="AP50" s="6890"/>
      <c r="AQ50" s="7652"/>
      <c r="AR50" s="6890"/>
      <c r="AS50" s="7652"/>
      <c r="AT50" s="6890"/>
      <c r="AU50" s="7652"/>
      <c r="AV50" s="6890"/>
      <c r="AW50" s="7652"/>
      <c r="AX50" s="6890"/>
      <c r="AY50" s="7652"/>
      <c r="AZ50" s="6890"/>
      <c r="BA50" s="413"/>
      <c r="BN50" s="882">
        <v>0</v>
      </c>
    </row>
    <row s="7213" customFormat="1" customHeight="1" ht="11.25" hidden="1">
      <c r="A51" s="2529"/>
      <c r="B51" s="635"/>
      <c r="D51" s="789" t="s">
        <v>1054</v>
      </c>
      <c r="E51" s="791" t="s">
        <v>1055</v>
      </c>
      <c r="F51" s="784" t="s">
        <v>1034</v>
      </c>
      <c r="G51" s="792"/>
      <c r="H51" s="1147"/>
      <c r="I51" s="792"/>
      <c r="J51" s="1147"/>
      <c r="K51" s="7652"/>
      <c r="L51" s="6890"/>
      <c r="M51" s="7652"/>
      <c r="N51" s="6890"/>
      <c r="O51" s="7652"/>
      <c r="P51" s="6890"/>
      <c r="Q51" s="7652"/>
      <c r="R51" s="6890"/>
      <c r="S51" s="7652"/>
      <c r="T51" s="6890"/>
      <c r="U51" s="7652"/>
      <c r="V51" s="6890"/>
      <c r="W51" s="7652"/>
      <c r="X51" s="6890"/>
      <c r="Y51" s="7652"/>
      <c r="Z51" s="6890"/>
      <c r="AA51" s="7652"/>
      <c r="AB51" s="6890"/>
      <c r="AC51" s="7652"/>
      <c r="AD51" s="6890"/>
      <c r="AE51" s="7652"/>
      <c r="AF51" s="6890"/>
      <c r="AG51" s="7652"/>
      <c r="AH51" s="6890"/>
      <c r="AI51" s="7652"/>
      <c r="AJ51" s="6890"/>
      <c r="AK51" s="7652"/>
      <c r="AL51" s="6890"/>
      <c r="AM51" s="7652"/>
      <c r="AN51" s="6890"/>
      <c r="AO51" s="7652"/>
      <c r="AP51" s="6890"/>
      <c r="AQ51" s="7652"/>
      <c r="AR51" s="6890"/>
      <c r="AS51" s="7652"/>
      <c r="AT51" s="6890"/>
      <c r="AU51" s="7652"/>
      <c r="AV51" s="6890"/>
      <c r="AW51" s="7652"/>
      <c r="AX51" s="6890"/>
      <c r="AY51" s="7652"/>
      <c r="AZ51" s="6890"/>
      <c r="BA51" s="413"/>
      <c r="BN51" s="882">
        <v>0</v>
      </c>
    </row>
    <row s="7213" customFormat="1" customHeight="1" ht="45" hidden="1">
      <c r="A52" s="2529"/>
      <c r="B52" s="635"/>
      <c r="D52" s="789" t="s">
        <v>116</v>
      </c>
      <c r="E52" s="790" t="s">
        <v>1056</v>
      </c>
      <c r="F52" s="784" t="s">
        <v>1034</v>
      </c>
      <c r="G52" s="792"/>
      <c r="H52" s="1147"/>
      <c r="I52" s="792"/>
      <c r="J52" s="1147"/>
      <c r="K52" s="7652"/>
      <c r="L52" s="6890"/>
      <c r="M52" s="7652"/>
      <c r="N52" s="6890"/>
      <c r="O52" s="7652"/>
      <c r="P52" s="6890"/>
      <c r="Q52" s="7652"/>
      <c r="R52" s="6890"/>
      <c r="S52" s="7652"/>
      <c r="T52" s="6890"/>
      <c r="U52" s="7652"/>
      <c r="V52" s="6890"/>
      <c r="W52" s="7652"/>
      <c r="X52" s="6890"/>
      <c r="Y52" s="7652"/>
      <c r="Z52" s="6890"/>
      <c r="AA52" s="7652"/>
      <c r="AB52" s="6890"/>
      <c r="AC52" s="7652"/>
      <c r="AD52" s="6890"/>
      <c r="AE52" s="7652"/>
      <c r="AF52" s="6890"/>
      <c r="AG52" s="7652"/>
      <c r="AH52" s="6890"/>
      <c r="AI52" s="7652"/>
      <c r="AJ52" s="6890"/>
      <c r="AK52" s="7652"/>
      <c r="AL52" s="6890"/>
      <c r="AM52" s="7652"/>
      <c r="AN52" s="6890"/>
      <c r="AO52" s="7652"/>
      <c r="AP52" s="6890"/>
      <c r="AQ52" s="7652"/>
      <c r="AR52" s="6890"/>
      <c r="AS52" s="7652"/>
      <c r="AT52" s="6890"/>
      <c r="AU52" s="7652"/>
      <c r="AV52" s="6890"/>
      <c r="AW52" s="7652"/>
      <c r="AX52" s="6890"/>
      <c r="AY52" s="7652"/>
      <c r="AZ52" s="6890"/>
      <c r="BA52" s="413"/>
      <c r="BN52" s="882">
        <v>0</v>
      </c>
    </row>
    <row s="7213" customFormat="1" customHeight="1" ht="11.25" hidden="1">
      <c r="A53" s="2529"/>
      <c r="B53" s="635"/>
      <c r="D53" s="789" t="s">
        <v>425</v>
      </c>
      <c r="E53" s="791" t="s">
        <v>1045</v>
      </c>
      <c r="F53" s="784" t="s">
        <v>1034</v>
      </c>
      <c r="G53" s="792"/>
      <c r="H53" s="1147"/>
      <c r="I53" s="792"/>
      <c r="J53" s="1147"/>
      <c r="K53" s="7652"/>
      <c r="L53" s="6890"/>
      <c r="M53" s="7652"/>
      <c r="N53" s="6890"/>
      <c r="O53" s="7652"/>
      <c r="P53" s="6890"/>
      <c r="Q53" s="7652"/>
      <c r="R53" s="6890"/>
      <c r="S53" s="7652"/>
      <c r="T53" s="6890"/>
      <c r="U53" s="7652"/>
      <c r="V53" s="6890"/>
      <c r="W53" s="7652"/>
      <c r="X53" s="6890"/>
      <c r="Y53" s="7652"/>
      <c r="Z53" s="6890"/>
      <c r="AA53" s="7652"/>
      <c r="AB53" s="6890"/>
      <c r="AC53" s="7652"/>
      <c r="AD53" s="6890"/>
      <c r="AE53" s="7652"/>
      <c r="AF53" s="6890"/>
      <c r="AG53" s="7652"/>
      <c r="AH53" s="6890"/>
      <c r="AI53" s="7652"/>
      <c r="AJ53" s="6890"/>
      <c r="AK53" s="7652"/>
      <c r="AL53" s="6890"/>
      <c r="AM53" s="7652"/>
      <c r="AN53" s="6890"/>
      <c r="AO53" s="7652"/>
      <c r="AP53" s="6890"/>
      <c r="AQ53" s="7652"/>
      <c r="AR53" s="6890"/>
      <c r="AS53" s="7652"/>
      <c r="AT53" s="6890"/>
      <c r="AU53" s="7652"/>
      <c r="AV53" s="6890"/>
      <c r="AW53" s="7652"/>
      <c r="AX53" s="6890"/>
      <c r="AY53" s="7652"/>
      <c r="AZ53" s="6890"/>
      <c r="BA53" s="413"/>
      <c r="BN53" s="882">
        <v>0</v>
      </c>
    </row>
    <row s="7213" customFormat="1" customHeight="1" ht="11.25" hidden="1">
      <c r="A54" s="2529"/>
      <c r="B54" s="635"/>
      <c r="D54" s="789" t="s">
        <v>1057</v>
      </c>
      <c r="E54" s="791" t="s">
        <v>1046</v>
      </c>
      <c r="F54" s="784" t="s">
        <v>1034</v>
      </c>
      <c r="G54" s="792"/>
      <c r="H54" s="1147"/>
      <c r="I54" s="792"/>
      <c r="J54" s="1147"/>
      <c r="K54" s="7652"/>
      <c r="L54" s="6890"/>
      <c r="M54" s="7652"/>
      <c r="N54" s="6890"/>
      <c r="O54" s="7652"/>
      <c r="P54" s="6890"/>
      <c r="Q54" s="7652"/>
      <c r="R54" s="6890"/>
      <c r="S54" s="7652"/>
      <c r="T54" s="6890"/>
      <c r="U54" s="7652"/>
      <c r="V54" s="6890"/>
      <c r="W54" s="7652"/>
      <c r="X54" s="6890"/>
      <c r="Y54" s="7652"/>
      <c r="Z54" s="6890"/>
      <c r="AA54" s="7652"/>
      <c r="AB54" s="6890"/>
      <c r="AC54" s="7652"/>
      <c r="AD54" s="6890"/>
      <c r="AE54" s="7652"/>
      <c r="AF54" s="6890"/>
      <c r="AG54" s="7652"/>
      <c r="AH54" s="6890"/>
      <c r="AI54" s="7652"/>
      <c r="AJ54" s="6890"/>
      <c r="AK54" s="7652"/>
      <c r="AL54" s="6890"/>
      <c r="AM54" s="7652"/>
      <c r="AN54" s="6890"/>
      <c r="AO54" s="7652"/>
      <c r="AP54" s="6890"/>
      <c r="AQ54" s="7652"/>
      <c r="AR54" s="6890"/>
      <c r="AS54" s="7652"/>
      <c r="AT54" s="6890"/>
      <c r="AU54" s="7652"/>
      <c r="AV54" s="6890"/>
      <c r="AW54" s="7652"/>
      <c r="AX54" s="6890"/>
      <c r="AY54" s="7652"/>
      <c r="AZ54" s="6890"/>
      <c r="BA54" s="413"/>
      <c r="BN54" s="882">
        <v>0</v>
      </c>
    </row>
    <row s="7213" customFormat="1" customHeight="1" ht="11.25" hidden="1">
      <c r="A55" s="2529"/>
      <c r="B55" s="635"/>
      <c r="D55" s="789" t="s">
        <v>1058</v>
      </c>
      <c r="E55" s="791" t="s">
        <v>1047</v>
      </c>
      <c r="F55" s="784" t="s">
        <v>1034</v>
      </c>
      <c r="G55" s="792"/>
      <c r="H55" s="1147"/>
      <c r="I55" s="792"/>
      <c r="J55" s="1147"/>
      <c r="K55" s="7652"/>
      <c r="L55" s="6890"/>
      <c r="M55" s="7652"/>
      <c r="N55" s="6890"/>
      <c r="O55" s="7652"/>
      <c r="P55" s="6890"/>
      <c r="Q55" s="7652"/>
      <c r="R55" s="6890"/>
      <c r="S55" s="7652"/>
      <c r="T55" s="6890"/>
      <c r="U55" s="7652"/>
      <c r="V55" s="6890"/>
      <c r="W55" s="7652"/>
      <c r="X55" s="6890"/>
      <c r="Y55" s="7652"/>
      <c r="Z55" s="6890"/>
      <c r="AA55" s="7652"/>
      <c r="AB55" s="6890"/>
      <c r="AC55" s="7652"/>
      <c r="AD55" s="6890"/>
      <c r="AE55" s="7652"/>
      <c r="AF55" s="6890"/>
      <c r="AG55" s="7652"/>
      <c r="AH55" s="6890"/>
      <c r="AI55" s="7652"/>
      <c r="AJ55" s="6890"/>
      <c r="AK55" s="7652"/>
      <c r="AL55" s="6890"/>
      <c r="AM55" s="7652"/>
      <c r="AN55" s="6890"/>
      <c r="AO55" s="7652"/>
      <c r="AP55" s="6890"/>
      <c r="AQ55" s="7652"/>
      <c r="AR55" s="6890"/>
      <c r="AS55" s="7652"/>
      <c r="AT55" s="6890"/>
      <c r="AU55" s="7652"/>
      <c r="AV55" s="6890"/>
      <c r="AW55" s="7652"/>
      <c r="AX55" s="6890"/>
      <c r="AY55" s="7652"/>
      <c r="AZ55" s="6890"/>
      <c r="BA55" s="413"/>
      <c r="BN55" s="882">
        <v>0</v>
      </c>
    </row>
    <row s="7213" customFormat="1" customHeight="1" ht="11.25" hidden="1">
      <c r="A56" s="2529"/>
      <c r="B56" s="635"/>
      <c r="D56" s="789" t="s">
        <v>1059</v>
      </c>
      <c r="E56" s="795" t="s">
        <v>1049</v>
      </c>
      <c r="F56" s="784" t="s">
        <v>1034</v>
      </c>
      <c r="G56" s="792"/>
      <c r="H56" s="1147"/>
      <c r="I56" s="792"/>
      <c r="J56" s="1147"/>
      <c r="K56" s="7652"/>
      <c r="L56" s="6890"/>
      <c r="M56" s="7652"/>
      <c r="N56" s="6890"/>
      <c r="O56" s="7652"/>
      <c r="P56" s="6890"/>
      <c r="Q56" s="7652"/>
      <c r="R56" s="6890"/>
      <c r="S56" s="7652"/>
      <c r="T56" s="6890"/>
      <c r="U56" s="7652"/>
      <c r="V56" s="6890"/>
      <c r="W56" s="7652"/>
      <c r="X56" s="6890"/>
      <c r="Y56" s="7652"/>
      <c r="Z56" s="6890"/>
      <c r="AA56" s="7652"/>
      <c r="AB56" s="6890"/>
      <c r="AC56" s="7652"/>
      <c r="AD56" s="6890"/>
      <c r="AE56" s="7652"/>
      <c r="AF56" s="6890"/>
      <c r="AG56" s="7652"/>
      <c r="AH56" s="6890"/>
      <c r="AI56" s="7652"/>
      <c r="AJ56" s="6890"/>
      <c r="AK56" s="7652"/>
      <c r="AL56" s="6890"/>
      <c r="AM56" s="7652"/>
      <c r="AN56" s="6890"/>
      <c r="AO56" s="7652"/>
      <c r="AP56" s="6890"/>
      <c r="AQ56" s="7652"/>
      <c r="AR56" s="6890"/>
      <c r="AS56" s="7652"/>
      <c r="AT56" s="6890"/>
      <c r="AU56" s="7652"/>
      <c r="AV56" s="6890"/>
      <c r="AW56" s="7652"/>
      <c r="AX56" s="6890"/>
      <c r="AY56" s="7652"/>
      <c r="AZ56" s="6890"/>
      <c r="BA56" s="413"/>
      <c r="BN56" s="882">
        <v>0</v>
      </c>
    </row>
    <row s="7213" customFormat="1" customHeight="1" ht="11.25" hidden="1">
      <c r="A57" s="2529"/>
      <c r="B57" s="635"/>
      <c r="D57" s="789" t="s">
        <v>1060</v>
      </c>
      <c r="E57" s="795" t="s">
        <v>1051</v>
      </c>
      <c r="F57" s="784" t="s">
        <v>1034</v>
      </c>
      <c r="G57" s="792"/>
      <c r="H57" s="1147"/>
      <c r="I57" s="792"/>
      <c r="J57" s="1147"/>
      <c r="K57" s="7652"/>
      <c r="L57" s="6890"/>
      <c r="M57" s="7652"/>
      <c r="N57" s="6890"/>
      <c r="O57" s="7652"/>
      <c r="P57" s="6890"/>
      <c r="Q57" s="7652"/>
      <c r="R57" s="6890"/>
      <c r="S57" s="7652"/>
      <c r="T57" s="6890"/>
      <c r="U57" s="7652"/>
      <c r="V57" s="6890"/>
      <c r="W57" s="7652"/>
      <c r="X57" s="6890"/>
      <c r="Y57" s="7652"/>
      <c r="Z57" s="6890"/>
      <c r="AA57" s="7652"/>
      <c r="AB57" s="6890"/>
      <c r="AC57" s="7652"/>
      <c r="AD57" s="6890"/>
      <c r="AE57" s="7652"/>
      <c r="AF57" s="6890"/>
      <c r="AG57" s="7652"/>
      <c r="AH57" s="6890"/>
      <c r="AI57" s="7652"/>
      <c r="AJ57" s="6890"/>
      <c r="AK57" s="7652"/>
      <c r="AL57" s="6890"/>
      <c r="AM57" s="7652"/>
      <c r="AN57" s="6890"/>
      <c r="AO57" s="7652"/>
      <c r="AP57" s="6890"/>
      <c r="AQ57" s="7652"/>
      <c r="AR57" s="6890"/>
      <c r="AS57" s="7652"/>
      <c r="AT57" s="6890"/>
      <c r="AU57" s="7652"/>
      <c r="AV57" s="6890"/>
      <c r="AW57" s="7652"/>
      <c r="AX57" s="6890"/>
      <c r="AY57" s="7652"/>
      <c r="AZ57" s="6890"/>
      <c r="BA57" s="413"/>
      <c r="BN57" s="882">
        <v>0</v>
      </c>
    </row>
    <row s="7213" customFormat="1" customHeight="1" ht="11.25" hidden="1">
      <c r="A58" s="2529"/>
      <c r="B58" s="635"/>
      <c r="D58" s="789" t="s">
        <v>1061</v>
      </c>
      <c r="E58" s="791" t="s">
        <v>1053</v>
      </c>
      <c r="F58" s="784" t="s">
        <v>1034</v>
      </c>
      <c r="G58" s="792"/>
      <c r="H58" s="1147"/>
      <c r="I58" s="792"/>
      <c r="J58" s="1147"/>
      <c r="K58" s="7652"/>
      <c r="L58" s="6890"/>
      <c r="M58" s="7652"/>
      <c r="N58" s="6890"/>
      <c r="O58" s="7652"/>
      <c r="P58" s="6890"/>
      <c r="Q58" s="7652"/>
      <c r="R58" s="6890"/>
      <c r="S58" s="7652"/>
      <c r="T58" s="6890"/>
      <c r="U58" s="7652"/>
      <c r="V58" s="6890"/>
      <c r="W58" s="7652"/>
      <c r="X58" s="6890"/>
      <c r="Y58" s="7652"/>
      <c r="Z58" s="6890"/>
      <c r="AA58" s="7652"/>
      <c r="AB58" s="6890"/>
      <c r="AC58" s="7652"/>
      <c r="AD58" s="6890"/>
      <c r="AE58" s="7652"/>
      <c r="AF58" s="6890"/>
      <c r="AG58" s="7652"/>
      <c r="AH58" s="6890"/>
      <c r="AI58" s="7652"/>
      <c r="AJ58" s="6890"/>
      <c r="AK58" s="7652"/>
      <c r="AL58" s="6890"/>
      <c r="AM58" s="7652"/>
      <c r="AN58" s="6890"/>
      <c r="AO58" s="7652"/>
      <c r="AP58" s="6890"/>
      <c r="AQ58" s="7652"/>
      <c r="AR58" s="6890"/>
      <c r="AS58" s="7652"/>
      <c r="AT58" s="6890"/>
      <c r="AU58" s="7652"/>
      <c r="AV58" s="6890"/>
      <c r="AW58" s="7652"/>
      <c r="AX58" s="6890"/>
      <c r="AY58" s="7652"/>
      <c r="AZ58" s="6890"/>
      <c r="BA58" s="413"/>
      <c r="BN58" s="882">
        <v>0</v>
      </c>
    </row>
    <row s="7213" customFormat="1" customHeight="1" ht="11.25" hidden="1">
      <c r="A59" s="2529"/>
      <c r="B59" s="635"/>
      <c r="D59" s="789" t="s">
        <v>1062</v>
      </c>
      <c r="E59" s="791" t="s">
        <v>1055</v>
      </c>
      <c r="F59" s="784" t="s">
        <v>1034</v>
      </c>
      <c r="G59" s="792"/>
      <c r="H59" s="1147"/>
      <c r="I59" s="792"/>
      <c r="J59" s="1147"/>
      <c r="K59" s="7652"/>
      <c r="L59" s="6890"/>
      <c r="M59" s="7652"/>
      <c r="N59" s="6890"/>
      <c r="O59" s="7652"/>
      <c r="P59" s="6890"/>
      <c r="Q59" s="7652"/>
      <c r="R59" s="6890"/>
      <c r="S59" s="7652"/>
      <c r="T59" s="6890"/>
      <c r="U59" s="7652"/>
      <c r="V59" s="6890"/>
      <c r="W59" s="7652"/>
      <c r="X59" s="6890"/>
      <c r="Y59" s="7652"/>
      <c r="Z59" s="6890"/>
      <c r="AA59" s="7652"/>
      <c r="AB59" s="6890"/>
      <c r="AC59" s="7652"/>
      <c r="AD59" s="6890"/>
      <c r="AE59" s="7652"/>
      <c r="AF59" s="6890"/>
      <c r="AG59" s="7652"/>
      <c r="AH59" s="6890"/>
      <c r="AI59" s="7652"/>
      <c r="AJ59" s="6890"/>
      <c r="AK59" s="7652"/>
      <c r="AL59" s="6890"/>
      <c r="AM59" s="7652"/>
      <c r="AN59" s="6890"/>
      <c r="AO59" s="7652"/>
      <c r="AP59" s="6890"/>
      <c r="AQ59" s="7652"/>
      <c r="AR59" s="6890"/>
      <c r="AS59" s="7652"/>
      <c r="AT59" s="6890"/>
      <c r="AU59" s="7652"/>
      <c r="AV59" s="6890"/>
      <c r="AW59" s="7652"/>
      <c r="AX59" s="6890"/>
      <c r="AY59" s="7652"/>
      <c r="AZ59" s="6890"/>
      <c r="BA59" s="413"/>
      <c r="BN59" s="882">
        <v>0</v>
      </c>
    </row>
    <row s="7213" customFormat="1" customHeight="1" ht="33.75" hidden="1">
      <c r="A60" s="2529"/>
      <c r="B60" s="635"/>
      <c r="D60" s="789" t="s">
        <v>92</v>
      </c>
      <c r="E60" s="790" t="s">
        <v>1063</v>
      </c>
      <c r="F60" s="845" t="s">
        <v>670</v>
      </c>
      <c r="G60" s="866"/>
      <c r="H60" s="1147"/>
      <c r="I60" s="866"/>
      <c r="J60" s="1147"/>
      <c r="K60" s="6650"/>
      <c r="L60" s="6890"/>
      <c r="M60" s="6650"/>
      <c r="N60" s="6890"/>
      <c r="O60" s="6650"/>
      <c r="P60" s="6890"/>
      <c r="Q60" s="6650"/>
      <c r="R60" s="6890"/>
      <c r="S60" s="6650"/>
      <c r="T60" s="6890"/>
      <c r="U60" s="6650"/>
      <c r="V60" s="6890"/>
      <c r="W60" s="6650"/>
      <c r="X60" s="6890"/>
      <c r="Y60" s="6650"/>
      <c r="Z60" s="6890"/>
      <c r="AA60" s="6650"/>
      <c r="AB60" s="6890"/>
      <c r="AC60" s="6650"/>
      <c r="AD60" s="6890"/>
      <c r="AE60" s="6650"/>
      <c r="AF60" s="6890"/>
      <c r="AG60" s="6650"/>
      <c r="AH60" s="6890"/>
      <c r="AI60" s="6650"/>
      <c r="AJ60" s="6890"/>
      <c r="AK60" s="6650"/>
      <c r="AL60" s="6890"/>
      <c r="AM60" s="6650"/>
      <c r="AN60" s="6890"/>
      <c r="AO60" s="6650"/>
      <c r="AP60" s="6890"/>
      <c r="AQ60" s="6650"/>
      <c r="AR60" s="6890"/>
      <c r="AS60" s="6650"/>
      <c r="AT60" s="6890"/>
      <c r="AU60" s="6650"/>
      <c r="AV60" s="6890"/>
      <c r="AW60" s="6650"/>
      <c r="AX60" s="6890"/>
      <c r="AY60" s="6650"/>
      <c r="AZ60" s="6890"/>
      <c r="BA60" s="426" t="s">
        <v>1064</v>
      </c>
      <c r="BN60" s="882">
        <v>0</v>
      </c>
    </row>
    <row s="7213" customFormat="1" customHeight="1" ht="33.75" hidden="1">
      <c r="A61" s="2529"/>
      <c r="B61" s="635"/>
      <c r="D61" s="789" t="s">
        <v>93</v>
      </c>
      <c r="E61" s="790" t="s">
        <v>1065</v>
      </c>
      <c r="F61" s="850" t="s">
        <v>994</v>
      </c>
      <c r="G61" s="792"/>
      <c r="H61" s="1147"/>
      <c r="I61" s="792"/>
      <c r="J61" s="1147"/>
      <c r="K61" s="7652"/>
      <c r="L61" s="6890"/>
      <c r="M61" s="7652"/>
      <c r="N61" s="6890"/>
      <c r="O61" s="7652"/>
      <c r="P61" s="6890"/>
      <c r="Q61" s="7652"/>
      <c r="R61" s="6890"/>
      <c r="S61" s="7652"/>
      <c r="T61" s="6890"/>
      <c r="U61" s="7652"/>
      <c r="V61" s="6890"/>
      <c r="W61" s="7652"/>
      <c r="X61" s="6890"/>
      <c r="Y61" s="7652"/>
      <c r="Z61" s="6890"/>
      <c r="AA61" s="7652"/>
      <c r="AB61" s="6890"/>
      <c r="AC61" s="7652"/>
      <c r="AD61" s="6890"/>
      <c r="AE61" s="7652"/>
      <c r="AF61" s="6890"/>
      <c r="AG61" s="7652"/>
      <c r="AH61" s="6890"/>
      <c r="AI61" s="7652"/>
      <c r="AJ61" s="6890"/>
      <c r="AK61" s="7652"/>
      <c r="AL61" s="6890"/>
      <c r="AM61" s="7652"/>
      <c r="AN61" s="6890"/>
      <c r="AO61" s="7652"/>
      <c r="AP61" s="6890"/>
      <c r="AQ61" s="7652"/>
      <c r="AR61" s="6890"/>
      <c r="AS61" s="7652"/>
      <c r="AT61" s="6890"/>
      <c r="AU61" s="7652"/>
      <c r="AV61" s="6890"/>
      <c r="AW61" s="7652"/>
      <c r="AX61" s="6890"/>
      <c r="AY61" s="7652"/>
      <c r="AZ61" s="6890"/>
      <c r="BA61" s="413"/>
      <c r="BN61" s="882">
        <v>0</v>
      </c>
    </row>
    <row s="7213" customFormat="1" customHeight="1" ht="22.5" hidden="1">
      <c r="A62" s="2529"/>
      <c r="B62" s="635" t="s">
        <v>715</v>
      </c>
      <c r="D62" s="789" t="s">
        <v>129</v>
      </c>
      <c r="E62" s="790" t="s">
        <v>1066</v>
      </c>
      <c r="F62" s="850" t="s">
        <v>418</v>
      </c>
      <c r="G62" s="506"/>
      <c r="H62" s="1147"/>
      <c r="I62" s="506"/>
      <c r="J62" s="1147"/>
      <c r="K62" s="7186"/>
      <c r="L62" s="6890"/>
      <c r="M62" s="7186"/>
      <c r="N62" s="6890"/>
      <c r="O62" s="7186"/>
      <c r="P62" s="6890"/>
      <c r="Q62" s="7186"/>
      <c r="R62" s="6890"/>
      <c r="S62" s="7186"/>
      <c r="T62" s="6890"/>
      <c r="U62" s="7186"/>
      <c r="V62" s="6890"/>
      <c r="W62" s="7186"/>
      <c r="X62" s="6890"/>
      <c r="Y62" s="7186"/>
      <c r="Z62" s="6890"/>
      <c r="AA62" s="7186"/>
      <c r="AB62" s="6890"/>
      <c r="AC62" s="7186"/>
      <c r="AD62" s="6890"/>
      <c r="AE62" s="7186"/>
      <c r="AF62" s="6890"/>
      <c r="AG62" s="7186"/>
      <c r="AH62" s="6890"/>
      <c r="AI62" s="7186"/>
      <c r="AJ62" s="6890"/>
      <c r="AK62" s="7186"/>
      <c r="AL62" s="6890"/>
      <c r="AM62" s="7186"/>
      <c r="AN62" s="6890"/>
      <c r="AO62" s="7186"/>
      <c r="AP62" s="6890"/>
      <c r="AQ62" s="7186"/>
      <c r="AR62" s="6890"/>
      <c r="AS62" s="7186"/>
      <c r="AT62" s="6890"/>
      <c r="AU62" s="7186"/>
      <c r="AV62" s="6890"/>
      <c r="AW62" s="7186"/>
      <c r="AX62" s="6890"/>
      <c r="AY62" s="7186"/>
      <c r="AZ62" s="6890"/>
      <c r="BA62" s="413" t="s">
        <v>788</v>
      </c>
      <c r="BN62" s="882">
        <v>0</v>
      </c>
    </row>
    <row s="7213" customFormat="1" customHeight="1" ht="45" hidden="1">
      <c r="A63" s="2529"/>
      <c r="B63" s="635" t="s">
        <v>715</v>
      </c>
      <c r="D63" s="789" t="s">
        <v>1067</v>
      </c>
      <c r="E63" s="791" t="s">
        <v>1068</v>
      </c>
      <c r="F63" s="845" t="s">
        <v>418</v>
      </c>
      <c r="G63" s="506"/>
      <c r="H63" s="1147"/>
      <c r="I63" s="506"/>
      <c r="J63" s="1147"/>
      <c r="K63" s="7186"/>
      <c r="L63" s="6890"/>
      <c r="M63" s="7186"/>
      <c r="N63" s="6890"/>
      <c r="O63" s="7186"/>
      <c r="P63" s="6890"/>
      <c r="Q63" s="7186"/>
      <c r="R63" s="6890"/>
      <c r="S63" s="7186"/>
      <c r="T63" s="6890"/>
      <c r="U63" s="7186"/>
      <c r="V63" s="6890"/>
      <c r="W63" s="7186"/>
      <c r="X63" s="6890"/>
      <c r="Y63" s="7186"/>
      <c r="Z63" s="6890"/>
      <c r="AA63" s="7186"/>
      <c r="AB63" s="6890"/>
      <c r="AC63" s="7186"/>
      <c r="AD63" s="6890"/>
      <c r="AE63" s="7186"/>
      <c r="AF63" s="6890"/>
      <c r="AG63" s="7186"/>
      <c r="AH63" s="6890"/>
      <c r="AI63" s="7186"/>
      <c r="AJ63" s="6890"/>
      <c r="AK63" s="7186"/>
      <c r="AL63" s="6890"/>
      <c r="AM63" s="7186"/>
      <c r="AN63" s="6890"/>
      <c r="AO63" s="7186"/>
      <c r="AP63" s="6890"/>
      <c r="AQ63" s="7186"/>
      <c r="AR63" s="6890"/>
      <c r="AS63" s="7186"/>
      <c r="AT63" s="6890"/>
      <c r="AU63" s="7186"/>
      <c r="AV63" s="6890"/>
      <c r="AW63" s="7186"/>
      <c r="AX63" s="6890"/>
      <c r="AY63" s="7186"/>
      <c r="AZ63" s="6890"/>
      <c r="BA63" s="413" t="s">
        <v>788</v>
      </c>
      <c r="BN63" s="882">
        <v>0</v>
      </c>
    </row>
    <row s="7213" customFormat="1" customHeight="1" ht="11.549999999999999">
      <c r="A64" s="1157"/>
      <c r="B64" s="642"/>
      <c r="D64" s="1158"/>
      <c r="E64" s="1159"/>
      <c r="K64" s="7213"/>
      <c r="L64" s="7213"/>
      <c r="M64" s="7213"/>
      <c r="N64" s="7213"/>
      <c r="O64" s="7213"/>
      <c r="P64" s="7213"/>
      <c r="Q64" s="7213"/>
      <c r="R64" s="7213"/>
      <c r="S64" s="7213"/>
      <c r="T64" s="7213"/>
      <c r="U64" s="7213"/>
      <c r="V64" s="7213"/>
      <c r="W64" s="7213"/>
      <c r="X64" s="7213"/>
      <c r="Y64" s="7213"/>
      <c r="Z64" s="7213"/>
      <c r="AA64" s="7213"/>
      <c r="AB64" s="7213"/>
      <c r="AC64" s="7213"/>
      <c r="AD64" s="7213"/>
      <c r="AE64" s="7213"/>
      <c r="AF64" s="7213"/>
      <c r="AG64" s="7213"/>
      <c r="AH64" s="7213"/>
      <c r="AI64" s="7213"/>
      <c r="AJ64" s="7213"/>
      <c r="AK64" s="7213"/>
      <c r="AL64" s="7213"/>
      <c r="AM64" s="7213"/>
      <c r="AN64" s="7213"/>
      <c r="AO64" s="7213"/>
      <c r="AP64" s="7213"/>
      <c r="AQ64" s="7213"/>
      <c r="AR64" s="7213"/>
      <c r="AS64" s="7213"/>
      <c r="AT64" s="7213"/>
      <c r="AU64" s="7213"/>
      <c r="AV64" s="7213"/>
      <c r="AW64" s="7213"/>
      <c r="AX64" s="7213"/>
      <c r="AY64" s="7213"/>
      <c r="AZ64" s="7213"/>
      <c r="BN64" s="633">
        <v>11</v>
      </c>
    </row>
    <row s="7213" customFormat="1" customHeight="1" ht="22.5" hidden="1">
      <c r="A65" s="2529" t="s">
        <v>1069</v>
      </c>
      <c r="B65" s="635"/>
      <c r="D65" s="789">
        <v>1</v>
      </c>
      <c r="E65" s="868" t="s">
        <v>1070</v>
      </c>
      <c r="F65" s="864" t="s">
        <v>984</v>
      </c>
      <c r="G65" s="865"/>
      <c r="H65" s="1153"/>
      <c r="I65" s="865"/>
      <c r="J65" s="1153"/>
      <c r="K65" s="6892"/>
      <c r="L65" s="6904"/>
      <c r="M65" s="6892"/>
      <c r="N65" s="6904"/>
      <c r="O65" s="6892"/>
      <c r="P65" s="6904"/>
      <c r="Q65" s="6892"/>
      <c r="R65" s="6904"/>
      <c r="S65" s="6892"/>
      <c r="T65" s="6904"/>
      <c r="U65" s="6892"/>
      <c r="V65" s="6904"/>
      <c r="W65" s="6892"/>
      <c r="X65" s="6904"/>
      <c r="Y65" s="6892"/>
      <c r="Z65" s="6904"/>
      <c r="AA65" s="6892"/>
      <c r="AB65" s="6904"/>
      <c r="AC65" s="6892"/>
      <c r="AD65" s="6904"/>
      <c r="AE65" s="6892"/>
      <c r="AF65" s="6904"/>
      <c r="AG65" s="6892"/>
      <c r="AH65" s="6904"/>
      <c r="AI65" s="6892"/>
      <c r="AJ65" s="6904"/>
      <c r="AK65" s="6892"/>
      <c r="AL65" s="6904"/>
      <c r="AM65" s="6892"/>
      <c r="AN65" s="6904"/>
      <c r="AO65" s="6892"/>
      <c r="AP65" s="6904"/>
      <c r="AQ65" s="6892"/>
      <c r="AR65" s="6904"/>
      <c r="AS65" s="6892"/>
      <c r="AT65" s="6904"/>
      <c r="AU65" s="6892"/>
      <c r="AV65" s="6904"/>
      <c r="AW65" s="6892"/>
      <c r="AX65" s="6904"/>
      <c r="AY65" s="6892"/>
      <c r="AZ65" s="6904"/>
      <c r="BA65" s="425" t="s">
        <v>1071</v>
      </c>
      <c r="BN65" s="882">
        <v>0</v>
      </c>
    </row>
    <row s="7213" customFormat="1" customHeight="1" ht="56.25" hidden="1">
      <c r="A66" s="2529"/>
      <c r="B66" s="635"/>
      <c r="D66" s="867" t="s">
        <v>102</v>
      </c>
      <c r="E66" s="831" t="s">
        <v>1072</v>
      </c>
      <c r="F66" s="784" t="s">
        <v>658</v>
      </c>
      <c r="G66" s="784" t="s">
        <v>658</v>
      </c>
      <c r="H66" s="643"/>
      <c r="I66" s="784" t="s">
        <v>658</v>
      </c>
      <c r="J66" s="643"/>
      <c r="K66" s="6862" t="s">
        <v>658</v>
      </c>
      <c r="L66" s="6882"/>
      <c r="M66" s="6862" t="s">
        <v>658</v>
      </c>
      <c r="N66" s="6882"/>
      <c r="O66" s="6862" t="s">
        <v>658</v>
      </c>
      <c r="P66" s="6882"/>
      <c r="Q66" s="6862" t="s">
        <v>658</v>
      </c>
      <c r="R66" s="6882"/>
      <c r="S66" s="6862" t="s">
        <v>658</v>
      </c>
      <c r="T66" s="6882"/>
      <c r="U66" s="6862" t="s">
        <v>658</v>
      </c>
      <c r="V66" s="6882"/>
      <c r="W66" s="6862" t="s">
        <v>658</v>
      </c>
      <c r="X66" s="6882"/>
      <c r="Y66" s="6862" t="s">
        <v>658</v>
      </c>
      <c r="Z66" s="6882"/>
      <c r="AA66" s="6862" t="s">
        <v>658</v>
      </c>
      <c r="AB66" s="6882"/>
      <c r="AC66" s="6862" t="s">
        <v>658</v>
      </c>
      <c r="AD66" s="6882"/>
      <c r="AE66" s="6862" t="s">
        <v>658</v>
      </c>
      <c r="AF66" s="6882"/>
      <c r="AG66" s="6862" t="s">
        <v>658</v>
      </c>
      <c r="AH66" s="6882"/>
      <c r="AI66" s="6862" t="s">
        <v>658</v>
      </c>
      <c r="AJ66" s="6882"/>
      <c r="AK66" s="6862" t="s">
        <v>658</v>
      </c>
      <c r="AL66" s="6882"/>
      <c r="AM66" s="6862" t="s">
        <v>658</v>
      </c>
      <c r="AN66" s="6882"/>
      <c r="AO66" s="6862" t="s">
        <v>658</v>
      </c>
      <c r="AP66" s="6882"/>
      <c r="AQ66" s="6862" t="s">
        <v>658</v>
      </c>
      <c r="AR66" s="6882"/>
      <c r="AS66" s="6862" t="s">
        <v>658</v>
      </c>
      <c r="AT66" s="6882"/>
      <c r="AU66" s="6862" t="s">
        <v>658</v>
      </c>
      <c r="AV66" s="6882"/>
      <c r="AW66" s="6862" t="s">
        <v>658</v>
      </c>
      <c r="AX66" s="6882"/>
      <c r="AY66" s="6862" t="s">
        <v>658</v>
      </c>
      <c r="AZ66" s="6882"/>
      <c r="BA66" s="413"/>
      <c r="BN66" s="882">
        <v>0</v>
      </c>
    </row>
    <row s="7213" customFormat="1" customHeight="1" ht="33.75" hidden="1">
      <c r="A67" s="2529"/>
      <c r="B67" s="635"/>
      <c r="D67" s="867" t="s">
        <v>865</v>
      </c>
      <c r="E67" s="1078" t="s">
        <v>1073</v>
      </c>
      <c r="F67" s="784" t="s">
        <v>1037</v>
      </c>
      <c r="G67" s="851"/>
      <c r="H67" s="643"/>
      <c r="I67" s="851"/>
      <c r="J67" s="643"/>
      <c r="K67" s="6773"/>
      <c r="L67" s="6882"/>
      <c r="M67" s="6773"/>
      <c r="N67" s="6882"/>
      <c r="O67" s="6773"/>
      <c r="P67" s="6882"/>
      <c r="Q67" s="6773"/>
      <c r="R67" s="6882"/>
      <c r="S67" s="6773"/>
      <c r="T67" s="6882"/>
      <c r="U67" s="6773"/>
      <c r="V67" s="6882"/>
      <c r="W67" s="6773"/>
      <c r="X67" s="6882"/>
      <c r="Y67" s="6773"/>
      <c r="Z67" s="6882"/>
      <c r="AA67" s="6773"/>
      <c r="AB67" s="6882"/>
      <c r="AC67" s="6773"/>
      <c r="AD67" s="6882"/>
      <c r="AE67" s="6773"/>
      <c r="AF67" s="6882"/>
      <c r="AG67" s="6773"/>
      <c r="AH67" s="6882"/>
      <c r="AI67" s="6773"/>
      <c r="AJ67" s="6882"/>
      <c r="AK67" s="6773"/>
      <c r="AL67" s="6882"/>
      <c r="AM67" s="6773"/>
      <c r="AN67" s="6882"/>
      <c r="AO67" s="6773"/>
      <c r="AP67" s="6882"/>
      <c r="AQ67" s="6773"/>
      <c r="AR67" s="6882"/>
      <c r="AS67" s="6773"/>
      <c r="AT67" s="6882"/>
      <c r="AU67" s="6773"/>
      <c r="AV67" s="6882"/>
      <c r="AW67" s="6773"/>
      <c r="AX67" s="6882"/>
      <c r="AY67" s="6773"/>
      <c r="AZ67" s="6882"/>
      <c r="BA67" s="413"/>
      <c r="BN67" s="882">
        <v>0</v>
      </c>
    </row>
    <row s="7213" customFormat="1" customHeight="1" ht="22.5" hidden="1">
      <c r="A68" s="2529"/>
      <c r="B68" s="635"/>
      <c r="D68" s="867" t="s">
        <v>419</v>
      </c>
      <c r="E68" s="1078" t="s">
        <v>1074</v>
      </c>
      <c r="F68" s="784" t="s">
        <v>1037</v>
      </c>
      <c r="G68" s="851"/>
      <c r="H68" s="643"/>
      <c r="I68" s="851"/>
      <c r="J68" s="643"/>
      <c r="K68" s="6773"/>
      <c r="L68" s="6882"/>
      <c r="M68" s="6773"/>
      <c r="N68" s="6882"/>
      <c r="O68" s="6773"/>
      <c r="P68" s="6882"/>
      <c r="Q68" s="6773"/>
      <c r="R68" s="6882"/>
      <c r="S68" s="6773"/>
      <c r="T68" s="6882"/>
      <c r="U68" s="6773"/>
      <c r="V68" s="6882"/>
      <c r="W68" s="6773"/>
      <c r="X68" s="6882"/>
      <c r="Y68" s="6773"/>
      <c r="Z68" s="6882"/>
      <c r="AA68" s="6773"/>
      <c r="AB68" s="6882"/>
      <c r="AC68" s="6773"/>
      <c r="AD68" s="6882"/>
      <c r="AE68" s="6773"/>
      <c r="AF68" s="6882"/>
      <c r="AG68" s="6773"/>
      <c r="AH68" s="6882"/>
      <c r="AI68" s="6773"/>
      <c r="AJ68" s="6882"/>
      <c r="AK68" s="6773"/>
      <c r="AL68" s="6882"/>
      <c r="AM68" s="6773"/>
      <c r="AN68" s="6882"/>
      <c r="AO68" s="6773"/>
      <c r="AP68" s="6882"/>
      <c r="AQ68" s="6773"/>
      <c r="AR68" s="6882"/>
      <c r="AS68" s="6773"/>
      <c r="AT68" s="6882"/>
      <c r="AU68" s="6773"/>
      <c r="AV68" s="6882"/>
      <c r="AW68" s="6773"/>
      <c r="AX68" s="6882"/>
      <c r="AY68" s="6773"/>
      <c r="AZ68" s="6882"/>
      <c r="BA68" s="413"/>
      <c r="BN68" s="882">
        <v>0</v>
      </c>
    </row>
    <row s="7213" customFormat="1" customHeight="1" ht="22.5" hidden="1">
      <c r="A69" s="2529"/>
      <c r="B69" s="635"/>
      <c r="D69" s="867" t="s">
        <v>422</v>
      </c>
      <c r="E69" s="1078" t="s">
        <v>1075</v>
      </c>
      <c r="F69" s="845" t="s">
        <v>670</v>
      </c>
      <c r="G69" s="866"/>
      <c r="H69" s="643"/>
      <c r="I69" s="866"/>
      <c r="J69" s="643"/>
      <c r="K69" s="6650"/>
      <c r="L69" s="6882"/>
      <c r="M69" s="6650"/>
      <c r="N69" s="6882"/>
      <c r="O69" s="6650"/>
      <c r="P69" s="6882"/>
      <c r="Q69" s="6650"/>
      <c r="R69" s="6882"/>
      <c r="S69" s="6650"/>
      <c r="T69" s="6882"/>
      <c r="U69" s="6650"/>
      <c r="V69" s="6882"/>
      <c r="W69" s="6650"/>
      <c r="X69" s="6882"/>
      <c r="Y69" s="6650"/>
      <c r="Z69" s="6882"/>
      <c r="AA69" s="6650"/>
      <c r="AB69" s="6882"/>
      <c r="AC69" s="6650"/>
      <c r="AD69" s="6882"/>
      <c r="AE69" s="6650"/>
      <c r="AF69" s="6882"/>
      <c r="AG69" s="6650"/>
      <c r="AH69" s="6882"/>
      <c r="AI69" s="6650"/>
      <c r="AJ69" s="6882"/>
      <c r="AK69" s="6650"/>
      <c r="AL69" s="6882"/>
      <c r="AM69" s="6650"/>
      <c r="AN69" s="6882"/>
      <c r="AO69" s="6650"/>
      <c r="AP69" s="6882"/>
      <c r="AQ69" s="6650"/>
      <c r="AR69" s="6882"/>
      <c r="AS69" s="6650"/>
      <c r="AT69" s="6882"/>
      <c r="AU69" s="6650"/>
      <c r="AV69" s="6882"/>
      <c r="AW69" s="6650"/>
      <c r="AX69" s="6882"/>
      <c r="AY69" s="6650"/>
      <c r="AZ69" s="6882"/>
      <c r="BA69" s="413"/>
      <c r="BN69" s="882">
        <v>0</v>
      </c>
    </row>
    <row s="7213" customFormat="1" customHeight="1" ht="22.5" hidden="1">
      <c r="A70" s="2529"/>
      <c r="B70" s="635"/>
      <c r="D70" s="867" t="s">
        <v>885</v>
      </c>
      <c r="E70" s="1078" t="s">
        <v>1076</v>
      </c>
      <c r="F70" s="845" t="s">
        <v>670</v>
      </c>
      <c r="G70" s="866"/>
      <c r="H70" s="643"/>
      <c r="I70" s="866"/>
      <c r="J70" s="643"/>
      <c r="K70" s="6650"/>
      <c r="L70" s="6882"/>
      <c r="M70" s="6650"/>
      <c r="N70" s="6882"/>
      <c r="O70" s="6650"/>
      <c r="P70" s="6882"/>
      <c r="Q70" s="6650"/>
      <c r="R70" s="6882"/>
      <c r="S70" s="6650"/>
      <c r="T70" s="6882"/>
      <c r="U70" s="6650"/>
      <c r="V70" s="6882"/>
      <c r="W70" s="6650"/>
      <c r="X70" s="6882"/>
      <c r="Y70" s="6650"/>
      <c r="Z70" s="6882"/>
      <c r="AA70" s="6650"/>
      <c r="AB70" s="6882"/>
      <c r="AC70" s="6650"/>
      <c r="AD70" s="6882"/>
      <c r="AE70" s="6650"/>
      <c r="AF70" s="6882"/>
      <c r="AG70" s="6650"/>
      <c r="AH70" s="6882"/>
      <c r="AI70" s="6650"/>
      <c r="AJ70" s="6882"/>
      <c r="AK70" s="6650"/>
      <c r="AL70" s="6882"/>
      <c r="AM70" s="6650"/>
      <c r="AN70" s="6882"/>
      <c r="AO70" s="6650"/>
      <c r="AP70" s="6882"/>
      <c r="AQ70" s="6650"/>
      <c r="AR70" s="6882"/>
      <c r="AS70" s="6650"/>
      <c r="AT70" s="6882"/>
      <c r="AU70" s="6650"/>
      <c r="AV70" s="6882"/>
      <c r="AW70" s="6650"/>
      <c r="AX70" s="6882"/>
      <c r="AY70" s="6650"/>
      <c r="AZ70" s="6882"/>
      <c r="BA70" s="413"/>
      <c r="BN70" s="882">
        <v>0</v>
      </c>
    </row>
    <row s="7213" customFormat="1" customHeight="1" ht="22.5" hidden="1">
      <c r="A71" s="2529"/>
      <c r="B71" s="635"/>
      <c r="D71" s="789" t="s">
        <v>90</v>
      </c>
      <c r="E71" s="790" t="s">
        <v>1077</v>
      </c>
      <c r="F71" s="784" t="s">
        <v>1037</v>
      </c>
      <c r="G71" s="681"/>
      <c r="H71" s="1154"/>
      <c r="I71" s="681"/>
      <c r="J71" s="1154"/>
      <c r="K71" s="6590"/>
      <c r="L71" s="6886"/>
      <c r="M71" s="6590"/>
      <c r="N71" s="6886"/>
      <c r="O71" s="6590"/>
      <c r="P71" s="6886"/>
      <c r="Q71" s="6590"/>
      <c r="R71" s="6886"/>
      <c r="S71" s="6590"/>
      <c r="T71" s="6886"/>
      <c r="U71" s="6590"/>
      <c r="V71" s="6886"/>
      <c r="W71" s="6590"/>
      <c r="X71" s="6886"/>
      <c r="Y71" s="6590"/>
      <c r="Z71" s="6886"/>
      <c r="AA71" s="6590"/>
      <c r="AB71" s="6886"/>
      <c r="AC71" s="6590"/>
      <c r="AD71" s="6886"/>
      <c r="AE71" s="6590"/>
      <c r="AF71" s="6886"/>
      <c r="AG71" s="6590"/>
      <c r="AH71" s="6886"/>
      <c r="AI71" s="6590"/>
      <c r="AJ71" s="6886"/>
      <c r="AK71" s="6590"/>
      <c r="AL71" s="6886"/>
      <c r="AM71" s="6590"/>
      <c r="AN71" s="6886"/>
      <c r="AO71" s="6590"/>
      <c r="AP71" s="6886"/>
      <c r="AQ71" s="6590"/>
      <c r="AR71" s="6886"/>
      <c r="AS71" s="6590"/>
      <c r="AT71" s="6886"/>
      <c r="AU71" s="6590"/>
      <c r="AV71" s="6886"/>
      <c r="AW71" s="6590"/>
      <c r="AX71" s="6886"/>
      <c r="AY71" s="6590"/>
      <c r="AZ71" s="6886"/>
      <c r="BA71" s="426"/>
      <c r="BN71" s="882">
        <v>0</v>
      </c>
    </row>
    <row s="7213" customFormat="1" customHeight="1" ht="56.25" hidden="1">
      <c r="A72" s="2529"/>
      <c r="B72" s="635"/>
      <c r="D72" s="789" t="s">
        <v>91</v>
      </c>
      <c r="E72" s="790" t="s">
        <v>1078</v>
      </c>
      <c r="F72" s="845" t="s">
        <v>670</v>
      </c>
      <c r="G72" s="866"/>
      <c r="H72" s="1147"/>
      <c r="I72" s="866"/>
      <c r="J72" s="1147"/>
      <c r="K72" s="6650"/>
      <c r="L72" s="6890"/>
      <c r="M72" s="6650"/>
      <c r="N72" s="6890"/>
      <c r="O72" s="6650"/>
      <c r="P72" s="6890"/>
      <c r="Q72" s="6650"/>
      <c r="R72" s="6890"/>
      <c r="S72" s="6650"/>
      <c r="T72" s="6890"/>
      <c r="U72" s="6650"/>
      <c r="V72" s="6890"/>
      <c r="W72" s="6650"/>
      <c r="X72" s="6890"/>
      <c r="Y72" s="6650"/>
      <c r="Z72" s="6890"/>
      <c r="AA72" s="6650"/>
      <c r="AB72" s="6890"/>
      <c r="AC72" s="6650"/>
      <c r="AD72" s="6890"/>
      <c r="AE72" s="6650"/>
      <c r="AF72" s="6890"/>
      <c r="AG72" s="6650"/>
      <c r="AH72" s="6890"/>
      <c r="AI72" s="6650"/>
      <c r="AJ72" s="6890"/>
      <c r="AK72" s="6650"/>
      <c r="AL72" s="6890"/>
      <c r="AM72" s="6650"/>
      <c r="AN72" s="6890"/>
      <c r="AO72" s="6650"/>
      <c r="AP72" s="6890"/>
      <c r="AQ72" s="6650"/>
      <c r="AR72" s="6890"/>
      <c r="AS72" s="6650"/>
      <c r="AT72" s="6890"/>
      <c r="AU72" s="6650"/>
      <c r="AV72" s="6890"/>
      <c r="AW72" s="6650"/>
      <c r="AX72" s="6890"/>
      <c r="AY72" s="6650"/>
      <c r="AZ72" s="6890"/>
      <c r="BA72" s="426"/>
      <c r="BN72" s="882">
        <v>0</v>
      </c>
    </row>
    <row s="7213" customFormat="1" customHeight="1" ht="33.75" hidden="1">
      <c r="A73" s="2529"/>
      <c r="B73" s="635"/>
      <c r="D73" s="789" t="s">
        <v>116</v>
      </c>
      <c r="E73" s="790" t="s">
        <v>1079</v>
      </c>
      <c r="F73" s="850" t="s">
        <v>994</v>
      </c>
      <c r="G73" s="792"/>
      <c r="H73" s="1147"/>
      <c r="I73" s="792"/>
      <c r="J73" s="1147"/>
      <c r="K73" s="7652"/>
      <c r="L73" s="6890"/>
      <c r="M73" s="7652"/>
      <c r="N73" s="6890"/>
      <c r="O73" s="7652"/>
      <c r="P73" s="6890"/>
      <c r="Q73" s="7652"/>
      <c r="R73" s="6890"/>
      <c r="S73" s="7652"/>
      <c r="T73" s="6890"/>
      <c r="U73" s="7652"/>
      <c r="V73" s="6890"/>
      <c r="W73" s="7652"/>
      <c r="X73" s="6890"/>
      <c r="Y73" s="7652"/>
      <c r="Z73" s="6890"/>
      <c r="AA73" s="7652"/>
      <c r="AB73" s="6890"/>
      <c r="AC73" s="7652"/>
      <c r="AD73" s="6890"/>
      <c r="AE73" s="7652"/>
      <c r="AF73" s="6890"/>
      <c r="AG73" s="7652"/>
      <c r="AH73" s="6890"/>
      <c r="AI73" s="7652"/>
      <c r="AJ73" s="6890"/>
      <c r="AK73" s="7652"/>
      <c r="AL73" s="6890"/>
      <c r="AM73" s="7652"/>
      <c r="AN73" s="6890"/>
      <c r="AO73" s="7652"/>
      <c r="AP73" s="6890"/>
      <c r="AQ73" s="7652"/>
      <c r="AR73" s="6890"/>
      <c r="AS73" s="7652"/>
      <c r="AT73" s="6890"/>
      <c r="AU73" s="7652"/>
      <c r="AV73" s="6890"/>
      <c r="AW73" s="7652"/>
      <c r="AX73" s="6890"/>
      <c r="AY73" s="7652"/>
      <c r="AZ73" s="6890"/>
      <c r="BA73" s="413"/>
      <c r="BN73" s="882">
        <v>0</v>
      </c>
    </row>
    <row s="7213" customFormat="1" customHeight="1" ht="22.5" hidden="1">
      <c r="A74" s="2529"/>
      <c r="B74" s="635" t="s">
        <v>715</v>
      </c>
      <c r="D74" s="789" t="s">
        <v>92</v>
      </c>
      <c r="E74" s="790" t="s">
        <v>1080</v>
      </c>
      <c r="F74" s="850" t="s">
        <v>418</v>
      </c>
      <c r="G74" s="506"/>
      <c r="H74" s="1147"/>
      <c r="I74" s="506"/>
      <c r="J74" s="1147"/>
      <c r="K74" s="7186"/>
      <c r="L74" s="6890"/>
      <c r="M74" s="7186"/>
      <c r="N74" s="6890"/>
      <c r="O74" s="7186"/>
      <c r="P74" s="6890"/>
      <c r="Q74" s="7186"/>
      <c r="R74" s="6890"/>
      <c r="S74" s="7186"/>
      <c r="T74" s="6890"/>
      <c r="U74" s="7186"/>
      <c r="V74" s="6890"/>
      <c r="W74" s="7186"/>
      <c r="X74" s="6890"/>
      <c r="Y74" s="7186"/>
      <c r="Z74" s="6890"/>
      <c r="AA74" s="7186"/>
      <c r="AB74" s="6890"/>
      <c r="AC74" s="7186"/>
      <c r="AD74" s="6890"/>
      <c r="AE74" s="7186"/>
      <c r="AF74" s="6890"/>
      <c r="AG74" s="7186"/>
      <c r="AH74" s="6890"/>
      <c r="AI74" s="7186"/>
      <c r="AJ74" s="6890"/>
      <c r="AK74" s="7186"/>
      <c r="AL74" s="6890"/>
      <c r="AM74" s="7186"/>
      <c r="AN74" s="6890"/>
      <c r="AO74" s="7186"/>
      <c r="AP74" s="6890"/>
      <c r="AQ74" s="7186"/>
      <c r="AR74" s="6890"/>
      <c r="AS74" s="7186"/>
      <c r="AT74" s="6890"/>
      <c r="AU74" s="7186"/>
      <c r="AV74" s="6890"/>
      <c r="AW74" s="7186"/>
      <c r="AX74" s="6890"/>
      <c r="AY74" s="7186"/>
      <c r="AZ74" s="6890"/>
      <c r="BA74" s="413" t="s">
        <v>788</v>
      </c>
      <c r="BN74" s="882">
        <v>0</v>
      </c>
    </row>
    <row s="7213" customFormat="1" customHeight="1" ht="45" hidden="1">
      <c r="A75" s="2529"/>
      <c r="B75" s="635" t="s">
        <v>715</v>
      </c>
      <c r="D75" s="789" t="s">
        <v>809</v>
      </c>
      <c r="E75" s="791" t="s">
        <v>1081</v>
      </c>
      <c r="F75" s="845" t="s">
        <v>418</v>
      </c>
      <c r="G75" s="506"/>
      <c r="H75" s="1147"/>
      <c r="I75" s="506"/>
      <c r="J75" s="1147"/>
      <c r="K75" s="7186"/>
      <c r="L75" s="6890"/>
      <c r="M75" s="7186"/>
      <c r="N75" s="6890"/>
      <c r="O75" s="7186"/>
      <c r="P75" s="6890"/>
      <c r="Q75" s="7186"/>
      <c r="R75" s="6890"/>
      <c r="S75" s="7186"/>
      <c r="T75" s="6890"/>
      <c r="U75" s="7186"/>
      <c r="V75" s="6890"/>
      <c r="W75" s="7186"/>
      <c r="X75" s="6890"/>
      <c r="Y75" s="7186"/>
      <c r="Z75" s="6890"/>
      <c r="AA75" s="7186"/>
      <c r="AB75" s="6890"/>
      <c r="AC75" s="7186"/>
      <c r="AD75" s="6890"/>
      <c r="AE75" s="7186"/>
      <c r="AF75" s="6890"/>
      <c r="AG75" s="7186"/>
      <c r="AH75" s="6890"/>
      <c r="AI75" s="7186"/>
      <c r="AJ75" s="6890"/>
      <c r="AK75" s="7186"/>
      <c r="AL75" s="6890"/>
      <c r="AM75" s="7186"/>
      <c r="AN75" s="6890"/>
      <c r="AO75" s="7186"/>
      <c r="AP75" s="6890"/>
      <c r="AQ75" s="7186"/>
      <c r="AR75" s="6890"/>
      <c r="AS75" s="7186"/>
      <c r="AT75" s="6890"/>
      <c r="AU75" s="7186"/>
      <c r="AV75" s="6890"/>
      <c r="AW75" s="7186"/>
      <c r="AX75" s="6890"/>
      <c r="AY75" s="7186"/>
      <c r="AZ75" s="6890"/>
      <c r="BA75" s="413" t="s">
        <v>788</v>
      </c>
      <c r="BN75" s="882">
        <v>0</v>
      </c>
    </row>
    <row s="7213" customFormat="1" customHeight="1" ht="11.549999999999999">
      <c r="A76" s="1157"/>
      <c r="B76" s="642"/>
      <c r="D76" s="1158"/>
      <c r="E76" s="1159"/>
      <c r="K76" s="7213"/>
      <c r="L76" s="7213"/>
      <c r="M76" s="7213"/>
      <c r="N76" s="7213"/>
      <c r="O76" s="7213"/>
      <c r="P76" s="7213"/>
      <c r="Q76" s="7213"/>
      <c r="R76" s="7213"/>
      <c r="S76" s="7213"/>
      <c r="T76" s="7213"/>
      <c r="U76" s="7213"/>
      <c r="V76" s="7213"/>
      <c r="W76" s="7213"/>
      <c r="X76" s="7213"/>
      <c r="Y76" s="7213"/>
      <c r="Z76" s="7213"/>
      <c r="AA76" s="7213"/>
      <c r="AB76" s="7213"/>
      <c r="AC76" s="7213"/>
      <c r="AD76" s="7213"/>
      <c r="AE76" s="7213"/>
      <c r="AF76" s="7213"/>
      <c r="AG76" s="7213"/>
      <c r="AH76" s="7213"/>
      <c r="AI76" s="7213"/>
      <c r="AJ76" s="7213"/>
      <c r="AK76" s="7213"/>
      <c r="AL76" s="7213"/>
      <c r="AM76" s="7213"/>
      <c r="AN76" s="7213"/>
      <c r="AO76" s="7213"/>
      <c r="AP76" s="7213"/>
      <c r="AQ76" s="7213"/>
      <c r="AR76" s="7213"/>
      <c r="AS76" s="7213"/>
      <c r="AT76" s="7213"/>
      <c r="AU76" s="7213"/>
      <c r="AV76" s="7213"/>
      <c r="AW76" s="7213"/>
      <c r="AX76" s="7213"/>
      <c r="AY76" s="7213"/>
      <c r="AZ76" s="7213"/>
      <c r="BN76" s="633">
        <v>11</v>
      </c>
    </row>
    <row s="7213" customFormat="1" customHeight="1" ht="11.25" hidden="1">
      <c r="A77" s="2529" t="s">
        <v>1082</v>
      </c>
      <c r="B77" s="635"/>
      <c r="D77" s="789">
        <v>1</v>
      </c>
      <c r="E77" s="790" t="s">
        <v>1083</v>
      </c>
      <c r="F77" s="845" t="s">
        <v>984</v>
      </c>
      <c r="G77" s="848"/>
      <c r="H77" s="1147"/>
      <c r="I77" s="848"/>
      <c r="J77" s="1147"/>
      <c r="K77" s="6906"/>
      <c r="L77" s="6890"/>
      <c r="M77" s="6906"/>
      <c r="N77" s="6890"/>
      <c r="O77" s="6906"/>
      <c r="P77" s="6890"/>
      <c r="Q77" s="6906"/>
      <c r="R77" s="6890"/>
      <c r="S77" s="6906"/>
      <c r="T77" s="6890"/>
      <c r="U77" s="6906"/>
      <c r="V77" s="6890"/>
      <c r="W77" s="6906"/>
      <c r="X77" s="6890"/>
      <c r="Y77" s="6906"/>
      <c r="Z77" s="6890"/>
      <c r="AA77" s="6906"/>
      <c r="AB77" s="6890"/>
      <c r="AC77" s="6906"/>
      <c r="AD77" s="6890"/>
      <c r="AE77" s="6906"/>
      <c r="AF77" s="6890"/>
      <c r="AG77" s="6906"/>
      <c r="AH77" s="6890"/>
      <c r="AI77" s="6906"/>
      <c r="AJ77" s="6890"/>
      <c r="AK77" s="6906"/>
      <c r="AL77" s="6890"/>
      <c r="AM77" s="6906"/>
      <c r="AN77" s="6890"/>
      <c r="AO77" s="6906"/>
      <c r="AP77" s="6890"/>
      <c r="AQ77" s="6906"/>
      <c r="AR77" s="6890"/>
      <c r="AS77" s="6906"/>
      <c r="AT77" s="6890"/>
      <c r="AU77" s="6906"/>
      <c r="AV77" s="6890"/>
      <c r="AW77" s="6906"/>
      <c r="AX77" s="6890"/>
      <c r="AY77" s="6906"/>
      <c r="AZ77" s="6890"/>
      <c r="BA77" s="413" t="s">
        <v>1084</v>
      </c>
      <c r="BN77" s="882">
        <v>0</v>
      </c>
    </row>
    <row s="7213" customFormat="1" customHeight="1" ht="11.25" hidden="1">
      <c r="A78" s="2529"/>
      <c r="B78" s="635"/>
      <c r="D78" s="789" t="s">
        <v>102</v>
      </c>
      <c r="E78" s="790" t="s">
        <v>1085</v>
      </c>
      <c r="F78" s="845" t="s">
        <v>984</v>
      </c>
      <c r="G78" s="848"/>
      <c r="H78" s="1147"/>
      <c r="I78" s="848"/>
      <c r="J78" s="1147"/>
      <c r="K78" s="6906"/>
      <c r="L78" s="6890"/>
      <c r="M78" s="6906"/>
      <c r="N78" s="6890"/>
      <c r="O78" s="6906"/>
      <c r="P78" s="6890"/>
      <c r="Q78" s="6906"/>
      <c r="R78" s="6890"/>
      <c r="S78" s="6906"/>
      <c r="T78" s="6890"/>
      <c r="U78" s="6906"/>
      <c r="V78" s="6890"/>
      <c r="W78" s="6906"/>
      <c r="X78" s="6890"/>
      <c r="Y78" s="6906"/>
      <c r="Z78" s="6890"/>
      <c r="AA78" s="6906"/>
      <c r="AB78" s="6890"/>
      <c r="AC78" s="6906"/>
      <c r="AD78" s="6890"/>
      <c r="AE78" s="6906"/>
      <c r="AF78" s="6890"/>
      <c r="AG78" s="6906"/>
      <c r="AH78" s="6890"/>
      <c r="AI78" s="6906"/>
      <c r="AJ78" s="6890"/>
      <c r="AK78" s="6906"/>
      <c r="AL78" s="6890"/>
      <c r="AM78" s="6906"/>
      <c r="AN78" s="6890"/>
      <c r="AO78" s="6906"/>
      <c r="AP78" s="6890"/>
      <c r="AQ78" s="6906"/>
      <c r="AR78" s="6890"/>
      <c r="AS78" s="6906"/>
      <c r="AT78" s="6890"/>
      <c r="AU78" s="6906"/>
      <c r="AV78" s="6890"/>
      <c r="AW78" s="6906"/>
      <c r="AX78" s="6890"/>
      <c r="AY78" s="6906"/>
      <c r="AZ78" s="6890"/>
      <c r="BA78" s="413" t="s">
        <v>1086</v>
      </c>
      <c r="BN78" s="882">
        <v>0</v>
      </c>
    </row>
    <row s="7213" customFormat="1" customHeight="1" ht="22.5" hidden="1">
      <c r="A79" s="2529"/>
      <c r="B79" s="635"/>
      <c r="D79" s="789" t="s">
        <v>90</v>
      </c>
      <c r="E79" s="846" t="s">
        <v>1087</v>
      </c>
      <c r="F79" s="784" t="s">
        <v>1034</v>
      </c>
      <c r="G79" s="848"/>
      <c r="H79" s="1147"/>
      <c r="I79" s="848"/>
      <c r="J79" s="1147"/>
      <c r="K79" s="6906"/>
      <c r="L79" s="6890"/>
      <c r="M79" s="6906"/>
      <c r="N79" s="6890"/>
      <c r="O79" s="6906"/>
      <c r="P79" s="6890"/>
      <c r="Q79" s="6906"/>
      <c r="R79" s="6890"/>
      <c r="S79" s="6906"/>
      <c r="T79" s="6890"/>
      <c r="U79" s="6906"/>
      <c r="V79" s="6890"/>
      <c r="W79" s="6906"/>
      <c r="X79" s="6890"/>
      <c r="Y79" s="6906"/>
      <c r="Z79" s="6890"/>
      <c r="AA79" s="6906"/>
      <c r="AB79" s="6890"/>
      <c r="AC79" s="6906"/>
      <c r="AD79" s="6890"/>
      <c r="AE79" s="6906"/>
      <c r="AF79" s="6890"/>
      <c r="AG79" s="6906"/>
      <c r="AH79" s="6890"/>
      <c r="AI79" s="6906"/>
      <c r="AJ79" s="6890"/>
      <c r="AK79" s="6906"/>
      <c r="AL79" s="6890"/>
      <c r="AM79" s="6906"/>
      <c r="AN79" s="6890"/>
      <c r="AO79" s="6906"/>
      <c r="AP79" s="6890"/>
      <c r="AQ79" s="6906"/>
      <c r="AR79" s="6890"/>
      <c r="AS79" s="6906"/>
      <c r="AT79" s="6890"/>
      <c r="AU79" s="6906"/>
      <c r="AV79" s="6890"/>
      <c r="AW79" s="6906"/>
      <c r="AX79" s="6890"/>
      <c r="AY79" s="6906"/>
      <c r="AZ79" s="6890"/>
      <c r="BA79" s="413" t="s">
        <v>1088</v>
      </c>
      <c r="BN79" s="882">
        <v>0</v>
      </c>
    </row>
    <row s="7213" customFormat="1" customHeight="1" ht="11.25" hidden="1">
      <c r="A80" s="2529"/>
      <c r="B80" s="635"/>
      <c r="D80" s="789" t="s">
        <v>436</v>
      </c>
      <c r="E80" s="847" t="s">
        <v>1089</v>
      </c>
      <c r="F80" s="784" t="s">
        <v>1034</v>
      </c>
      <c r="G80" s="848"/>
      <c r="H80" s="1147"/>
      <c r="I80" s="848"/>
      <c r="J80" s="1147"/>
      <c r="K80" s="6906"/>
      <c r="L80" s="6890"/>
      <c r="M80" s="6906"/>
      <c r="N80" s="6890"/>
      <c r="O80" s="6906"/>
      <c r="P80" s="6890"/>
      <c r="Q80" s="6906"/>
      <c r="R80" s="6890"/>
      <c r="S80" s="6906"/>
      <c r="T80" s="6890"/>
      <c r="U80" s="6906"/>
      <c r="V80" s="6890"/>
      <c r="W80" s="6906"/>
      <c r="X80" s="6890"/>
      <c r="Y80" s="6906"/>
      <c r="Z80" s="6890"/>
      <c r="AA80" s="6906"/>
      <c r="AB80" s="6890"/>
      <c r="AC80" s="6906"/>
      <c r="AD80" s="6890"/>
      <c r="AE80" s="6906"/>
      <c r="AF80" s="6890"/>
      <c r="AG80" s="6906"/>
      <c r="AH80" s="6890"/>
      <c r="AI80" s="6906"/>
      <c r="AJ80" s="6890"/>
      <c r="AK80" s="6906"/>
      <c r="AL80" s="6890"/>
      <c r="AM80" s="6906"/>
      <c r="AN80" s="6890"/>
      <c r="AO80" s="6906"/>
      <c r="AP80" s="6890"/>
      <c r="AQ80" s="6906"/>
      <c r="AR80" s="6890"/>
      <c r="AS80" s="6906"/>
      <c r="AT80" s="6890"/>
      <c r="AU80" s="6906"/>
      <c r="AV80" s="6890"/>
      <c r="AW80" s="6906"/>
      <c r="AX80" s="6890"/>
      <c r="AY80" s="6906"/>
      <c r="AZ80" s="6890"/>
      <c r="BA80" s="413"/>
      <c r="BN80" s="882">
        <v>0</v>
      </c>
    </row>
    <row s="7213" customFormat="1" customHeight="1" ht="11.25" hidden="1">
      <c r="A81" s="2529"/>
      <c r="B81" s="635"/>
      <c r="D81" s="789" t="s">
        <v>444</v>
      </c>
      <c r="E81" s="847" t="s">
        <v>1090</v>
      </c>
      <c r="F81" s="784" t="s">
        <v>1034</v>
      </c>
      <c r="G81" s="848"/>
      <c r="H81" s="1147"/>
      <c r="I81" s="848"/>
      <c r="J81" s="1147"/>
      <c r="K81" s="6906"/>
      <c r="L81" s="6890"/>
      <c r="M81" s="6906"/>
      <c r="N81" s="6890"/>
      <c r="O81" s="6906"/>
      <c r="P81" s="6890"/>
      <c r="Q81" s="6906"/>
      <c r="R81" s="6890"/>
      <c r="S81" s="6906"/>
      <c r="T81" s="6890"/>
      <c r="U81" s="6906"/>
      <c r="V81" s="6890"/>
      <c r="W81" s="6906"/>
      <c r="X81" s="6890"/>
      <c r="Y81" s="6906"/>
      <c r="Z81" s="6890"/>
      <c r="AA81" s="6906"/>
      <c r="AB81" s="6890"/>
      <c r="AC81" s="6906"/>
      <c r="AD81" s="6890"/>
      <c r="AE81" s="6906"/>
      <c r="AF81" s="6890"/>
      <c r="AG81" s="6906"/>
      <c r="AH81" s="6890"/>
      <c r="AI81" s="6906"/>
      <c r="AJ81" s="6890"/>
      <c r="AK81" s="6906"/>
      <c r="AL81" s="6890"/>
      <c r="AM81" s="6906"/>
      <c r="AN81" s="6890"/>
      <c r="AO81" s="6906"/>
      <c r="AP81" s="6890"/>
      <c r="AQ81" s="6906"/>
      <c r="AR81" s="6890"/>
      <c r="AS81" s="6906"/>
      <c r="AT81" s="6890"/>
      <c r="AU81" s="6906"/>
      <c r="AV81" s="6890"/>
      <c r="AW81" s="6906"/>
      <c r="AX81" s="6890"/>
      <c r="AY81" s="6906"/>
      <c r="AZ81" s="6890"/>
      <c r="BA81" s="413"/>
      <c r="BN81" s="882">
        <v>0</v>
      </c>
    </row>
    <row s="7213" customFormat="1" customHeight="1" ht="11.25" hidden="1">
      <c r="A82" s="2529"/>
      <c r="B82" s="635"/>
      <c r="D82" s="789" t="s">
        <v>446</v>
      </c>
      <c r="E82" s="847" t="s">
        <v>1091</v>
      </c>
      <c r="F82" s="784" t="s">
        <v>1034</v>
      </c>
      <c r="G82" s="848"/>
      <c r="H82" s="1147"/>
      <c r="I82" s="848"/>
      <c r="J82" s="1147"/>
      <c r="K82" s="6906"/>
      <c r="L82" s="6890"/>
      <c r="M82" s="6906"/>
      <c r="N82" s="6890"/>
      <c r="O82" s="6906"/>
      <c r="P82" s="6890"/>
      <c r="Q82" s="6906"/>
      <c r="R82" s="6890"/>
      <c r="S82" s="6906"/>
      <c r="T82" s="6890"/>
      <c r="U82" s="6906"/>
      <c r="V82" s="6890"/>
      <c r="W82" s="6906"/>
      <c r="X82" s="6890"/>
      <c r="Y82" s="6906"/>
      <c r="Z82" s="6890"/>
      <c r="AA82" s="6906"/>
      <c r="AB82" s="6890"/>
      <c r="AC82" s="6906"/>
      <c r="AD82" s="6890"/>
      <c r="AE82" s="6906"/>
      <c r="AF82" s="6890"/>
      <c r="AG82" s="6906"/>
      <c r="AH82" s="6890"/>
      <c r="AI82" s="6906"/>
      <c r="AJ82" s="6890"/>
      <c r="AK82" s="6906"/>
      <c r="AL82" s="6890"/>
      <c r="AM82" s="6906"/>
      <c r="AN82" s="6890"/>
      <c r="AO82" s="6906"/>
      <c r="AP82" s="6890"/>
      <c r="AQ82" s="6906"/>
      <c r="AR82" s="6890"/>
      <c r="AS82" s="6906"/>
      <c r="AT82" s="6890"/>
      <c r="AU82" s="6906"/>
      <c r="AV82" s="6890"/>
      <c r="AW82" s="6906"/>
      <c r="AX82" s="6890"/>
      <c r="AY82" s="6906"/>
      <c r="AZ82" s="6890"/>
      <c r="BA82" s="413"/>
      <c r="BN82" s="882">
        <v>0</v>
      </c>
    </row>
    <row s="7213" customFormat="1" customHeight="1" ht="11.25" hidden="1">
      <c r="A83" s="2529"/>
      <c r="B83" s="635"/>
      <c r="D83" s="789" t="s">
        <v>448</v>
      </c>
      <c r="E83" s="847" t="s">
        <v>1092</v>
      </c>
      <c r="F83" s="784" t="s">
        <v>1034</v>
      </c>
      <c r="G83" s="848"/>
      <c r="H83" s="1147"/>
      <c r="I83" s="848"/>
      <c r="J83" s="1147"/>
      <c r="K83" s="6906"/>
      <c r="L83" s="6890"/>
      <c r="M83" s="6906"/>
      <c r="N83" s="6890"/>
      <c r="O83" s="6906"/>
      <c r="P83" s="6890"/>
      <c r="Q83" s="6906"/>
      <c r="R83" s="6890"/>
      <c r="S83" s="6906"/>
      <c r="T83" s="6890"/>
      <c r="U83" s="6906"/>
      <c r="V83" s="6890"/>
      <c r="W83" s="6906"/>
      <c r="X83" s="6890"/>
      <c r="Y83" s="6906"/>
      <c r="Z83" s="6890"/>
      <c r="AA83" s="6906"/>
      <c r="AB83" s="6890"/>
      <c r="AC83" s="6906"/>
      <c r="AD83" s="6890"/>
      <c r="AE83" s="6906"/>
      <c r="AF83" s="6890"/>
      <c r="AG83" s="6906"/>
      <c r="AH83" s="6890"/>
      <c r="AI83" s="6906"/>
      <c r="AJ83" s="6890"/>
      <c r="AK83" s="6906"/>
      <c r="AL83" s="6890"/>
      <c r="AM83" s="6906"/>
      <c r="AN83" s="6890"/>
      <c r="AO83" s="6906"/>
      <c r="AP83" s="6890"/>
      <c r="AQ83" s="6906"/>
      <c r="AR83" s="6890"/>
      <c r="AS83" s="6906"/>
      <c r="AT83" s="6890"/>
      <c r="AU83" s="6906"/>
      <c r="AV83" s="6890"/>
      <c r="AW83" s="6906"/>
      <c r="AX83" s="6890"/>
      <c r="AY83" s="6906"/>
      <c r="AZ83" s="6890"/>
      <c r="BA83" s="413"/>
      <c r="BN83" s="882">
        <v>0</v>
      </c>
    </row>
    <row s="7213" customFormat="1" customHeight="1" ht="11.25" hidden="1">
      <c r="A84" s="2529"/>
      <c r="B84" s="635"/>
      <c r="D84" s="789" t="s">
        <v>1093</v>
      </c>
      <c r="E84" s="847" t="s">
        <v>1094</v>
      </c>
      <c r="F84" s="784" t="s">
        <v>1034</v>
      </c>
      <c r="G84" s="848"/>
      <c r="H84" s="1147"/>
      <c r="I84" s="848"/>
      <c r="J84" s="1147"/>
      <c r="K84" s="6906"/>
      <c r="L84" s="6890"/>
      <c r="M84" s="6906"/>
      <c r="N84" s="6890"/>
      <c r="O84" s="6906"/>
      <c r="P84" s="6890"/>
      <c r="Q84" s="6906"/>
      <c r="R84" s="6890"/>
      <c r="S84" s="6906"/>
      <c r="T84" s="6890"/>
      <c r="U84" s="6906"/>
      <c r="V84" s="6890"/>
      <c r="W84" s="6906"/>
      <c r="X84" s="6890"/>
      <c r="Y84" s="6906"/>
      <c r="Z84" s="6890"/>
      <c r="AA84" s="6906"/>
      <c r="AB84" s="6890"/>
      <c r="AC84" s="6906"/>
      <c r="AD84" s="6890"/>
      <c r="AE84" s="6906"/>
      <c r="AF84" s="6890"/>
      <c r="AG84" s="6906"/>
      <c r="AH84" s="6890"/>
      <c r="AI84" s="6906"/>
      <c r="AJ84" s="6890"/>
      <c r="AK84" s="6906"/>
      <c r="AL84" s="6890"/>
      <c r="AM84" s="6906"/>
      <c r="AN84" s="6890"/>
      <c r="AO84" s="6906"/>
      <c r="AP84" s="6890"/>
      <c r="AQ84" s="6906"/>
      <c r="AR84" s="6890"/>
      <c r="AS84" s="6906"/>
      <c r="AT84" s="6890"/>
      <c r="AU84" s="6906"/>
      <c r="AV84" s="6890"/>
      <c r="AW84" s="6906"/>
      <c r="AX84" s="6890"/>
      <c r="AY84" s="6906"/>
      <c r="AZ84" s="6890"/>
      <c r="BA84" s="413"/>
      <c r="BN84" s="882">
        <v>0</v>
      </c>
    </row>
    <row s="7213" customFormat="1" customHeight="1" ht="11.25" hidden="1">
      <c r="A85" s="2529"/>
      <c r="B85" s="635"/>
      <c r="D85" s="789" t="s">
        <v>1095</v>
      </c>
      <c r="E85" s="847" t="s">
        <v>1096</v>
      </c>
      <c r="F85" s="784" t="s">
        <v>1034</v>
      </c>
      <c r="G85" s="848"/>
      <c r="H85" s="1147"/>
      <c r="I85" s="848"/>
      <c r="J85" s="1147"/>
      <c r="K85" s="6906"/>
      <c r="L85" s="6890"/>
      <c r="M85" s="6906"/>
      <c r="N85" s="6890"/>
      <c r="O85" s="6906"/>
      <c r="P85" s="6890"/>
      <c r="Q85" s="6906"/>
      <c r="R85" s="6890"/>
      <c r="S85" s="6906"/>
      <c r="T85" s="6890"/>
      <c r="U85" s="6906"/>
      <c r="V85" s="6890"/>
      <c r="W85" s="6906"/>
      <c r="X85" s="6890"/>
      <c r="Y85" s="6906"/>
      <c r="Z85" s="6890"/>
      <c r="AA85" s="6906"/>
      <c r="AB85" s="6890"/>
      <c r="AC85" s="6906"/>
      <c r="AD85" s="6890"/>
      <c r="AE85" s="6906"/>
      <c r="AF85" s="6890"/>
      <c r="AG85" s="6906"/>
      <c r="AH85" s="6890"/>
      <c r="AI85" s="6906"/>
      <c r="AJ85" s="6890"/>
      <c r="AK85" s="6906"/>
      <c r="AL85" s="6890"/>
      <c r="AM85" s="6906"/>
      <c r="AN85" s="6890"/>
      <c r="AO85" s="6906"/>
      <c r="AP85" s="6890"/>
      <c r="AQ85" s="6906"/>
      <c r="AR85" s="6890"/>
      <c r="AS85" s="6906"/>
      <c r="AT85" s="6890"/>
      <c r="AU85" s="6906"/>
      <c r="AV85" s="6890"/>
      <c r="AW85" s="6906"/>
      <c r="AX85" s="6890"/>
      <c r="AY85" s="6906"/>
      <c r="AZ85" s="6890"/>
      <c r="BA85" s="413"/>
      <c r="BN85" s="882">
        <v>0</v>
      </c>
    </row>
    <row s="7213" customFormat="1" customHeight="1" ht="11.25" hidden="1">
      <c r="A86" s="2529"/>
      <c r="B86" s="635"/>
      <c r="D86" s="789" t="s">
        <v>1097</v>
      </c>
      <c r="E86" s="847" t="s">
        <v>1098</v>
      </c>
      <c r="F86" s="784" t="s">
        <v>1034</v>
      </c>
      <c r="G86" s="848"/>
      <c r="H86" s="1147"/>
      <c r="I86" s="848"/>
      <c r="J86" s="1147"/>
      <c r="K86" s="6906"/>
      <c r="L86" s="6890"/>
      <c r="M86" s="6906"/>
      <c r="N86" s="6890"/>
      <c r="O86" s="6906"/>
      <c r="P86" s="6890"/>
      <c r="Q86" s="6906"/>
      <c r="R86" s="6890"/>
      <c r="S86" s="6906"/>
      <c r="T86" s="6890"/>
      <c r="U86" s="6906"/>
      <c r="V86" s="6890"/>
      <c r="W86" s="6906"/>
      <c r="X86" s="6890"/>
      <c r="Y86" s="6906"/>
      <c r="Z86" s="6890"/>
      <c r="AA86" s="6906"/>
      <c r="AB86" s="6890"/>
      <c r="AC86" s="6906"/>
      <c r="AD86" s="6890"/>
      <c r="AE86" s="6906"/>
      <c r="AF86" s="6890"/>
      <c r="AG86" s="6906"/>
      <c r="AH86" s="6890"/>
      <c r="AI86" s="6906"/>
      <c r="AJ86" s="6890"/>
      <c r="AK86" s="6906"/>
      <c r="AL86" s="6890"/>
      <c r="AM86" s="6906"/>
      <c r="AN86" s="6890"/>
      <c r="AO86" s="6906"/>
      <c r="AP86" s="6890"/>
      <c r="AQ86" s="6906"/>
      <c r="AR86" s="6890"/>
      <c r="AS86" s="6906"/>
      <c r="AT86" s="6890"/>
      <c r="AU86" s="6906"/>
      <c r="AV86" s="6890"/>
      <c r="AW86" s="6906"/>
      <c r="AX86" s="6890"/>
      <c r="AY86" s="6906"/>
      <c r="AZ86" s="6890"/>
      <c r="BA86" s="413"/>
      <c r="BN86" s="882">
        <v>0</v>
      </c>
    </row>
    <row s="7213" customFormat="1" customHeight="1" ht="45" hidden="1">
      <c r="A87" s="2529"/>
      <c r="B87" s="635"/>
      <c r="D87" s="789" t="s">
        <v>91</v>
      </c>
      <c r="E87" s="790" t="s">
        <v>1099</v>
      </c>
      <c r="F87" s="784" t="s">
        <v>1034</v>
      </c>
      <c r="G87" s="848"/>
      <c r="H87" s="1147"/>
      <c r="I87" s="848"/>
      <c r="J87" s="1147"/>
      <c r="K87" s="6906"/>
      <c r="L87" s="6890"/>
      <c r="M87" s="6906"/>
      <c r="N87" s="6890"/>
      <c r="O87" s="6906"/>
      <c r="P87" s="6890"/>
      <c r="Q87" s="6906"/>
      <c r="R87" s="6890"/>
      <c r="S87" s="6906"/>
      <c r="T87" s="6890"/>
      <c r="U87" s="6906"/>
      <c r="V87" s="6890"/>
      <c r="W87" s="6906"/>
      <c r="X87" s="6890"/>
      <c r="Y87" s="6906"/>
      <c r="Z87" s="6890"/>
      <c r="AA87" s="6906"/>
      <c r="AB87" s="6890"/>
      <c r="AC87" s="6906"/>
      <c r="AD87" s="6890"/>
      <c r="AE87" s="6906"/>
      <c r="AF87" s="6890"/>
      <c r="AG87" s="6906"/>
      <c r="AH87" s="6890"/>
      <c r="AI87" s="6906"/>
      <c r="AJ87" s="6890"/>
      <c r="AK87" s="6906"/>
      <c r="AL87" s="6890"/>
      <c r="AM87" s="6906"/>
      <c r="AN87" s="6890"/>
      <c r="AO87" s="6906"/>
      <c r="AP87" s="6890"/>
      <c r="AQ87" s="6906"/>
      <c r="AR87" s="6890"/>
      <c r="AS87" s="6906"/>
      <c r="AT87" s="6890"/>
      <c r="AU87" s="6906"/>
      <c r="AV87" s="6890"/>
      <c r="AW87" s="6906"/>
      <c r="AX87" s="6890"/>
      <c r="AY87" s="6906"/>
      <c r="AZ87" s="6890"/>
      <c r="BA87" s="413" t="s">
        <v>1100</v>
      </c>
      <c r="BN87" s="882">
        <v>0</v>
      </c>
    </row>
    <row s="7213" customFormat="1" customHeight="1" ht="11.25" hidden="1">
      <c r="A88" s="2529"/>
      <c r="B88" s="635"/>
      <c r="D88" s="789" t="s">
        <v>916</v>
      </c>
      <c r="E88" s="847" t="s">
        <v>1089</v>
      </c>
      <c r="F88" s="784" t="s">
        <v>1034</v>
      </c>
      <c r="G88" s="848"/>
      <c r="H88" s="1147"/>
      <c r="I88" s="848"/>
      <c r="J88" s="1147"/>
      <c r="K88" s="6906"/>
      <c r="L88" s="6890"/>
      <c r="M88" s="6906"/>
      <c r="N88" s="6890"/>
      <c r="O88" s="6906"/>
      <c r="P88" s="6890"/>
      <c r="Q88" s="6906"/>
      <c r="R88" s="6890"/>
      <c r="S88" s="6906"/>
      <c r="T88" s="6890"/>
      <c r="U88" s="6906"/>
      <c r="V88" s="6890"/>
      <c r="W88" s="6906"/>
      <c r="X88" s="6890"/>
      <c r="Y88" s="6906"/>
      <c r="Z88" s="6890"/>
      <c r="AA88" s="6906"/>
      <c r="AB88" s="6890"/>
      <c r="AC88" s="6906"/>
      <c r="AD88" s="6890"/>
      <c r="AE88" s="6906"/>
      <c r="AF88" s="6890"/>
      <c r="AG88" s="6906"/>
      <c r="AH88" s="6890"/>
      <c r="AI88" s="6906"/>
      <c r="AJ88" s="6890"/>
      <c r="AK88" s="6906"/>
      <c r="AL88" s="6890"/>
      <c r="AM88" s="6906"/>
      <c r="AN88" s="6890"/>
      <c r="AO88" s="6906"/>
      <c r="AP88" s="6890"/>
      <c r="AQ88" s="6906"/>
      <c r="AR88" s="6890"/>
      <c r="AS88" s="6906"/>
      <c r="AT88" s="6890"/>
      <c r="AU88" s="6906"/>
      <c r="AV88" s="6890"/>
      <c r="AW88" s="6906"/>
      <c r="AX88" s="6890"/>
      <c r="AY88" s="6906"/>
      <c r="AZ88" s="6890"/>
      <c r="BA88" s="413"/>
      <c r="BN88" s="882">
        <v>0</v>
      </c>
    </row>
    <row s="7213" customFormat="1" customHeight="1" ht="11.25" hidden="1">
      <c r="A89" s="2529"/>
      <c r="B89" s="635"/>
      <c r="D89" s="789" t="s">
        <v>960</v>
      </c>
      <c r="E89" s="847" t="s">
        <v>1090</v>
      </c>
      <c r="F89" s="784" t="s">
        <v>1034</v>
      </c>
      <c r="G89" s="848"/>
      <c r="H89" s="1147"/>
      <c r="I89" s="848"/>
      <c r="J89" s="1147"/>
      <c r="K89" s="6906"/>
      <c r="L89" s="6890"/>
      <c r="M89" s="6906"/>
      <c r="N89" s="6890"/>
      <c r="O89" s="6906"/>
      <c r="P89" s="6890"/>
      <c r="Q89" s="6906"/>
      <c r="R89" s="6890"/>
      <c r="S89" s="6906"/>
      <c r="T89" s="6890"/>
      <c r="U89" s="6906"/>
      <c r="V89" s="6890"/>
      <c r="W89" s="6906"/>
      <c r="X89" s="6890"/>
      <c r="Y89" s="6906"/>
      <c r="Z89" s="6890"/>
      <c r="AA89" s="6906"/>
      <c r="AB89" s="6890"/>
      <c r="AC89" s="6906"/>
      <c r="AD89" s="6890"/>
      <c r="AE89" s="6906"/>
      <c r="AF89" s="6890"/>
      <c r="AG89" s="6906"/>
      <c r="AH89" s="6890"/>
      <c r="AI89" s="6906"/>
      <c r="AJ89" s="6890"/>
      <c r="AK89" s="6906"/>
      <c r="AL89" s="6890"/>
      <c r="AM89" s="6906"/>
      <c r="AN89" s="6890"/>
      <c r="AO89" s="6906"/>
      <c r="AP89" s="6890"/>
      <c r="AQ89" s="6906"/>
      <c r="AR89" s="6890"/>
      <c r="AS89" s="6906"/>
      <c r="AT89" s="6890"/>
      <c r="AU89" s="6906"/>
      <c r="AV89" s="6890"/>
      <c r="AW89" s="6906"/>
      <c r="AX89" s="6890"/>
      <c r="AY89" s="6906"/>
      <c r="AZ89" s="6890"/>
      <c r="BA89" s="413"/>
      <c r="BN89" s="882">
        <v>0</v>
      </c>
    </row>
    <row s="7213" customFormat="1" customHeight="1" ht="11.25" hidden="1">
      <c r="A90" s="2529"/>
      <c r="B90" s="635"/>
      <c r="D90" s="789" t="s">
        <v>963</v>
      </c>
      <c r="E90" s="847" t="s">
        <v>1091</v>
      </c>
      <c r="F90" s="784" t="s">
        <v>1034</v>
      </c>
      <c r="G90" s="848"/>
      <c r="H90" s="1147"/>
      <c r="I90" s="848"/>
      <c r="J90" s="1147"/>
      <c r="K90" s="6906"/>
      <c r="L90" s="6890"/>
      <c r="M90" s="6906"/>
      <c r="N90" s="6890"/>
      <c r="O90" s="6906"/>
      <c r="P90" s="6890"/>
      <c r="Q90" s="6906"/>
      <c r="R90" s="6890"/>
      <c r="S90" s="6906"/>
      <c r="T90" s="6890"/>
      <c r="U90" s="6906"/>
      <c r="V90" s="6890"/>
      <c r="W90" s="6906"/>
      <c r="X90" s="6890"/>
      <c r="Y90" s="6906"/>
      <c r="Z90" s="6890"/>
      <c r="AA90" s="6906"/>
      <c r="AB90" s="6890"/>
      <c r="AC90" s="6906"/>
      <c r="AD90" s="6890"/>
      <c r="AE90" s="6906"/>
      <c r="AF90" s="6890"/>
      <c r="AG90" s="6906"/>
      <c r="AH90" s="6890"/>
      <c r="AI90" s="6906"/>
      <c r="AJ90" s="6890"/>
      <c r="AK90" s="6906"/>
      <c r="AL90" s="6890"/>
      <c r="AM90" s="6906"/>
      <c r="AN90" s="6890"/>
      <c r="AO90" s="6906"/>
      <c r="AP90" s="6890"/>
      <c r="AQ90" s="6906"/>
      <c r="AR90" s="6890"/>
      <c r="AS90" s="6906"/>
      <c r="AT90" s="6890"/>
      <c r="AU90" s="6906"/>
      <c r="AV90" s="6890"/>
      <c r="AW90" s="6906"/>
      <c r="AX90" s="6890"/>
      <c r="AY90" s="6906"/>
      <c r="AZ90" s="6890"/>
      <c r="BA90" s="413"/>
      <c r="BN90" s="882">
        <v>0</v>
      </c>
    </row>
    <row s="7213" customFormat="1" customHeight="1" ht="11.25" hidden="1">
      <c r="A91" s="2529"/>
      <c r="B91" s="635"/>
      <c r="D91" s="789" t="s">
        <v>1052</v>
      </c>
      <c r="E91" s="847" t="s">
        <v>1092</v>
      </c>
      <c r="F91" s="784" t="s">
        <v>1034</v>
      </c>
      <c r="G91" s="848"/>
      <c r="H91" s="1147"/>
      <c r="I91" s="848"/>
      <c r="J91" s="1147"/>
      <c r="K91" s="6906"/>
      <c r="L91" s="6890"/>
      <c r="M91" s="6906"/>
      <c r="N91" s="6890"/>
      <c r="O91" s="6906"/>
      <c r="P91" s="6890"/>
      <c r="Q91" s="6906"/>
      <c r="R91" s="6890"/>
      <c r="S91" s="6906"/>
      <c r="T91" s="6890"/>
      <c r="U91" s="6906"/>
      <c r="V91" s="6890"/>
      <c r="W91" s="6906"/>
      <c r="X91" s="6890"/>
      <c r="Y91" s="6906"/>
      <c r="Z91" s="6890"/>
      <c r="AA91" s="6906"/>
      <c r="AB91" s="6890"/>
      <c r="AC91" s="6906"/>
      <c r="AD91" s="6890"/>
      <c r="AE91" s="6906"/>
      <c r="AF91" s="6890"/>
      <c r="AG91" s="6906"/>
      <c r="AH91" s="6890"/>
      <c r="AI91" s="6906"/>
      <c r="AJ91" s="6890"/>
      <c r="AK91" s="6906"/>
      <c r="AL91" s="6890"/>
      <c r="AM91" s="6906"/>
      <c r="AN91" s="6890"/>
      <c r="AO91" s="6906"/>
      <c r="AP91" s="6890"/>
      <c r="AQ91" s="6906"/>
      <c r="AR91" s="6890"/>
      <c r="AS91" s="6906"/>
      <c r="AT91" s="6890"/>
      <c r="AU91" s="6906"/>
      <c r="AV91" s="6890"/>
      <c r="AW91" s="6906"/>
      <c r="AX91" s="6890"/>
      <c r="AY91" s="6906"/>
      <c r="AZ91" s="6890"/>
      <c r="BA91" s="413"/>
      <c r="BN91" s="882">
        <v>0</v>
      </c>
    </row>
    <row s="7213" customFormat="1" customHeight="1" ht="11.25" hidden="1">
      <c r="A92" s="2529"/>
      <c r="B92" s="635"/>
      <c r="D92" s="789" t="s">
        <v>1054</v>
      </c>
      <c r="E92" s="847" t="s">
        <v>1094</v>
      </c>
      <c r="F92" s="784" t="s">
        <v>1034</v>
      </c>
      <c r="G92" s="848"/>
      <c r="H92" s="1147"/>
      <c r="I92" s="848"/>
      <c r="J92" s="1147"/>
      <c r="K92" s="6906"/>
      <c r="L92" s="6890"/>
      <c r="M92" s="6906"/>
      <c r="N92" s="6890"/>
      <c r="O92" s="6906"/>
      <c r="P92" s="6890"/>
      <c r="Q92" s="6906"/>
      <c r="R92" s="6890"/>
      <c r="S92" s="6906"/>
      <c r="T92" s="6890"/>
      <c r="U92" s="6906"/>
      <c r="V92" s="6890"/>
      <c r="W92" s="6906"/>
      <c r="X92" s="6890"/>
      <c r="Y92" s="6906"/>
      <c r="Z92" s="6890"/>
      <c r="AA92" s="6906"/>
      <c r="AB92" s="6890"/>
      <c r="AC92" s="6906"/>
      <c r="AD92" s="6890"/>
      <c r="AE92" s="6906"/>
      <c r="AF92" s="6890"/>
      <c r="AG92" s="6906"/>
      <c r="AH92" s="6890"/>
      <c r="AI92" s="6906"/>
      <c r="AJ92" s="6890"/>
      <c r="AK92" s="6906"/>
      <c r="AL92" s="6890"/>
      <c r="AM92" s="6906"/>
      <c r="AN92" s="6890"/>
      <c r="AO92" s="6906"/>
      <c r="AP92" s="6890"/>
      <c r="AQ92" s="6906"/>
      <c r="AR92" s="6890"/>
      <c r="AS92" s="6906"/>
      <c r="AT92" s="6890"/>
      <c r="AU92" s="6906"/>
      <c r="AV92" s="6890"/>
      <c r="AW92" s="6906"/>
      <c r="AX92" s="6890"/>
      <c r="AY92" s="6906"/>
      <c r="AZ92" s="6890"/>
      <c r="BA92" s="413"/>
      <c r="BN92" s="882">
        <v>0</v>
      </c>
    </row>
    <row s="7213" customFormat="1" customHeight="1" ht="11.25" hidden="1">
      <c r="A93" s="2529"/>
      <c r="B93" s="635"/>
      <c r="D93" s="789" t="s">
        <v>1101</v>
      </c>
      <c r="E93" s="847" t="s">
        <v>1096</v>
      </c>
      <c r="F93" s="784" t="s">
        <v>1034</v>
      </c>
      <c r="G93" s="848"/>
      <c r="H93" s="1147"/>
      <c r="I93" s="848"/>
      <c r="J93" s="1147"/>
      <c r="K93" s="6906"/>
      <c r="L93" s="6890"/>
      <c r="M93" s="6906"/>
      <c r="N93" s="6890"/>
      <c r="O93" s="6906"/>
      <c r="P93" s="6890"/>
      <c r="Q93" s="6906"/>
      <c r="R93" s="6890"/>
      <c r="S93" s="6906"/>
      <c r="T93" s="6890"/>
      <c r="U93" s="6906"/>
      <c r="V93" s="6890"/>
      <c r="W93" s="6906"/>
      <c r="X93" s="6890"/>
      <c r="Y93" s="6906"/>
      <c r="Z93" s="6890"/>
      <c r="AA93" s="6906"/>
      <c r="AB93" s="6890"/>
      <c r="AC93" s="6906"/>
      <c r="AD93" s="6890"/>
      <c r="AE93" s="6906"/>
      <c r="AF93" s="6890"/>
      <c r="AG93" s="6906"/>
      <c r="AH93" s="6890"/>
      <c r="AI93" s="6906"/>
      <c r="AJ93" s="6890"/>
      <c r="AK93" s="6906"/>
      <c r="AL93" s="6890"/>
      <c r="AM93" s="6906"/>
      <c r="AN93" s="6890"/>
      <c r="AO93" s="6906"/>
      <c r="AP93" s="6890"/>
      <c r="AQ93" s="6906"/>
      <c r="AR93" s="6890"/>
      <c r="AS93" s="6906"/>
      <c r="AT93" s="6890"/>
      <c r="AU93" s="6906"/>
      <c r="AV93" s="6890"/>
      <c r="AW93" s="6906"/>
      <c r="AX93" s="6890"/>
      <c r="AY93" s="6906"/>
      <c r="AZ93" s="6890"/>
      <c r="BA93" s="413"/>
      <c r="BN93" s="882">
        <v>0</v>
      </c>
    </row>
    <row s="7213" customFormat="1" customHeight="1" ht="11.25" hidden="1">
      <c r="A94" s="2529"/>
      <c r="B94" s="635"/>
      <c r="D94" s="789" t="s">
        <v>1102</v>
      </c>
      <c r="E94" s="847" t="s">
        <v>1098</v>
      </c>
      <c r="F94" s="784" t="s">
        <v>1034</v>
      </c>
      <c r="G94" s="848"/>
      <c r="H94" s="1147"/>
      <c r="I94" s="848"/>
      <c r="J94" s="1147"/>
      <c r="K94" s="6906"/>
      <c r="L94" s="6890"/>
      <c r="M94" s="6906"/>
      <c r="N94" s="6890"/>
      <c r="O94" s="6906"/>
      <c r="P94" s="6890"/>
      <c r="Q94" s="6906"/>
      <c r="R94" s="6890"/>
      <c r="S94" s="6906"/>
      <c r="T94" s="6890"/>
      <c r="U94" s="6906"/>
      <c r="V94" s="6890"/>
      <c r="W94" s="6906"/>
      <c r="X94" s="6890"/>
      <c r="Y94" s="6906"/>
      <c r="Z94" s="6890"/>
      <c r="AA94" s="6906"/>
      <c r="AB94" s="6890"/>
      <c r="AC94" s="6906"/>
      <c r="AD94" s="6890"/>
      <c r="AE94" s="6906"/>
      <c r="AF94" s="6890"/>
      <c r="AG94" s="6906"/>
      <c r="AH94" s="6890"/>
      <c r="AI94" s="6906"/>
      <c r="AJ94" s="6890"/>
      <c r="AK94" s="6906"/>
      <c r="AL94" s="6890"/>
      <c r="AM94" s="6906"/>
      <c r="AN94" s="6890"/>
      <c r="AO94" s="6906"/>
      <c r="AP94" s="6890"/>
      <c r="AQ94" s="6906"/>
      <c r="AR94" s="6890"/>
      <c r="AS94" s="6906"/>
      <c r="AT94" s="6890"/>
      <c r="AU94" s="6906"/>
      <c r="AV94" s="6890"/>
      <c r="AW94" s="6906"/>
      <c r="AX94" s="6890"/>
      <c r="AY94" s="6906"/>
      <c r="AZ94" s="6890"/>
      <c r="BA94" s="413"/>
      <c r="BN94" s="882">
        <v>0</v>
      </c>
    </row>
    <row s="7213" customFormat="1" customHeight="1" ht="24.75" hidden="1">
      <c r="A95" s="2529"/>
      <c r="B95" s="635"/>
      <c r="D95" s="789" t="s">
        <v>116</v>
      </c>
      <c r="E95" s="790" t="s">
        <v>1103</v>
      </c>
      <c r="F95" s="849" t="s">
        <v>670</v>
      </c>
      <c r="G95" s="851"/>
      <c r="H95" s="1147"/>
      <c r="I95" s="851"/>
      <c r="J95" s="1147"/>
      <c r="K95" s="6773"/>
      <c r="L95" s="6890"/>
      <c r="M95" s="6773"/>
      <c r="N95" s="6890"/>
      <c r="O95" s="6773"/>
      <c r="P95" s="6890"/>
      <c r="Q95" s="6773"/>
      <c r="R95" s="6890"/>
      <c r="S95" s="6773"/>
      <c r="T95" s="6890"/>
      <c r="U95" s="6773"/>
      <c r="V95" s="6890"/>
      <c r="W95" s="6773"/>
      <c r="X95" s="6890"/>
      <c r="Y95" s="6773"/>
      <c r="Z95" s="6890"/>
      <c r="AA95" s="6773"/>
      <c r="AB95" s="6890"/>
      <c r="AC95" s="6773"/>
      <c r="AD95" s="6890"/>
      <c r="AE95" s="6773"/>
      <c r="AF95" s="6890"/>
      <c r="AG95" s="6773"/>
      <c r="AH95" s="6890"/>
      <c r="AI95" s="6773"/>
      <c r="AJ95" s="6890"/>
      <c r="AK95" s="6773"/>
      <c r="AL95" s="6890"/>
      <c r="AM95" s="6773"/>
      <c r="AN95" s="6890"/>
      <c r="AO95" s="6773"/>
      <c r="AP95" s="6890"/>
      <c r="AQ95" s="6773"/>
      <c r="AR95" s="6890"/>
      <c r="AS95" s="6773"/>
      <c r="AT95" s="6890"/>
      <c r="AU95" s="6773"/>
      <c r="AV95" s="6890"/>
      <c r="AW95" s="6773"/>
      <c r="AX95" s="6890"/>
      <c r="AY95" s="6773"/>
      <c r="AZ95" s="6890"/>
      <c r="BA95" s="413" t="s">
        <v>1104</v>
      </c>
      <c r="BN95" s="882">
        <v>0</v>
      </c>
    </row>
    <row s="7213" customFormat="1" customHeight="1" ht="33.75" hidden="1">
      <c r="A96" s="2529"/>
      <c r="B96" s="635"/>
      <c r="D96" s="789" t="s">
        <v>92</v>
      </c>
      <c r="E96" s="790" t="s">
        <v>1105</v>
      </c>
      <c r="F96" s="850" t="s">
        <v>994</v>
      </c>
      <c r="G96" s="852"/>
      <c r="H96" s="1147"/>
      <c r="I96" s="852"/>
      <c r="J96" s="1147"/>
      <c r="K96" s="6908"/>
      <c r="L96" s="6890"/>
      <c r="M96" s="6908"/>
      <c r="N96" s="6890"/>
      <c r="O96" s="6908"/>
      <c r="P96" s="6890"/>
      <c r="Q96" s="6908"/>
      <c r="R96" s="6890"/>
      <c r="S96" s="6908"/>
      <c r="T96" s="6890"/>
      <c r="U96" s="6908"/>
      <c r="V96" s="6890"/>
      <c r="W96" s="6908"/>
      <c r="X96" s="6890"/>
      <c r="Y96" s="6908"/>
      <c r="Z96" s="6890"/>
      <c r="AA96" s="6908"/>
      <c r="AB96" s="6890"/>
      <c r="AC96" s="6908"/>
      <c r="AD96" s="6890"/>
      <c r="AE96" s="6908"/>
      <c r="AF96" s="6890"/>
      <c r="AG96" s="6908"/>
      <c r="AH96" s="6890"/>
      <c r="AI96" s="6908"/>
      <c r="AJ96" s="6890"/>
      <c r="AK96" s="6908"/>
      <c r="AL96" s="6890"/>
      <c r="AM96" s="6908"/>
      <c r="AN96" s="6890"/>
      <c r="AO96" s="6908"/>
      <c r="AP96" s="6890"/>
      <c r="AQ96" s="6908"/>
      <c r="AR96" s="6890"/>
      <c r="AS96" s="6908"/>
      <c r="AT96" s="6890"/>
      <c r="AU96" s="6908"/>
      <c r="AV96" s="6890"/>
      <c r="AW96" s="6908"/>
      <c r="AX96" s="6890"/>
      <c r="AY96" s="6908"/>
      <c r="AZ96" s="6890"/>
      <c r="BA96" s="413"/>
      <c r="BN96" s="882">
        <v>0</v>
      </c>
    </row>
    <row s="7213" customFormat="1" customHeight="1" ht="22.5" hidden="1">
      <c r="A97" s="2529"/>
      <c r="B97" s="635" t="s">
        <v>715</v>
      </c>
      <c r="D97" s="789" t="s">
        <v>93</v>
      </c>
      <c r="E97" s="790" t="s">
        <v>1106</v>
      </c>
      <c r="F97" s="850" t="s">
        <v>418</v>
      </c>
      <c r="G97" s="509"/>
      <c r="H97" s="1147"/>
      <c r="I97" s="509"/>
      <c r="J97" s="1147"/>
      <c r="K97" s="6780"/>
      <c r="L97" s="6890"/>
      <c r="M97" s="6780"/>
      <c r="N97" s="6890"/>
      <c r="O97" s="6780"/>
      <c r="P97" s="6890"/>
      <c r="Q97" s="6780"/>
      <c r="R97" s="6890"/>
      <c r="S97" s="6780"/>
      <c r="T97" s="6890"/>
      <c r="U97" s="6780"/>
      <c r="V97" s="6890"/>
      <c r="W97" s="6780"/>
      <c r="X97" s="6890"/>
      <c r="Y97" s="6780"/>
      <c r="Z97" s="6890"/>
      <c r="AA97" s="6780"/>
      <c r="AB97" s="6890"/>
      <c r="AC97" s="6780"/>
      <c r="AD97" s="6890"/>
      <c r="AE97" s="6780"/>
      <c r="AF97" s="6890"/>
      <c r="AG97" s="6780"/>
      <c r="AH97" s="6890"/>
      <c r="AI97" s="6780"/>
      <c r="AJ97" s="6890"/>
      <c r="AK97" s="6780"/>
      <c r="AL97" s="6890"/>
      <c r="AM97" s="6780"/>
      <c r="AN97" s="6890"/>
      <c r="AO97" s="6780"/>
      <c r="AP97" s="6890"/>
      <c r="AQ97" s="6780"/>
      <c r="AR97" s="6890"/>
      <c r="AS97" s="6780"/>
      <c r="AT97" s="6890"/>
      <c r="AU97" s="6780"/>
      <c r="AV97" s="6890"/>
      <c r="AW97" s="6780"/>
      <c r="AX97" s="6890"/>
      <c r="AY97" s="6780"/>
      <c r="AZ97" s="6890"/>
      <c r="BA97" s="413" t="s">
        <v>788</v>
      </c>
      <c r="BN97" s="882">
        <v>0</v>
      </c>
    </row>
    <row s="7213" customFormat="1" customHeight="1" ht="45" hidden="1">
      <c r="A98" s="2529"/>
      <c r="B98" s="635" t="s">
        <v>715</v>
      </c>
      <c r="D98" s="789" t="s">
        <v>972</v>
      </c>
      <c r="E98" s="791" t="s">
        <v>1107</v>
      </c>
      <c r="F98" s="845" t="s">
        <v>418</v>
      </c>
      <c r="G98" s="509"/>
      <c r="H98" s="1147"/>
      <c r="I98" s="509"/>
      <c r="J98" s="1147"/>
      <c r="K98" s="6780"/>
      <c r="L98" s="6890"/>
      <c r="M98" s="6780"/>
      <c r="N98" s="6890"/>
      <c r="O98" s="6780"/>
      <c r="P98" s="6890"/>
      <c r="Q98" s="6780"/>
      <c r="R98" s="6890"/>
      <c r="S98" s="6780"/>
      <c r="T98" s="6890"/>
      <c r="U98" s="6780"/>
      <c r="V98" s="6890"/>
      <c r="W98" s="6780"/>
      <c r="X98" s="6890"/>
      <c r="Y98" s="6780"/>
      <c r="Z98" s="6890"/>
      <c r="AA98" s="6780"/>
      <c r="AB98" s="6890"/>
      <c r="AC98" s="6780"/>
      <c r="AD98" s="6890"/>
      <c r="AE98" s="6780"/>
      <c r="AF98" s="6890"/>
      <c r="AG98" s="6780"/>
      <c r="AH98" s="6890"/>
      <c r="AI98" s="6780"/>
      <c r="AJ98" s="6890"/>
      <c r="AK98" s="6780"/>
      <c r="AL98" s="6890"/>
      <c r="AM98" s="6780"/>
      <c r="AN98" s="6890"/>
      <c r="AO98" s="6780"/>
      <c r="AP98" s="6890"/>
      <c r="AQ98" s="6780"/>
      <c r="AR98" s="6890"/>
      <c r="AS98" s="6780"/>
      <c r="AT98" s="6890"/>
      <c r="AU98" s="6780"/>
      <c r="AV98" s="6890"/>
      <c r="AW98" s="6780"/>
      <c r="AX98" s="6890"/>
      <c r="AY98" s="6780"/>
      <c r="AZ98" s="6890"/>
      <c r="BA98" s="413" t="s">
        <v>788</v>
      </c>
      <c r="BN98" s="882">
        <v>0</v>
      </c>
    </row>
    <row s="7213" customFormat="1" customHeight="1" ht="95.25" hidden="1">
      <c r="A99" s="2529"/>
      <c r="B99" s="635" t="s">
        <v>715</v>
      </c>
      <c r="D99" s="789" t="s">
        <v>129</v>
      </c>
      <c r="E99" s="790" t="s">
        <v>1108</v>
      </c>
      <c r="F99" s="845" t="s">
        <v>418</v>
      </c>
      <c r="G99" s="509"/>
      <c r="H99" s="1147"/>
      <c r="I99" s="509"/>
      <c r="J99" s="1147"/>
      <c r="K99" s="6780"/>
      <c r="L99" s="6890"/>
      <c r="M99" s="6780"/>
      <c r="N99" s="6890"/>
      <c r="O99" s="6780"/>
      <c r="P99" s="6890"/>
      <c r="Q99" s="6780"/>
      <c r="R99" s="6890"/>
      <c r="S99" s="6780"/>
      <c r="T99" s="6890"/>
      <c r="U99" s="6780"/>
      <c r="V99" s="6890"/>
      <c r="W99" s="6780"/>
      <c r="X99" s="6890"/>
      <c r="Y99" s="6780"/>
      <c r="Z99" s="6890"/>
      <c r="AA99" s="6780"/>
      <c r="AB99" s="6890"/>
      <c r="AC99" s="6780"/>
      <c r="AD99" s="6890"/>
      <c r="AE99" s="6780"/>
      <c r="AF99" s="6890"/>
      <c r="AG99" s="6780"/>
      <c r="AH99" s="6890"/>
      <c r="AI99" s="6780"/>
      <c r="AJ99" s="6890"/>
      <c r="AK99" s="6780"/>
      <c r="AL99" s="6890"/>
      <c r="AM99" s="6780"/>
      <c r="AN99" s="6890"/>
      <c r="AO99" s="6780"/>
      <c r="AP99" s="6890"/>
      <c r="AQ99" s="6780"/>
      <c r="AR99" s="6890"/>
      <c r="AS99" s="6780"/>
      <c r="AT99" s="6890"/>
      <c r="AU99" s="6780"/>
      <c r="AV99" s="6890"/>
      <c r="AW99" s="6780"/>
      <c r="AX99" s="6890"/>
      <c r="AY99" s="6780"/>
      <c r="AZ99" s="6890"/>
      <c r="BA99" s="413" t="s">
        <v>788</v>
      </c>
      <c r="BN99" s="882">
        <v>0</v>
      </c>
    </row>
    <row s="7213" customFormat="1" customHeight="1" ht="22.5" hidden="1">
      <c r="A100" s="2529"/>
      <c r="B100" s="635" t="s">
        <v>715</v>
      </c>
      <c r="D100" s="789" t="s">
        <v>134</v>
      </c>
      <c r="E100" s="790" t="s">
        <v>1109</v>
      </c>
      <c r="F100" s="845" t="s">
        <v>418</v>
      </c>
      <c r="G100" s="509"/>
      <c r="H100" s="1147"/>
      <c r="I100" s="509"/>
      <c r="J100" s="1147"/>
      <c r="K100" s="6780"/>
      <c r="L100" s="6890"/>
      <c r="M100" s="6780"/>
      <c r="N100" s="6890"/>
      <c r="O100" s="6780"/>
      <c r="P100" s="6890"/>
      <c r="Q100" s="6780"/>
      <c r="R100" s="6890"/>
      <c r="S100" s="6780"/>
      <c r="T100" s="6890"/>
      <c r="U100" s="6780"/>
      <c r="V100" s="6890"/>
      <c r="W100" s="6780"/>
      <c r="X100" s="6890"/>
      <c r="Y100" s="6780"/>
      <c r="Z100" s="6890"/>
      <c r="AA100" s="6780"/>
      <c r="AB100" s="6890"/>
      <c r="AC100" s="6780"/>
      <c r="AD100" s="6890"/>
      <c r="AE100" s="6780"/>
      <c r="AF100" s="6890"/>
      <c r="AG100" s="6780"/>
      <c r="AH100" s="6890"/>
      <c r="AI100" s="6780"/>
      <c r="AJ100" s="6890"/>
      <c r="AK100" s="6780"/>
      <c r="AL100" s="6890"/>
      <c r="AM100" s="6780"/>
      <c r="AN100" s="6890"/>
      <c r="AO100" s="6780"/>
      <c r="AP100" s="6890"/>
      <c r="AQ100" s="6780"/>
      <c r="AR100" s="6890"/>
      <c r="AS100" s="6780"/>
      <c r="AT100" s="6890"/>
      <c r="AU100" s="6780"/>
      <c r="AV100" s="6890"/>
      <c r="AW100" s="6780"/>
      <c r="AX100" s="6890"/>
      <c r="AY100" s="6780"/>
      <c r="AZ100" s="6890"/>
      <c r="BA100" s="413" t="s">
        <v>788</v>
      </c>
      <c r="BN100" s="882">
        <v>0</v>
      </c>
    </row>
    <row s="7213" customFormat="1" customHeight="1" ht="11.549999999999999">
      <c r="A101" s="1157"/>
      <c r="B101" s="642"/>
      <c r="D101" s="1158"/>
      <c r="E101" s="1159"/>
      <c r="K101" s="7213"/>
      <c r="L101" s="7213"/>
      <c r="M101" s="7213"/>
      <c r="N101" s="7213"/>
      <c r="O101" s="7213"/>
      <c r="P101" s="7213"/>
      <c r="Q101" s="7213"/>
      <c r="R101" s="7213"/>
      <c r="S101" s="7213"/>
      <c r="T101" s="7213"/>
      <c r="U101" s="7213"/>
      <c r="V101" s="7213"/>
      <c r="W101" s="7213"/>
      <c r="X101" s="7213"/>
      <c r="Y101" s="7213"/>
      <c r="Z101" s="7213"/>
      <c r="AA101" s="7213"/>
      <c r="AB101" s="7213"/>
      <c r="AC101" s="7213"/>
      <c r="AD101" s="7213"/>
      <c r="AE101" s="7213"/>
      <c r="AF101" s="7213"/>
      <c r="AG101" s="7213"/>
      <c r="AH101" s="7213"/>
      <c r="AI101" s="7213"/>
      <c r="AJ101" s="7213"/>
      <c r="AK101" s="7213"/>
      <c r="AL101" s="7213"/>
      <c r="AM101" s="7213"/>
      <c r="AN101" s="7213"/>
      <c r="AO101" s="7213"/>
      <c r="AP101" s="7213"/>
      <c r="AQ101" s="7213"/>
      <c r="AR101" s="7213"/>
      <c r="AS101" s="7213"/>
      <c r="AT101" s="7213"/>
      <c r="AU101" s="7213"/>
      <c r="AV101" s="7213"/>
      <c r="AW101" s="7213"/>
      <c r="AX101" s="7213"/>
      <c r="AY101" s="7213"/>
      <c r="AZ101" s="7213"/>
      <c r="BN101" s="633">
        <v>11</v>
      </c>
    </row>
    <row customHeight="1" ht="22.5" hidden="1">
      <c r="A102" s="660" t="s">
        <v>82</v>
      </c>
      <c r="B102" s="635">
        <v>0</v>
      </c>
      <c r="C102" s="629">
        <v>3</v>
      </c>
      <c r="D102" s="629">
        <v>7</v>
      </c>
      <c r="E102" s="629">
        <v>69</v>
      </c>
      <c r="F102" s="629">
        <v>10</v>
      </c>
      <c r="G102" s="629">
        <v>0</v>
      </c>
      <c r="H102" s="629">
        <v>0</v>
      </c>
      <c r="I102" s="882">
        <v>43</v>
      </c>
      <c r="J102" s="882">
        <v>43</v>
      </c>
      <c r="K102" s="7213">
        <v>0</v>
      </c>
      <c r="L102" s="7213">
        <v>0</v>
      </c>
      <c r="M102" s="7213">
        <v>0</v>
      </c>
      <c r="N102" s="7213">
        <v>0</v>
      </c>
      <c r="O102" s="7213">
        <v>0</v>
      </c>
      <c r="P102" s="7213">
        <v>0</v>
      </c>
      <c r="Q102" s="7213">
        <v>0</v>
      </c>
      <c r="R102" s="7213">
        <v>0</v>
      </c>
      <c r="S102" s="7213">
        <v>0</v>
      </c>
      <c r="T102" s="7213">
        <v>0</v>
      </c>
      <c r="U102" s="7213">
        <v>0</v>
      </c>
      <c r="V102" s="7213">
        <v>0</v>
      </c>
      <c r="W102" s="7213">
        <v>0</v>
      </c>
      <c r="X102" s="7213">
        <v>0</v>
      </c>
      <c r="Y102" s="7213">
        <v>0</v>
      </c>
      <c r="Z102" s="7213">
        <v>0</v>
      </c>
      <c r="AA102" s="7213">
        <v>0</v>
      </c>
      <c r="AB102" s="7213">
        <v>0</v>
      </c>
      <c r="AC102" s="7213">
        <v>0</v>
      </c>
      <c r="AD102" s="7213">
        <v>0</v>
      </c>
      <c r="AE102" s="7213">
        <v>0</v>
      </c>
      <c r="AF102" s="7213">
        <v>0</v>
      </c>
      <c r="AG102" s="7213">
        <v>0</v>
      </c>
      <c r="AH102" s="7213">
        <v>0</v>
      </c>
      <c r="AI102" s="7213">
        <v>0</v>
      </c>
      <c r="AJ102" s="7213">
        <v>0</v>
      </c>
      <c r="AK102" s="7213">
        <v>0</v>
      </c>
      <c r="AL102" s="7213">
        <v>0</v>
      </c>
      <c r="AM102" s="7213">
        <v>0</v>
      </c>
      <c r="AN102" s="7213">
        <v>0</v>
      </c>
      <c r="AO102" s="7213">
        <v>0</v>
      </c>
      <c r="AP102" s="7213">
        <v>0</v>
      </c>
      <c r="AQ102" s="7213">
        <v>0</v>
      </c>
      <c r="AR102" s="7213">
        <v>0</v>
      </c>
      <c r="AS102" s="7213">
        <v>0</v>
      </c>
      <c r="AT102" s="7213">
        <v>0</v>
      </c>
      <c r="AU102" s="7213">
        <v>0</v>
      </c>
      <c r="AV102" s="7213">
        <v>0</v>
      </c>
      <c r="AW102" s="7213">
        <v>0</v>
      </c>
      <c r="AX102" s="7213">
        <v>0</v>
      </c>
      <c r="AY102" s="7213">
        <v>0</v>
      </c>
      <c r="AZ102" s="7213">
        <v>0</v>
      </c>
      <c r="BA102" s="629">
        <v>73</v>
      </c>
      <c r="BB102" s="629">
        <v>3</v>
      </c>
      <c r="BC102" s="629">
        <v>10</v>
      </c>
      <c r="BD102" s="629">
        <v>10</v>
      </c>
      <c r="BE102" s="629">
        <v>10</v>
      </c>
      <c r="BF102" s="629">
        <v>10</v>
      </c>
      <c r="BG102" s="629">
        <v>10</v>
      </c>
      <c r="BH102" s="629">
        <v>10</v>
      </c>
      <c r="BI102" s="629">
        <v>10</v>
      </c>
      <c r="BJ102" s="629">
        <v>10</v>
      </c>
      <c r="BK102" s="629">
        <v>10</v>
      </c>
      <c r="BL102" s="629">
        <v>10</v>
      </c>
      <c r="BM102" s="629">
        <v>10</v>
      </c>
      <c r="BN102" s="629">
        <v>23</v>
      </c>
    </row>
  </sheetData>
  <sheetProtection formatColumns="0" formatRows="0" autoFilter="0" sort="0" insertRows="0" insertColumns="1" deleteRows="0" deleteColumns="0"/>
  <mergeCells count="81">
    <mergeCell ref="D3:F3"/>
    <mergeCell ref="BA7:B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G62:G63 G74:G75 G97:G100 I62:I63 I74:I75 I97:I100 H13:H14 H19 J19 L19 N19 P19 R19 T19 V19 X19 Z19 AB19 AD19 AF19 AH19 AJ19 AL19 AN19 AP19 AR19 AT19 AV19 AX19 AZ19 J13:J14 L13:L14 N13:N14 P13:P14 R13:R14 T13:T14 V13:V14 X13:X14 Z13:Z14 AB13:AB14 AD13:AD14 AF13:AF14 AH13:AH14 AJ13:AJ14 AL13:AL14 AN13:AN14 AP13:AP14 AR13:AR14 AT13:AT14 AV13:AV14 AX13:AX14 AZ13:A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J15:J18 L15:L18 N15:N18 P15:P18 R15:R18 T15:T18 V15:V18 X15:X18 Z15:Z18 AB15:AB18 AD15:AD18 AF15:AF18 AH15:AH18 AJ15:AJ18 AL15:AL18 AN15:AN18 AP15:AP18 AR15:AR18 AT15:AT18 AV15:AV18 AX15:AX18 AZ15:AZ18 J21:J22 L21:L22 N21:N22 P21:P22 R21:R22 T21:T22 V21:V22 X21:X22 Z21:Z22 AB21:AB22 AD21:AD22 AF21:AF22 AH21:AH22 AJ21:AJ22 AL21:AL22 AN21:AN22 AP21:AP22 AR21:AR22 AT21:AT22 AV21:AV22 AX21:AX22 AZ21:AZ22 J29:J30 L29:L30 N29:N30 P29:P30 R29:R30 T29:T30 V29:V30 X29:X30 Z29:Z30 AB29:AB30 AD29:AD30 AF29:AF30 AH29:AH30 AJ29:AJ30 AL29:AL30 AN29:AN30 AP29:AP30 AR29:AR30 AT29:AT30 AV29:AV30 AX29:AX30 AZ29:AZ30 J24 L24 N24 P24 R24 T24 V24 X24 Z24 AB24 AD24 AF24 AH24 AJ24 AL24 AN24 AP24 AR24 AT24 AV24 AX24 AZ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C14053-1A7D-68D6-7B68-5B27FB98113F}" mc:Ignorable="x14ac xr xr2 xr3">
  <sheetPr>
    <tabColor rgb="FFCCCCFF"/>
  </sheetPr>
  <dimension ref="A1:AM59"/>
  <sheetViews>
    <sheetView showGridLines="0" zoomScale="90" workbookViewId="0">
      <pane xSplit="4" ySplit="12" topLeftCell="E13" activePane="bottomRight" state="frozen"/>
      <selection pane="bottomLeft" activeCell="A13" sqref="A13"/>
      <selection pane="topRight" activeCell="E1" sqref="E1"/>
      <selection pane="bottomRight" activeCell="I19" sqref="I19:I20"/>
    </sheetView>
  </sheetViews>
  <sheetFormatPr defaultColWidth="9.140625" customHeight="1" defaultRowHeight="11.25"/>
  <cols>
    <col min="1" max="1" style="7787" width="6.421875" hidden="1" customWidth="1"/>
    <col min="2" max="2" style="7787" width="2.00390625" hidden="1" customWidth="1"/>
    <col min="3" max="3" style="7787" width="3.00390625" customWidth="1"/>
    <col min="4" max="4" style="7787" width="4.00390625" customWidth="1"/>
    <col min="5" max="5" style="7787" width="44.00390625" customWidth="1"/>
    <col min="6" max="6" style="7787" width="6.421875" customWidth="1"/>
    <col min="7" max="7" style="7787" width="4.00390625" customWidth="1"/>
    <col min="8" max="8" style="7787" width="5.00390625" customWidth="1"/>
    <col min="9" max="9" style="7787" width="52.00390625" customWidth="1"/>
    <col min="10" max="10" style="7787" width="7.00390625" customWidth="1"/>
    <col min="11" max="11" style="7787" width="3.00390625" customWidth="1"/>
    <col min="12" max="12" style="7787" width="6.00390625" customWidth="1"/>
    <col min="13" max="13" style="7787" width="56.00390625" customWidth="1"/>
    <col min="14" max="14" style="6215" width="8.00390625" customWidth="1"/>
    <col min="15" max="20" style="7161" width="9.140625" hidden="1"/>
    <col min="21" max="24" style="7293" width="9.140625" hidden="1"/>
    <col min="25" max="37" style="6215" width="9.140625" hidden="1"/>
    <col min="38" max="38" style="6215" width="8.00390625" customWidth="1"/>
    <col min="39" max="39" style="7787" width="9.140625" hidden="1"/>
  </cols>
  <sheetData>
    <row customHeight="1" ht="11.25" hidden="1">
      <c r="AM1" s="707" t="s">
        <v>14</v>
      </c>
    </row>
    <row customHeight="1" ht="11.25" hidden="1">
      <c r="AM2" s="707">
        <v>0</v>
      </c>
    </row>
    <row customHeight="1" ht="11.549999999999999">
      <c r="AM3" s="707">
        <v>11</v>
      </c>
    </row>
    <row customHeight="1" ht="35.699999999999996">
      <c r="A4" s="709"/>
      <c r="B4" s="709"/>
      <c r="D4" s="225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57"/>
      <c r="F4" s="2257"/>
      <c r="G4" s="2257"/>
      <c r="H4" s="2257"/>
      <c r="I4" s="2258"/>
      <c r="J4" s="708"/>
      <c r="K4" s="708"/>
      <c r="L4" s="708"/>
      <c r="M4" s="708"/>
      <c r="AM4" s="707">
        <v>34</v>
      </c>
    </row>
    <row s="5693" customFormat="1" customHeight="1" ht="14.699999999999998">
      <c r="A5" s="709"/>
      <c r="B5" s="709"/>
      <c r="C5" s="709"/>
      <c r="D5" s="2259" t="str">
        <f>IF(org=0,"Не определено",org)</f>
        <v>ООО "СамРЭК-Эксплуатация"</v>
      </c>
      <c r="E5" s="2260"/>
      <c r="F5" s="2260"/>
      <c r="G5" s="2260"/>
      <c r="H5" s="2260"/>
      <c r="I5" s="2261"/>
      <c r="J5" s="710"/>
      <c r="K5" s="710"/>
      <c r="L5" s="710"/>
      <c r="M5" s="710"/>
      <c r="N5" s="710"/>
      <c r="O5" s="994"/>
      <c r="P5" s="994"/>
      <c r="Q5" s="994"/>
      <c r="R5" s="994"/>
      <c r="S5" s="994"/>
      <c r="T5" s="994"/>
      <c r="U5" s="1385"/>
      <c r="V5" s="1385"/>
      <c r="W5" s="1385"/>
      <c r="X5" s="1385"/>
      <c r="Y5" s="710"/>
      <c r="Z5" s="710"/>
      <c r="AA5" s="710"/>
      <c r="AB5" s="710"/>
      <c r="AC5" s="710"/>
      <c r="AD5" s="710"/>
      <c r="AE5" s="710"/>
      <c r="AF5" s="710"/>
      <c r="AG5" s="710"/>
      <c r="AH5" s="710"/>
      <c r="AI5" s="710"/>
      <c r="AJ5" s="710"/>
      <c r="AK5" s="710"/>
      <c r="AL5" s="710"/>
      <c r="AM5" s="711">
        <v>14</v>
      </c>
    </row>
    <row s="5693" customFormat="1" customHeight="1" ht="6.3">
      <c r="A6" s="2262"/>
      <c r="B6" s="2262"/>
      <c r="C6" s="2262"/>
      <c r="D6" s="2262"/>
      <c r="E6" s="2262"/>
      <c r="F6" s="2262"/>
      <c r="G6" s="712"/>
      <c r="H6" s="712"/>
      <c r="I6" s="712"/>
      <c r="J6" s="712"/>
      <c r="K6" s="712"/>
      <c r="N6" s="714"/>
      <c r="O6" s="1538"/>
      <c r="P6" s="1538"/>
      <c r="Q6" s="1538"/>
      <c r="R6" s="1538"/>
      <c r="S6" s="1538"/>
      <c r="T6" s="1538"/>
      <c r="U6" s="1388"/>
      <c r="V6" s="1388"/>
      <c r="W6" s="1388"/>
      <c r="X6" s="1388"/>
      <c r="Y6" s="714"/>
      <c r="Z6" s="714"/>
      <c r="AA6" s="714"/>
      <c r="AB6" s="714"/>
      <c r="AC6" s="714"/>
      <c r="AD6" s="714"/>
      <c r="AE6" s="714"/>
      <c r="AF6" s="714"/>
      <c r="AG6" s="714"/>
      <c r="AH6" s="714"/>
      <c r="AI6" s="714"/>
      <c r="AJ6" s="714"/>
      <c r="AK6" s="714"/>
      <c r="AL6" s="714"/>
      <c r="AM6" s="713">
        <v>6</v>
      </c>
    </row>
    <row customHeight="1" ht="45.75" hidden="1">
      <c r="E7" s="22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8"/>
      <c r="G7" s="2268"/>
      <c r="H7" s="2268"/>
      <c r="I7" s="2268"/>
      <c r="J7" s="2268"/>
      <c r="K7" s="2268"/>
      <c r="L7" s="2268"/>
      <c r="M7" s="2268"/>
      <c r="AM7" s="707">
        <v>0</v>
      </c>
    </row>
    <row s="5693" customFormat="1" customHeight="1" ht="6.3">
      <c r="A8" s="715"/>
      <c r="B8" s="715"/>
      <c r="C8" s="715"/>
      <c r="D8" s="715"/>
      <c r="E8" s="715"/>
      <c r="F8" s="715"/>
      <c r="G8" s="715"/>
      <c r="H8" s="715"/>
      <c r="I8" s="715"/>
      <c r="J8" s="715"/>
      <c r="K8" s="715"/>
      <c r="L8" s="715"/>
      <c r="M8" s="713"/>
      <c r="N8" s="710"/>
      <c r="O8" s="994"/>
      <c r="P8" s="994"/>
      <c r="Q8" s="994"/>
      <c r="R8" s="994"/>
      <c r="S8" s="994"/>
      <c r="T8" s="994"/>
      <c r="U8" s="1385"/>
      <c r="V8" s="1385"/>
      <c r="W8" s="1385"/>
      <c r="X8" s="1385"/>
      <c r="Y8" s="710"/>
      <c r="Z8" s="710"/>
      <c r="AA8" s="710"/>
      <c r="AB8" s="710"/>
      <c r="AC8" s="710"/>
      <c r="AD8" s="710"/>
      <c r="AE8" s="710"/>
      <c r="AF8" s="710"/>
      <c r="AG8" s="710"/>
      <c r="AH8" s="710"/>
      <c r="AI8" s="710"/>
      <c r="AJ8" s="710"/>
      <c r="AK8" s="710"/>
      <c r="AL8" s="710"/>
      <c r="AM8" s="711">
        <v>6</v>
      </c>
    </row>
    <row customHeight="1" ht="18.75">
      <c r="A9" s="2263"/>
      <c r="B9" s="447"/>
      <c r="C9" s="447"/>
      <c r="D9" s="2264" t="s">
        <v>206</v>
      </c>
      <c r="E9" s="2264"/>
      <c r="F9" s="2265" t="s">
        <v>207</v>
      </c>
      <c r="G9" s="2266"/>
      <c r="H9" s="2266"/>
      <c r="I9" s="2266"/>
      <c r="J9" s="2269" t="s">
        <v>208</v>
      </c>
      <c r="K9" s="2269"/>
      <c r="L9" s="2269"/>
      <c r="M9" s="2269"/>
      <c r="AM9" s="707">
        <v>18</v>
      </c>
    </row>
    <row customHeight="1" ht="24">
      <c r="A10" s="2263"/>
      <c r="B10" s="716"/>
      <c r="C10" s="649"/>
      <c r="D10" s="647" t="s">
        <v>88</v>
      </c>
      <c r="E10" s="647" t="s">
        <v>89</v>
      </c>
      <c r="F10" s="647" t="s">
        <v>209</v>
      </c>
      <c r="G10" s="2270" t="s">
        <v>88</v>
      </c>
      <c r="H10" s="2271"/>
      <c r="I10" s="647" t="s">
        <v>89</v>
      </c>
      <c r="J10" s="647" t="s">
        <v>209</v>
      </c>
      <c r="K10" s="2270" t="s">
        <v>88</v>
      </c>
      <c r="L10" s="2271"/>
      <c r="M10" s="647" t="s">
        <v>89</v>
      </c>
      <c r="N10" s="1751"/>
      <c r="AM10" s="707">
        <v>23</v>
      </c>
    </row>
    <row s="7787" customFormat="1" customHeight="1" ht="11.25" hidden="1">
      <c r="A11" s="717"/>
      <c r="B11" s="717"/>
      <c r="C11" s="717"/>
      <c r="D11" s="718" t="s">
        <v>210</v>
      </c>
      <c r="E11" s="718" t="s">
        <v>102</v>
      </c>
      <c r="F11" s="718" t="s">
        <v>90</v>
      </c>
      <c r="G11" s="2252" t="s">
        <v>91</v>
      </c>
      <c r="H11" s="2253"/>
      <c r="I11" s="718" t="s">
        <v>116</v>
      </c>
      <c r="J11" s="718" t="s">
        <v>92</v>
      </c>
      <c r="K11" s="2254" t="s">
        <v>93</v>
      </c>
      <c r="L11" s="2255"/>
      <c r="M11" s="718" t="s">
        <v>129</v>
      </c>
      <c r="N11" s="1750"/>
      <c r="O11" s="1537"/>
      <c r="P11" s="1539"/>
      <c r="Q11" s="1539"/>
      <c r="R11" s="1539"/>
      <c r="S11" s="1539"/>
      <c r="T11" s="1539"/>
      <c r="U11" s="1389"/>
      <c r="V11" s="1389"/>
      <c r="W11" s="1389"/>
      <c r="X11" s="1389"/>
      <c r="Y11" s="719"/>
      <c r="Z11" s="719"/>
      <c r="AA11" s="719"/>
      <c r="AB11" s="719"/>
      <c r="AC11" s="719"/>
      <c r="AD11" s="719"/>
      <c r="AE11" s="719"/>
      <c r="AF11" s="719"/>
      <c r="AG11" s="719"/>
      <c r="AH11" s="719"/>
      <c r="AI11" s="719"/>
      <c r="AJ11" s="719"/>
      <c r="AK11" s="719"/>
      <c r="AL11" s="719"/>
      <c r="AM11" s="720">
        <v>0</v>
      </c>
    </row>
    <row customHeight="1" ht="1.05">
      <c r="A12" s="721"/>
      <c r="B12" s="722"/>
      <c r="C12" s="722"/>
      <c r="D12" s="723"/>
      <c r="E12" s="491"/>
      <c r="F12" s="724"/>
      <c r="G12" s="1183"/>
      <c r="H12" s="1183"/>
      <c r="I12" s="724"/>
      <c r="J12" s="724"/>
      <c r="K12" s="298"/>
      <c r="L12" s="491"/>
      <c r="M12" s="725"/>
      <c r="N12" s="1751"/>
      <c r="O12" s="1537" t="s">
        <v>211</v>
      </c>
      <c r="P12" s="1537" t="s">
        <v>212</v>
      </c>
      <c r="Q12" s="1537" t="s">
        <v>213</v>
      </c>
      <c r="R12" s="1537" t="s">
        <v>214</v>
      </c>
      <c r="AM12" s="707">
        <v>1</v>
      </c>
    </row>
    <row s="7787" customFormat="1" customHeight="1" ht="15.75">
      <c r="A13" s="417"/>
      <c r="B13" s="417"/>
      <c r="C13" s="650"/>
      <c r="D13" s="2245" t="s">
        <v>210</v>
      </c>
      <c r="E13" s="2246" t="str">
        <f>INDEX(VD_NAME_LIST,MATCH("4190064",VD_ID_LIST,0))</f>
        <v>Производство тепловой энергии. Некомбинированная выработка</v>
      </c>
      <c r="F13" s="2249" t="s">
        <v>62</v>
      </c>
      <c r="G13" s="2250"/>
      <c r="H13" s="2251">
        <v>1</v>
      </c>
      <c r="I13" s="2242" t="str">
        <f>IF(U13="","",INDEX(TERRITORY_MR_LIST,MATCH(U13,TERRITORY_LIST_ID,0)))</f>
        <v>Территория 1</v>
      </c>
      <c r="J13" s="2244" t="s">
        <v>19</v>
      </c>
      <c r="K13" s="726"/>
      <c r="L13" s="651" t="s">
        <v>210</v>
      </c>
      <c r="M13" s="727" t="s">
        <v>22</v>
      </c>
      <c r="N13" s="936"/>
      <c r="O13" s="1540" t="s">
        <v>215</v>
      </c>
      <c r="P13" s="1537" t="str">
        <f>$E$13</f>
        <v>Производство тепловой энергии. Некомбинированная выработка</v>
      </c>
      <c r="Q13" s="1537" t="str">
        <f>IF($F$13="нет","без дифференциации",$I$13)</f>
        <v>Территория 1</v>
      </c>
      <c r="R13" s="1537" t="str">
        <f>IF($J$13="нет","без дифференциации",M13)</f>
        <v>без дифференциации</v>
      </c>
      <c r="S13" s="1540"/>
      <c r="T13" s="1540"/>
      <c r="U13" s="1390" t="s">
        <v>98</v>
      </c>
      <c r="V13" s="1390" t="s">
        <v>216</v>
      </c>
      <c r="W13" s="1390"/>
      <c r="X13" s="1390"/>
      <c r="Y13" s="728" t="s">
        <v>217</v>
      </c>
      <c r="Z13" s="728">
        <v>1705000</v>
      </c>
      <c r="AA13" s="728"/>
      <c r="AB13" s="728"/>
      <c r="AC13" s="728"/>
      <c r="AD13" s="728"/>
      <c r="AE13" s="728"/>
      <c r="AF13" s="728"/>
      <c r="AG13" s="728"/>
      <c r="AH13" s="728"/>
      <c r="AI13" s="728"/>
      <c r="AJ13" s="728"/>
      <c r="AK13" s="728"/>
      <c r="AL13" s="728"/>
      <c r="AM13" s="730">
        <v>15</v>
      </c>
    </row>
    <row s="7787" customFormat="1" customHeight="1" ht="15.75">
      <c r="A14" s="417"/>
      <c r="B14" s="417"/>
      <c r="C14" s="300"/>
      <c r="D14" s="2245"/>
      <c r="E14" s="2247"/>
      <c r="F14" s="2244"/>
      <c r="G14" s="2250"/>
      <c r="H14" s="2251"/>
      <c r="I14" s="2243"/>
      <c r="J14" s="2244"/>
      <c r="K14" s="545"/>
      <c r="L14" s="301"/>
      <c r="M14" s="731" t="s">
        <v>218</v>
      </c>
      <c r="N14" s="936"/>
      <c r="O14" s="1540"/>
      <c r="P14" s="1537"/>
      <c r="Q14" s="1537"/>
      <c r="R14" s="1537"/>
      <c r="S14" s="1540"/>
      <c r="T14" s="1540"/>
      <c r="U14" s="1390"/>
      <c r="V14" s="1390"/>
      <c r="W14" s="1390"/>
      <c r="X14" s="1390"/>
      <c r="Y14" s="728"/>
      <c r="Z14" s="728"/>
      <c r="AA14" s="728"/>
      <c r="AB14" s="728"/>
      <c r="AC14" s="728"/>
      <c r="AD14" s="728"/>
      <c r="AE14" s="728"/>
      <c r="AF14" s="728"/>
      <c r="AG14" s="728"/>
      <c r="AH14" s="728"/>
      <c r="AI14" s="728"/>
      <c r="AJ14" s="728"/>
      <c r="AK14" s="728"/>
      <c r="AL14" s="728"/>
      <c r="AM14" s="730">
        <v>15</v>
      </c>
    </row>
    <row customHeight="1" ht="15">
      <c r="A15" s="547"/>
      <c r="B15" s="547"/>
      <c r="C15" s="300"/>
      <c r="D15" s="1944"/>
      <c r="E15" s="1944"/>
      <c r="F15" s="1944"/>
      <c r="G15" s="2698" t="s">
        <v>103</v>
      </c>
      <c r="H15" s="2240" t="s">
        <v>102</v>
      </c>
      <c r="I15" s="2699" t="str">
        <f>IF(U15="","",INDEX(TERRITORY_MR_LIST,MATCH(U15,TERRITORY_LIST_ID,0)))</f>
        <v>Территория 2</v>
      </c>
      <c r="J15" s="2244" t="s">
        <v>19</v>
      </c>
      <c r="K15" s="956"/>
      <c r="L15" s="1905" t="s">
        <v>210</v>
      </c>
      <c r="M15" s="727"/>
      <c r="N15" s="728"/>
      <c r="O15" s="728" t="s">
        <v>219</v>
      </c>
      <c r="P15" s="728" t="str">
        <f>$E$13</f>
        <v>Производство тепловой энергии. Некомбинированная выработка</v>
      </c>
      <c r="Q15" s="728" t="str">
        <f>IF($F$15="нет","без дифференциации",$I$15)</f>
        <v>Территория 2</v>
      </c>
      <c r="R15" s="728" t="str">
        <f>IF($J$15="нет","без дифференциации",$M$15)</f>
        <v>без дифференциации</v>
      </c>
      <c r="S15" s="728"/>
      <c r="T15" s="728"/>
      <c r="U15" s="729" t="s">
        <v>104</v>
      </c>
      <c r="V15" s="728"/>
      <c r="W15" s="728"/>
      <c r="X15" s="719"/>
      <c r="Y15" s="719" t="s">
        <v>217</v>
      </c>
      <c r="Z15" s="719">
        <v>1705000</v>
      </c>
      <c r="AA15" s="719"/>
      <c r="AB15" s="719"/>
      <c r="AC15" s="719"/>
      <c r="AD15" s="719"/>
      <c r="AE15" s="719"/>
      <c r="AF15" s="719"/>
      <c r="AG15" s="719"/>
      <c r="AH15" s="719"/>
      <c r="AI15" s="719"/>
      <c r="AJ15" s="719"/>
      <c r="AK15" s="719"/>
      <c r="AL15" s="719"/>
      <c r="AM15" s="7787"/>
    </row>
    <row customHeight="1" ht="15">
      <c r="A16" s="547"/>
      <c r="B16" s="547"/>
      <c r="C16" s="300"/>
      <c r="D16" s="1944"/>
      <c r="E16" s="1944"/>
      <c r="F16" s="1944"/>
      <c r="G16" s="2698"/>
      <c r="H16" s="2240"/>
      <c r="I16" s="2699"/>
      <c r="J16" s="2244"/>
      <c r="K16" s="545"/>
      <c r="L16" s="301"/>
      <c r="M16" s="731" t="s">
        <v>218</v>
      </c>
      <c r="N16" s="728"/>
      <c r="O16" s="728"/>
      <c r="P16" s="728"/>
      <c r="Q16" s="728"/>
      <c r="R16" s="728"/>
      <c r="S16" s="728"/>
      <c r="T16" s="728"/>
      <c r="U16" s="729"/>
      <c r="V16" s="728"/>
      <c r="W16" s="728"/>
      <c r="X16" s="719"/>
      <c r="Y16" s="719"/>
      <c r="Z16" s="719"/>
      <c r="AA16" s="719"/>
      <c r="AB16" s="719"/>
      <c r="AC16" s="719"/>
      <c r="AD16" s="719"/>
      <c r="AE16" s="719"/>
      <c r="AF16" s="719"/>
      <c r="AG16" s="719"/>
      <c r="AH16" s="719"/>
      <c r="AI16" s="719"/>
      <c r="AJ16" s="719"/>
      <c r="AK16" s="719"/>
      <c r="AL16" s="719"/>
      <c r="AM16" s="7787"/>
    </row>
    <row customHeight="1" ht="15">
      <c r="A17" s="547"/>
      <c r="B17" s="547"/>
      <c r="C17" s="300"/>
      <c r="D17" s="1944"/>
      <c r="E17" s="1944"/>
      <c r="F17" s="1944"/>
      <c r="G17" s="2698" t="s">
        <v>103</v>
      </c>
      <c r="H17" s="2240" t="s">
        <v>90</v>
      </c>
      <c r="I17" s="2699" t="str">
        <f>IF(U17="","",INDEX(TERRITORY_MR_LIST,MATCH(U17,TERRITORY_LIST_ID,0)))</f>
        <v>Территория 3</v>
      </c>
      <c r="J17" s="2244" t="s">
        <v>19</v>
      </c>
      <c r="K17" s="956"/>
      <c r="L17" s="1905" t="s">
        <v>210</v>
      </c>
      <c r="M17" s="727"/>
      <c r="N17" s="728"/>
      <c r="O17" s="728" t="s">
        <v>220</v>
      </c>
      <c r="P17" s="728" t="str">
        <f>$E$13</f>
        <v>Производство тепловой энергии. Некомбинированная выработка</v>
      </c>
      <c r="Q17" s="728" t="str">
        <f>IF($F$17="нет","без дифференциации",$I$17)</f>
        <v>Территория 3</v>
      </c>
      <c r="R17" s="728" t="str">
        <f>IF($J$17="нет","без дифференциации",$M$17)</f>
        <v>без дифференциации</v>
      </c>
      <c r="S17" s="728"/>
      <c r="T17" s="728"/>
      <c r="U17" s="729" t="s">
        <v>108</v>
      </c>
      <c r="V17" s="728"/>
      <c r="W17" s="728"/>
      <c r="X17" s="719"/>
      <c r="Y17" s="719" t="s">
        <v>217</v>
      </c>
      <c r="Z17" s="719">
        <v>1705000</v>
      </c>
      <c r="AA17" s="719"/>
      <c r="AB17" s="719"/>
      <c r="AC17" s="719"/>
      <c r="AD17" s="719"/>
      <c r="AE17" s="719"/>
      <c r="AF17" s="719"/>
      <c r="AG17" s="719"/>
      <c r="AH17" s="719"/>
      <c r="AI17" s="719"/>
      <c r="AJ17" s="719"/>
      <c r="AK17" s="719"/>
      <c r="AL17" s="719"/>
      <c r="AM17" s="7787"/>
    </row>
    <row customHeight="1" ht="15">
      <c r="A18" s="547"/>
      <c r="B18" s="547"/>
      <c r="C18" s="300"/>
      <c r="D18" s="1944"/>
      <c r="E18" s="1944"/>
      <c r="F18" s="1944"/>
      <c r="G18" s="2698"/>
      <c r="H18" s="2240"/>
      <c r="I18" s="2699"/>
      <c r="J18" s="2244"/>
      <c r="K18" s="545"/>
      <c r="L18" s="301"/>
      <c r="M18" s="731" t="s">
        <v>218</v>
      </c>
      <c r="N18" s="728"/>
      <c r="O18" s="728"/>
      <c r="P18" s="728"/>
      <c r="Q18" s="728"/>
      <c r="R18" s="728"/>
      <c r="S18" s="728"/>
      <c r="T18" s="728"/>
      <c r="U18" s="729"/>
      <c r="V18" s="728"/>
      <c r="W18" s="728"/>
      <c r="X18" s="719"/>
      <c r="Y18" s="719"/>
      <c r="Z18" s="719"/>
      <c r="AA18" s="719"/>
      <c r="AB18" s="719"/>
      <c r="AC18" s="719"/>
      <c r="AD18" s="719"/>
      <c r="AE18" s="719"/>
      <c r="AF18" s="719"/>
      <c r="AG18" s="719"/>
      <c r="AH18" s="719"/>
      <c r="AI18" s="719"/>
      <c r="AJ18" s="719"/>
      <c r="AK18" s="719"/>
      <c r="AL18" s="719"/>
      <c r="AM18" s="7787"/>
    </row>
    <row customHeight="1" ht="15">
      <c r="A19" s="547"/>
      <c r="B19" s="547"/>
      <c r="C19" s="300"/>
      <c r="D19" s="1944"/>
      <c r="E19" s="1944"/>
      <c r="F19" s="1944"/>
      <c r="G19" s="2698" t="s">
        <v>103</v>
      </c>
      <c r="H19" s="2240" t="s">
        <v>91</v>
      </c>
      <c r="I19" s="2699" t="str">
        <f>IF(U19="","",INDEX(TERRITORY_MR_LIST,MATCH(U19,TERRITORY_LIST_ID,0)))</f>
        <v>Территория 4</v>
      </c>
      <c r="J19" s="2244" t="s">
        <v>19</v>
      </c>
      <c r="K19" s="956"/>
      <c r="L19" s="1905" t="s">
        <v>210</v>
      </c>
      <c r="M19" s="727"/>
      <c r="N19" s="728"/>
      <c r="O19" s="728" t="s">
        <v>221</v>
      </c>
      <c r="P19" s="728" t="str">
        <f>$E$13</f>
        <v>Производство тепловой энергии. Некомбинированная выработка</v>
      </c>
      <c r="Q19" s="728" t="str">
        <f>IF($F$19="нет","без дифференциации",$I$19)</f>
        <v>Территория 4</v>
      </c>
      <c r="R19" s="728" t="str">
        <f>IF($J$19="нет","без дифференциации",$M$19)</f>
        <v>без дифференциации</v>
      </c>
      <c r="S19" s="728"/>
      <c r="T19" s="728"/>
      <c r="U19" s="729" t="s">
        <v>112</v>
      </c>
      <c r="V19" s="728"/>
      <c r="W19" s="728"/>
      <c r="X19" s="719"/>
      <c r="Y19" s="719" t="s">
        <v>217</v>
      </c>
      <c r="Z19" s="719">
        <v>1705000</v>
      </c>
      <c r="AA19" s="719"/>
      <c r="AB19" s="719"/>
      <c r="AC19" s="719"/>
      <c r="AD19" s="719"/>
      <c r="AE19" s="719"/>
      <c r="AF19" s="719"/>
      <c r="AG19" s="719"/>
      <c r="AH19" s="719"/>
      <c r="AI19" s="719"/>
      <c r="AJ19" s="719"/>
      <c r="AK19" s="719"/>
      <c r="AL19" s="719"/>
      <c r="AM19" s="7787"/>
    </row>
    <row customHeight="1" ht="15">
      <c r="A20" s="547"/>
      <c r="B20" s="547"/>
      <c r="C20" s="300"/>
      <c r="D20" s="1944"/>
      <c r="E20" s="1944"/>
      <c r="F20" s="1944"/>
      <c r="G20" s="2698"/>
      <c r="H20" s="2240"/>
      <c r="I20" s="2699"/>
      <c r="J20" s="2244"/>
      <c r="K20" s="545"/>
      <c r="L20" s="301"/>
      <c r="M20" s="731" t="s">
        <v>218</v>
      </c>
      <c r="N20" s="728"/>
      <c r="O20" s="728"/>
      <c r="P20" s="728"/>
      <c r="Q20" s="728"/>
      <c r="R20" s="728"/>
      <c r="S20" s="728"/>
      <c r="T20" s="728"/>
      <c r="U20" s="729"/>
      <c r="V20" s="728"/>
      <c r="W20" s="728"/>
      <c r="X20" s="719"/>
      <c r="Y20" s="719"/>
      <c r="Z20" s="719"/>
      <c r="AA20" s="719"/>
      <c r="AB20" s="719"/>
      <c r="AC20" s="719"/>
      <c r="AD20" s="719"/>
      <c r="AE20" s="719"/>
      <c r="AF20" s="719"/>
      <c r="AG20" s="719"/>
      <c r="AH20" s="719"/>
      <c r="AI20" s="719"/>
      <c r="AJ20" s="719"/>
      <c r="AK20" s="719"/>
      <c r="AL20" s="719"/>
      <c r="AM20" s="7787"/>
    </row>
    <row customHeight="1" ht="15">
      <c r="A21" s="547"/>
      <c r="B21" s="547"/>
      <c r="C21" s="300"/>
      <c r="D21" s="1944"/>
      <c r="E21" s="1944"/>
      <c r="F21" s="1944"/>
      <c r="G21" s="2698" t="s">
        <v>103</v>
      </c>
      <c r="H21" s="2240" t="s">
        <v>116</v>
      </c>
      <c r="I21" s="2699" t="str">
        <f>IF(U21="","",INDEX(TERRITORY_MR_LIST,MATCH(U21,TERRITORY_LIST_ID,0)))</f>
        <v>Территория 5</v>
      </c>
      <c r="J21" s="2244" t="s">
        <v>19</v>
      </c>
      <c r="K21" s="956"/>
      <c r="L21" s="1905" t="s">
        <v>210</v>
      </c>
      <c r="M21" s="727"/>
      <c r="N21" s="728"/>
      <c r="O21" s="728" t="s">
        <v>222</v>
      </c>
      <c r="P21" s="728" t="str">
        <f>$E$13</f>
        <v>Производство тепловой энергии. Некомбинированная выработка</v>
      </c>
      <c r="Q21" s="728" t="str">
        <f>IF($F$21="нет","без дифференциации",$I$21)</f>
        <v>Территория 5</v>
      </c>
      <c r="R21" s="728" t="str">
        <f>IF($J$21="нет","без дифференциации",$M$21)</f>
        <v>без дифференциации</v>
      </c>
      <c r="S21" s="728"/>
      <c r="T21" s="728"/>
      <c r="U21" s="729" t="s">
        <v>117</v>
      </c>
      <c r="V21" s="728"/>
      <c r="W21" s="728"/>
      <c r="X21" s="719"/>
      <c r="Y21" s="719" t="s">
        <v>217</v>
      </c>
      <c r="Z21" s="719">
        <v>1705000</v>
      </c>
      <c r="AA21" s="719"/>
      <c r="AB21" s="719"/>
      <c r="AC21" s="719"/>
      <c r="AD21" s="719"/>
      <c r="AE21" s="719"/>
      <c r="AF21" s="719"/>
      <c r="AG21" s="719"/>
      <c r="AH21" s="719"/>
      <c r="AI21" s="719"/>
      <c r="AJ21" s="719"/>
      <c r="AK21" s="719"/>
      <c r="AL21" s="719"/>
      <c r="AM21" s="7787"/>
    </row>
    <row customHeight="1" ht="15">
      <c r="A22" s="547"/>
      <c r="B22" s="547"/>
      <c r="C22" s="300"/>
      <c r="D22" s="1944"/>
      <c r="E22" s="1944"/>
      <c r="F22" s="1944"/>
      <c r="G22" s="2698"/>
      <c r="H22" s="2240"/>
      <c r="I22" s="2699"/>
      <c r="J22" s="2244"/>
      <c r="K22" s="545"/>
      <c r="L22" s="301"/>
      <c r="M22" s="731" t="s">
        <v>218</v>
      </c>
      <c r="N22" s="728"/>
      <c r="O22" s="728"/>
      <c r="P22" s="728"/>
      <c r="Q22" s="728"/>
      <c r="R22" s="728"/>
      <c r="S22" s="728"/>
      <c r="T22" s="728"/>
      <c r="U22" s="729"/>
      <c r="V22" s="728"/>
      <c r="W22" s="728"/>
      <c r="X22" s="719"/>
      <c r="Y22" s="719"/>
      <c r="Z22" s="719"/>
      <c r="AA22" s="719"/>
      <c r="AB22" s="719"/>
      <c r="AC22" s="719"/>
      <c r="AD22" s="719"/>
      <c r="AE22" s="719"/>
      <c r="AF22" s="719"/>
      <c r="AG22" s="719"/>
      <c r="AH22" s="719"/>
      <c r="AI22" s="719"/>
      <c r="AJ22" s="719"/>
      <c r="AK22" s="719"/>
      <c r="AL22" s="719"/>
      <c r="AM22" s="7787"/>
    </row>
    <row customHeight="1" ht="15">
      <c r="A23" s="547"/>
      <c r="B23" s="547"/>
      <c r="C23" s="300"/>
      <c r="D23" s="1944"/>
      <c r="E23" s="1944"/>
      <c r="F23" s="1944"/>
      <c r="G23" s="2698" t="s">
        <v>103</v>
      </c>
      <c r="H23" s="2240" t="s">
        <v>92</v>
      </c>
      <c r="I23" s="2699" t="str">
        <f>IF(U23="","",INDEX(TERRITORY_MR_LIST,MATCH(U23,TERRITORY_LIST_ID,0)))</f>
        <v>Территория 6</v>
      </c>
      <c r="J23" s="2244" t="s">
        <v>19</v>
      </c>
      <c r="K23" s="956"/>
      <c r="L23" s="1905" t="s">
        <v>210</v>
      </c>
      <c r="M23" s="727"/>
      <c r="N23" s="728"/>
      <c r="O23" s="728" t="s">
        <v>223</v>
      </c>
      <c r="P23" s="728" t="str">
        <f>$E$13</f>
        <v>Производство тепловой энергии. Некомбинированная выработка</v>
      </c>
      <c r="Q23" s="728" t="str">
        <f>IF($F$23="нет","без дифференциации",$I$23)</f>
        <v>Территория 6</v>
      </c>
      <c r="R23" s="728" t="str">
        <f>IF($J$23="нет","без дифференциации",$M$23)</f>
        <v>без дифференциации</v>
      </c>
      <c r="S23" s="728"/>
      <c r="T23" s="728"/>
      <c r="U23" s="729" t="s">
        <v>121</v>
      </c>
      <c r="V23" s="728"/>
      <c r="W23" s="728"/>
      <c r="X23" s="719"/>
      <c r="Y23" s="719" t="s">
        <v>217</v>
      </c>
      <c r="Z23" s="719">
        <v>1705000</v>
      </c>
      <c r="AA23" s="719"/>
      <c r="AB23" s="719"/>
      <c r="AC23" s="719"/>
      <c r="AD23" s="719"/>
      <c r="AE23" s="719"/>
      <c r="AF23" s="719"/>
      <c r="AG23" s="719"/>
      <c r="AH23" s="719"/>
      <c r="AI23" s="719"/>
      <c r="AJ23" s="719"/>
      <c r="AK23" s="719"/>
      <c r="AL23" s="719"/>
      <c r="AM23" s="7787"/>
    </row>
    <row customHeight="1" ht="15">
      <c r="A24" s="547"/>
      <c r="B24" s="547"/>
      <c r="C24" s="300"/>
      <c r="D24" s="1944"/>
      <c r="E24" s="1944"/>
      <c r="F24" s="1944"/>
      <c r="G24" s="2698"/>
      <c r="H24" s="2240"/>
      <c r="I24" s="2699"/>
      <c r="J24" s="2244"/>
      <c r="K24" s="545"/>
      <c r="L24" s="301"/>
      <c r="M24" s="731" t="s">
        <v>218</v>
      </c>
      <c r="N24" s="728"/>
      <c r="O24" s="728"/>
      <c r="P24" s="728"/>
      <c r="Q24" s="728"/>
      <c r="R24" s="728"/>
      <c r="S24" s="728"/>
      <c r="T24" s="728"/>
      <c r="U24" s="729"/>
      <c r="V24" s="728"/>
      <c r="W24" s="728"/>
      <c r="X24" s="719"/>
      <c r="Y24" s="719"/>
      <c r="Z24" s="719"/>
      <c r="AA24" s="719"/>
      <c r="AB24" s="719"/>
      <c r="AC24" s="719"/>
      <c r="AD24" s="719"/>
      <c r="AE24" s="719"/>
      <c r="AF24" s="719"/>
      <c r="AG24" s="719"/>
      <c r="AH24" s="719"/>
      <c r="AI24" s="719"/>
      <c r="AJ24" s="719"/>
      <c r="AK24" s="719"/>
      <c r="AL24" s="719"/>
      <c r="AM24" s="7787"/>
    </row>
    <row customHeight="1" ht="15">
      <c r="A25" s="547"/>
      <c r="B25" s="547"/>
      <c r="C25" s="300"/>
      <c r="D25" s="1944"/>
      <c r="E25" s="1944"/>
      <c r="F25" s="1944"/>
      <c r="G25" s="2698" t="s">
        <v>103</v>
      </c>
      <c r="H25" s="2240" t="s">
        <v>93</v>
      </c>
      <c r="I25" s="2699" t="str">
        <f>IF(U25="","",INDEX(TERRITORY_MR_LIST,MATCH(U25,TERRITORY_LIST_ID,0)))</f>
        <v>Территория 7</v>
      </c>
      <c r="J25" s="2244" t="s">
        <v>19</v>
      </c>
      <c r="K25" s="956"/>
      <c r="L25" s="1905" t="s">
        <v>210</v>
      </c>
      <c r="M25" s="727"/>
      <c r="N25" s="728"/>
      <c r="O25" s="728" t="s">
        <v>224</v>
      </c>
      <c r="P25" s="728" t="str">
        <f>$E$13</f>
        <v>Производство тепловой энергии. Некомбинированная выработка</v>
      </c>
      <c r="Q25" s="728" t="str">
        <f>IF($F$25="нет","без дифференциации",$I$25)</f>
        <v>Территория 7</v>
      </c>
      <c r="R25" s="728" t="str">
        <f>IF($J$25="нет","без дифференциации",$M$25)</f>
        <v>без дифференциации</v>
      </c>
      <c r="S25" s="728"/>
      <c r="T25" s="728"/>
      <c r="U25" s="729" t="s">
        <v>125</v>
      </c>
      <c r="V25" s="728"/>
      <c r="W25" s="728"/>
      <c r="X25" s="719"/>
      <c r="Y25" s="719" t="s">
        <v>217</v>
      </c>
      <c r="Z25" s="719">
        <v>1705000</v>
      </c>
      <c r="AA25" s="719"/>
      <c r="AB25" s="719"/>
      <c r="AC25" s="719"/>
      <c r="AD25" s="719"/>
      <c r="AE25" s="719"/>
      <c r="AF25" s="719"/>
      <c r="AG25" s="719"/>
      <c r="AH25" s="719"/>
      <c r="AI25" s="719"/>
      <c r="AJ25" s="719"/>
      <c r="AK25" s="719"/>
      <c r="AL25" s="719"/>
      <c r="AM25" s="7787"/>
    </row>
    <row customHeight="1" ht="15">
      <c r="A26" s="547"/>
      <c r="B26" s="547"/>
      <c r="C26" s="300"/>
      <c r="D26" s="1944"/>
      <c r="E26" s="1944"/>
      <c r="F26" s="1944"/>
      <c r="G26" s="2698"/>
      <c r="H26" s="2240"/>
      <c r="I26" s="2699"/>
      <c r="J26" s="2244"/>
      <c r="K26" s="545"/>
      <c r="L26" s="301"/>
      <c r="M26" s="731" t="s">
        <v>218</v>
      </c>
      <c r="N26" s="728"/>
      <c r="O26" s="728"/>
      <c r="P26" s="728"/>
      <c r="Q26" s="728"/>
      <c r="R26" s="728"/>
      <c r="S26" s="728"/>
      <c r="T26" s="728"/>
      <c r="U26" s="729"/>
      <c r="V26" s="728"/>
      <c r="W26" s="728"/>
      <c r="X26" s="719"/>
      <c r="Y26" s="719"/>
      <c r="Z26" s="719"/>
      <c r="AA26" s="719"/>
      <c r="AB26" s="719"/>
      <c r="AC26" s="719"/>
      <c r="AD26" s="719"/>
      <c r="AE26" s="719"/>
      <c r="AF26" s="719"/>
      <c r="AG26" s="719"/>
      <c r="AH26" s="719"/>
      <c r="AI26" s="719"/>
      <c r="AJ26" s="719"/>
      <c r="AK26" s="719"/>
      <c r="AL26" s="719"/>
      <c r="AM26" s="7787"/>
    </row>
    <row customHeight="1" ht="15">
      <c r="A27" s="547"/>
      <c r="B27" s="547"/>
      <c r="C27" s="300"/>
      <c r="D27" s="1944"/>
      <c r="E27" s="1944"/>
      <c r="F27" s="1944"/>
      <c r="G27" s="2698" t="s">
        <v>103</v>
      </c>
      <c r="H27" s="2240" t="s">
        <v>129</v>
      </c>
      <c r="I27" s="2699" t="str">
        <f>IF(U27="","",INDEX(TERRITORY_MR_LIST,MATCH(U27,TERRITORY_LIST_ID,0)))</f>
        <v>Территория 8</v>
      </c>
      <c r="J27" s="2244" t="s">
        <v>19</v>
      </c>
      <c r="K27" s="956"/>
      <c r="L27" s="1905" t="s">
        <v>210</v>
      </c>
      <c r="M27" s="727"/>
      <c r="N27" s="728"/>
      <c r="O27" s="728" t="s">
        <v>225</v>
      </c>
      <c r="P27" s="728" t="str">
        <f>$E$13</f>
        <v>Производство тепловой энергии. Некомбинированная выработка</v>
      </c>
      <c r="Q27" s="728" t="str">
        <f>IF($F$27="нет","без дифференциации",$I$27)</f>
        <v>Территория 8</v>
      </c>
      <c r="R27" s="728" t="str">
        <f>IF($J$27="нет","без дифференциации",$M$27)</f>
        <v>без дифференциации</v>
      </c>
      <c r="S27" s="728"/>
      <c r="T27" s="728"/>
      <c r="U27" s="729" t="s">
        <v>130</v>
      </c>
      <c r="V27" s="728"/>
      <c r="W27" s="728"/>
      <c r="X27" s="719"/>
      <c r="Y27" s="719" t="s">
        <v>217</v>
      </c>
      <c r="Z27" s="719">
        <v>1705000</v>
      </c>
      <c r="AA27" s="719"/>
      <c r="AB27" s="719"/>
      <c r="AC27" s="719"/>
      <c r="AD27" s="719"/>
      <c r="AE27" s="719"/>
      <c r="AF27" s="719"/>
      <c r="AG27" s="719"/>
      <c r="AH27" s="719"/>
      <c r="AI27" s="719"/>
      <c r="AJ27" s="719"/>
      <c r="AK27" s="719"/>
      <c r="AL27" s="719"/>
      <c r="AM27" s="7787"/>
    </row>
    <row customHeight="1" ht="15">
      <c r="A28" s="547"/>
      <c r="B28" s="547"/>
      <c r="C28" s="300"/>
      <c r="D28" s="1944"/>
      <c r="E28" s="1944"/>
      <c r="F28" s="1944"/>
      <c r="G28" s="2698"/>
      <c r="H28" s="2240"/>
      <c r="I28" s="2699"/>
      <c r="J28" s="2244"/>
      <c r="K28" s="545"/>
      <c r="L28" s="301"/>
      <c r="M28" s="731" t="s">
        <v>218</v>
      </c>
      <c r="N28" s="728"/>
      <c r="O28" s="728"/>
      <c r="P28" s="728"/>
      <c r="Q28" s="728"/>
      <c r="R28" s="728"/>
      <c r="S28" s="728"/>
      <c r="T28" s="728"/>
      <c r="U28" s="729"/>
      <c r="V28" s="728"/>
      <c r="W28" s="728"/>
      <c r="X28" s="719"/>
      <c r="Y28" s="719"/>
      <c r="Z28" s="719"/>
      <c r="AA28" s="719"/>
      <c r="AB28" s="719"/>
      <c r="AC28" s="719"/>
      <c r="AD28" s="719"/>
      <c r="AE28" s="719"/>
      <c r="AF28" s="719"/>
      <c r="AG28" s="719"/>
      <c r="AH28" s="719"/>
      <c r="AI28" s="719"/>
      <c r="AJ28" s="719"/>
      <c r="AK28" s="719"/>
      <c r="AL28" s="719"/>
      <c r="AM28" s="7787"/>
    </row>
    <row customHeight="1" ht="15">
      <c r="A29" s="547"/>
      <c r="B29" s="547"/>
      <c r="C29" s="300"/>
      <c r="D29" s="1944"/>
      <c r="E29" s="1944"/>
      <c r="F29" s="1944"/>
      <c r="G29" s="2698" t="s">
        <v>103</v>
      </c>
      <c r="H29" s="2240" t="s">
        <v>134</v>
      </c>
      <c r="I29" s="2699" t="str">
        <f>IF(U29="","",INDEX(TERRITORY_MR_LIST,MATCH(U29,TERRITORY_LIST_ID,0)))</f>
        <v>Территория 9</v>
      </c>
      <c r="J29" s="2244" t="s">
        <v>19</v>
      </c>
      <c r="K29" s="956"/>
      <c r="L29" s="1905" t="s">
        <v>210</v>
      </c>
      <c r="M29" s="727"/>
      <c r="N29" s="728"/>
      <c r="O29" s="728" t="s">
        <v>226</v>
      </c>
      <c r="P29" s="728" t="str">
        <f>$E$13</f>
        <v>Производство тепловой энергии. Некомбинированная выработка</v>
      </c>
      <c r="Q29" s="728" t="str">
        <f>IF($F$29="нет","без дифференциации",$I$29)</f>
        <v>Территория 9</v>
      </c>
      <c r="R29" s="728" t="str">
        <f>IF($J$29="нет","без дифференциации",$M$29)</f>
        <v>без дифференциации</v>
      </c>
      <c r="S29" s="728"/>
      <c r="T29" s="728"/>
      <c r="U29" s="729" t="s">
        <v>135</v>
      </c>
      <c r="V29" s="728"/>
      <c r="W29" s="728"/>
      <c r="X29" s="719"/>
      <c r="Y29" s="719" t="s">
        <v>217</v>
      </c>
      <c r="Z29" s="719">
        <v>1705000</v>
      </c>
      <c r="AA29" s="719"/>
      <c r="AB29" s="719"/>
      <c r="AC29" s="719"/>
      <c r="AD29" s="719"/>
      <c r="AE29" s="719"/>
      <c r="AF29" s="719"/>
      <c r="AG29" s="719"/>
      <c r="AH29" s="719"/>
      <c r="AI29" s="719"/>
      <c r="AJ29" s="719"/>
      <c r="AK29" s="719"/>
      <c r="AL29" s="719"/>
      <c r="AM29" s="7787"/>
    </row>
    <row customHeight="1" ht="15">
      <c r="A30" s="547"/>
      <c r="B30" s="547"/>
      <c r="C30" s="300"/>
      <c r="D30" s="1944"/>
      <c r="E30" s="1944"/>
      <c r="F30" s="1944"/>
      <c r="G30" s="2698"/>
      <c r="H30" s="2240"/>
      <c r="I30" s="2699"/>
      <c r="J30" s="2244"/>
      <c r="K30" s="545"/>
      <c r="L30" s="301"/>
      <c r="M30" s="731" t="s">
        <v>218</v>
      </c>
      <c r="N30" s="728"/>
      <c r="O30" s="728"/>
      <c r="P30" s="728"/>
      <c r="Q30" s="728"/>
      <c r="R30" s="728"/>
      <c r="S30" s="728"/>
      <c r="T30" s="728"/>
      <c r="U30" s="729"/>
      <c r="V30" s="728"/>
      <c r="W30" s="728"/>
      <c r="X30" s="719"/>
      <c r="Y30" s="719"/>
      <c r="Z30" s="719"/>
      <c r="AA30" s="719"/>
      <c r="AB30" s="719"/>
      <c r="AC30" s="719"/>
      <c r="AD30" s="719"/>
      <c r="AE30" s="719"/>
      <c r="AF30" s="719"/>
      <c r="AG30" s="719"/>
      <c r="AH30" s="719"/>
      <c r="AI30" s="719"/>
      <c r="AJ30" s="719"/>
      <c r="AK30" s="719"/>
      <c r="AL30" s="719"/>
      <c r="AM30" s="7787"/>
    </row>
    <row customHeight="1" ht="15">
      <c r="A31" s="547"/>
      <c r="B31" s="547"/>
      <c r="C31" s="300"/>
      <c r="D31" s="1944"/>
      <c r="E31" s="1944"/>
      <c r="F31" s="1944"/>
      <c r="G31" s="2698" t="s">
        <v>103</v>
      </c>
      <c r="H31" s="2240" t="s">
        <v>139</v>
      </c>
      <c r="I31" s="2699" t="str">
        <f>IF(U31="","",INDEX(TERRITORY_MR_LIST,MATCH(U31,TERRITORY_LIST_ID,0)))</f>
        <v>Территория 10</v>
      </c>
      <c r="J31" s="2244" t="s">
        <v>19</v>
      </c>
      <c r="K31" s="956"/>
      <c r="L31" s="1905" t="s">
        <v>210</v>
      </c>
      <c r="M31" s="727"/>
      <c r="N31" s="728"/>
      <c r="O31" s="728" t="s">
        <v>227</v>
      </c>
      <c r="P31" s="728" t="str">
        <f>$E$13</f>
        <v>Производство тепловой энергии. Некомбинированная выработка</v>
      </c>
      <c r="Q31" s="728" t="str">
        <f>IF($F$31="нет","без дифференциации",$I$31)</f>
        <v>Территория 10</v>
      </c>
      <c r="R31" s="728" t="str">
        <f>IF($J$31="нет","без дифференциации",$M$31)</f>
        <v>без дифференциации</v>
      </c>
      <c r="S31" s="728"/>
      <c r="T31" s="728"/>
      <c r="U31" s="729" t="s">
        <v>140</v>
      </c>
      <c r="V31" s="728"/>
      <c r="W31" s="728"/>
      <c r="X31" s="719"/>
      <c r="Y31" s="719" t="s">
        <v>217</v>
      </c>
      <c r="Z31" s="719">
        <v>1705000</v>
      </c>
      <c r="AA31" s="719"/>
      <c r="AB31" s="719"/>
      <c r="AC31" s="719"/>
      <c r="AD31" s="719"/>
      <c r="AE31" s="719"/>
      <c r="AF31" s="719"/>
      <c r="AG31" s="719"/>
      <c r="AH31" s="719"/>
      <c r="AI31" s="719"/>
      <c r="AJ31" s="719"/>
      <c r="AK31" s="719"/>
      <c r="AL31" s="719"/>
      <c r="AM31" s="7787"/>
    </row>
    <row customHeight="1" ht="15">
      <c r="A32" s="547"/>
      <c r="B32" s="547"/>
      <c r="C32" s="300"/>
      <c r="D32" s="1944"/>
      <c r="E32" s="1944"/>
      <c r="F32" s="1944"/>
      <c r="G32" s="2698"/>
      <c r="H32" s="2240"/>
      <c r="I32" s="2699"/>
      <c r="J32" s="2244"/>
      <c r="K32" s="545"/>
      <c r="L32" s="301"/>
      <c r="M32" s="731" t="s">
        <v>218</v>
      </c>
      <c r="N32" s="728"/>
      <c r="O32" s="728"/>
      <c r="P32" s="728"/>
      <c r="Q32" s="728"/>
      <c r="R32" s="728"/>
      <c r="S32" s="728"/>
      <c r="T32" s="728"/>
      <c r="U32" s="729"/>
      <c r="V32" s="728"/>
      <c r="W32" s="728"/>
      <c r="X32" s="719"/>
      <c r="Y32" s="719"/>
      <c r="Z32" s="719"/>
      <c r="AA32" s="719"/>
      <c r="AB32" s="719"/>
      <c r="AC32" s="719"/>
      <c r="AD32" s="719"/>
      <c r="AE32" s="719"/>
      <c r="AF32" s="719"/>
      <c r="AG32" s="719"/>
      <c r="AH32" s="719"/>
      <c r="AI32" s="719"/>
      <c r="AJ32" s="719"/>
      <c r="AK32" s="719"/>
      <c r="AL32" s="719"/>
      <c r="AM32" s="7787"/>
    </row>
    <row customHeight="1" ht="15">
      <c r="A33" s="547"/>
      <c r="B33" s="547"/>
      <c r="C33" s="300"/>
      <c r="D33" s="1944"/>
      <c r="E33" s="1944"/>
      <c r="F33" s="1944"/>
      <c r="G33" s="2698" t="s">
        <v>103</v>
      </c>
      <c r="H33" s="2240" t="s">
        <v>144</v>
      </c>
      <c r="I33" s="2699" t="str">
        <f>IF(U33="","",INDEX(TERRITORY_MR_LIST,MATCH(U33,TERRITORY_LIST_ID,0)))</f>
        <v>Территория 11</v>
      </c>
      <c r="J33" s="2244" t="s">
        <v>19</v>
      </c>
      <c r="K33" s="956"/>
      <c r="L33" s="1905" t="s">
        <v>210</v>
      </c>
      <c r="M33" s="727"/>
      <c r="N33" s="728"/>
      <c r="O33" s="728" t="s">
        <v>228</v>
      </c>
      <c r="P33" s="728" t="str">
        <f>$E$13</f>
        <v>Производство тепловой энергии. Некомбинированная выработка</v>
      </c>
      <c r="Q33" s="728" t="str">
        <f>IF($F$33="нет","без дифференциации",$I$33)</f>
        <v>Территория 11</v>
      </c>
      <c r="R33" s="728" t="str">
        <f>IF($J$33="нет","без дифференциации",$M$33)</f>
        <v>без дифференциации</v>
      </c>
      <c r="S33" s="728"/>
      <c r="T33" s="728"/>
      <c r="U33" s="729" t="s">
        <v>145</v>
      </c>
      <c r="V33" s="728"/>
      <c r="W33" s="728"/>
      <c r="X33" s="719"/>
      <c r="Y33" s="719" t="s">
        <v>217</v>
      </c>
      <c r="Z33" s="719">
        <v>1705000</v>
      </c>
      <c r="AA33" s="719"/>
      <c r="AB33" s="719"/>
      <c r="AC33" s="719"/>
      <c r="AD33" s="719"/>
      <c r="AE33" s="719"/>
      <c r="AF33" s="719"/>
      <c r="AG33" s="719"/>
      <c r="AH33" s="719"/>
      <c r="AI33" s="719"/>
      <c r="AJ33" s="719"/>
      <c r="AK33" s="719"/>
      <c r="AL33" s="719"/>
      <c r="AM33" s="7787"/>
    </row>
    <row customHeight="1" ht="15">
      <c r="A34" s="547"/>
      <c r="B34" s="547"/>
      <c r="C34" s="300"/>
      <c r="D34" s="1944"/>
      <c r="E34" s="1944"/>
      <c r="F34" s="1944"/>
      <c r="G34" s="2698"/>
      <c r="H34" s="2240"/>
      <c r="I34" s="2699"/>
      <c r="J34" s="2244"/>
      <c r="K34" s="545"/>
      <c r="L34" s="301"/>
      <c r="M34" s="731" t="s">
        <v>218</v>
      </c>
      <c r="N34" s="728"/>
      <c r="O34" s="728"/>
      <c r="P34" s="728"/>
      <c r="Q34" s="728"/>
      <c r="R34" s="728"/>
      <c r="S34" s="728"/>
      <c r="T34" s="728"/>
      <c r="U34" s="729"/>
      <c r="V34" s="728"/>
      <c r="W34" s="728"/>
      <c r="X34" s="719"/>
      <c r="Y34" s="719"/>
      <c r="Z34" s="719"/>
      <c r="AA34" s="719"/>
      <c r="AB34" s="719"/>
      <c r="AC34" s="719"/>
      <c r="AD34" s="719"/>
      <c r="AE34" s="719"/>
      <c r="AF34" s="719"/>
      <c r="AG34" s="719"/>
      <c r="AH34" s="719"/>
      <c r="AI34" s="719"/>
      <c r="AJ34" s="719"/>
      <c r="AK34" s="719"/>
      <c r="AL34" s="719"/>
      <c r="AM34" s="7787"/>
    </row>
    <row customHeight="1" ht="15">
      <c r="A35" s="547"/>
      <c r="B35" s="547"/>
      <c r="C35" s="300"/>
      <c r="D35" s="1944"/>
      <c r="E35" s="1944"/>
      <c r="F35" s="1944"/>
      <c r="G35" s="2698" t="s">
        <v>103</v>
      </c>
      <c r="H35" s="2240" t="s">
        <v>149</v>
      </c>
      <c r="I35" s="2699" t="str">
        <f>IF(U35="","",INDEX(TERRITORY_MR_LIST,MATCH(U35,TERRITORY_LIST_ID,0)))</f>
        <v>Территория 12</v>
      </c>
      <c r="J35" s="2244" t="s">
        <v>19</v>
      </c>
      <c r="K35" s="956"/>
      <c r="L35" s="1905" t="s">
        <v>210</v>
      </c>
      <c r="M35" s="727"/>
      <c r="N35" s="728"/>
      <c r="O35" s="728" t="s">
        <v>229</v>
      </c>
      <c r="P35" s="728" t="str">
        <f>$E$13</f>
        <v>Производство тепловой энергии. Некомбинированная выработка</v>
      </c>
      <c r="Q35" s="728" t="str">
        <f>IF($F$35="нет","без дифференциации",$I$35)</f>
        <v>Территория 12</v>
      </c>
      <c r="R35" s="728" t="str">
        <f>IF($J$35="нет","без дифференциации",$M$35)</f>
        <v>без дифференциации</v>
      </c>
      <c r="S35" s="728"/>
      <c r="T35" s="728"/>
      <c r="U35" s="729" t="s">
        <v>150</v>
      </c>
      <c r="V35" s="728"/>
      <c r="W35" s="728"/>
      <c r="X35" s="719"/>
      <c r="Y35" s="719" t="s">
        <v>217</v>
      </c>
      <c r="Z35" s="719">
        <v>1705000</v>
      </c>
      <c r="AA35" s="719"/>
      <c r="AB35" s="719"/>
      <c r="AC35" s="719"/>
      <c r="AD35" s="719"/>
      <c r="AE35" s="719"/>
      <c r="AF35" s="719"/>
      <c r="AG35" s="719"/>
      <c r="AH35" s="719"/>
      <c r="AI35" s="719"/>
      <c r="AJ35" s="719"/>
      <c r="AK35" s="719"/>
      <c r="AL35" s="719"/>
      <c r="AM35" s="7787"/>
    </row>
    <row customHeight="1" ht="15">
      <c r="A36" s="547"/>
      <c r="B36" s="547"/>
      <c r="C36" s="300"/>
      <c r="D36" s="1944"/>
      <c r="E36" s="1944"/>
      <c r="F36" s="1944"/>
      <c r="G36" s="2698"/>
      <c r="H36" s="2240"/>
      <c r="I36" s="2699"/>
      <c r="J36" s="2244"/>
      <c r="K36" s="545"/>
      <c r="L36" s="301"/>
      <c r="M36" s="731" t="s">
        <v>218</v>
      </c>
      <c r="N36" s="728"/>
      <c r="O36" s="728"/>
      <c r="P36" s="728"/>
      <c r="Q36" s="728"/>
      <c r="R36" s="728"/>
      <c r="S36" s="728"/>
      <c r="T36" s="728"/>
      <c r="U36" s="729"/>
      <c r="V36" s="728"/>
      <c r="W36" s="728"/>
      <c r="X36" s="719"/>
      <c r="Y36" s="719"/>
      <c r="Z36" s="719"/>
      <c r="AA36" s="719"/>
      <c r="AB36" s="719"/>
      <c r="AC36" s="719"/>
      <c r="AD36" s="719"/>
      <c r="AE36" s="719"/>
      <c r="AF36" s="719"/>
      <c r="AG36" s="719"/>
      <c r="AH36" s="719"/>
      <c r="AI36" s="719"/>
      <c r="AJ36" s="719"/>
      <c r="AK36" s="719"/>
      <c r="AL36" s="719"/>
      <c r="AM36" s="7787"/>
    </row>
    <row customHeight="1" ht="15">
      <c r="A37" s="547"/>
      <c r="B37" s="547"/>
      <c r="C37" s="300"/>
      <c r="D37" s="1944"/>
      <c r="E37" s="1944"/>
      <c r="F37" s="1944"/>
      <c r="G37" s="2698" t="s">
        <v>103</v>
      </c>
      <c r="H37" s="2240" t="s">
        <v>154</v>
      </c>
      <c r="I37" s="2699" t="str">
        <f>IF(U37="","",INDEX(TERRITORY_MR_LIST,MATCH(U37,TERRITORY_LIST_ID,0)))</f>
        <v>Территория 13</v>
      </c>
      <c r="J37" s="2244" t="s">
        <v>19</v>
      </c>
      <c r="K37" s="956"/>
      <c r="L37" s="1905" t="s">
        <v>210</v>
      </c>
      <c r="M37" s="727"/>
      <c r="N37" s="728"/>
      <c r="O37" s="728" t="s">
        <v>230</v>
      </c>
      <c r="P37" s="728" t="str">
        <f>$E$13</f>
        <v>Производство тепловой энергии. Некомбинированная выработка</v>
      </c>
      <c r="Q37" s="728" t="str">
        <f>IF($F$37="нет","без дифференциации",$I$37)</f>
        <v>Территория 13</v>
      </c>
      <c r="R37" s="728" t="str">
        <f>IF($J$37="нет","без дифференциации",$M$37)</f>
        <v>без дифференциации</v>
      </c>
      <c r="S37" s="728"/>
      <c r="T37" s="728"/>
      <c r="U37" s="729" t="s">
        <v>155</v>
      </c>
      <c r="V37" s="728"/>
      <c r="W37" s="728"/>
      <c r="X37" s="719"/>
      <c r="Y37" s="719" t="s">
        <v>217</v>
      </c>
      <c r="Z37" s="719">
        <v>1705000</v>
      </c>
      <c r="AA37" s="719"/>
      <c r="AB37" s="719"/>
      <c r="AC37" s="719"/>
      <c r="AD37" s="719"/>
      <c r="AE37" s="719"/>
      <c r="AF37" s="719"/>
      <c r="AG37" s="719"/>
      <c r="AH37" s="719"/>
      <c r="AI37" s="719"/>
      <c r="AJ37" s="719"/>
      <c r="AK37" s="719"/>
      <c r="AL37" s="719"/>
      <c r="AM37" s="7787"/>
    </row>
    <row customHeight="1" ht="15">
      <c r="A38" s="547"/>
      <c r="B38" s="547"/>
      <c r="C38" s="300"/>
      <c r="D38" s="1944"/>
      <c r="E38" s="1944"/>
      <c r="F38" s="1944"/>
      <c r="G38" s="2698"/>
      <c r="H38" s="2240"/>
      <c r="I38" s="2699"/>
      <c r="J38" s="2244"/>
      <c r="K38" s="545"/>
      <c r="L38" s="301"/>
      <c r="M38" s="731" t="s">
        <v>218</v>
      </c>
      <c r="N38" s="728"/>
      <c r="O38" s="728"/>
      <c r="P38" s="728"/>
      <c r="Q38" s="728"/>
      <c r="R38" s="728"/>
      <c r="S38" s="728"/>
      <c r="T38" s="728"/>
      <c r="U38" s="729"/>
      <c r="V38" s="728"/>
      <c r="W38" s="728"/>
      <c r="X38" s="719"/>
      <c r="Y38" s="719"/>
      <c r="Z38" s="719"/>
      <c r="AA38" s="719"/>
      <c r="AB38" s="719"/>
      <c r="AC38" s="719"/>
      <c r="AD38" s="719"/>
      <c r="AE38" s="719"/>
      <c r="AF38" s="719"/>
      <c r="AG38" s="719"/>
      <c r="AH38" s="719"/>
      <c r="AI38" s="719"/>
      <c r="AJ38" s="719"/>
      <c r="AK38" s="719"/>
      <c r="AL38" s="719"/>
      <c r="AM38" s="7787"/>
    </row>
    <row customHeight="1" ht="15">
      <c r="A39" s="547"/>
      <c r="B39" s="547"/>
      <c r="C39" s="300"/>
      <c r="D39" s="1944"/>
      <c r="E39" s="1944"/>
      <c r="F39" s="1944"/>
      <c r="G39" s="2698" t="s">
        <v>103</v>
      </c>
      <c r="H39" s="2240" t="s">
        <v>159</v>
      </c>
      <c r="I39" s="2699" t="str">
        <f>IF(U39="","",INDEX(TERRITORY_MR_LIST,MATCH(U39,TERRITORY_LIST_ID,0)))</f>
        <v>Территория 14</v>
      </c>
      <c r="J39" s="2244" t="s">
        <v>19</v>
      </c>
      <c r="K39" s="956"/>
      <c r="L39" s="1905" t="s">
        <v>210</v>
      </c>
      <c r="M39" s="727"/>
      <c r="N39" s="728"/>
      <c r="O39" s="728" t="s">
        <v>231</v>
      </c>
      <c r="P39" s="728" t="str">
        <f>$E$13</f>
        <v>Производство тепловой энергии. Некомбинированная выработка</v>
      </c>
      <c r="Q39" s="728" t="str">
        <f>IF($F$39="нет","без дифференциации",$I$39)</f>
        <v>Территория 14</v>
      </c>
      <c r="R39" s="728" t="str">
        <f>IF($J$39="нет","без дифференциации",$M$39)</f>
        <v>без дифференциации</v>
      </c>
      <c r="S39" s="728"/>
      <c r="T39" s="728"/>
      <c r="U39" s="729" t="s">
        <v>160</v>
      </c>
      <c r="V39" s="728"/>
      <c r="W39" s="728"/>
      <c r="X39" s="719"/>
      <c r="Y39" s="719" t="s">
        <v>217</v>
      </c>
      <c r="Z39" s="719">
        <v>1705000</v>
      </c>
      <c r="AA39" s="719"/>
      <c r="AB39" s="719"/>
      <c r="AC39" s="719"/>
      <c r="AD39" s="719"/>
      <c r="AE39" s="719"/>
      <c r="AF39" s="719"/>
      <c r="AG39" s="719"/>
      <c r="AH39" s="719"/>
      <c r="AI39" s="719"/>
      <c r="AJ39" s="719"/>
      <c r="AK39" s="719"/>
      <c r="AL39" s="719"/>
      <c r="AM39" s="7787"/>
    </row>
    <row customHeight="1" ht="15">
      <c r="A40" s="547"/>
      <c r="B40" s="547"/>
      <c r="C40" s="300"/>
      <c r="D40" s="1944"/>
      <c r="E40" s="1944"/>
      <c r="F40" s="1944"/>
      <c r="G40" s="2698"/>
      <c r="H40" s="2240"/>
      <c r="I40" s="2699"/>
      <c r="J40" s="2244"/>
      <c r="K40" s="545"/>
      <c r="L40" s="301"/>
      <c r="M40" s="731" t="s">
        <v>218</v>
      </c>
      <c r="N40" s="728"/>
      <c r="O40" s="728"/>
      <c r="P40" s="728"/>
      <c r="Q40" s="728"/>
      <c r="R40" s="728"/>
      <c r="S40" s="728"/>
      <c r="T40" s="728"/>
      <c r="U40" s="729"/>
      <c r="V40" s="728"/>
      <c r="W40" s="728"/>
      <c r="X40" s="719"/>
      <c r="Y40" s="719"/>
      <c r="Z40" s="719"/>
      <c r="AA40" s="719"/>
      <c r="AB40" s="719"/>
      <c r="AC40" s="719"/>
      <c r="AD40" s="719"/>
      <c r="AE40" s="719"/>
      <c r="AF40" s="719"/>
      <c r="AG40" s="719"/>
      <c r="AH40" s="719"/>
      <c r="AI40" s="719"/>
      <c r="AJ40" s="719"/>
      <c r="AK40" s="719"/>
      <c r="AL40" s="719"/>
      <c r="AM40" s="7787"/>
    </row>
    <row customHeight="1" ht="15">
      <c r="A41" s="547"/>
      <c r="B41" s="547"/>
      <c r="C41" s="300"/>
      <c r="D41" s="1944"/>
      <c r="E41" s="1944"/>
      <c r="F41" s="1944"/>
      <c r="G41" s="2698" t="s">
        <v>103</v>
      </c>
      <c r="H41" s="2240" t="s">
        <v>164</v>
      </c>
      <c r="I41" s="2699" t="str">
        <f>IF(U41="","",INDEX(TERRITORY_MR_LIST,MATCH(U41,TERRITORY_LIST_ID,0)))</f>
        <v>Территория 15</v>
      </c>
      <c r="J41" s="2244" t="s">
        <v>19</v>
      </c>
      <c r="K41" s="956"/>
      <c r="L41" s="1905" t="s">
        <v>210</v>
      </c>
      <c r="M41" s="727"/>
      <c r="N41" s="728"/>
      <c r="O41" s="728" t="s">
        <v>232</v>
      </c>
      <c r="P41" s="728" t="str">
        <f>$E$13</f>
        <v>Производство тепловой энергии. Некомбинированная выработка</v>
      </c>
      <c r="Q41" s="728" t="str">
        <f>IF($F$41="нет","без дифференциации",$I$41)</f>
        <v>Территория 15</v>
      </c>
      <c r="R41" s="728" t="str">
        <f>IF($J$41="нет","без дифференциации",$M$41)</f>
        <v>без дифференциации</v>
      </c>
      <c r="S41" s="728"/>
      <c r="T41" s="728"/>
      <c r="U41" s="729" t="s">
        <v>165</v>
      </c>
      <c r="V41" s="728"/>
      <c r="W41" s="728"/>
      <c r="X41" s="719"/>
      <c r="Y41" s="719" t="s">
        <v>217</v>
      </c>
      <c r="Z41" s="719">
        <v>1705000</v>
      </c>
      <c r="AA41" s="719"/>
      <c r="AB41" s="719"/>
      <c r="AC41" s="719"/>
      <c r="AD41" s="719"/>
      <c r="AE41" s="719"/>
      <c r="AF41" s="719"/>
      <c r="AG41" s="719"/>
      <c r="AH41" s="719"/>
      <c r="AI41" s="719"/>
      <c r="AJ41" s="719"/>
      <c r="AK41" s="719"/>
      <c r="AL41" s="719"/>
      <c r="AM41" s="7787"/>
    </row>
    <row customHeight="1" ht="15">
      <c r="A42" s="547"/>
      <c r="B42" s="547"/>
      <c r="C42" s="300"/>
      <c r="D42" s="1944"/>
      <c r="E42" s="1944"/>
      <c r="F42" s="1944"/>
      <c r="G42" s="2698"/>
      <c r="H42" s="2240"/>
      <c r="I42" s="2699"/>
      <c r="J42" s="2244"/>
      <c r="K42" s="545"/>
      <c r="L42" s="301"/>
      <c r="M42" s="731" t="s">
        <v>218</v>
      </c>
      <c r="N42" s="728"/>
      <c r="O42" s="728"/>
      <c r="P42" s="728"/>
      <c r="Q42" s="728"/>
      <c r="R42" s="728"/>
      <c r="S42" s="728"/>
      <c r="T42" s="728"/>
      <c r="U42" s="729"/>
      <c r="V42" s="728"/>
      <c r="W42" s="728"/>
      <c r="X42" s="719"/>
      <c r="Y42" s="719"/>
      <c r="Z42" s="719"/>
      <c r="AA42" s="719"/>
      <c r="AB42" s="719"/>
      <c r="AC42" s="719"/>
      <c r="AD42" s="719"/>
      <c r="AE42" s="719"/>
      <c r="AF42" s="719"/>
      <c r="AG42" s="719"/>
      <c r="AH42" s="719"/>
      <c r="AI42" s="719"/>
      <c r="AJ42" s="719"/>
      <c r="AK42" s="719"/>
      <c r="AL42" s="719"/>
      <c r="AM42" s="7787"/>
    </row>
    <row customHeight="1" ht="15">
      <c r="A43" s="547"/>
      <c r="B43" s="547"/>
      <c r="C43" s="300"/>
      <c r="D43" s="1944"/>
      <c r="E43" s="1944"/>
      <c r="F43" s="1944"/>
      <c r="G43" s="2698" t="s">
        <v>103</v>
      </c>
      <c r="H43" s="2240" t="s">
        <v>169</v>
      </c>
      <c r="I43" s="2699" t="str">
        <f>IF(U43="","",INDEX(TERRITORY_MR_LIST,MATCH(U43,TERRITORY_LIST_ID,0)))</f>
        <v>Территория 16</v>
      </c>
      <c r="J43" s="2244" t="s">
        <v>19</v>
      </c>
      <c r="K43" s="956"/>
      <c r="L43" s="1905" t="s">
        <v>210</v>
      </c>
      <c r="M43" s="727"/>
      <c r="N43" s="728"/>
      <c r="O43" s="728" t="s">
        <v>233</v>
      </c>
      <c r="P43" s="728" t="str">
        <f>$E$13</f>
        <v>Производство тепловой энергии. Некомбинированная выработка</v>
      </c>
      <c r="Q43" s="728" t="str">
        <f>IF($F$43="нет","без дифференциации",$I$43)</f>
        <v>Территория 16</v>
      </c>
      <c r="R43" s="728" t="str">
        <f>IF($J$43="нет","без дифференциации",$M$43)</f>
        <v>без дифференциации</v>
      </c>
      <c r="S43" s="728"/>
      <c r="T43" s="728"/>
      <c r="U43" s="729" t="s">
        <v>170</v>
      </c>
      <c r="V43" s="728"/>
      <c r="W43" s="728"/>
      <c r="X43" s="719"/>
      <c r="Y43" s="719" t="s">
        <v>217</v>
      </c>
      <c r="Z43" s="719">
        <v>1705000</v>
      </c>
      <c r="AA43" s="719"/>
      <c r="AB43" s="719"/>
      <c r="AC43" s="719"/>
      <c r="AD43" s="719"/>
      <c r="AE43" s="719"/>
      <c r="AF43" s="719"/>
      <c r="AG43" s="719"/>
      <c r="AH43" s="719"/>
      <c r="AI43" s="719"/>
      <c r="AJ43" s="719"/>
      <c r="AK43" s="719"/>
      <c r="AL43" s="719"/>
      <c r="AM43" s="7787"/>
    </row>
    <row customHeight="1" ht="15">
      <c r="A44" s="547"/>
      <c r="B44" s="547"/>
      <c r="C44" s="300"/>
      <c r="D44" s="1944"/>
      <c r="E44" s="1944"/>
      <c r="F44" s="1944"/>
      <c r="G44" s="2698"/>
      <c r="H44" s="2240"/>
      <c r="I44" s="2699"/>
      <c r="J44" s="2244"/>
      <c r="K44" s="545"/>
      <c r="L44" s="301"/>
      <c r="M44" s="731" t="s">
        <v>218</v>
      </c>
      <c r="N44" s="728"/>
      <c r="O44" s="728"/>
      <c r="P44" s="728"/>
      <c r="Q44" s="728"/>
      <c r="R44" s="728"/>
      <c r="S44" s="728"/>
      <c r="T44" s="728"/>
      <c r="U44" s="729"/>
      <c r="V44" s="728"/>
      <c r="W44" s="728"/>
      <c r="X44" s="719"/>
      <c r="Y44" s="719"/>
      <c r="Z44" s="719"/>
      <c r="AA44" s="719"/>
      <c r="AB44" s="719"/>
      <c r="AC44" s="719"/>
      <c r="AD44" s="719"/>
      <c r="AE44" s="719"/>
      <c r="AF44" s="719"/>
      <c r="AG44" s="719"/>
      <c r="AH44" s="719"/>
      <c r="AI44" s="719"/>
      <c r="AJ44" s="719"/>
      <c r="AK44" s="719"/>
      <c r="AL44" s="719"/>
      <c r="AM44" s="7787"/>
    </row>
    <row customHeight="1" ht="15">
      <c r="A45" s="547"/>
      <c r="B45" s="547"/>
      <c r="C45" s="300"/>
      <c r="D45" s="1944"/>
      <c r="E45" s="1944"/>
      <c r="F45" s="1944"/>
      <c r="G45" s="2698" t="s">
        <v>103</v>
      </c>
      <c r="H45" s="2240" t="s">
        <v>174</v>
      </c>
      <c r="I45" s="2699" t="str">
        <f>IF(U45="","",INDEX(TERRITORY_MR_LIST,MATCH(U45,TERRITORY_LIST_ID,0)))</f>
        <v>Территория 17</v>
      </c>
      <c r="J45" s="2244" t="s">
        <v>19</v>
      </c>
      <c r="K45" s="956"/>
      <c r="L45" s="1905" t="s">
        <v>210</v>
      </c>
      <c r="M45" s="727"/>
      <c r="N45" s="728"/>
      <c r="O45" s="728" t="s">
        <v>234</v>
      </c>
      <c r="P45" s="728" t="str">
        <f>$E$13</f>
        <v>Производство тепловой энергии. Некомбинированная выработка</v>
      </c>
      <c r="Q45" s="728" t="str">
        <f>IF($F$45="нет","без дифференциации",$I$45)</f>
        <v>Территория 17</v>
      </c>
      <c r="R45" s="728" t="str">
        <f>IF($J$45="нет","без дифференциации",$M$45)</f>
        <v>без дифференциации</v>
      </c>
      <c r="S45" s="728"/>
      <c r="T45" s="728"/>
      <c r="U45" s="729" t="s">
        <v>175</v>
      </c>
      <c r="V45" s="728"/>
      <c r="W45" s="728"/>
      <c r="X45" s="719"/>
      <c r="Y45" s="719" t="s">
        <v>217</v>
      </c>
      <c r="Z45" s="719">
        <v>1705000</v>
      </c>
      <c r="AA45" s="719"/>
      <c r="AB45" s="719"/>
      <c r="AC45" s="719"/>
      <c r="AD45" s="719"/>
      <c r="AE45" s="719"/>
      <c r="AF45" s="719"/>
      <c r="AG45" s="719"/>
      <c r="AH45" s="719"/>
      <c r="AI45" s="719"/>
      <c r="AJ45" s="719"/>
      <c r="AK45" s="719"/>
      <c r="AL45" s="719"/>
      <c r="AM45" s="7787"/>
    </row>
    <row customHeight="1" ht="15">
      <c r="A46" s="547"/>
      <c r="B46" s="547"/>
      <c r="C46" s="300"/>
      <c r="D46" s="1944"/>
      <c r="E46" s="1944"/>
      <c r="F46" s="1944"/>
      <c r="G46" s="2698"/>
      <c r="H46" s="2240"/>
      <c r="I46" s="2699"/>
      <c r="J46" s="2244"/>
      <c r="K46" s="545"/>
      <c r="L46" s="301"/>
      <c r="M46" s="731" t="s">
        <v>218</v>
      </c>
      <c r="N46" s="728"/>
      <c r="O46" s="728"/>
      <c r="P46" s="728"/>
      <c r="Q46" s="728"/>
      <c r="R46" s="728"/>
      <c r="S46" s="728"/>
      <c r="T46" s="728"/>
      <c r="U46" s="729"/>
      <c r="V46" s="728"/>
      <c r="W46" s="728"/>
      <c r="X46" s="719"/>
      <c r="Y46" s="719"/>
      <c r="Z46" s="719"/>
      <c r="AA46" s="719"/>
      <c r="AB46" s="719"/>
      <c r="AC46" s="719"/>
      <c r="AD46" s="719"/>
      <c r="AE46" s="719"/>
      <c r="AF46" s="719"/>
      <c r="AG46" s="719"/>
      <c r="AH46" s="719"/>
      <c r="AI46" s="719"/>
      <c r="AJ46" s="719"/>
      <c r="AK46" s="719"/>
      <c r="AL46" s="719"/>
      <c r="AM46" s="7787"/>
    </row>
    <row customHeight="1" ht="15">
      <c r="A47" s="547"/>
      <c r="B47" s="547"/>
      <c r="C47" s="300"/>
      <c r="D47" s="1944"/>
      <c r="E47" s="1944"/>
      <c r="F47" s="1944"/>
      <c r="G47" s="2698" t="s">
        <v>103</v>
      </c>
      <c r="H47" s="2240" t="s">
        <v>179</v>
      </c>
      <c r="I47" s="2699" t="str">
        <f>IF(U47="","",INDEX(TERRITORY_MR_LIST,MATCH(U47,TERRITORY_LIST_ID,0)))</f>
        <v>Территория 18</v>
      </c>
      <c r="J47" s="2244" t="s">
        <v>19</v>
      </c>
      <c r="K47" s="956"/>
      <c r="L47" s="1905" t="s">
        <v>210</v>
      </c>
      <c r="M47" s="727"/>
      <c r="N47" s="728"/>
      <c r="O47" s="728" t="s">
        <v>235</v>
      </c>
      <c r="P47" s="728" t="str">
        <f>$E$13</f>
        <v>Производство тепловой энергии. Некомбинированная выработка</v>
      </c>
      <c r="Q47" s="728" t="str">
        <f>IF($F$47="нет","без дифференциации",$I$47)</f>
        <v>Территория 18</v>
      </c>
      <c r="R47" s="728" t="str">
        <f>IF($J$47="нет","без дифференциации",$M$47)</f>
        <v>без дифференциации</v>
      </c>
      <c r="S47" s="728"/>
      <c r="T47" s="728"/>
      <c r="U47" s="729" t="s">
        <v>180</v>
      </c>
      <c r="V47" s="728"/>
      <c r="W47" s="728"/>
      <c r="X47" s="719"/>
      <c r="Y47" s="719" t="s">
        <v>217</v>
      </c>
      <c r="Z47" s="719">
        <v>1705000</v>
      </c>
      <c r="AA47" s="719"/>
      <c r="AB47" s="719"/>
      <c r="AC47" s="719"/>
      <c r="AD47" s="719"/>
      <c r="AE47" s="719"/>
      <c r="AF47" s="719"/>
      <c r="AG47" s="719"/>
      <c r="AH47" s="719"/>
      <c r="AI47" s="719"/>
      <c r="AJ47" s="719"/>
      <c r="AK47" s="719"/>
      <c r="AL47" s="719"/>
      <c r="AM47" s="7787"/>
    </row>
    <row customHeight="1" ht="15">
      <c r="A48" s="547"/>
      <c r="B48" s="547"/>
      <c r="C48" s="300"/>
      <c r="D48" s="1944"/>
      <c r="E48" s="1944"/>
      <c r="F48" s="1944"/>
      <c r="G48" s="2698"/>
      <c r="H48" s="2240"/>
      <c r="I48" s="2699"/>
      <c r="J48" s="2244"/>
      <c r="K48" s="545"/>
      <c r="L48" s="301"/>
      <c r="M48" s="731" t="s">
        <v>218</v>
      </c>
      <c r="N48" s="728"/>
      <c r="O48" s="728"/>
      <c r="P48" s="728"/>
      <c r="Q48" s="728"/>
      <c r="R48" s="728"/>
      <c r="S48" s="728"/>
      <c r="T48" s="728"/>
      <c r="U48" s="729"/>
      <c r="V48" s="728"/>
      <c r="W48" s="728"/>
      <c r="X48" s="719"/>
      <c r="Y48" s="719"/>
      <c r="Z48" s="719"/>
      <c r="AA48" s="719"/>
      <c r="AB48" s="719"/>
      <c r="AC48" s="719"/>
      <c r="AD48" s="719"/>
      <c r="AE48" s="719"/>
      <c r="AF48" s="719"/>
      <c r="AG48" s="719"/>
      <c r="AH48" s="719"/>
      <c r="AI48" s="719"/>
      <c r="AJ48" s="719"/>
      <c r="AK48" s="719"/>
      <c r="AL48" s="719"/>
      <c r="AM48" s="7787"/>
    </row>
    <row customHeight="1" ht="15">
      <c r="A49" s="547"/>
      <c r="B49" s="547"/>
      <c r="C49" s="300"/>
      <c r="D49" s="1944"/>
      <c r="E49" s="1944"/>
      <c r="F49" s="1944"/>
      <c r="G49" s="2698" t="s">
        <v>103</v>
      </c>
      <c r="H49" s="2240" t="s">
        <v>184</v>
      </c>
      <c r="I49" s="2699" t="str">
        <f>IF(U49="","",INDEX(TERRITORY_MR_LIST,MATCH(U49,TERRITORY_LIST_ID,0)))</f>
        <v>Территория 19</v>
      </c>
      <c r="J49" s="2244" t="s">
        <v>19</v>
      </c>
      <c r="K49" s="956"/>
      <c r="L49" s="1905" t="s">
        <v>210</v>
      </c>
      <c r="M49" s="727"/>
      <c r="N49" s="728"/>
      <c r="O49" s="728" t="s">
        <v>236</v>
      </c>
      <c r="P49" s="728" t="str">
        <f>$E$13</f>
        <v>Производство тепловой энергии. Некомбинированная выработка</v>
      </c>
      <c r="Q49" s="728" t="str">
        <f>IF($F$49="нет","без дифференциации",$I$49)</f>
        <v>Территория 19</v>
      </c>
      <c r="R49" s="728" t="str">
        <f>IF($J$49="нет","без дифференциации",$M$49)</f>
        <v>без дифференциации</v>
      </c>
      <c r="S49" s="728"/>
      <c r="T49" s="728"/>
      <c r="U49" s="729" t="s">
        <v>185</v>
      </c>
      <c r="V49" s="728"/>
      <c r="W49" s="728"/>
      <c r="X49" s="719"/>
      <c r="Y49" s="719" t="s">
        <v>217</v>
      </c>
      <c r="Z49" s="719">
        <v>1705000</v>
      </c>
      <c r="AA49" s="719"/>
      <c r="AB49" s="719"/>
      <c r="AC49" s="719"/>
      <c r="AD49" s="719"/>
      <c r="AE49" s="719"/>
      <c r="AF49" s="719"/>
      <c r="AG49" s="719"/>
      <c r="AH49" s="719"/>
      <c r="AI49" s="719"/>
      <c r="AJ49" s="719"/>
      <c r="AK49" s="719"/>
      <c r="AL49" s="719"/>
      <c r="AM49" s="7787"/>
    </row>
    <row customHeight="1" ht="15">
      <c r="A50" s="547"/>
      <c r="B50" s="547"/>
      <c r="C50" s="300"/>
      <c r="D50" s="1944"/>
      <c r="E50" s="1944"/>
      <c r="F50" s="1944"/>
      <c r="G50" s="2698"/>
      <c r="H50" s="2240"/>
      <c r="I50" s="2699"/>
      <c r="J50" s="2244"/>
      <c r="K50" s="545"/>
      <c r="L50" s="301"/>
      <c r="M50" s="731" t="s">
        <v>218</v>
      </c>
      <c r="N50" s="728"/>
      <c r="O50" s="728"/>
      <c r="P50" s="728"/>
      <c r="Q50" s="728"/>
      <c r="R50" s="728"/>
      <c r="S50" s="728"/>
      <c r="T50" s="728"/>
      <c r="U50" s="729"/>
      <c r="V50" s="728"/>
      <c r="W50" s="728"/>
      <c r="X50" s="719"/>
      <c r="Y50" s="719"/>
      <c r="Z50" s="719"/>
      <c r="AA50" s="719"/>
      <c r="AB50" s="719"/>
      <c r="AC50" s="719"/>
      <c r="AD50" s="719"/>
      <c r="AE50" s="719"/>
      <c r="AF50" s="719"/>
      <c r="AG50" s="719"/>
      <c r="AH50" s="719"/>
      <c r="AI50" s="719"/>
      <c r="AJ50" s="719"/>
      <c r="AK50" s="719"/>
      <c r="AL50" s="719"/>
      <c r="AM50" s="7787"/>
    </row>
    <row customHeight="1" ht="15">
      <c r="A51" s="547"/>
      <c r="B51" s="547"/>
      <c r="C51" s="300"/>
      <c r="D51" s="1944"/>
      <c r="E51" s="1944"/>
      <c r="F51" s="1944"/>
      <c r="G51" s="2698" t="s">
        <v>103</v>
      </c>
      <c r="H51" s="2240" t="s">
        <v>189</v>
      </c>
      <c r="I51" s="2699" t="str">
        <f>IF(U51="","",INDEX(TERRITORY_MR_LIST,MATCH(U51,TERRITORY_LIST_ID,0)))</f>
        <v>Территория 20</v>
      </c>
      <c r="J51" s="2244" t="s">
        <v>19</v>
      </c>
      <c r="K51" s="956"/>
      <c r="L51" s="1905" t="s">
        <v>210</v>
      </c>
      <c r="M51" s="727"/>
      <c r="N51" s="728"/>
      <c r="O51" s="728" t="s">
        <v>237</v>
      </c>
      <c r="P51" s="728" t="str">
        <f>$E$13</f>
        <v>Производство тепловой энергии. Некомбинированная выработка</v>
      </c>
      <c r="Q51" s="728" t="str">
        <f>IF($F$51="нет","без дифференциации",$I$51)</f>
        <v>Территория 20</v>
      </c>
      <c r="R51" s="728" t="str">
        <f>IF($J$51="нет","без дифференциации",$M$51)</f>
        <v>без дифференциации</v>
      </c>
      <c r="S51" s="728"/>
      <c r="T51" s="728"/>
      <c r="U51" s="729" t="s">
        <v>190</v>
      </c>
      <c r="V51" s="728"/>
      <c r="W51" s="728"/>
      <c r="X51" s="719"/>
      <c r="Y51" s="719" t="s">
        <v>217</v>
      </c>
      <c r="Z51" s="719">
        <v>1705000</v>
      </c>
      <c r="AA51" s="719"/>
      <c r="AB51" s="719"/>
      <c r="AC51" s="719"/>
      <c r="AD51" s="719"/>
      <c r="AE51" s="719"/>
      <c r="AF51" s="719"/>
      <c r="AG51" s="719"/>
      <c r="AH51" s="719"/>
      <c r="AI51" s="719"/>
      <c r="AJ51" s="719"/>
      <c r="AK51" s="719"/>
      <c r="AL51" s="719"/>
      <c r="AM51" s="7787"/>
    </row>
    <row customHeight="1" ht="15">
      <c r="A52" s="547"/>
      <c r="B52" s="547"/>
      <c r="C52" s="300"/>
      <c r="D52" s="1944"/>
      <c r="E52" s="1944"/>
      <c r="F52" s="1944"/>
      <c r="G52" s="2698"/>
      <c r="H52" s="2240"/>
      <c r="I52" s="2699"/>
      <c r="J52" s="2244"/>
      <c r="K52" s="545"/>
      <c r="L52" s="301"/>
      <c r="M52" s="731" t="s">
        <v>218</v>
      </c>
      <c r="N52" s="728"/>
      <c r="O52" s="728"/>
      <c r="P52" s="728"/>
      <c r="Q52" s="728"/>
      <c r="R52" s="728"/>
      <c r="S52" s="728"/>
      <c r="T52" s="728"/>
      <c r="U52" s="729"/>
      <c r="V52" s="728"/>
      <c r="W52" s="728"/>
      <c r="X52" s="719"/>
      <c r="Y52" s="719"/>
      <c r="Z52" s="719"/>
      <c r="AA52" s="719"/>
      <c r="AB52" s="719"/>
      <c r="AC52" s="719"/>
      <c r="AD52" s="719"/>
      <c r="AE52" s="719"/>
      <c r="AF52" s="719"/>
      <c r="AG52" s="719"/>
      <c r="AH52" s="719"/>
      <c r="AI52" s="719"/>
      <c r="AJ52" s="719"/>
      <c r="AK52" s="719"/>
      <c r="AL52" s="719"/>
      <c r="AM52" s="7787"/>
    </row>
    <row customHeight="1" ht="15">
      <c r="A53" s="547"/>
      <c r="B53" s="547"/>
      <c r="C53" s="300"/>
      <c r="D53" s="1944"/>
      <c r="E53" s="1944"/>
      <c r="F53" s="1944"/>
      <c r="G53" s="2698" t="s">
        <v>103</v>
      </c>
      <c r="H53" s="2240" t="s">
        <v>195</v>
      </c>
      <c r="I53" s="2699" t="str">
        <f>IF(U53="","",INDEX(TERRITORY_MR_LIST,MATCH(U53,TERRITORY_LIST_ID,0)))</f>
        <v>Территория 21</v>
      </c>
      <c r="J53" s="2244" t="s">
        <v>19</v>
      </c>
      <c r="K53" s="956"/>
      <c r="L53" s="1905" t="s">
        <v>210</v>
      </c>
      <c r="M53" s="727"/>
      <c r="N53" s="728"/>
      <c r="O53" s="728" t="s">
        <v>238</v>
      </c>
      <c r="P53" s="728" t="str">
        <f>$E$13</f>
        <v>Производство тепловой энергии. Некомбинированная выработка</v>
      </c>
      <c r="Q53" s="728" t="str">
        <f>IF($F$53="нет","без дифференциации",$I$53)</f>
        <v>Территория 21</v>
      </c>
      <c r="R53" s="728" t="str">
        <f>IF($J$53="нет","без дифференциации",$M$53)</f>
        <v>без дифференциации</v>
      </c>
      <c r="S53" s="728"/>
      <c r="T53" s="728"/>
      <c r="U53" s="729" t="s">
        <v>196</v>
      </c>
      <c r="V53" s="728"/>
      <c r="W53" s="728"/>
      <c r="X53" s="719"/>
      <c r="Y53" s="719" t="s">
        <v>217</v>
      </c>
      <c r="Z53" s="719">
        <v>1705000</v>
      </c>
      <c r="AA53" s="719"/>
      <c r="AB53" s="719"/>
      <c r="AC53" s="719"/>
      <c r="AD53" s="719"/>
      <c r="AE53" s="719"/>
      <c r="AF53" s="719"/>
      <c r="AG53" s="719"/>
      <c r="AH53" s="719"/>
      <c r="AI53" s="719"/>
      <c r="AJ53" s="719"/>
      <c r="AK53" s="719"/>
      <c r="AL53" s="719"/>
      <c r="AM53" s="7787"/>
    </row>
    <row customHeight="1" ht="15">
      <c r="A54" s="547"/>
      <c r="B54" s="547"/>
      <c r="C54" s="300"/>
      <c r="D54" s="1944"/>
      <c r="E54" s="1944"/>
      <c r="F54" s="1944"/>
      <c r="G54" s="2698"/>
      <c r="H54" s="2240"/>
      <c r="I54" s="2699"/>
      <c r="J54" s="2244"/>
      <c r="K54" s="545"/>
      <c r="L54" s="301"/>
      <c r="M54" s="731" t="s">
        <v>218</v>
      </c>
      <c r="N54" s="728"/>
      <c r="O54" s="728"/>
      <c r="P54" s="728"/>
      <c r="Q54" s="728"/>
      <c r="R54" s="728"/>
      <c r="S54" s="728"/>
      <c r="T54" s="728"/>
      <c r="U54" s="729"/>
      <c r="V54" s="728"/>
      <c r="W54" s="728"/>
      <c r="X54" s="719"/>
      <c r="Y54" s="719"/>
      <c r="Z54" s="719"/>
      <c r="AA54" s="719"/>
      <c r="AB54" s="719"/>
      <c r="AC54" s="719"/>
      <c r="AD54" s="719"/>
      <c r="AE54" s="719"/>
      <c r="AF54" s="719"/>
      <c r="AG54" s="719"/>
      <c r="AH54" s="719"/>
      <c r="AI54" s="719"/>
      <c r="AJ54" s="719"/>
      <c r="AK54" s="719"/>
      <c r="AL54" s="719"/>
      <c r="AM54" s="7787"/>
    </row>
    <row customHeight="1" ht="15">
      <c r="A55" s="547"/>
      <c r="B55" s="547"/>
      <c r="C55" s="300"/>
      <c r="D55" s="1944"/>
      <c r="E55" s="1944"/>
      <c r="F55" s="1944"/>
      <c r="G55" s="2698" t="s">
        <v>103</v>
      </c>
      <c r="H55" s="2240" t="s">
        <v>199</v>
      </c>
      <c r="I55" s="2699" t="str">
        <f>IF(U55="","",INDEX(TERRITORY_MR_LIST,MATCH(U55,TERRITORY_LIST_ID,0)))</f>
        <v>Территория 22</v>
      </c>
      <c r="J55" s="2244" t="s">
        <v>19</v>
      </c>
      <c r="K55" s="956"/>
      <c r="L55" s="1905" t="s">
        <v>210</v>
      </c>
      <c r="M55" s="727"/>
      <c r="N55" s="728"/>
      <c r="O55" s="728" t="s">
        <v>239</v>
      </c>
      <c r="P55" s="728" t="str">
        <f>$E$13</f>
        <v>Производство тепловой энергии. Некомбинированная выработка</v>
      </c>
      <c r="Q55" s="728" t="str">
        <f>IF($F$55="нет","без дифференциации",$I$55)</f>
        <v>Территория 22</v>
      </c>
      <c r="R55" s="728" t="str">
        <f>IF($J$55="нет","без дифференциации",$M$55)</f>
        <v>без дифференциации</v>
      </c>
      <c r="S55" s="728"/>
      <c r="T55" s="728"/>
      <c r="U55" s="729" t="s">
        <v>200</v>
      </c>
      <c r="V55" s="728"/>
      <c r="W55" s="728"/>
      <c r="X55" s="719"/>
      <c r="Y55" s="719" t="s">
        <v>217</v>
      </c>
      <c r="Z55" s="719">
        <v>1705000</v>
      </c>
      <c r="AA55" s="719"/>
      <c r="AB55" s="719"/>
      <c r="AC55" s="719"/>
      <c r="AD55" s="719"/>
      <c r="AE55" s="719"/>
      <c r="AF55" s="719"/>
      <c r="AG55" s="719"/>
      <c r="AH55" s="719"/>
      <c r="AI55" s="719"/>
      <c r="AJ55" s="719"/>
      <c r="AK55" s="719"/>
      <c r="AL55" s="719"/>
      <c r="AM55" s="7787"/>
    </row>
    <row customHeight="1" ht="15">
      <c r="A56" s="547"/>
      <c r="B56" s="547"/>
      <c r="C56" s="300"/>
      <c r="D56" s="1944"/>
      <c r="E56" s="1944"/>
      <c r="F56" s="1944"/>
      <c r="G56" s="2698"/>
      <c r="H56" s="2240"/>
      <c r="I56" s="2699"/>
      <c r="J56" s="2244"/>
      <c r="K56" s="545"/>
      <c r="L56" s="301"/>
      <c r="M56" s="731" t="s">
        <v>218</v>
      </c>
      <c r="N56" s="728"/>
      <c r="O56" s="728"/>
      <c r="P56" s="728"/>
      <c r="Q56" s="728"/>
      <c r="R56" s="728"/>
      <c r="S56" s="728"/>
      <c r="T56" s="728"/>
      <c r="U56" s="729"/>
      <c r="V56" s="728"/>
      <c r="W56" s="728"/>
      <c r="X56" s="719"/>
      <c r="Y56" s="719"/>
      <c r="Z56" s="719"/>
      <c r="AA56" s="719"/>
      <c r="AB56" s="719"/>
      <c r="AC56" s="719"/>
      <c r="AD56" s="719"/>
      <c r="AE56" s="719"/>
      <c r="AF56" s="719"/>
      <c r="AG56" s="719"/>
      <c r="AH56" s="719"/>
      <c r="AI56" s="719"/>
      <c r="AJ56" s="719"/>
      <c r="AK56" s="719"/>
      <c r="AL56" s="719"/>
      <c r="AM56" s="7787"/>
    </row>
    <row s="7787" customFormat="1" customHeight="1" ht="15.75">
      <c r="A57" s="417"/>
      <c r="B57" s="417"/>
      <c r="C57" s="300"/>
      <c r="D57" s="2245"/>
      <c r="E57" s="2248"/>
      <c r="F57" s="2244"/>
      <c r="G57" s="1184"/>
      <c r="H57" s="1185"/>
      <c r="I57" s="704" t="s">
        <v>240</v>
      </c>
      <c r="J57" s="301"/>
      <c r="K57" s="301"/>
      <c r="L57" s="301"/>
      <c r="M57" s="732"/>
      <c r="N57" s="936"/>
      <c r="O57" s="1540"/>
      <c r="P57" s="1537"/>
      <c r="Q57" s="1537"/>
      <c r="R57" s="1537"/>
      <c r="S57" s="1540"/>
      <c r="T57" s="1540"/>
      <c r="U57" s="1390"/>
      <c r="V57" s="1390"/>
      <c r="W57" s="1390"/>
      <c r="X57" s="1390"/>
      <c r="Y57" s="728"/>
      <c r="Z57" s="728"/>
      <c r="AA57" s="728"/>
      <c r="AB57" s="728"/>
      <c r="AC57" s="728"/>
      <c r="AD57" s="728"/>
      <c r="AE57" s="728"/>
      <c r="AF57" s="728"/>
      <c r="AG57" s="728"/>
      <c r="AH57" s="728"/>
      <c r="AI57" s="728"/>
      <c r="AJ57" s="728"/>
      <c r="AK57" s="728"/>
      <c r="AL57" s="728"/>
      <c r="AM57" s="730">
        <v>15</v>
      </c>
    </row>
    <row customHeight="1" ht="15.75">
      <c r="A58" s="733"/>
      <c r="B58" s="259"/>
      <c r="C58" s="930"/>
      <c r="D58" s="545"/>
      <c r="E58" s="695" t="s">
        <v>241</v>
      </c>
      <c r="F58" s="301"/>
      <c r="G58" s="301"/>
      <c r="H58" s="301"/>
      <c r="I58" s="301"/>
      <c r="J58" s="301"/>
      <c r="K58" s="301" t="s">
        <v>22</v>
      </c>
      <c r="L58" s="301"/>
      <c r="M58" s="732"/>
      <c r="N58" s="1751"/>
      <c r="AM58" s="707">
        <v>15</v>
      </c>
    </row>
    <row customHeight="1" ht="11.25" hidden="1">
      <c r="A59" s="707" t="s">
        <v>82</v>
      </c>
      <c r="B59" s="707">
        <v>0</v>
      </c>
      <c r="C59" s="707">
        <v>3</v>
      </c>
      <c r="D59" s="707">
        <v>4</v>
      </c>
      <c r="E59" s="707">
        <v>44</v>
      </c>
      <c r="F59" s="707">
        <v>6</v>
      </c>
      <c r="G59" s="707">
        <v>4</v>
      </c>
      <c r="H59" s="707">
        <v>5</v>
      </c>
      <c r="I59" s="707">
        <v>52</v>
      </c>
      <c r="J59" s="707">
        <v>6</v>
      </c>
      <c r="K59" s="707">
        <v>3</v>
      </c>
      <c r="L59" s="707">
        <v>6</v>
      </c>
      <c r="M59" s="707">
        <v>56</v>
      </c>
      <c r="N59" s="708">
        <v>8</v>
      </c>
      <c r="O59" s="1537">
        <v>0</v>
      </c>
      <c r="P59" s="1537">
        <v>0</v>
      </c>
      <c r="Q59" s="1537">
        <v>0</v>
      </c>
      <c r="R59" s="1537">
        <v>0</v>
      </c>
      <c r="S59" s="1537">
        <v>0</v>
      </c>
      <c r="T59" s="1537">
        <v>0</v>
      </c>
      <c r="U59" s="1387">
        <v>0</v>
      </c>
      <c r="V59" s="1387">
        <v>0</v>
      </c>
      <c r="W59" s="1387">
        <v>0</v>
      </c>
      <c r="X59" s="1387">
        <v>0</v>
      </c>
      <c r="Y59" s="708">
        <v>0</v>
      </c>
      <c r="Z59" s="708">
        <v>0</v>
      </c>
      <c r="AA59" s="708">
        <v>0</v>
      </c>
      <c r="AB59" s="708">
        <v>0</v>
      </c>
      <c r="AC59" s="708">
        <v>0</v>
      </c>
      <c r="AD59" s="708">
        <v>0</v>
      </c>
      <c r="AE59" s="708">
        <v>0</v>
      </c>
      <c r="AF59" s="708">
        <v>0</v>
      </c>
      <c r="AG59" s="708">
        <v>0</v>
      </c>
      <c r="AH59" s="708">
        <v>0</v>
      </c>
      <c r="AI59" s="708">
        <v>0</v>
      </c>
      <c r="AJ59" s="708">
        <v>0</v>
      </c>
      <c r="AK59" s="708">
        <v>0</v>
      </c>
      <c r="AL59" s="708">
        <v>8</v>
      </c>
      <c r="AM59" s="707">
        <v>11</v>
      </c>
    </row>
  </sheetData>
  <sheetProtection formatColumns="0" formatRows="0" autoFilter="0" sort="0" insertRows="0" insertColumns="1" deleteRows="0" deleteColumns="0"/>
  <mergeCells count="10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57"/>
    <mergeCell ref="E13:E57"/>
    <mergeCell ref="F13:F57"/>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s>
  <dataValidations count="2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FD4A58-6015-4DA8-46E3-2234C23B83D1}" mc:Ignorable="x14ac xr xr2 xr3">
  <sheetPr>
    <tabColor rgb="FFE26B0A"/>
  </sheetPr>
  <dimension ref="A1:BL40"/>
  <sheetViews>
    <sheetView showGridLines="0" zoomScale="90" workbookViewId="0">
      <pane xSplit="8" ySplit="31" topLeftCell="BA32" activePane="bottomRight" state="frozen"/>
      <selection pane="bottomLeft" activeCell="A32" sqref="A32"/>
      <selection pane="topRight" activeCell="I1" sqref="I1"/>
      <selection pane="bottomRight" activeCell="BA25" sqref="BA25"/>
    </sheetView>
  </sheetViews>
  <sheetFormatPr defaultColWidth="10.57421875" customHeight="1" defaultRowHeight="15"/>
  <cols>
    <col min="1" max="1" style="7464" width="9.140625" hidden="1" customWidth="1"/>
    <col min="2" max="2" style="7213" width="9.140625" hidden="1" customWidth="1"/>
    <col min="3" max="3" style="7121" width="4.00390625" customWidth="1"/>
    <col min="4" max="4" style="7213" width="6.00390625" customWidth="1"/>
    <col min="5" max="5" style="7213" width="36.00390625" customWidth="1"/>
    <col min="6" max="6" style="7213" width="9.00390625" customWidth="1"/>
    <col min="7" max="7" style="7213" width="25.7109375" hidden="1" customWidth="1"/>
    <col min="8" max="8" style="7213" width="33.7109375" hidden="1" customWidth="1"/>
    <col min="9" max="9" style="7213" width="25.7109375" customWidth="1"/>
    <col min="10" max="10" style="7213" width="33.00390625" customWidth="1"/>
    <col min="11" max="11" style="7213" width="25.7109375" customWidth="1"/>
    <col min="12" max="12" style="7213" width="33.7109375" customWidth="1"/>
    <col min="13" max="13" style="7213" width="25.7109375" customWidth="1"/>
    <col min="14" max="14" style="7213" width="33.7109375" customWidth="1"/>
    <col min="15" max="15" style="7213" width="25.7109375" customWidth="1"/>
    <col min="16" max="16" style="7213" width="33.7109375" customWidth="1"/>
    <col min="17" max="17" style="7213" width="25.7109375" customWidth="1"/>
    <col min="18" max="18" style="7213" width="33.7109375" customWidth="1"/>
    <col min="19" max="19" style="7213" width="25.7109375" customWidth="1"/>
    <col min="20" max="20" style="7213" width="33.7109375" customWidth="1"/>
    <col min="21" max="21" style="7213" width="25.7109375" customWidth="1"/>
    <col min="22" max="22" style="7213" width="33.7109375" customWidth="1"/>
    <col min="23" max="23" style="7213" width="25.7109375" customWidth="1"/>
    <col min="24" max="24" style="7213" width="33.7109375" customWidth="1"/>
    <col min="25" max="25" style="7213" width="25.7109375" customWidth="1"/>
    <col min="26" max="26" style="7213" width="33.7109375" customWidth="1"/>
    <col min="27" max="27" style="7213" width="25.7109375" customWidth="1"/>
    <col min="28" max="28" style="7213" width="33.7109375" customWidth="1"/>
    <col min="29" max="29" style="7213" width="25.7109375" customWidth="1"/>
    <col min="30" max="30" style="7213" width="33.7109375" customWidth="1"/>
    <col min="31" max="31" style="7213" width="25.7109375" customWidth="1"/>
    <col min="32" max="32" style="7213" width="33.7109375" customWidth="1"/>
    <col min="33" max="33" style="7213" width="25.7109375" customWidth="1"/>
    <col min="34" max="34" style="7213" width="33.7109375" customWidth="1"/>
    <col min="35" max="35" style="7213" width="25.7109375" customWidth="1"/>
    <col min="36" max="36" style="7213" width="33.7109375" customWidth="1"/>
    <col min="37" max="37" style="7213" width="25.7109375" customWidth="1"/>
    <col min="38" max="38" style="7213" width="33.7109375" customWidth="1"/>
    <col min="39" max="39" style="7213" width="25.7109375" customWidth="1"/>
    <col min="40" max="40" style="7213" width="33.7109375" customWidth="1"/>
    <col min="41" max="41" style="7213" width="25.7109375" customWidth="1"/>
    <col min="42" max="42" style="7213" width="33.7109375" customWidth="1"/>
    <col min="43" max="43" style="7213" width="25.7109375" customWidth="1"/>
    <col min="44" max="44" style="7213" width="33.7109375" customWidth="1"/>
    <col min="45" max="45" style="7213" width="25.7109375" customWidth="1"/>
    <col min="46" max="46" style="7213" width="33.7109375" customWidth="1"/>
    <col min="47" max="47" style="7213" width="25.7109375" customWidth="1"/>
    <col min="48" max="48" style="7213" width="33.7109375" customWidth="1"/>
    <col min="49" max="49" style="7213" width="25.7109375" customWidth="1"/>
    <col min="50" max="50" style="7213" width="33.7109375" customWidth="1"/>
    <col min="51" max="51" style="7213" width="25.7109375" customWidth="1"/>
    <col min="52" max="52" style="7213" width="33.7109375" customWidth="1"/>
    <col min="53" max="53" style="7158" width="93.00390625" customWidth="1"/>
    <col min="54" max="62" style="7213" width="10.00390625" customWidth="1"/>
    <col min="63" max="63" style="7249" width="10.00390625" customWidth="1"/>
    <col min="64" max="64" style="7213" width="10.57421875" hidden="1"/>
  </cols>
  <sheetData>
    <row s="7158" customFormat="1" customHeight="1" ht="22.5" hidden="1">
      <c r="C1" s="796"/>
      <c r="G1" s="541">
        <v>4</v>
      </c>
      <c r="I1" s="541">
        <v>4</v>
      </c>
      <c r="K1" s="7158">
        <v>4</v>
      </c>
      <c r="L1" s="7158"/>
      <c r="M1" s="7158">
        <v>4</v>
      </c>
      <c r="N1" s="7158"/>
      <c r="O1" s="7158">
        <v>4</v>
      </c>
      <c r="P1" s="7158"/>
      <c r="Q1" s="7158">
        <v>4</v>
      </c>
      <c r="R1" s="7158"/>
      <c r="S1" s="7158">
        <v>4</v>
      </c>
      <c r="T1" s="7158"/>
      <c r="U1" s="7158">
        <v>4</v>
      </c>
      <c r="V1" s="7158"/>
      <c r="W1" s="7158">
        <v>4</v>
      </c>
      <c r="X1" s="7158"/>
      <c r="Y1" s="7158">
        <v>4</v>
      </c>
      <c r="Z1" s="7158"/>
      <c r="AA1" s="7158">
        <v>4</v>
      </c>
      <c r="AB1" s="7158"/>
      <c r="AC1" s="7158">
        <v>4</v>
      </c>
      <c r="AD1" s="7158"/>
      <c r="AE1" s="7158">
        <v>4</v>
      </c>
      <c r="AF1" s="7158"/>
      <c r="AG1" s="7158">
        <v>4</v>
      </c>
      <c r="AH1" s="7158"/>
      <c r="AI1" s="7158">
        <v>4</v>
      </c>
      <c r="AJ1" s="7158"/>
      <c r="AK1" s="7158">
        <v>4</v>
      </c>
      <c r="AL1" s="7158"/>
      <c r="AM1" s="7158">
        <v>4</v>
      </c>
      <c r="AN1" s="7158"/>
      <c r="AO1" s="7158">
        <v>4</v>
      </c>
      <c r="AP1" s="7158"/>
      <c r="AQ1" s="7158">
        <v>4</v>
      </c>
      <c r="AR1" s="7158"/>
      <c r="AS1" s="7158">
        <v>4</v>
      </c>
      <c r="AT1" s="7158"/>
      <c r="AU1" s="7158">
        <v>4</v>
      </c>
      <c r="AV1" s="7158"/>
      <c r="AW1" s="7158">
        <v>4</v>
      </c>
      <c r="AX1" s="7158"/>
      <c r="AY1" s="7158">
        <v>4</v>
      </c>
      <c r="AZ1" s="7158"/>
      <c r="BK1" s="544"/>
      <c r="BL1" s="541" t="s">
        <v>14</v>
      </c>
    </row>
    <row s="7158" customFormat="1" customHeight="1" ht="15" hidden="1">
      <c r="C2" s="796"/>
      <c r="K2" s="7158"/>
      <c r="L2" s="7158"/>
      <c r="M2" s="7158"/>
      <c r="N2" s="7158"/>
      <c r="O2" s="7158"/>
      <c r="P2" s="7158"/>
      <c r="Q2" s="7158"/>
      <c r="R2" s="7158"/>
      <c r="S2" s="7158"/>
      <c r="T2" s="7158"/>
      <c r="U2" s="7158"/>
      <c r="V2" s="7158"/>
      <c r="W2" s="7158"/>
      <c r="X2" s="7158"/>
      <c r="Y2" s="7158"/>
      <c r="Z2" s="7158"/>
      <c r="AA2" s="7158"/>
      <c r="AB2" s="7158"/>
      <c r="AC2" s="7158"/>
      <c r="AD2" s="7158"/>
      <c r="AE2" s="7158"/>
      <c r="AF2" s="7158"/>
      <c r="AG2" s="7158"/>
      <c r="AH2" s="7158"/>
      <c r="AI2" s="7158"/>
      <c r="AJ2" s="7158"/>
      <c r="AK2" s="7158"/>
      <c r="AL2" s="7158"/>
      <c r="AM2" s="7158"/>
      <c r="AN2" s="7158"/>
      <c r="AO2" s="7158"/>
      <c r="AP2" s="7158"/>
      <c r="AQ2" s="7158"/>
      <c r="AR2" s="7158"/>
      <c r="AS2" s="7158"/>
      <c r="AT2" s="7158"/>
      <c r="AU2" s="7158"/>
      <c r="AV2" s="7158"/>
      <c r="AW2" s="7158"/>
      <c r="AX2" s="7158"/>
      <c r="AY2" s="7158"/>
      <c r="AZ2" s="7158"/>
      <c r="BK2" s="544"/>
      <c r="BL2" s="541">
        <v>0</v>
      </c>
    </row>
    <row customHeight="1" ht="22.5" hidden="1">
      <c r="A3" s="629"/>
      <c r="B3" s="2534"/>
      <c r="C3" s="2535" t="s">
        <v>103</v>
      </c>
      <c r="D3" s="813" t="str">
        <f>B3&amp;".1"</f>
        <v>.1</v>
      </c>
      <c r="E3" s="814" t="s">
        <v>1110</v>
      </c>
      <c r="F3" s="815" t="s">
        <v>418</v>
      </c>
      <c r="G3" s="810"/>
      <c r="H3" s="525"/>
      <c r="I3" s="810"/>
      <c r="J3" s="525"/>
      <c r="K3" s="6877"/>
      <c r="L3" s="6670"/>
      <c r="M3" s="6877"/>
      <c r="N3" s="6670"/>
      <c r="O3" s="6877"/>
      <c r="P3" s="6670"/>
      <c r="Q3" s="6877"/>
      <c r="R3" s="6670"/>
      <c r="S3" s="6877"/>
      <c r="T3" s="6670"/>
      <c r="U3" s="6877"/>
      <c r="V3" s="6670"/>
      <c r="W3" s="6877"/>
      <c r="X3" s="6670"/>
      <c r="Y3" s="6877"/>
      <c r="Z3" s="6670"/>
      <c r="AA3" s="6877"/>
      <c r="AB3" s="6670"/>
      <c r="AC3" s="6877"/>
      <c r="AD3" s="6670"/>
      <c r="AE3" s="6877"/>
      <c r="AF3" s="6670"/>
      <c r="AG3" s="6877"/>
      <c r="AH3" s="6670"/>
      <c r="AI3" s="6877"/>
      <c r="AJ3" s="6670"/>
      <c r="AK3" s="6877"/>
      <c r="AL3" s="6670"/>
      <c r="AM3" s="6877"/>
      <c r="AN3" s="6670"/>
      <c r="AO3" s="6877"/>
      <c r="AP3" s="6670"/>
      <c r="AQ3" s="6877"/>
      <c r="AR3" s="6670"/>
      <c r="AS3" s="6877"/>
      <c r="AT3" s="6670"/>
      <c r="AU3" s="6877"/>
      <c r="AV3" s="6670"/>
      <c r="AW3" s="6877"/>
      <c r="AX3" s="6670"/>
      <c r="AY3" s="6877"/>
      <c r="AZ3" s="6670"/>
      <c r="BA3" s="413" t="s">
        <v>1111</v>
      </c>
      <c r="BL3" s="629">
        <v>0</v>
      </c>
    </row>
    <row customHeight="1" ht="15" hidden="1">
      <c r="A4" s="629"/>
      <c r="B4" s="2534"/>
      <c r="C4" s="2535"/>
      <c r="D4" s="813" t="str">
        <f>B3&amp;".2"</f>
        <v>.2</v>
      </c>
      <c r="E4" s="814" t="s">
        <v>1112</v>
      </c>
      <c r="F4" s="815" t="s">
        <v>418</v>
      </c>
      <c r="G4" s="1861" t="s">
        <v>22</v>
      </c>
      <c r="H4" s="525"/>
      <c r="I4" s="1861" t="s">
        <v>22</v>
      </c>
      <c r="J4" s="525"/>
      <c r="K4" s="6915" t="s">
        <v>22</v>
      </c>
      <c r="L4" s="6670"/>
      <c r="M4" s="6915" t="s">
        <v>22</v>
      </c>
      <c r="N4" s="6670"/>
      <c r="O4" s="6915" t="s">
        <v>22</v>
      </c>
      <c r="P4" s="6670"/>
      <c r="Q4" s="6915" t="s">
        <v>22</v>
      </c>
      <c r="R4" s="6670"/>
      <c r="S4" s="6915" t="s">
        <v>22</v>
      </c>
      <c r="T4" s="6670"/>
      <c r="U4" s="6915" t="s">
        <v>22</v>
      </c>
      <c r="V4" s="6670"/>
      <c r="W4" s="6915" t="s">
        <v>22</v>
      </c>
      <c r="X4" s="6670"/>
      <c r="Y4" s="6915" t="s">
        <v>22</v>
      </c>
      <c r="Z4" s="6670"/>
      <c r="AA4" s="6915" t="s">
        <v>22</v>
      </c>
      <c r="AB4" s="6670"/>
      <c r="AC4" s="6915" t="s">
        <v>22</v>
      </c>
      <c r="AD4" s="6670"/>
      <c r="AE4" s="6915" t="s">
        <v>22</v>
      </c>
      <c r="AF4" s="6670"/>
      <c r="AG4" s="6915" t="s">
        <v>22</v>
      </c>
      <c r="AH4" s="6670"/>
      <c r="AI4" s="6915" t="s">
        <v>22</v>
      </c>
      <c r="AJ4" s="6670"/>
      <c r="AK4" s="6915" t="s">
        <v>22</v>
      </c>
      <c r="AL4" s="6670"/>
      <c r="AM4" s="6915" t="s">
        <v>22</v>
      </c>
      <c r="AN4" s="6670"/>
      <c r="AO4" s="6915" t="s">
        <v>22</v>
      </c>
      <c r="AP4" s="6670"/>
      <c r="AQ4" s="6915" t="s">
        <v>22</v>
      </c>
      <c r="AR4" s="6670"/>
      <c r="AS4" s="6915" t="s">
        <v>22</v>
      </c>
      <c r="AT4" s="6670"/>
      <c r="AU4" s="6915" t="s">
        <v>22</v>
      </c>
      <c r="AV4" s="6670"/>
      <c r="AW4" s="6915" t="s">
        <v>22</v>
      </c>
      <c r="AX4" s="6670"/>
      <c r="AY4" s="6915" t="s">
        <v>22</v>
      </c>
      <c r="AZ4" s="6670"/>
      <c r="BA4" s="413" t="s">
        <v>1113</v>
      </c>
      <c r="BL4" s="629">
        <v>0</v>
      </c>
    </row>
    <row s="7158" customFormat="1" customHeight="1" ht="15" hidden="1">
      <c r="C5" s="796"/>
      <c r="K5" s="7158"/>
      <c r="L5" s="7158"/>
      <c r="M5" s="7158"/>
      <c r="N5" s="7158"/>
      <c r="O5" s="7158"/>
      <c r="P5" s="7158"/>
      <c r="Q5" s="7158"/>
      <c r="R5" s="7158"/>
      <c r="S5" s="7158"/>
      <c r="T5" s="7158"/>
      <c r="U5" s="7158"/>
      <c r="V5" s="7158"/>
      <c r="W5" s="7158"/>
      <c r="X5" s="7158"/>
      <c r="Y5" s="7158"/>
      <c r="Z5" s="7158"/>
      <c r="AA5" s="7158"/>
      <c r="AB5" s="7158"/>
      <c r="AC5" s="7158"/>
      <c r="AD5" s="7158"/>
      <c r="AE5" s="7158"/>
      <c r="AF5" s="7158"/>
      <c r="AG5" s="7158"/>
      <c r="AH5" s="7158"/>
      <c r="AI5" s="7158"/>
      <c r="AJ5" s="7158"/>
      <c r="AK5" s="7158"/>
      <c r="AL5" s="7158"/>
      <c r="AM5" s="7158"/>
      <c r="AN5" s="7158"/>
      <c r="AO5" s="7158"/>
      <c r="AP5" s="7158"/>
      <c r="AQ5" s="7158"/>
      <c r="AR5" s="7158"/>
      <c r="AS5" s="7158"/>
      <c r="AT5" s="7158"/>
      <c r="AU5" s="7158"/>
      <c r="AV5" s="7158"/>
      <c r="AW5" s="7158"/>
      <c r="AX5" s="7158"/>
      <c r="AY5" s="7158"/>
      <c r="AZ5" s="7158"/>
      <c r="BK5" s="544"/>
      <c r="BL5" s="541">
        <v>0</v>
      </c>
    </row>
    <row customHeight="1" ht="22.5" hidden="1">
      <c r="A6" s="629"/>
      <c r="B6" s="2534"/>
      <c r="C6" s="2535" t="s">
        <v>103</v>
      </c>
      <c r="D6" s="813" t="str">
        <f>B6&amp;".1"</f>
        <v>.1</v>
      </c>
      <c r="E6" s="814" t="s">
        <v>1114</v>
      </c>
      <c r="F6" s="815" t="s">
        <v>418</v>
      </c>
      <c r="G6" s="810"/>
      <c r="H6" s="525"/>
      <c r="I6" s="810"/>
      <c r="J6" s="525"/>
      <c r="K6" s="6877"/>
      <c r="L6" s="6670"/>
      <c r="M6" s="6877"/>
      <c r="N6" s="6670"/>
      <c r="O6" s="6877"/>
      <c r="P6" s="6670"/>
      <c r="Q6" s="6877"/>
      <c r="R6" s="6670"/>
      <c r="S6" s="6877"/>
      <c r="T6" s="6670"/>
      <c r="U6" s="6877"/>
      <c r="V6" s="6670"/>
      <c r="W6" s="6877"/>
      <c r="X6" s="6670"/>
      <c r="Y6" s="6877"/>
      <c r="Z6" s="6670"/>
      <c r="AA6" s="6877"/>
      <c r="AB6" s="6670"/>
      <c r="AC6" s="6877"/>
      <c r="AD6" s="6670"/>
      <c r="AE6" s="6877"/>
      <c r="AF6" s="6670"/>
      <c r="AG6" s="6877"/>
      <c r="AH6" s="6670"/>
      <c r="AI6" s="6877"/>
      <c r="AJ6" s="6670"/>
      <c r="AK6" s="6877"/>
      <c r="AL6" s="6670"/>
      <c r="AM6" s="6877"/>
      <c r="AN6" s="6670"/>
      <c r="AO6" s="6877"/>
      <c r="AP6" s="6670"/>
      <c r="AQ6" s="6877"/>
      <c r="AR6" s="6670"/>
      <c r="AS6" s="6877"/>
      <c r="AT6" s="6670"/>
      <c r="AU6" s="6877"/>
      <c r="AV6" s="6670"/>
      <c r="AW6" s="6877"/>
      <c r="AX6" s="6670"/>
      <c r="AY6" s="6877"/>
      <c r="AZ6" s="6670"/>
      <c r="BA6" s="413" t="s">
        <v>1115</v>
      </c>
      <c r="BL6" s="629">
        <v>0</v>
      </c>
    </row>
    <row customHeight="1" ht="15" hidden="1">
      <c r="A7" s="629"/>
      <c r="B7" s="2534"/>
      <c r="C7" s="2535"/>
      <c r="D7" s="813" t="str">
        <f>B6&amp;".2"</f>
        <v>.2</v>
      </c>
      <c r="E7" s="814" t="s">
        <v>1112</v>
      </c>
      <c r="F7" s="815" t="s">
        <v>418</v>
      </c>
      <c r="G7" s="1861" t="s">
        <v>22</v>
      </c>
      <c r="H7" s="525"/>
      <c r="I7" s="1861" t="s">
        <v>22</v>
      </c>
      <c r="J7" s="525"/>
      <c r="K7" s="6915" t="s">
        <v>22</v>
      </c>
      <c r="L7" s="6670"/>
      <c r="M7" s="6915" t="s">
        <v>22</v>
      </c>
      <c r="N7" s="6670"/>
      <c r="O7" s="6915" t="s">
        <v>22</v>
      </c>
      <c r="P7" s="6670"/>
      <c r="Q7" s="6915" t="s">
        <v>22</v>
      </c>
      <c r="R7" s="6670"/>
      <c r="S7" s="6915" t="s">
        <v>22</v>
      </c>
      <c r="T7" s="6670"/>
      <c r="U7" s="6915" t="s">
        <v>22</v>
      </c>
      <c r="V7" s="6670"/>
      <c r="W7" s="6915" t="s">
        <v>22</v>
      </c>
      <c r="X7" s="6670"/>
      <c r="Y7" s="6915" t="s">
        <v>22</v>
      </c>
      <c r="Z7" s="6670"/>
      <c r="AA7" s="6915" t="s">
        <v>22</v>
      </c>
      <c r="AB7" s="6670"/>
      <c r="AC7" s="6915" t="s">
        <v>22</v>
      </c>
      <c r="AD7" s="6670"/>
      <c r="AE7" s="6915" t="s">
        <v>22</v>
      </c>
      <c r="AF7" s="6670"/>
      <c r="AG7" s="6915" t="s">
        <v>22</v>
      </c>
      <c r="AH7" s="6670"/>
      <c r="AI7" s="6915" t="s">
        <v>22</v>
      </c>
      <c r="AJ7" s="6670"/>
      <c r="AK7" s="6915" t="s">
        <v>22</v>
      </c>
      <c r="AL7" s="6670"/>
      <c r="AM7" s="6915" t="s">
        <v>22</v>
      </c>
      <c r="AN7" s="6670"/>
      <c r="AO7" s="6915" t="s">
        <v>22</v>
      </c>
      <c r="AP7" s="6670"/>
      <c r="AQ7" s="6915" t="s">
        <v>22</v>
      </c>
      <c r="AR7" s="6670"/>
      <c r="AS7" s="6915" t="s">
        <v>22</v>
      </c>
      <c r="AT7" s="6670"/>
      <c r="AU7" s="6915" t="s">
        <v>22</v>
      </c>
      <c r="AV7" s="6670"/>
      <c r="AW7" s="6915" t="s">
        <v>22</v>
      </c>
      <c r="AX7" s="6670"/>
      <c r="AY7" s="6915" t="s">
        <v>22</v>
      </c>
      <c r="AZ7" s="6670"/>
      <c r="BA7" s="413" t="s">
        <v>1113</v>
      </c>
      <c r="BL7" s="629">
        <v>0</v>
      </c>
    </row>
    <row s="7158" customFormat="1" customHeight="1" ht="15" hidden="1">
      <c r="C8" s="796"/>
      <c r="K8" s="7158"/>
      <c r="L8" s="7158"/>
      <c r="M8" s="7158"/>
      <c r="N8" s="7158"/>
      <c r="O8" s="7158"/>
      <c r="P8" s="7158"/>
      <c r="Q8" s="7158"/>
      <c r="R8" s="7158"/>
      <c r="S8" s="7158"/>
      <c r="T8" s="7158"/>
      <c r="U8" s="7158"/>
      <c r="V8" s="7158"/>
      <c r="W8" s="7158"/>
      <c r="X8" s="7158"/>
      <c r="Y8" s="7158"/>
      <c r="Z8" s="7158"/>
      <c r="AA8" s="7158"/>
      <c r="AB8" s="7158"/>
      <c r="AC8" s="7158"/>
      <c r="AD8" s="7158"/>
      <c r="AE8" s="7158"/>
      <c r="AF8" s="7158"/>
      <c r="AG8" s="7158"/>
      <c r="AH8" s="7158"/>
      <c r="AI8" s="7158"/>
      <c r="AJ8" s="7158"/>
      <c r="AK8" s="7158"/>
      <c r="AL8" s="7158"/>
      <c r="AM8" s="7158"/>
      <c r="AN8" s="7158"/>
      <c r="AO8" s="7158"/>
      <c r="AP8" s="7158"/>
      <c r="AQ8" s="7158"/>
      <c r="AR8" s="7158"/>
      <c r="AS8" s="7158"/>
      <c r="AT8" s="7158"/>
      <c r="AU8" s="7158"/>
      <c r="AV8" s="7158"/>
      <c r="AW8" s="7158"/>
      <c r="AX8" s="7158"/>
      <c r="AY8" s="7158"/>
      <c r="AZ8" s="7158"/>
      <c r="BK8" s="544"/>
      <c r="BL8" s="541">
        <v>0</v>
      </c>
    </row>
    <row customHeight="1" ht="22.5" hidden="1">
      <c r="A9" s="629"/>
      <c r="B9" s="2534"/>
      <c r="C9" s="2535" t="s">
        <v>103</v>
      </c>
      <c r="D9" s="813" t="str">
        <f>B9&amp;".1"</f>
        <v>.1</v>
      </c>
      <c r="E9" s="814" t="s">
        <v>1116</v>
      </c>
      <c r="F9" s="815" t="s">
        <v>418</v>
      </c>
      <c r="G9" s="821" t="s">
        <v>22</v>
      </c>
      <c r="H9" s="525" t="s">
        <v>22</v>
      </c>
      <c r="I9" s="821" t="s">
        <v>22</v>
      </c>
      <c r="J9" s="525" t="s">
        <v>22</v>
      </c>
      <c r="K9" s="6916" t="s">
        <v>22</v>
      </c>
      <c r="L9" s="6670" t="s">
        <v>22</v>
      </c>
      <c r="M9" s="6916" t="s">
        <v>22</v>
      </c>
      <c r="N9" s="6670" t="s">
        <v>22</v>
      </c>
      <c r="O9" s="6916" t="s">
        <v>22</v>
      </c>
      <c r="P9" s="6670" t="s">
        <v>22</v>
      </c>
      <c r="Q9" s="6916" t="s">
        <v>22</v>
      </c>
      <c r="R9" s="6670" t="s">
        <v>22</v>
      </c>
      <c r="S9" s="6916" t="s">
        <v>22</v>
      </c>
      <c r="T9" s="6670" t="s">
        <v>22</v>
      </c>
      <c r="U9" s="6916" t="s">
        <v>22</v>
      </c>
      <c r="V9" s="6670" t="s">
        <v>22</v>
      </c>
      <c r="W9" s="6916" t="s">
        <v>22</v>
      </c>
      <c r="X9" s="6670" t="s">
        <v>22</v>
      </c>
      <c r="Y9" s="6916" t="s">
        <v>22</v>
      </c>
      <c r="Z9" s="6670" t="s">
        <v>22</v>
      </c>
      <c r="AA9" s="6916" t="s">
        <v>22</v>
      </c>
      <c r="AB9" s="6670" t="s">
        <v>22</v>
      </c>
      <c r="AC9" s="6916" t="s">
        <v>22</v>
      </c>
      <c r="AD9" s="6670" t="s">
        <v>22</v>
      </c>
      <c r="AE9" s="6916" t="s">
        <v>22</v>
      </c>
      <c r="AF9" s="6670" t="s">
        <v>22</v>
      </c>
      <c r="AG9" s="6916" t="s">
        <v>22</v>
      </c>
      <c r="AH9" s="6670" t="s">
        <v>22</v>
      </c>
      <c r="AI9" s="6916" t="s">
        <v>22</v>
      </c>
      <c r="AJ9" s="6670" t="s">
        <v>22</v>
      </c>
      <c r="AK9" s="6916" t="s">
        <v>22</v>
      </c>
      <c r="AL9" s="6670" t="s">
        <v>22</v>
      </c>
      <c r="AM9" s="6916" t="s">
        <v>22</v>
      </c>
      <c r="AN9" s="6670" t="s">
        <v>22</v>
      </c>
      <c r="AO9" s="6916" t="s">
        <v>22</v>
      </c>
      <c r="AP9" s="6670" t="s">
        <v>22</v>
      </c>
      <c r="AQ9" s="6916" t="s">
        <v>22</v>
      </c>
      <c r="AR9" s="6670" t="s">
        <v>22</v>
      </c>
      <c r="AS9" s="6916" t="s">
        <v>22</v>
      </c>
      <c r="AT9" s="6670" t="s">
        <v>22</v>
      </c>
      <c r="AU9" s="6916" t="s">
        <v>22</v>
      </c>
      <c r="AV9" s="6670" t="s">
        <v>22</v>
      </c>
      <c r="AW9" s="6916" t="s">
        <v>22</v>
      </c>
      <c r="AX9" s="6670" t="s">
        <v>22</v>
      </c>
      <c r="AY9" s="6916" t="s">
        <v>22</v>
      </c>
      <c r="AZ9" s="6670" t="s">
        <v>22</v>
      </c>
      <c r="BA9" s="413"/>
      <c r="BL9" s="629">
        <v>0</v>
      </c>
    </row>
    <row customHeight="1" ht="15" hidden="1">
      <c r="A10" s="629"/>
      <c r="B10" s="2534"/>
      <c r="C10" s="2535"/>
      <c r="D10" s="813" t="str">
        <f>B9&amp;".2"</f>
        <v>.2</v>
      </c>
      <c r="E10" s="814" t="s">
        <v>1117</v>
      </c>
      <c r="F10" s="815" t="s">
        <v>418</v>
      </c>
      <c r="G10" s="1855" t="s">
        <v>22</v>
      </c>
      <c r="H10" s="525" t="s">
        <v>22</v>
      </c>
      <c r="I10" s="1855" t="s">
        <v>22</v>
      </c>
      <c r="J10" s="525" t="s">
        <v>22</v>
      </c>
      <c r="K10" s="5429" t="s">
        <v>22</v>
      </c>
      <c r="L10" s="6670" t="s">
        <v>22</v>
      </c>
      <c r="M10" s="5429" t="s">
        <v>22</v>
      </c>
      <c r="N10" s="6670" t="s">
        <v>22</v>
      </c>
      <c r="O10" s="5429" t="s">
        <v>22</v>
      </c>
      <c r="P10" s="6670" t="s">
        <v>22</v>
      </c>
      <c r="Q10" s="5429" t="s">
        <v>22</v>
      </c>
      <c r="R10" s="6670" t="s">
        <v>22</v>
      </c>
      <c r="S10" s="5429" t="s">
        <v>22</v>
      </c>
      <c r="T10" s="6670" t="s">
        <v>22</v>
      </c>
      <c r="U10" s="5429" t="s">
        <v>22</v>
      </c>
      <c r="V10" s="6670" t="s">
        <v>22</v>
      </c>
      <c r="W10" s="5429" t="s">
        <v>22</v>
      </c>
      <c r="X10" s="6670" t="s">
        <v>22</v>
      </c>
      <c r="Y10" s="5429" t="s">
        <v>22</v>
      </c>
      <c r="Z10" s="6670" t="s">
        <v>22</v>
      </c>
      <c r="AA10" s="5429" t="s">
        <v>22</v>
      </c>
      <c r="AB10" s="6670" t="s">
        <v>22</v>
      </c>
      <c r="AC10" s="5429" t="s">
        <v>22</v>
      </c>
      <c r="AD10" s="6670" t="s">
        <v>22</v>
      </c>
      <c r="AE10" s="5429" t="s">
        <v>22</v>
      </c>
      <c r="AF10" s="6670" t="s">
        <v>22</v>
      </c>
      <c r="AG10" s="5429" t="s">
        <v>22</v>
      </c>
      <c r="AH10" s="6670" t="s">
        <v>22</v>
      </c>
      <c r="AI10" s="5429" t="s">
        <v>22</v>
      </c>
      <c r="AJ10" s="6670" t="s">
        <v>22</v>
      </c>
      <c r="AK10" s="5429" t="s">
        <v>22</v>
      </c>
      <c r="AL10" s="6670" t="s">
        <v>22</v>
      </c>
      <c r="AM10" s="5429" t="s">
        <v>22</v>
      </c>
      <c r="AN10" s="6670" t="s">
        <v>22</v>
      </c>
      <c r="AO10" s="5429" t="s">
        <v>22</v>
      </c>
      <c r="AP10" s="6670" t="s">
        <v>22</v>
      </c>
      <c r="AQ10" s="5429" t="s">
        <v>22</v>
      </c>
      <c r="AR10" s="6670" t="s">
        <v>22</v>
      </c>
      <c r="AS10" s="5429" t="s">
        <v>22</v>
      </c>
      <c r="AT10" s="6670" t="s">
        <v>22</v>
      </c>
      <c r="AU10" s="5429" t="s">
        <v>22</v>
      </c>
      <c r="AV10" s="6670" t="s">
        <v>22</v>
      </c>
      <c r="AW10" s="5429" t="s">
        <v>22</v>
      </c>
      <c r="AX10" s="6670" t="s">
        <v>22</v>
      </c>
      <c r="AY10" s="5429" t="s">
        <v>22</v>
      </c>
      <c r="AZ10" s="6670" t="s">
        <v>22</v>
      </c>
      <c r="BA10" s="413" t="s">
        <v>1118</v>
      </c>
      <c r="BL10" s="629">
        <v>0</v>
      </c>
    </row>
    <row customHeight="1" ht="15" hidden="1">
      <c r="A11" s="629"/>
      <c r="B11" s="2534"/>
      <c r="C11" s="2535"/>
      <c r="D11" s="813" t="str">
        <f>B9&amp;".3"</f>
        <v>.3</v>
      </c>
      <c r="E11" s="814" t="s">
        <v>1119</v>
      </c>
      <c r="F11" s="815" t="s">
        <v>418</v>
      </c>
      <c r="G11" s="1855" t="s">
        <v>22</v>
      </c>
      <c r="H11" s="525" t="s">
        <v>22</v>
      </c>
      <c r="I11" s="1855" t="s">
        <v>22</v>
      </c>
      <c r="J11" s="525" t="s">
        <v>22</v>
      </c>
      <c r="K11" s="5429" t="s">
        <v>22</v>
      </c>
      <c r="L11" s="6670" t="s">
        <v>22</v>
      </c>
      <c r="M11" s="5429" t="s">
        <v>22</v>
      </c>
      <c r="N11" s="6670" t="s">
        <v>22</v>
      </c>
      <c r="O11" s="5429" t="s">
        <v>22</v>
      </c>
      <c r="P11" s="6670" t="s">
        <v>22</v>
      </c>
      <c r="Q11" s="5429" t="s">
        <v>22</v>
      </c>
      <c r="R11" s="6670" t="s">
        <v>22</v>
      </c>
      <c r="S11" s="5429" t="s">
        <v>22</v>
      </c>
      <c r="T11" s="6670" t="s">
        <v>22</v>
      </c>
      <c r="U11" s="5429" t="s">
        <v>22</v>
      </c>
      <c r="V11" s="6670" t="s">
        <v>22</v>
      </c>
      <c r="W11" s="5429" t="s">
        <v>22</v>
      </c>
      <c r="X11" s="6670" t="s">
        <v>22</v>
      </c>
      <c r="Y11" s="5429" t="s">
        <v>22</v>
      </c>
      <c r="Z11" s="6670" t="s">
        <v>22</v>
      </c>
      <c r="AA11" s="5429" t="s">
        <v>22</v>
      </c>
      <c r="AB11" s="6670" t="s">
        <v>22</v>
      </c>
      <c r="AC11" s="5429" t="s">
        <v>22</v>
      </c>
      <c r="AD11" s="6670" t="s">
        <v>22</v>
      </c>
      <c r="AE11" s="5429" t="s">
        <v>22</v>
      </c>
      <c r="AF11" s="6670" t="s">
        <v>22</v>
      </c>
      <c r="AG11" s="5429" t="s">
        <v>22</v>
      </c>
      <c r="AH11" s="6670" t="s">
        <v>22</v>
      </c>
      <c r="AI11" s="5429" t="s">
        <v>22</v>
      </c>
      <c r="AJ11" s="6670" t="s">
        <v>22</v>
      </c>
      <c r="AK11" s="5429" t="s">
        <v>22</v>
      </c>
      <c r="AL11" s="6670" t="s">
        <v>22</v>
      </c>
      <c r="AM11" s="5429" t="s">
        <v>22</v>
      </c>
      <c r="AN11" s="6670" t="s">
        <v>22</v>
      </c>
      <c r="AO11" s="5429" t="s">
        <v>22</v>
      </c>
      <c r="AP11" s="6670" t="s">
        <v>22</v>
      </c>
      <c r="AQ11" s="5429" t="s">
        <v>22</v>
      </c>
      <c r="AR11" s="6670" t="s">
        <v>22</v>
      </c>
      <c r="AS11" s="5429" t="s">
        <v>22</v>
      </c>
      <c r="AT11" s="6670" t="s">
        <v>22</v>
      </c>
      <c r="AU11" s="5429" t="s">
        <v>22</v>
      </c>
      <c r="AV11" s="6670" t="s">
        <v>22</v>
      </c>
      <c r="AW11" s="5429" t="s">
        <v>22</v>
      </c>
      <c r="AX11" s="6670" t="s">
        <v>22</v>
      </c>
      <c r="AY11" s="5429" t="s">
        <v>22</v>
      </c>
      <c r="AZ11" s="6670" t="s">
        <v>22</v>
      </c>
      <c r="BA11" s="413" t="s">
        <v>1120</v>
      </c>
      <c r="BL11" s="629">
        <v>0</v>
      </c>
    </row>
    <row s="7158" customFormat="1" customHeight="1" ht="15" hidden="1">
      <c r="C12" s="796"/>
      <c r="K12" s="7158"/>
      <c r="L12" s="7158"/>
      <c r="M12" s="7158"/>
      <c r="N12" s="7158"/>
      <c r="O12" s="7158"/>
      <c r="P12" s="7158"/>
      <c r="Q12" s="7158"/>
      <c r="R12" s="7158"/>
      <c r="S12" s="7158"/>
      <c r="T12" s="7158"/>
      <c r="U12" s="7158"/>
      <c r="V12" s="7158"/>
      <c r="W12" s="7158"/>
      <c r="X12" s="7158"/>
      <c r="Y12" s="7158"/>
      <c r="Z12" s="7158"/>
      <c r="AA12" s="7158"/>
      <c r="AB12" s="7158"/>
      <c r="AC12" s="7158"/>
      <c r="AD12" s="7158"/>
      <c r="AE12" s="7158"/>
      <c r="AF12" s="7158"/>
      <c r="AG12" s="7158"/>
      <c r="AH12" s="7158"/>
      <c r="AI12" s="7158"/>
      <c r="AJ12" s="7158"/>
      <c r="AK12" s="7158"/>
      <c r="AL12" s="7158"/>
      <c r="AM12" s="7158"/>
      <c r="AN12" s="7158"/>
      <c r="AO12" s="7158"/>
      <c r="AP12" s="7158"/>
      <c r="AQ12" s="7158"/>
      <c r="AR12" s="7158"/>
      <c r="AS12" s="7158"/>
      <c r="AT12" s="7158"/>
      <c r="AU12" s="7158"/>
      <c r="AV12" s="7158"/>
      <c r="AW12" s="7158"/>
      <c r="AX12" s="7158"/>
      <c r="AY12" s="7158"/>
      <c r="AZ12" s="7158"/>
      <c r="BK12" s="544"/>
      <c r="BL12" s="541">
        <v>0</v>
      </c>
    </row>
    <row customHeight="1" ht="33.75" hidden="1">
      <c r="A13" s="629"/>
      <c r="B13" s="2534"/>
      <c r="C13" s="2535" t="s">
        <v>103</v>
      </c>
      <c r="D13" s="813" t="str">
        <f>B13&amp;".1"</f>
        <v>.1</v>
      </c>
      <c r="E13" s="814" t="s">
        <v>1121</v>
      </c>
      <c r="F13" s="815" t="s">
        <v>418</v>
      </c>
      <c r="G13" s="821" t="s">
        <v>22</v>
      </c>
      <c r="H13" s="525" t="s">
        <v>22</v>
      </c>
      <c r="I13" s="821" t="s">
        <v>22</v>
      </c>
      <c r="J13" s="525" t="s">
        <v>22</v>
      </c>
      <c r="K13" s="6916" t="s">
        <v>22</v>
      </c>
      <c r="L13" s="6670" t="s">
        <v>22</v>
      </c>
      <c r="M13" s="6916" t="s">
        <v>22</v>
      </c>
      <c r="N13" s="6670" t="s">
        <v>22</v>
      </c>
      <c r="O13" s="6916" t="s">
        <v>22</v>
      </c>
      <c r="P13" s="6670" t="s">
        <v>22</v>
      </c>
      <c r="Q13" s="6916" t="s">
        <v>22</v>
      </c>
      <c r="R13" s="6670" t="s">
        <v>22</v>
      </c>
      <c r="S13" s="6916" t="s">
        <v>22</v>
      </c>
      <c r="T13" s="6670" t="s">
        <v>22</v>
      </c>
      <c r="U13" s="6916" t="s">
        <v>22</v>
      </c>
      <c r="V13" s="6670" t="s">
        <v>22</v>
      </c>
      <c r="W13" s="6916" t="s">
        <v>22</v>
      </c>
      <c r="X13" s="6670" t="s">
        <v>22</v>
      </c>
      <c r="Y13" s="6916" t="s">
        <v>22</v>
      </c>
      <c r="Z13" s="6670" t="s">
        <v>22</v>
      </c>
      <c r="AA13" s="6916" t="s">
        <v>22</v>
      </c>
      <c r="AB13" s="6670" t="s">
        <v>22</v>
      </c>
      <c r="AC13" s="6916" t="s">
        <v>22</v>
      </c>
      <c r="AD13" s="6670" t="s">
        <v>22</v>
      </c>
      <c r="AE13" s="6916" t="s">
        <v>22</v>
      </c>
      <c r="AF13" s="6670" t="s">
        <v>22</v>
      </c>
      <c r="AG13" s="6916" t="s">
        <v>22</v>
      </c>
      <c r="AH13" s="6670" t="s">
        <v>22</v>
      </c>
      <c r="AI13" s="6916" t="s">
        <v>22</v>
      </c>
      <c r="AJ13" s="6670" t="s">
        <v>22</v>
      </c>
      <c r="AK13" s="6916" t="s">
        <v>22</v>
      </c>
      <c r="AL13" s="6670" t="s">
        <v>22</v>
      </c>
      <c r="AM13" s="6916" t="s">
        <v>22</v>
      </c>
      <c r="AN13" s="6670" t="s">
        <v>22</v>
      </c>
      <c r="AO13" s="6916" t="s">
        <v>22</v>
      </c>
      <c r="AP13" s="6670" t="s">
        <v>22</v>
      </c>
      <c r="AQ13" s="6916" t="s">
        <v>22</v>
      </c>
      <c r="AR13" s="6670" t="s">
        <v>22</v>
      </c>
      <c r="AS13" s="6916" t="s">
        <v>22</v>
      </c>
      <c r="AT13" s="6670" t="s">
        <v>22</v>
      </c>
      <c r="AU13" s="6916" t="s">
        <v>22</v>
      </c>
      <c r="AV13" s="6670" t="s">
        <v>22</v>
      </c>
      <c r="AW13" s="6916" t="s">
        <v>22</v>
      </c>
      <c r="AX13" s="6670" t="s">
        <v>22</v>
      </c>
      <c r="AY13" s="6916" t="s">
        <v>22</v>
      </c>
      <c r="AZ13" s="6670" t="s">
        <v>22</v>
      </c>
      <c r="BA13" s="413" t="s">
        <v>1122</v>
      </c>
      <c r="BL13" s="629">
        <v>0</v>
      </c>
    </row>
    <row customHeight="1" ht="15" hidden="1">
      <c r="B14" s="2534"/>
      <c r="C14" s="2535"/>
      <c r="D14" s="813" t="str">
        <f>B13&amp;".2"</f>
        <v>.2</v>
      </c>
      <c r="E14" s="814" t="s">
        <v>1123</v>
      </c>
      <c r="F14" s="815" t="s">
        <v>418</v>
      </c>
      <c r="G14" s="1855" t="s">
        <v>22</v>
      </c>
      <c r="H14" s="525" t="s">
        <v>22</v>
      </c>
      <c r="I14" s="1855" t="s">
        <v>22</v>
      </c>
      <c r="J14" s="525" t="s">
        <v>22</v>
      </c>
      <c r="K14" s="5429" t="s">
        <v>22</v>
      </c>
      <c r="L14" s="6670" t="s">
        <v>22</v>
      </c>
      <c r="M14" s="5429" t="s">
        <v>22</v>
      </c>
      <c r="N14" s="6670" t="s">
        <v>22</v>
      </c>
      <c r="O14" s="5429" t="s">
        <v>22</v>
      </c>
      <c r="P14" s="6670" t="s">
        <v>22</v>
      </c>
      <c r="Q14" s="5429" t="s">
        <v>22</v>
      </c>
      <c r="R14" s="6670" t="s">
        <v>22</v>
      </c>
      <c r="S14" s="5429" t="s">
        <v>22</v>
      </c>
      <c r="T14" s="6670" t="s">
        <v>22</v>
      </c>
      <c r="U14" s="5429" t="s">
        <v>22</v>
      </c>
      <c r="V14" s="6670" t="s">
        <v>22</v>
      </c>
      <c r="W14" s="5429" t="s">
        <v>22</v>
      </c>
      <c r="X14" s="6670" t="s">
        <v>22</v>
      </c>
      <c r="Y14" s="5429" t="s">
        <v>22</v>
      </c>
      <c r="Z14" s="6670" t="s">
        <v>22</v>
      </c>
      <c r="AA14" s="5429" t="s">
        <v>22</v>
      </c>
      <c r="AB14" s="6670" t="s">
        <v>22</v>
      </c>
      <c r="AC14" s="5429" t="s">
        <v>22</v>
      </c>
      <c r="AD14" s="6670" t="s">
        <v>22</v>
      </c>
      <c r="AE14" s="5429" t="s">
        <v>22</v>
      </c>
      <c r="AF14" s="6670" t="s">
        <v>22</v>
      </c>
      <c r="AG14" s="5429" t="s">
        <v>22</v>
      </c>
      <c r="AH14" s="6670" t="s">
        <v>22</v>
      </c>
      <c r="AI14" s="5429" t="s">
        <v>22</v>
      </c>
      <c r="AJ14" s="6670" t="s">
        <v>22</v>
      </c>
      <c r="AK14" s="5429" t="s">
        <v>22</v>
      </c>
      <c r="AL14" s="6670" t="s">
        <v>22</v>
      </c>
      <c r="AM14" s="5429" t="s">
        <v>22</v>
      </c>
      <c r="AN14" s="6670" t="s">
        <v>22</v>
      </c>
      <c r="AO14" s="5429" t="s">
        <v>22</v>
      </c>
      <c r="AP14" s="6670" t="s">
        <v>22</v>
      </c>
      <c r="AQ14" s="5429" t="s">
        <v>22</v>
      </c>
      <c r="AR14" s="6670" t="s">
        <v>22</v>
      </c>
      <c r="AS14" s="5429" t="s">
        <v>22</v>
      </c>
      <c r="AT14" s="6670" t="s">
        <v>22</v>
      </c>
      <c r="AU14" s="5429" t="s">
        <v>22</v>
      </c>
      <c r="AV14" s="6670" t="s">
        <v>22</v>
      </c>
      <c r="AW14" s="5429" t="s">
        <v>22</v>
      </c>
      <c r="AX14" s="6670" t="s">
        <v>22</v>
      </c>
      <c r="AY14" s="5429" t="s">
        <v>22</v>
      </c>
      <c r="AZ14" s="6670" t="s">
        <v>22</v>
      </c>
      <c r="BA14" s="413" t="s">
        <v>1124</v>
      </c>
      <c r="BL14" s="629">
        <v>0</v>
      </c>
    </row>
    <row s="7158" customFormat="1" customHeight="1" ht="15" hidden="1">
      <c r="C15" s="796"/>
      <c r="K15" s="7158"/>
      <c r="L15" s="7158"/>
      <c r="M15" s="7158"/>
      <c r="N15" s="7158"/>
      <c r="O15" s="7158"/>
      <c r="P15" s="7158"/>
      <c r="Q15" s="7158"/>
      <c r="R15" s="7158"/>
      <c r="S15" s="7158"/>
      <c r="T15" s="7158"/>
      <c r="U15" s="7158"/>
      <c r="V15" s="7158"/>
      <c r="W15" s="7158"/>
      <c r="X15" s="7158"/>
      <c r="Y15" s="7158"/>
      <c r="Z15" s="7158"/>
      <c r="AA15" s="7158"/>
      <c r="AB15" s="7158"/>
      <c r="AC15" s="7158"/>
      <c r="AD15" s="7158"/>
      <c r="AE15" s="7158"/>
      <c r="AF15" s="7158"/>
      <c r="AG15" s="7158"/>
      <c r="AH15" s="7158"/>
      <c r="AI15" s="7158"/>
      <c r="AJ15" s="7158"/>
      <c r="AK15" s="7158"/>
      <c r="AL15" s="7158"/>
      <c r="AM15" s="7158"/>
      <c r="AN15" s="7158"/>
      <c r="AO15" s="7158"/>
      <c r="AP15" s="7158"/>
      <c r="AQ15" s="7158"/>
      <c r="AR15" s="7158"/>
      <c r="AS15" s="7158"/>
      <c r="AT15" s="7158"/>
      <c r="AU15" s="7158"/>
      <c r="AV15" s="7158"/>
      <c r="AW15" s="7158"/>
      <c r="AX15" s="7158"/>
      <c r="AY15" s="7158"/>
      <c r="AZ15" s="7158"/>
      <c r="BK15" s="544"/>
      <c r="BL15" s="541">
        <v>0</v>
      </c>
    </row>
    <row s="7158" customFormat="1" customHeight="1" ht="15" hidden="1">
      <c r="C16" s="796"/>
      <c r="K16" s="7158"/>
      <c r="L16" s="7158"/>
      <c r="M16" s="7158"/>
      <c r="N16" s="7158"/>
      <c r="O16" s="7158"/>
      <c r="P16" s="7158"/>
      <c r="Q16" s="7158"/>
      <c r="R16" s="7158"/>
      <c r="S16" s="7158"/>
      <c r="T16" s="7158"/>
      <c r="U16" s="7158"/>
      <c r="V16" s="7158"/>
      <c r="W16" s="7158"/>
      <c r="X16" s="7158"/>
      <c r="Y16" s="7158"/>
      <c r="Z16" s="7158"/>
      <c r="AA16" s="7158"/>
      <c r="AB16" s="7158"/>
      <c r="AC16" s="7158"/>
      <c r="AD16" s="7158"/>
      <c r="AE16" s="7158"/>
      <c r="AF16" s="7158"/>
      <c r="AG16" s="7158"/>
      <c r="AH16" s="7158"/>
      <c r="AI16" s="7158"/>
      <c r="AJ16" s="7158"/>
      <c r="AK16" s="7158"/>
      <c r="AL16" s="7158"/>
      <c r="AM16" s="7158"/>
      <c r="AN16" s="7158"/>
      <c r="AO16" s="7158"/>
      <c r="AP16" s="7158"/>
      <c r="AQ16" s="7158"/>
      <c r="AR16" s="7158"/>
      <c r="AS16" s="7158"/>
      <c r="AT16" s="7158"/>
      <c r="AU16" s="7158"/>
      <c r="AV16" s="7158"/>
      <c r="AW16" s="7158"/>
      <c r="AX16" s="7158"/>
      <c r="AY16" s="7158"/>
      <c r="AZ16" s="7158"/>
      <c r="BK16" s="544"/>
      <c r="BL16" s="541">
        <v>0</v>
      </c>
    </row>
    <row s="7158" customFormat="1" customHeight="1" ht="15" hidden="1">
      <c r="C17" s="796"/>
      <c r="K17" s="7158"/>
      <c r="L17" s="7158"/>
      <c r="M17" s="7158"/>
      <c r="N17" s="7158"/>
      <c r="O17" s="7158"/>
      <c r="P17" s="7158"/>
      <c r="Q17" s="7158"/>
      <c r="R17" s="7158"/>
      <c r="S17" s="7158"/>
      <c r="T17" s="7158"/>
      <c r="U17" s="7158"/>
      <c r="V17" s="7158"/>
      <c r="W17" s="7158"/>
      <c r="X17" s="7158"/>
      <c r="Y17" s="7158"/>
      <c r="Z17" s="7158"/>
      <c r="AA17" s="7158"/>
      <c r="AB17" s="7158"/>
      <c r="AC17" s="7158"/>
      <c r="AD17" s="7158"/>
      <c r="AE17" s="7158"/>
      <c r="AF17" s="7158"/>
      <c r="AG17" s="7158"/>
      <c r="AH17" s="7158"/>
      <c r="AI17" s="7158"/>
      <c r="AJ17" s="7158"/>
      <c r="AK17" s="7158"/>
      <c r="AL17" s="7158"/>
      <c r="AM17" s="7158"/>
      <c r="AN17" s="7158"/>
      <c r="AO17" s="7158"/>
      <c r="AP17" s="7158"/>
      <c r="AQ17" s="7158"/>
      <c r="AR17" s="7158"/>
      <c r="AS17" s="7158"/>
      <c r="AT17" s="7158"/>
      <c r="AU17" s="7158"/>
      <c r="AV17" s="7158"/>
      <c r="AW17" s="7158"/>
      <c r="AX17" s="7158"/>
      <c r="AY17" s="7158"/>
      <c r="AZ17" s="7158"/>
      <c r="BK17" s="544"/>
      <c r="BL17" s="541">
        <v>0</v>
      </c>
    </row>
    <row s="7158" customFormat="1" customHeight="1" ht="15" hidden="1">
      <c r="C18" s="796"/>
      <c r="K18" s="7158"/>
      <c r="L18" s="7158"/>
      <c r="M18" s="7158"/>
      <c r="N18" s="7158"/>
      <c r="O18" s="7158"/>
      <c r="P18" s="7158"/>
      <c r="Q18" s="7158"/>
      <c r="R18" s="7158"/>
      <c r="S18" s="7158"/>
      <c r="T18" s="7158"/>
      <c r="U18" s="7158"/>
      <c r="V18" s="7158"/>
      <c r="W18" s="7158"/>
      <c r="X18" s="7158"/>
      <c r="Y18" s="7158"/>
      <c r="Z18" s="7158"/>
      <c r="AA18" s="7158"/>
      <c r="AB18" s="7158"/>
      <c r="AC18" s="7158"/>
      <c r="AD18" s="7158"/>
      <c r="AE18" s="7158"/>
      <c r="AF18" s="7158"/>
      <c r="AG18" s="7158"/>
      <c r="AH18" s="7158"/>
      <c r="AI18" s="7158"/>
      <c r="AJ18" s="7158"/>
      <c r="AK18" s="7158"/>
      <c r="AL18" s="7158"/>
      <c r="AM18" s="7158"/>
      <c r="AN18" s="7158"/>
      <c r="AO18" s="7158"/>
      <c r="AP18" s="7158"/>
      <c r="AQ18" s="7158"/>
      <c r="AR18" s="7158"/>
      <c r="AS18" s="7158"/>
      <c r="AT18" s="7158"/>
      <c r="AU18" s="7158"/>
      <c r="AV18" s="7158"/>
      <c r="AW18" s="7158"/>
      <c r="AX18" s="7158"/>
      <c r="AY18" s="7158"/>
      <c r="AZ18" s="7158"/>
      <c r="BK18" s="544"/>
      <c r="BL18" s="541">
        <v>0</v>
      </c>
    </row>
    <row s="7158" customFormat="1" customHeight="1" ht="15" hidden="1">
      <c r="C19" s="796"/>
      <c r="K19" s="7158"/>
      <c r="L19" s="7158"/>
      <c r="M19" s="7158"/>
      <c r="N19" s="7158"/>
      <c r="O19" s="7158"/>
      <c r="P19" s="7158"/>
      <c r="Q19" s="7158"/>
      <c r="R19" s="7158"/>
      <c r="S19" s="7158"/>
      <c r="T19" s="7158"/>
      <c r="U19" s="7158"/>
      <c r="V19" s="7158"/>
      <c r="W19" s="7158"/>
      <c r="X19" s="7158"/>
      <c r="Y19" s="7158"/>
      <c r="Z19" s="7158"/>
      <c r="AA19" s="7158"/>
      <c r="AB19" s="7158"/>
      <c r="AC19" s="7158"/>
      <c r="AD19" s="7158"/>
      <c r="AE19" s="7158"/>
      <c r="AF19" s="7158"/>
      <c r="AG19" s="7158"/>
      <c r="AH19" s="7158"/>
      <c r="AI19" s="7158"/>
      <c r="AJ19" s="7158"/>
      <c r="AK19" s="7158"/>
      <c r="AL19" s="7158"/>
      <c r="AM19" s="7158"/>
      <c r="AN19" s="7158"/>
      <c r="AO19" s="7158"/>
      <c r="AP19" s="7158"/>
      <c r="AQ19" s="7158"/>
      <c r="AR19" s="7158"/>
      <c r="AS19" s="7158"/>
      <c r="AT19" s="7158"/>
      <c r="AU19" s="7158"/>
      <c r="AV19" s="7158"/>
      <c r="AW19" s="7158"/>
      <c r="AX19" s="7158"/>
      <c r="AY19" s="7158"/>
      <c r="AZ19" s="7158"/>
      <c r="BK19" s="544"/>
      <c r="BL19" s="541">
        <v>0</v>
      </c>
    </row>
    <row s="7158" customFormat="1" customHeight="1" ht="15" hidden="1">
      <c r="C20" s="796"/>
      <c r="K20" s="7158"/>
      <c r="L20" s="7158"/>
      <c r="M20" s="7158"/>
      <c r="N20" s="7158"/>
      <c r="O20" s="7158"/>
      <c r="P20" s="7158"/>
      <c r="Q20" s="7158"/>
      <c r="R20" s="7158"/>
      <c r="S20" s="7158"/>
      <c r="T20" s="7158"/>
      <c r="U20" s="7158"/>
      <c r="V20" s="7158"/>
      <c r="W20" s="7158"/>
      <c r="X20" s="7158"/>
      <c r="Y20" s="7158"/>
      <c r="Z20" s="7158"/>
      <c r="AA20" s="7158"/>
      <c r="AB20" s="7158"/>
      <c r="AC20" s="7158"/>
      <c r="AD20" s="7158"/>
      <c r="AE20" s="7158"/>
      <c r="AF20" s="7158"/>
      <c r="AG20" s="7158"/>
      <c r="AH20" s="7158"/>
      <c r="AI20" s="7158"/>
      <c r="AJ20" s="7158"/>
      <c r="AK20" s="7158"/>
      <c r="AL20" s="7158"/>
      <c r="AM20" s="7158"/>
      <c r="AN20" s="7158"/>
      <c r="AO20" s="7158"/>
      <c r="AP20" s="7158"/>
      <c r="AQ20" s="7158"/>
      <c r="AR20" s="7158"/>
      <c r="AS20" s="7158"/>
      <c r="AT20" s="7158"/>
      <c r="AU20" s="7158"/>
      <c r="AV20" s="7158"/>
      <c r="AW20" s="7158"/>
      <c r="AX20" s="7158"/>
      <c r="AY20" s="7158"/>
      <c r="AZ20" s="7158"/>
      <c r="BK20" s="544"/>
      <c r="BL20" s="541">
        <v>0</v>
      </c>
    </row>
    <row customHeight="1" ht="15.75">
      <c r="C21" s="300"/>
      <c r="D21" s="633"/>
      <c r="E21" s="633"/>
      <c r="F21" s="633"/>
      <c r="G21" s="633"/>
      <c r="H21" s="633"/>
      <c r="I21" s="633"/>
      <c r="J21" s="633"/>
      <c r="K21" s="7213"/>
      <c r="L21" s="7213"/>
      <c r="M21" s="7213"/>
      <c r="N21" s="7213"/>
      <c r="O21" s="7213"/>
      <c r="P21" s="7213"/>
      <c r="Q21" s="7213"/>
      <c r="R21" s="7213"/>
      <c r="S21" s="7213"/>
      <c r="T21" s="7213"/>
      <c r="U21" s="7213"/>
      <c r="V21" s="7213"/>
      <c r="W21" s="7213"/>
      <c r="X21" s="7213"/>
      <c r="Y21" s="7213"/>
      <c r="Z21" s="7213"/>
      <c r="AA21" s="7213"/>
      <c r="AB21" s="7213"/>
      <c r="AC21" s="7213"/>
      <c r="AD21" s="7213"/>
      <c r="AE21" s="7213"/>
      <c r="AF21" s="7213"/>
      <c r="AG21" s="7213"/>
      <c r="AH21" s="7213"/>
      <c r="AI21" s="7213"/>
      <c r="AJ21" s="7213"/>
      <c r="AK21" s="7213"/>
      <c r="AL21" s="7213"/>
      <c r="AM21" s="7213"/>
      <c r="AN21" s="7213"/>
      <c r="AO21" s="7213"/>
      <c r="AP21" s="7213"/>
      <c r="AQ21" s="7213"/>
      <c r="AR21" s="7213"/>
      <c r="AS21" s="7213"/>
      <c r="AT21" s="7213"/>
      <c r="AU21" s="7213"/>
      <c r="AV21" s="7213"/>
      <c r="AW21" s="7213"/>
      <c r="AX21" s="7213"/>
      <c r="AY21" s="7213"/>
      <c r="AZ21" s="7213"/>
      <c r="BL21" s="629">
        <v>15</v>
      </c>
    </row>
    <row customHeight="1" ht="23.25">
      <c r="C22" s="300"/>
      <c r="D22" s="237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4"/>
      <c r="F22" s="2374"/>
      <c r="G22" s="2374"/>
      <c r="H22" s="2374"/>
      <c r="I22" s="2374"/>
      <c r="J22" s="800"/>
      <c r="K22" s="6180"/>
      <c r="L22" s="6180"/>
      <c r="M22" s="6180"/>
      <c r="N22" s="6180"/>
      <c r="O22" s="6180"/>
      <c r="P22" s="6180"/>
      <c r="Q22" s="6180"/>
      <c r="R22" s="6180"/>
      <c r="S22" s="6180"/>
      <c r="T22" s="6180"/>
      <c r="U22" s="6180"/>
      <c r="V22" s="6180"/>
      <c r="W22" s="6180"/>
      <c r="X22" s="6180"/>
      <c r="Y22" s="6180"/>
      <c r="Z22" s="6180"/>
      <c r="AA22" s="6180"/>
      <c r="AB22" s="6180"/>
      <c r="AC22" s="6180"/>
      <c r="AD22" s="6180"/>
      <c r="AE22" s="6180"/>
      <c r="AF22" s="6180"/>
      <c r="AG22" s="6180"/>
      <c r="AH22" s="6180"/>
      <c r="AI22" s="6180"/>
      <c r="AJ22" s="6180"/>
      <c r="AK22" s="6180"/>
      <c r="AL22" s="6180"/>
      <c r="AM22" s="6180"/>
      <c r="AN22" s="6180"/>
      <c r="AO22" s="6180"/>
      <c r="AP22" s="6180"/>
      <c r="AQ22" s="6180"/>
      <c r="AR22" s="6180"/>
      <c r="AS22" s="6180"/>
      <c r="AT22" s="6180"/>
      <c r="AU22" s="6180"/>
      <c r="AV22" s="6180"/>
      <c r="AW22" s="6180"/>
      <c r="AX22" s="6180"/>
      <c r="AY22" s="6180"/>
      <c r="AZ22" s="6180"/>
      <c r="BA22" s="661"/>
      <c r="BL22" s="629">
        <v>22</v>
      </c>
    </row>
    <row customHeight="1" ht="15.75">
      <c r="C23" s="300"/>
      <c r="D23" s="2313" t="str">
        <f>IF(org=0,"Не определено",org)</f>
        <v>ООО "СамРЭК-Эксплуатация"</v>
      </c>
      <c r="E23" s="2313"/>
      <c r="F23" s="2313"/>
      <c r="G23" s="2313"/>
      <c r="H23" s="2313"/>
      <c r="I23" s="2313"/>
      <c r="J23" s="800"/>
      <c r="K23" s="6182"/>
      <c r="L23" s="6182"/>
      <c r="M23" s="6182"/>
      <c r="N23" s="6182"/>
      <c r="O23" s="6182"/>
      <c r="P23" s="6182"/>
      <c r="Q23" s="6182"/>
      <c r="R23" s="6182"/>
      <c r="S23" s="6182"/>
      <c r="T23" s="6182"/>
      <c r="U23" s="6182"/>
      <c r="V23" s="6182"/>
      <c r="W23" s="6182"/>
      <c r="X23" s="6182"/>
      <c r="Y23" s="6182"/>
      <c r="Z23" s="6182"/>
      <c r="AA23" s="6182"/>
      <c r="AB23" s="6182"/>
      <c r="AC23" s="6182"/>
      <c r="AD23" s="6182"/>
      <c r="AE23" s="6182"/>
      <c r="AF23" s="6182"/>
      <c r="AG23" s="6182"/>
      <c r="AH23" s="6182"/>
      <c r="AI23" s="6182"/>
      <c r="AJ23" s="6182"/>
      <c r="AK23" s="6182"/>
      <c r="AL23" s="6182"/>
      <c r="AM23" s="6182"/>
      <c r="AN23" s="6182"/>
      <c r="AO23" s="6182"/>
      <c r="AP23" s="6182"/>
      <c r="AQ23" s="6182"/>
      <c r="AR23" s="6182"/>
      <c r="AS23" s="6182"/>
      <c r="AT23" s="6182"/>
      <c r="AU23" s="6182"/>
      <c r="AV23" s="6182"/>
      <c r="AW23" s="6182"/>
      <c r="AX23" s="6182"/>
      <c r="AY23" s="6182"/>
      <c r="AZ23" s="6182"/>
      <c r="BA23" s="661"/>
      <c r="BL23" s="629">
        <v>15</v>
      </c>
    </row>
    <row customHeight="1" ht="15.75">
      <c r="C24" s="300"/>
      <c r="D24" s="633"/>
      <c r="E24" s="633"/>
      <c r="F24" s="633"/>
      <c r="G24" s="661">
        <v>22</v>
      </c>
      <c r="H24" s="876"/>
      <c r="I24" s="661">
        <v>22</v>
      </c>
      <c r="J24" s="876"/>
      <c r="K24" s="7158" t="s">
        <v>22</v>
      </c>
      <c r="L24" s="5885"/>
      <c r="M24" s="7158" t="s">
        <v>22</v>
      </c>
      <c r="N24" s="5885"/>
      <c r="O24" s="7158" t="s">
        <v>22</v>
      </c>
      <c r="P24" s="5885"/>
      <c r="Q24" s="7158" t="s">
        <v>22</v>
      </c>
      <c r="R24" s="5885"/>
      <c r="S24" s="7158" t="s">
        <v>22</v>
      </c>
      <c r="T24" s="5885"/>
      <c r="U24" s="7158" t="s">
        <v>22</v>
      </c>
      <c r="V24" s="5885"/>
      <c r="W24" s="7158" t="s">
        <v>22</v>
      </c>
      <c r="X24" s="5885"/>
      <c r="Y24" s="7158" t="s">
        <v>22</v>
      </c>
      <c r="Z24" s="5885"/>
      <c r="AA24" s="7158" t="s">
        <v>22</v>
      </c>
      <c r="AB24" s="5885"/>
      <c r="AC24" s="7158" t="s">
        <v>22</v>
      </c>
      <c r="AD24" s="5885"/>
      <c r="AE24" s="7158" t="s">
        <v>22</v>
      </c>
      <c r="AF24" s="5885"/>
      <c r="AG24" s="7158" t="s">
        <v>22</v>
      </c>
      <c r="AH24" s="5885"/>
      <c r="AI24" s="7158" t="s">
        <v>22</v>
      </c>
      <c r="AJ24" s="5885"/>
      <c r="AK24" s="7158" t="s">
        <v>22</v>
      </c>
      <c r="AL24" s="5885"/>
      <c r="AM24" s="7158" t="s">
        <v>22</v>
      </c>
      <c r="AN24" s="5885"/>
      <c r="AO24" s="7158" t="s">
        <v>22</v>
      </c>
      <c r="AP24" s="5885"/>
      <c r="AQ24" s="7158" t="s">
        <v>22</v>
      </c>
      <c r="AR24" s="5885"/>
      <c r="AS24" s="7158" t="s">
        <v>22</v>
      </c>
      <c r="AT24" s="5885"/>
      <c r="AU24" s="7158" t="s">
        <v>22</v>
      </c>
      <c r="AV24" s="5885"/>
      <c r="AW24" s="7158" t="s">
        <v>22</v>
      </c>
      <c r="AX24" s="5885"/>
      <c r="AY24" s="7158" t="s">
        <v>22</v>
      </c>
      <c r="AZ24" s="5885"/>
      <c r="BL24" s="629">
        <v>15</v>
      </c>
    </row>
    <row s="7213" customFormat="1" customHeight="1" ht="1.05">
      <c r="A25" s="883"/>
      <c r="C25" s="300"/>
      <c r="D25" s="633"/>
      <c r="E25" s="633"/>
      <c r="F25" s="633"/>
      <c r="G25" s="661"/>
      <c r="H25" s="876"/>
      <c r="I25" s="661" t="s">
        <v>215</v>
      </c>
      <c r="J25" s="876"/>
      <c r="K25" s="7158" t="s">
        <v>219</v>
      </c>
      <c r="L25" s="5885"/>
      <c r="M25" s="7158" t="s">
        <v>220</v>
      </c>
      <c r="N25" s="5885"/>
      <c r="O25" s="7158" t="s">
        <v>221</v>
      </c>
      <c r="P25" s="5885"/>
      <c r="Q25" s="7158" t="s">
        <v>222</v>
      </c>
      <c r="R25" s="5885"/>
      <c r="S25" s="7158" t="s">
        <v>223</v>
      </c>
      <c r="T25" s="5885"/>
      <c r="U25" s="7158" t="s">
        <v>224</v>
      </c>
      <c r="V25" s="5885"/>
      <c r="W25" s="7158" t="s">
        <v>225</v>
      </c>
      <c r="X25" s="5885"/>
      <c r="Y25" s="7158" t="s">
        <v>226</v>
      </c>
      <c r="Z25" s="5885"/>
      <c r="AA25" s="7158" t="s">
        <v>227</v>
      </c>
      <c r="AB25" s="5885"/>
      <c r="AC25" s="7158" t="s">
        <v>228</v>
      </c>
      <c r="AD25" s="5885"/>
      <c r="AE25" s="7158" t="s">
        <v>229</v>
      </c>
      <c r="AF25" s="5885"/>
      <c r="AG25" s="7158" t="s">
        <v>230</v>
      </c>
      <c r="AH25" s="5885"/>
      <c r="AI25" s="7158" t="s">
        <v>231</v>
      </c>
      <c r="AJ25" s="5885"/>
      <c r="AK25" s="7158" t="s">
        <v>232</v>
      </c>
      <c r="AL25" s="5885"/>
      <c r="AM25" s="7158" t="s">
        <v>233</v>
      </c>
      <c r="AN25" s="5885"/>
      <c r="AO25" s="7158" t="s">
        <v>234</v>
      </c>
      <c r="AP25" s="5885"/>
      <c r="AQ25" s="7158" t="s">
        <v>235</v>
      </c>
      <c r="AR25" s="5885"/>
      <c r="AS25" s="7158" t="s">
        <v>236</v>
      </c>
      <c r="AT25" s="5885"/>
      <c r="AU25" s="7158" t="s">
        <v>237</v>
      </c>
      <c r="AV25" s="5885"/>
      <c r="AW25" s="7158" t="s">
        <v>238</v>
      </c>
      <c r="AX25" s="5885"/>
      <c r="AY25" s="7158" t="s">
        <v>239</v>
      </c>
      <c r="AZ25" s="5885"/>
      <c r="BA25" s="541"/>
      <c r="BK25" s="799"/>
      <c r="BL25" s="882">
        <v>1</v>
      </c>
    </row>
    <row customHeight="1" ht="15.75">
      <c r="C26" s="300"/>
      <c r="D26" s="835"/>
      <c r="E26" s="2504" t="s">
        <v>206</v>
      </c>
      <c r="F26" s="2505"/>
      <c r="G26" s="2532" t="str">
        <f>IF(G25="","",INDEX(DIFFERENTIATION_UNMERGE_VD,MATCH(G25,DIFFERENTIATION_ID_DIFF,0)))</f>
        <v/>
      </c>
      <c r="H26" s="2533"/>
      <c r="I26" s="2532" t="str">
        <f>IF(I25="","",INDEX(DIFFERENTIATION_UNMERGE_VD,MATCH(I25,DIFFERENTIATION_ID_DIFF,0)))</f>
        <v>Производство тепловой энергии. Некомбинированная выработка</v>
      </c>
      <c r="J26" s="2533"/>
      <c r="K26" s="7123" t="str">
        <f>IF(K25="","",INDEX(DIFFERENTIATION_UNMERGE_VD,MATCH(K25,DIFFERENTIATION_ID_DIFF,0)))</f>
        <v>Производство тепловой энергии. Некомбинированная выработка</v>
      </c>
      <c r="L26" s="6919"/>
      <c r="M26" s="7123" t="str">
        <f>IF(M25="","",INDEX(DIFFERENTIATION_UNMERGE_VD,MATCH(M25,DIFFERENTIATION_ID_DIFF,0)))</f>
        <v>Производство тепловой энергии. Некомбинированная выработка</v>
      </c>
      <c r="N26" s="6919"/>
      <c r="O26" s="7123" t="str">
        <f>IF(O25="","",INDEX(DIFFERENTIATION_UNMERGE_VD,MATCH(O25,DIFFERENTIATION_ID_DIFF,0)))</f>
        <v>Производство тепловой энергии. Некомбинированная выработка</v>
      </c>
      <c r="P26" s="6919"/>
      <c r="Q26" s="7123" t="str">
        <f>IF(Q25="","",INDEX(DIFFERENTIATION_UNMERGE_VD,MATCH(Q25,DIFFERENTIATION_ID_DIFF,0)))</f>
        <v>Производство тепловой энергии. Некомбинированная выработка</v>
      </c>
      <c r="R26" s="6919"/>
      <c r="S26" s="7123" t="str">
        <f>IF(S25="","",INDEX(DIFFERENTIATION_UNMERGE_VD,MATCH(S25,DIFFERENTIATION_ID_DIFF,0)))</f>
        <v>Производство тепловой энергии. Некомбинированная выработка</v>
      </c>
      <c r="T26" s="6919"/>
      <c r="U26" s="7123" t="str">
        <f>IF(U25="","",INDEX(DIFFERENTIATION_UNMERGE_VD,MATCH(U25,DIFFERENTIATION_ID_DIFF,0)))</f>
        <v>Производство тепловой энергии. Некомбинированная выработка</v>
      </c>
      <c r="V26" s="6919"/>
      <c r="W26" s="7123" t="str">
        <f>IF(W25="","",INDEX(DIFFERENTIATION_UNMERGE_VD,MATCH(W25,DIFFERENTIATION_ID_DIFF,0)))</f>
        <v>Производство тепловой энергии. Некомбинированная выработка</v>
      </c>
      <c r="X26" s="6919"/>
      <c r="Y26" s="7123" t="str">
        <f>IF(Y25="","",INDEX(DIFFERENTIATION_UNMERGE_VD,MATCH(Y25,DIFFERENTIATION_ID_DIFF,0)))</f>
        <v>Производство тепловой энергии. Некомбинированная выработка</v>
      </c>
      <c r="Z26" s="6919"/>
      <c r="AA26" s="7123" t="str">
        <f>IF(AA25="","",INDEX(DIFFERENTIATION_UNMERGE_VD,MATCH(AA25,DIFFERENTIATION_ID_DIFF,0)))</f>
        <v>Производство тепловой энергии. Некомбинированная выработка</v>
      </c>
      <c r="AB26" s="6919"/>
      <c r="AC26" s="7123" t="str">
        <f>IF(AC25="","",INDEX(DIFFERENTIATION_UNMERGE_VD,MATCH(AC25,DIFFERENTIATION_ID_DIFF,0)))</f>
        <v>Производство тепловой энергии. Некомбинированная выработка</v>
      </c>
      <c r="AD26" s="6919"/>
      <c r="AE26" s="7123" t="str">
        <f>IF(AE25="","",INDEX(DIFFERENTIATION_UNMERGE_VD,MATCH(AE25,DIFFERENTIATION_ID_DIFF,0)))</f>
        <v>Производство тепловой энергии. Некомбинированная выработка</v>
      </c>
      <c r="AF26" s="6919"/>
      <c r="AG26" s="7123" t="str">
        <f>IF(AG25="","",INDEX(DIFFERENTIATION_UNMERGE_VD,MATCH(AG25,DIFFERENTIATION_ID_DIFF,0)))</f>
        <v>Производство тепловой энергии. Некомбинированная выработка</v>
      </c>
      <c r="AH26" s="6919"/>
      <c r="AI26" s="7123" t="str">
        <f>IF(AI25="","",INDEX(DIFFERENTIATION_UNMERGE_VD,MATCH(AI25,DIFFERENTIATION_ID_DIFF,0)))</f>
        <v>Производство тепловой энергии. Некомбинированная выработка</v>
      </c>
      <c r="AJ26" s="6919"/>
      <c r="AK26" s="7123" t="str">
        <f>IF(AK25="","",INDEX(DIFFERENTIATION_UNMERGE_VD,MATCH(AK25,DIFFERENTIATION_ID_DIFF,0)))</f>
        <v>Производство тепловой энергии. Некомбинированная выработка</v>
      </c>
      <c r="AL26" s="6919"/>
      <c r="AM26" s="7123" t="str">
        <f>IF(AM25="","",INDEX(DIFFERENTIATION_UNMERGE_VD,MATCH(AM25,DIFFERENTIATION_ID_DIFF,0)))</f>
        <v>Производство тепловой энергии. Некомбинированная выработка</v>
      </c>
      <c r="AN26" s="6919"/>
      <c r="AO26" s="7123" t="str">
        <f>IF(AO25="","",INDEX(DIFFERENTIATION_UNMERGE_VD,MATCH(AO25,DIFFERENTIATION_ID_DIFF,0)))</f>
        <v>Производство тепловой энергии. Некомбинированная выработка</v>
      </c>
      <c r="AP26" s="6919"/>
      <c r="AQ26" s="7123" t="str">
        <f>IF(AQ25="","",INDEX(DIFFERENTIATION_UNMERGE_VD,MATCH(AQ25,DIFFERENTIATION_ID_DIFF,0)))</f>
        <v>Производство тепловой энергии. Некомбинированная выработка</v>
      </c>
      <c r="AR26" s="6919"/>
      <c r="AS26" s="7123" t="str">
        <f>IF(AS25="","",INDEX(DIFFERENTIATION_UNMERGE_VD,MATCH(AS25,DIFFERENTIATION_ID_DIFF,0)))</f>
        <v>Производство тепловой энергии. Некомбинированная выработка</v>
      </c>
      <c r="AT26" s="6919"/>
      <c r="AU26" s="7123" t="str">
        <f>IF(AU25="","",INDEX(DIFFERENTIATION_UNMERGE_VD,MATCH(AU25,DIFFERENTIATION_ID_DIFF,0)))</f>
        <v>Производство тепловой энергии. Некомбинированная выработка</v>
      </c>
      <c r="AV26" s="6919"/>
      <c r="AW26" s="7123" t="str">
        <f>IF(AW25="","",INDEX(DIFFERENTIATION_UNMERGE_VD,MATCH(AW25,DIFFERENTIATION_ID_DIFF,0)))</f>
        <v>Производство тепловой энергии. Некомбинированная выработка</v>
      </c>
      <c r="AX26" s="6919"/>
      <c r="AY26" s="7123" t="str">
        <f>IF(AY25="","",INDEX(DIFFERENTIATION_UNMERGE_VD,MATCH(AY25,DIFFERENTIATION_ID_DIFF,0)))</f>
        <v>Производство тепловой энергии. Некомбинированная выработка</v>
      </c>
      <c r="AZ26" s="6919"/>
      <c r="BA26" s="2312" t="s">
        <v>413</v>
      </c>
      <c r="BL26" s="629">
        <v>15</v>
      </c>
    </row>
    <row s="7213" customFormat="1" customHeight="1" ht="15.75">
      <c r="A27" s="883"/>
      <c r="C27" s="300"/>
      <c r="D27" s="835"/>
      <c r="E27" s="2504" t="s">
        <v>676</v>
      </c>
      <c r="F27" s="2505"/>
      <c r="G27" s="2532" t="str">
        <f>IF(G25="","",INDEX(DIFFERENTIATION_UNMERGE_AREA,MATCH(G25,DIFFERENTIATION_ID_DIFF,0)))</f>
        <v/>
      </c>
      <c r="H27" s="2533"/>
      <c r="I27" s="2532" t="str">
        <f>IF(I25="","",INDEX(DIFFERENTIATION_UNMERGE_AREA,MATCH(I25,DIFFERENTIATION_ID_DIFF,0)))</f>
        <v>Территория 1</v>
      </c>
      <c r="J27" s="2533"/>
      <c r="K27" s="7123" t="str">
        <f>IF(K25="","",INDEX(DIFFERENTIATION_UNMERGE_AREA,MATCH(K25,DIFFERENTIATION_ID_DIFF,0)))</f>
        <v>Территория 2</v>
      </c>
      <c r="L27" s="6919"/>
      <c r="M27" s="7123" t="str">
        <f>IF(M25="","",INDEX(DIFFERENTIATION_UNMERGE_AREA,MATCH(M25,DIFFERENTIATION_ID_DIFF,0)))</f>
        <v>Территория 3</v>
      </c>
      <c r="N27" s="6919"/>
      <c r="O27" s="7123" t="str">
        <f>IF(O25="","",INDEX(DIFFERENTIATION_UNMERGE_AREA,MATCH(O25,DIFFERENTIATION_ID_DIFF,0)))</f>
        <v>Территория 4</v>
      </c>
      <c r="P27" s="6919"/>
      <c r="Q27" s="7123" t="str">
        <f>IF(Q25="","",INDEX(DIFFERENTIATION_UNMERGE_AREA,MATCH(Q25,DIFFERENTIATION_ID_DIFF,0)))</f>
        <v>Территория 5</v>
      </c>
      <c r="R27" s="6919"/>
      <c r="S27" s="7123" t="str">
        <f>IF(S25="","",INDEX(DIFFERENTIATION_UNMERGE_AREA,MATCH(S25,DIFFERENTIATION_ID_DIFF,0)))</f>
        <v>Территория 6</v>
      </c>
      <c r="T27" s="6919"/>
      <c r="U27" s="7123" t="str">
        <f>IF(U25="","",INDEX(DIFFERENTIATION_UNMERGE_AREA,MATCH(U25,DIFFERENTIATION_ID_DIFF,0)))</f>
        <v>Территория 7</v>
      </c>
      <c r="V27" s="6919"/>
      <c r="W27" s="7123" t="str">
        <f>IF(W25="","",INDEX(DIFFERENTIATION_UNMERGE_AREA,MATCH(W25,DIFFERENTIATION_ID_DIFF,0)))</f>
        <v>Территория 8</v>
      </c>
      <c r="X27" s="6919"/>
      <c r="Y27" s="7123" t="str">
        <f>IF(Y25="","",INDEX(DIFFERENTIATION_UNMERGE_AREA,MATCH(Y25,DIFFERENTIATION_ID_DIFF,0)))</f>
        <v>Территория 9</v>
      </c>
      <c r="Z27" s="6919"/>
      <c r="AA27" s="7123" t="str">
        <f>IF(AA25="","",INDEX(DIFFERENTIATION_UNMERGE_AREA,MATCH(AA25,DIFFERENTIATION_ID_DIFF,0)))</f>
        <v>Территория 10</v>
      </c>
      <c r="AB27" s="6919"/>
      <c r="AC27" s="7123" t="str">
        <f>IF(AC25="","",INDEX(DIFFERENTIATION_UNMERGE_AREA,MATCH(AC25,DIFFERENTIATION_ID_DIFF,0)))</f>
        <v>Территория 11</v>
      </c>
      <c r="AD27" s="6919"/>
      <c r="AE27" s="7123" t="str">
        <f>IF(AE25="","",INDEX(DIFFERENTIATION_UNMERGE_AREA,MATCH(AE25,DIFFERENTIATION_ID_DIFF,0)))</f>
        <v>Территория 12</v>
      </c>
      <c r="AF27" s="6919"/>
      <c r="AG27" s="7123" t="str">
        <f>IF(AG25="","",INDEX(DIFFERENTIATION_UNMERGE_AREA,MATCH(AG25,DIFFERENTIATION_ID_DIFF,0)))</f>
        <v>Территория 13</v>
      </c>
      <c r="AH27" s="6919"/>
      <c r="AI27" s="7123" t="str">
        <f>IF(AI25="","",INDEX(DIFFERENTIATION_UNMERGE_AREA,MATCH(AI25,DIFFERENTIATION_ID_DIFF,0)))</f>
        <v>Территория 14</v>
      </c>
      <c r="AJ27" s="6919"/>
      <c r="AK27" s="7123" t="str">
        <f>IF(AK25="","",INDEX(DIFFERENTIATION_UNMERGE_AREA,MATCH(AK25,DIFFERENTIATION_ID_DIFF,0)))</f>
        <v>Территория 15</v>
      </c>
      <c r="AL27" s="6919"/>
      <c r="AM27" s="7123" t="str">
        <f>IF(AM25="","",INDEX(DIFFERENTIATION_UNMERGE_AREA,MATCH(AM25,DIFFERENTIATION_ID_DIFF,0)))</f>
        <v>Территория 16</v>
      </c>
      <c r="AN27" s="6919"/>
      <c r="AO27" s="7123" t="str">
        <f>IF(AO25="","",INDEX(DIFFERENTIATION_UNMERGE_AREA,MATCH(AO25,DIFFERENTIATION_ID_DIFF,0)))</f>
        <v>Территория 17</v>
      </c>
      <c r="AP27" s="6919"/>
      <c r="AQ27" s="7123" t="str">
        <f>IF(AQ25="","",INDEX(DIFFERENTIATION_UNMERGE_AREA,MATCH(AQ25,DIFFERENTIATION_ID_DIFF,0)))</f>
        <v>Территория 18</v>
      </c>
      <c r="AR27" s="6919"/>
      <c r="AS27" s="7123" t="str">
        <f>IF(AS25="","",INDEX(DIFFERENTIATION_UNMERGE_AREA,MATCH(AS25,DIFFERENTIATION_ID_DIFF,0)))</f>
        <v>Территория 19</v>
      </c>
      <c r="AT27" s="6919"/>
      <c r="AU27" s="7123" t="str">
        <f>IF(AU25="","",INDEX(DIFFERENTIATION_UNMERGE_AREA,MATCH(AU25,DIFFERENTIATION_ID_DIFF,0)))</f>
        <v>Территория 20</v>
      </c>
      <c r="AV27" s="6919"/>
      <c r="AW27" s="7123" t="str">
        <f>IF(AW25="","",INDEX(DIFFERENTIATION_UNMERGE_AREA,MATCH(AW25,DIFFERENTIATION_ID_DIFF,0)))</f>
        <v>Территория 21</v>
      </c>
      <c r="AX27" s="6919"/>
      <c r="AY27" s="7123" t="str">
        <f>IF(AY25="","",INDEX(DIFFERENTIATION_UNMERGE_AREA,MATCH(AY25,DIFFERENTIATION_ID_DIFF,0)))</f>
        <v>Территория 22</v>
      </c>
      <c r="AZ27" s="6919"/>
      <c r="BA27" s="2332"/>
      <c r="BK27" s="799"/>
      <c r="BL27" s="882">
        <v>15</v>
      </c>
    </row>
    <row s="7213" customFormat="1" customHeight="1" ht="15.75">
      <c r="A28" s="883"/>
      <c r="C28" s="300"/>
      <c r="D28" s="835"/>
      <c r="E28" s="2504" t="s">
        <v>677</v>
      </c>
      <c r="F28" s="2505"/>
      <c r="G28" s="2532" t="str">
        <f>IF(G25="","",INDEX(DIFFERENTIATION_UNMERGE_SYSTEM,MATCH(G25,DIFFERENTIATION_ID_DIFF,0)))</f>
        <v/>
      </c>
      <c r="H28" s="2533"/>
      <c r="I28" s="2532" t="str">
        <f>IF(I25="","",INDEX(DIFFERENTIATION_UNMERGE_SYSTEM,MATCH(I25,DIFFERENTIATION_ID_DIFF,0)))</f>
        <v>без дифференциации</v>
      </c>
      <c r="J28" s="2533"/>
      <c r="K28" s="7123" t="str">
        <f>IF(K25="","",INDEX(DIFFERENTIATION_UNMERGE_SYSTEM,MATCH(K25,DIFFERENTIATION_ID_DIFF,0)))</f>
        <v>без дифференциации</v>
      </c>
      <c r="L28" s="6919"/>
      <c r="M28" s="7123" t="str">
        <f>IF(M25="","",INDEX(DIFFERENTIATION_UNMERGE_SYSTEM,MATCH(M25,DIFFERENTIATION_ID_DIFF,0)))</f>
        <v>без дифференциации</v>
      </c>
      <c r="N28" s="6919"/>
      <c r="O28" s="7123" t="str">
        <f>IF(O25="","",INDEX(DIFFERENTIATION_UNMERGE_SYSTEM,MATCH(O25,DIFFERENTIATION_ID_DIFF,0)))</f>
        <v>без дифференциации</v>
      </c>
      <c r="P28" s="6919"/>
      <c r="Q28" s="7123" t="str">
        <f>IF(Q25="","",INDEX(DIFFERENTIATION_UNMERGE_SYSTEM,MATCH(Q25,DIFFERENTIATION_ID_DIFF,0)))</f>
        <v>без дифференциации</v>
      </c>
      <c r="R28" s="6919"/>
      <c r="S28" s="7123" t="str">
        <f>IF(S25="","",INDEX(DIFFERENTIATION_UNMERGE_SYSTEM,MATCH(S25,DIFFERENTIATION_ID_DIFF,0)))</f>
        <v>без дифференциации</v>
      </c>
      <c r="T28" s="6919"/>
      <c r="U28" s="7123" t="str">
        <f>IF(U25="","",INDEX(DIFFERENTIATION_UNMERGE_SYSTEM,MATCH(U25,DIFFERENTIATION_ID_DIFF,0)))</f>
        <v>без дифференциации</v>
      </c>
      <c r="V28" s="6919"/>
      <c r="W28" s="7123" t="str">
        <f>IF(W25="","",INDEX(DIFFERENTIATION_UNMERGE_SYSTEM,MATCH(W25,DIFFERENTIATION_ID_DIFF,0)))</f>
        <v>без дифференциации</v>
      </c>
      <c r="X28" s="6919"/>
      <c r="Y28" s="7123" t="str">
        <f>IF(Y25="","",INDEX(DIFFERENTIATION_UNMERGE_SYSTEM,MATCH(Y25,DIFFERENTIATION_ID_DIFF,0)))</f>
        <v>без дифференциации</v>
      </c>
      <c r="Z28" s="6919"/>
      <c r="AA28" s="7123" t="str">
        <f>IF(AA25="","",INDEX(DIFFERENTIATION_UNMERGE_SYSTEM,MATCH(AA25,DIFFERENTIATION_ID_DIFF,0)))</f>
        <v>без дифференциации</v>
      </c>
      <c r="AB28" s="6919"/>
      <c r="AC28" s="7123" t="str">
        <f>IF(AC25="","",INDEX(DIFFERENTIATION_UNMERGE_SYSTEM,MATCH(AC25,DIFFERENTIATION_ID_DIFF,0)))</f>
        <v>без дифференциации</v>
      </c>
      <c r="AD28" s="6919"/>
      <c r="AE28" s="7123" t="str">
        <f>IF(AE25="","",INDEX(DIFFERENTIATION_UNMERGE_SYSTEM,MATCH(AE25,DIFFERENTIATION_ID_DIFF,0)))</f>
        <v>без дифференциации</v>
      </c>
      <c r="AF28" s="6919"/>
      <c r="AG28" s="7123" t="str">
        <f>IF(AG25="","",INDEX(DIFFERENTIATION_UNMERGE_SYSTEM,MATCH(AG25,DIFFERENTIATION_ID_DIFF,0)))</f>
        <v>без дифференциации</v>
      </c>
      <c r="AH28" s="6919"/>
      <c r="AI28" s="7123" t="str">
        <f>IF(AI25="","",INDEX(DIFFERENTIATION_UNMERGE_SYSTEM,MATCH(AI25,DIFFERENTIATION_ID_DIFF,0)))</f>
        <v>без дифференциации</v>
      </c>
      <c r="AJ28" s="6919"/>
      <c r="AK28" s="7123" t="str">
        <f>IF(AK25="","",INDEX(DIFFERENTIATION_UNMERGE_SYSTEM,MATCH(AK25,DIFFERENTIATION_ID_DIFF,0)))</f>
        <v>без дифференциации</v>
      </c>
      <c r="AL28" s="6919"/>
      <c r="AM28" s="7123" t="str">
        <f>IF(AM25="","",INDEX(DIFFERENTIATION_UNMERGE_SYSTEM,MATCH(AM25,DIFFERENTIATION_ID_DIFF,0)))</f>
        <v>без дифференциации</v>
      </c>
      <c r="AN28" s="6919"/>
      <c r="AO28" s="7123" t="str">
        <f>IF(AO25="","",INDEX(DIFFERENTIATION_UNMERGE_SYSTEM,MATCH(AO25,DIFFERENTIATION_ID_DIFF,0)))</f>
        <v>без дифференциации</v>
      </c>
      <c r="AP28" s="6919"/>
      <c r="AQ28" s="7123" t="str">
        <f>IF(AQ25="","",INDEX(DIFFERENTIATION_UNMERGE_SYSTEM,MATCH(AQ25,DIFFERENTIATION_ID_DIFF,0)))</f>
        <v>без дифференциации</v>
      </c>
      <c r="AR28" s="6919"/>
      <c r="AS28" s="7123" t="str">
        <f>IF(AS25="","",INDEX(DIFFERENTIATION_UNMERGE_SYSTEM,MATCH(AS25,DIFFERENTIATION_ID_DIFF,0)))</f>
        <v>без дифференциации</v>
      </c>
      <c r="AT28" s="6919"/>
      <c r="AU28" s="7123" t="str">
        <f>IF(AU25="","",INDEX(DIFFERENTIATION_UNMERGE_SYSTEM,MATCH(AU25,DIFFERENTIATION_ID_DIFF,0)))</f>
        <v>без дифференциации</v>
      </c>
      <c r="AV28" s="6919"/>
      <c r="AW28" s="7123" t="str">
        <f>IF(AW25="","",INDEX(DIFFERENTIATION_UNMERGE_SYSTEM,MATCH(AW25,DIFFERENTIATION_ID_DIFF,0)))</f>
        <v>без дифференциации</v>
      </c>
      <c r="AX28" s="6919"/>
      <c r="AY28" s="7123" t="str">
        <f>IF(AY25="","",INDEX(DIFFERENTIATION_UNMERGE_SYSTEM,MATCH(AY25,DIFFERENTIATION_ID_DIFF,0)))</f>
        <v>без дифференциации</v>
      </c>
      <c r="AZ28" s="6919"/>
      <c r="BA28" s="2332"/>
      <c r="BK28" s="799"/>
      <c r="BL28" s="882">
        <v>15</v>
      </c>
    </row>
    <row s="7213" customFormat="1" customHeight="1" ht="15.75">
      <c r="A29" s="883"/>
      <c r="C29" s="300"/>
      <c r="D29" s="2506" t="s">
        <v>412</v>
      </c>
      <c r="E29" s="2507"/>
      <c r="F29" s="2507"/>
      <c r="G29" s="1011"/>
      <c r="H29" s="1011"/>
      <c r="I29" s="1011"/>
      <c r="J29" s="1012"/>
      <c r="K29" s="6920"/>
      <c r="L29" s="6920"/>
      <c r="M29" s="6920"/>
      <c r="N29" s="6920"/>
      <c r="O29" s="6920"/>
      <c r="P29" s="6920"/>
      <c r="Q29" s="6920"/>
      <c r="R29" s="6920"/>
      <c r="S29" s="6920"/>
      <c r="T29" s="6920"/>
      <c r="U29" s="6920"/>
      <c r="V29" s="6920"/>
      <c r="W29" s="6920"/>
      <c r="X29" s="6920"/>
      <c r="Y29" s="6920"/>
      <c r="Z29" s="6920"/>
      <c r="AA29" s="6920"/>
      <c r="AB29" s="6920"/>
      <c r="AC29" s="6920"/>
      <c r="AD29" s="6920"/>
      <c r="AE29" s="6920"/>
      <c r="AF29" s="6920"/>
      <c r="AG29" s="6920"/>
      <c r="AH29" s="6920"/>
      <c r="AI29" s="6920"/>
      <c r="AJ29" s="6920"/>
      <c r="AK29" s="6920"/>
      <c r="AL29" s="6920"/>
      <c r="AM29" s="6920"/>
      <c r="AN29" s="6920"/>
      <c r="AO29" s="6920"/>
      <c r="AP29" s="6920"/>
      <c r="AQ29" s="6920"/>
      <c r="AR29" s="6920"/>
      <c r="AS29" s="6920"/>
      <c r="AT29" s="6920"/>
      <c r="AU29" s="6920"/>
      <c r="AV29" s="6920"/>
      <c r="AW29" s="6920"/>
      <c r="AX29" s="6920"/>
      <c r="AY29" s="6920"/>
      <c r="AZ29" s="6920"/>
      <c r="BA29" s="2332"/>
      <c r="BK29" s="799"/>
      <c r="BL29" s="882">
        <v>15</v>
      </c>
    </row>
    <row customHeight="1" ht="35.699999999999996">
      <c r="C30" s="300"/>
      <c r="D30" s="885" t="s">
        <v>88</v>
      </c>
      <c r="E30" s="884" t="s">
        <v>414</v>
      </c>
      <c r="F30" s="884" t="s">
        <v>678</v>
      </c>
      <c r="G30" s="932" t="s">
        <v>415</v>
      </c>
      <c r="H30" s="931" t="s">
        <v>502</v>
      </c>
      <c r="I30" s="808" t="s">
        <v>415</v>
      </c>
      <c r="J30" s="589" t="s">
        <v>502</v>
      </c>
      <c r="K30" s="7430" t="s">
        <v>415</v>
      </c>
      <c r="L30" s="7577" t="s">
        <v>502</v>
      </c>
      <c r="M30" s="7430" t="s">
        <v>415</v>
      </c>
      <c r="N30" s="7577" t="s">
        <v>502</v>
      </c>
      <c r="O30" s="7430" t="s">
        <v>415</v>
      </c>
      <c r="P30" s="7577" t="s">
        <v>502</v>
      </c>
      <c r="Q30" s="7430" t="s">
        <v>415</v>
      </c>
      <c r="R30" s="7577" t="s">
        <v>502</v>
      </c>
      <c r="S30" s="7430" t="s">
        <v>415</v>
      </c>
      <c r="T30" s="7577" t="s">
        <v>502</v>
      </c>
      <c r="U30" s="7430" t="s">
        <v>415</v>
      </c>
      <c r="V30" s="7577" t="s">
        <v>502</v>
      </c>
      <c r="W30" s="7430" t="s">
        <v>415</v>
      </c>
      <c r="X30" s="7577" t="s">
        <v>502</v>
      </c>
      <c r="Y30" s="7430" t="s">
        <v>415</v>
      </c>
      <c r="Z30" s="7577" t="s">
        <v>502</v>
      </c>
      <c r="AA30" s="7430" t="s">
        <v>415</v>
      </c>
      <c r="AB30" s="7577" t="s">
        <v>502</v>
      </c>
      <c r="AC30" s="7430" t="s">
        <v>415</v>
      </c>
      <c r="AD30" s="7577" t="s">
        <v>502</v>
      </c>
      <c r="AE30" s="7430" t="s">
        <v>415</v>
      </c>
      <c r="AF30" s="7577" t="s">
        <v>502</v>
      </c>
      <c r="AG30" s="7430" t="s">
        <v>415</v>
      </c>
      <c r="AH30" s="7577" t="s">
        <v>502</v>
      </c>
      <c r="AI30" s="7430" t="s">
        <v>415</v>
      </c>
      <c r="AJ30" s="7577" t="s">
        <v>502</v>
      </c>
      <c r="AK30" s="7430" t="s">
        <v>415</v>
      </c>
      <c r="AL30" s="7577" t="s">
        <v>502</v>
      </c>
      <c r="AM30" s="7430" t="s">
        <v>415</v>
      </c>
      <c r="AN30" s="7577" t="s">
        <v>502</v>
      </c>
      <c r="AO30" s="7430" t="s">
        <v>415</v>
      </c>
      <c r="AP30" s="7577" t="s">
        <v>502</v>
      </c>
      <c r="AQ30" s="7430" t="s">
        <v>415</v>
      </c>
      <c r="AR30" s="7577" t="s">
        <v>502</v>
      </c>
      <c r="AS30" s="7430" t="s">
        <v>415</v>
      </c>
      <c r="AT30" s="7577" t="s">
        <v>502</v>
      </c>
      <c r="AU30" s="7430" t="s">
        <v>415</v>
      </c>
      <c r="AV30" s="7577" t="s">
        <v>502</v>
      </c>
      <c r="AW30" s="7430" t="s">
        <v>415</v>
      </c>
      <c r="AX30" s="7577" t="s">
        <v>502</v>
      </c>
      <c r="AY30" s="7430" t="s">
        <v>415</v>
      </c>
      <c r="AZ30" s="7577" t="s">
        <v>502</v>
      </c>
      <c r="BA30" s="2338"/>
      <c r="BL30" s="629">
        <v>34</v>
      </c>
    </row>
    <row customHeight="1" ht="15" hidden="1">
      <c r="C31" s="300"/>
      <c r="D31" s="717"/>
      <c r="E31" s="717"/>
      <c r="F31" s="717"/>
      <c r="G31" s="783"/>
      <c r="H31" s="783"/>
      <c r="I31" s="783"/>
      <c r="J31" s="783"/>
      <c r="K31" s="7121"/>
      <c r="L31" s="7121"/>
      <c r="M31" s="7121"/>
      <c r="N31" s="7121"/>
      <c r="O31" s="7121"/>
      <c r="P31" s="7121"/>
      <c r="Q31" s="7121"/>
      <c r="R31" s="7121"/>
      <c r="S31" s="7121"/>
      <c r="T31" s="7121"/>
      <c r="U31" s="7121"/>
      <c r="V31" s="7121"/>
      <c r="W31" s="7121"/>
      <c r="X31" s="7121"/>
      <c r="Y31" s="7121"/>
      <c r="Z31" s="7121"/>
      <c r="AA31" s="7121"/>
      <c r="AB31" s="7121"/>
      <c r="AC31" s="7121"/>
      <c r="AD31" s="7121"/>
      <c r="AE31" s="7121"/>
      <c r="AF31" s="7121"/>
      <c r="AG31" s="7121"/>
      <c r="AH31" s="7121"/>
      <c r="AI31" s="7121"/>
      <c r="AJ31" s="7121"/>
      <c r="AK31" s="7121"/>
      <c r="AL31" s="7121"/>
      <c r="AM31" s="7121"/>
      <c r="AN31" s="7121"/>
      <c r="AO31" s="7121"/>
      <c r="AP31" s="7121"/>
      <c r="AQ31" s="7121"/>
      <c r="AR31" s="7121"/>
      <c r="AS31" s="7121"/>
      <c r="AT31" s="7121"/>
      <c r="AU31" s="7121"/>
      <c r="AV31" s="7121"/>
      <c r="AW31" s="7121"/>
      <c r="AX31" s="7121"/>
      <c r="AY31" s="7121"/>
      <c r="AZ31" s="7121"/>
      <c r="BA31" s="413"/>
      <c r="BL31" s="629">
        <v>0</v>
      </c>
    </row>
    <row customHeight="1" ht="24">
      <c r="A32" s="629"/>
      <c r="B32" s="629" t="s">
        <v>1125</v>
      </c>
      <c r="C32" s="650"/>
      <c r="D32" s="816">
        <v>1</v>
      </c>
      <c r="E32" s="817" t="s">
        <v>1126</v>
      </c>
      <c r="F32" s="815" t="s">
        <v>418</v>
      </c>
      <c r="G32" s="937" t="s">
        <v>418</v>
      </c>
      <c r="H32" s="937" t="s">
        <v>418</v>
      </c>
      <c r="I32" s="815" t="s">
        <v>418</v>
      </c>
      <c r="J32" s="815" t="s">
        <v>418</v>
      </c>
      <c r="K32" s="6929" t="s">
        <v>418</v>
      </c>
      <c r="L32" s="6929" t="s">
        <v>418</v>
      </c>
      <c r="M32" s="6929" t="s">
        <v>418</v>
      </c>
      <c r="N32" s="6929" t="s">
        <v>418</v>
      </c>
      <c r="O32" s="6929" t="s">
        <v>418</v>
      </c>
      <c r="P32" s="6929" t="s">
        <v>418</v>
      </c>
      <c r="Q32" s="6929" t="s">
        <v>418</v>
      </c>
      <c r="R32" s="6929" t="s">
        <v>418</v>
      </c>
      <c r="S32" s="6929" t="s">
        <v>418</v>
      </c>
      <c r="T32" s="6929" t="s">
        <v>418</v>
      </c>
      <c r="U32" s="6929" t="s">
        <v>418</v>
      </c>
      <c r="V32" s="6929" t="s">
        <v>418</v>
      </c>
      <c r="W32" s="6929" t="s">
        <v>418</v>
      </c>
      <c r="X32" s="6929" t="s">
        <v>418</v>
      </c>
      <c r="Y32" s="6929" t="s">
        <v>418</v>
      </c>
      <c r="Z32" s="6929" t="s">
        <v>418</v>
      </c>
      <c r="AA32" s="6929" t="s">
        <v>418</v>
      </c>
      <c r="AB32" s="6929" t="s">
        <v>418</v>
      </c>
      <c r="AC32" s="6929" t="s">
        <v>418</v>
      </c>
      <c r="AD32" s="6929" t="s">
        <v>418</v>
      </c>
      <c r="AE32" s="6929" t="s">
        <v>418</v>
      </c>
      <c r="AF32" s="6929" t="s">
        <v>418</v>
      </c>
      <c r="AG32" s="6929" t="s">
        <v>418</v>
      </c>
      <c r="AH32" s="6929" t="s">
        <v>418</v>
      </c>
      <c r="AI32" s="6929" t="s">
        <v>418</v>
      </c>
      <c r="AJ32" s="6929" t="s">
        <v>418</v>
      </c>
      <c r="AK32" s="6929" t="s">
        <v>418</v>
      </c>
      <c r="AL32" s="6929" t="s">
        <v>418</v>
      </c>
      <c r="AM32" s="6929" t="s">
        <v>418</v>
      </c>
      <c r="AN32" s="6929" t="s">
        <v>418</v>
      </c>
      <c r="AO32" s="6929" t="s">
        <v>418</v>
      </c>
      <c r="AP32" s="6929" t="s">
        <v>418</v>
      </c>
      <c r="AQ32" s="6929" t="s">
        <v>418</v>
      </c>
      <c r="AR32" s="6929" t="s">
        <v>418</v>
      </c>
      <c r="AS32" s="6929" t="s">
        <v>418</v>
      </c>
      <c r="AT32" s="6929" t="s">
        <v>418</v>
      </c>
      <c r="AU32" s="6929" t="s">
        <v>418</v>
      </c>
      <c r="AV32" s="6929" t="s">
        <v>418</v>
      </c>
      <c r="AW32" s="6929" t="s">
        <v>418</v>
      </c>
      <c r="AX32" s="6929" t="s">
        <v>418</v>
      </c>
      <c r="AY32" s="6929" t="s">
        <v>418</v>
      </c>
      <c r="AZ32" s="6929" t="s">
        <v>418</v>
      </c>
      <c r="BA32" s="413"/>
      <c r="BL32" s="629">
        <v>23</v>
      </c>
    </row>
    <row customHeight="1" ht="11.549999999999999">
      <c r="A33" s="629"/>
      <c r="C33" s="629"/>
      <c r="D33" s="471"/>
      <c r="E33" s="704" t="s">
        <v>723</v>
      </c>
      <c r="F33" s="696"/>
      <c r="G33" s="696"/>
      <c r="H33" s="696"/>
      <c r="I33" s="696"/>
      <c r="J33" s="696"/>
      <c r="K33" s="8155"/>
      <c r="L33" s="8156"/>
      <c r="M33" s="8157"/>
      <c r="N33" s="8158"/>
      <c r="O33" s="8159"/>
      <c r="P33" s="8160"/>
      <c r="Q33" s="8161"/>
      <c r="R33" s="8162"/>
      <c r="S33" s="8163"/>
      <c r="T33" s="8164"/>
      <c r="U33" s="8165"/>
      <c r="V33" s="8166"/>
      <c r="W33" s="8167"/>
      <c r="X33" s="8168"/>
      <c r="Y33" s="8169"/>
      <c r="Z33" s="8170"/>
      <c r="AA33" s="8171"/>
      <c r="AB33" s="8172"/>
      <c r="AC33" s="8173"/>
      <c r="AD33" s="8174"/>
      <c r="AE33" s="8175"/>
      <c r="AF33" s="8176"/>
      <c r="AG33" s="8177"/>
      <c r="AH33" s="8178"/>
      <c r="AI33" s="8179"/>
      <c r="AJ33" s="8180"/>
      <c r="AK33" s="8181"/>
      <c r="AL33" s="8182"/>
      <c r="AM33" s="8183"/>
      <c r="AN33" s="8184"/>
      <c r="AO33" s="8185"/>
      <c r="AP33" s="8186"/>
      <c r="AQ33" s="8187"/>
      <c r="AR33" s="8188"/>
      <c r="AS33" s="8189"/>
      <c r="AT33" s="8190"/>
      <c r="AU33" s="8191"/>
      <c r="AV33" s="8192"/>
      <c r="AW33" s="8193"/>
      <c r="AX33" s="8194"/>
      <c r="AY33" s="8195"/>
      <c r="AZ33" s="8196"/>
      <c r="BA33" s="697"/>
      <c r="BK33" s="629"/>
      <c r="BL33" s="629">
        <v>11</v>
      </c>
    </row>
    <row customHeight="1" ht="24">
      <c r="A34" s="629"/>
      <c r="B34" s="705" t="s">
        <v>793</v>
      </c>
      <c r="C34" s="650"/>
      <c r="D34" s="816">
        <v>2</v>
      </c>
      <c r="E34" s="817" t="s">
        <v>1127</v>
      </c>
      <c r="F34" s="944" t="s">
        <v>418</v>
      </c>
      <c r="G34" s="944" t="s">
        <v>418</v>
      </c>
      <c r="H34" s="944" t="s">
        <v>418</v>
      </c>
      <c r="I34" s="815"/>
      <c r="J34" s="815"/>
      <c r="K34" s="6929" t="s">
        <v>418</v>
      </c>
      <c r="L34" s="6929" t="s">
        <v>418</v>
      </c>
      <c r="M34" s="6929" t="s">
        <v>418</v>
      </c>
      <c r="N34" s="6929" t="s">
        <v>418</v>
      </c>
      <c r="O34" s="6929" t="s">
        <v>418</v>
      </c>
      <c r="P34" s="6929" t="s">
        <v>418</v>
      </c>
      <c r="Q34" s="6929" t="s">
        <v>418</v>
      </c>
      <c r="R34" s="6929" t="s">
        <v>418</v>
      </c>
      <c r="S34" s="6929" t="s">
        <v>418</v>
      </c>
      <c r="T34" s="6929" t="s">
        <v>418</v>
      </c>
      <c r="U34" s="6929" t="s">
        <v>418</v>
      </c>
      <c r="V34" s="6929" t="s">
        <v>418</v>
      </c>
      <c r="W34" s="6929" t="s">
        <v>418</v>
      </c>
      <c r="X34" s="6929" t="s">
        <v>418</v>
      </c>
      <c r="Y34" s="6929" t="s">
        <v>418</v>
      </c>
      <c r="Z34" s="6929" t="s">
        <v>418</v>
      </c>
      <c r="AA34" s="6929" t="s">
        <v>418</v>
      </c>
      <c r="AB34" s="6929" t="s">
        <v>418</v>
      </c>
      <c r="AC34" s="6929" t="s">
        <v>418</v>
      </c>
      <c r="AD34" s="6929" t="s">
        <v>418</v>
      </c>
      <c r="AE34" s="6929" t="s">
        <v>418</v>
      </c>
      <c r="AF34" s="6929" t="s">
        <v>418</v>
      </c>
      <c r="AG34" s="6929" t="s">
        <v>418</v>
      </c>
      <c r="AH34" s="6929" t="s">
        <v>418</v>
      </c>
      <c r="AI34" s="6929" t="s">
        <v>418</v>
      </c>
      <c r="AJ34" s="6929" t="s">
        <v>418</v>
      </c>
      <c r="AK34" s="6929" t="s">
        <v>418</v>
      </c>
      <c r="AL34" s="6929" t="s">
        <v>418</v>
      </c>
      <c r="AM34" s="6929" t="s">
        <v>418</v>
      </c>
      <c r="AN34" s="6929" t="s">
        <v>418</v>
      </c>
      <c r="AO34" s="6929" t="s">
        <v>418</v>
      </c>
      <c r="AP34" s="6929" t="s">
        <v>418</v>
      </c>
      <c r="AQ34" s="6929" t="s">
        <v>418</v>
      </c>
      <c r="AR34" s="6929" t="s">
        <v>418</v>
      </c>
      <c r="AS34" s="6929" t="s">
        <v>418</v>
      </c>
      <c r="AT34" s="6929" t="s">
        <v>418</v>
      </c>
      <c r="AU34" s="6929" t="s">
        <v>418</v>
      </c>
      <c r="AV34" s="6929" t="s">
        <v>418</v>
      </c>
      <c r="AW34" s="6929" t="s">
        <v>418</v>
      </c>
      <c r="AX34" s="6929" t="s">
        <v>418</v>
      </c>
      <c r="AY34" s="6929" t="s">
        <v>418</v>
      </c>
      <c r="AZ34" s="6929" t="s">
        <v>418</v>
      </c>
      <c r="BA34" s="413"/>
      <c r="BL34" s="629">
        <v>23</v>
      </c>
    </row>
    <row customHeight="1" ht="11.549999999999999">
      <c r="A35" s="629"/>
      <c r="C35" s="629"/>
      <c r="D35" s="471"/>
      <c r="E35" s="704" t="s">
        <v>1128</v>
      </c>
      <c r="F35" s="696"/>
      <c r="G35" s="818"/>
      <c r="H35" s="696"/>
      <c r="I35" s="818"/>
      <c r="J35" s="696"/>
      <c r="K35" s="8197"/>
      <c r="L35" s="8198"/>
      <c r="M35" s="8199"/>
      <c r="N35" s="8200"/>
      <c r="O35" s="8201"/>
      <c r="P35" s="8202"/>
      <c r="Q35" s="8203"/>
      <c r="R35" s="8204"/>
      <c r="S35" s="8205"/>
      <c r="T35" s="8206"/>
      <c r="U35" s="8207"/>
      <c r="V35" s="8208"/>
      <c r="W35" s="8209"/>
      <c r="X35" s="8210"/>
      <c r="Y35" s="8211"/>
      <c r="Z35" s="8212"/>
      <c r="AA35" s="8213"/>
      <c r="AB35" s="8214"/>
      <c r="AC35" s="8215"/>
      <c r="AD35" s="8216"/>
      <c r="AE35" s="8217"/>
      <c r="AF35" s="8218"/>
      <c r="AG35" s="8219"/>
      <c r="AH35" s="8220"/>
      <c r="AI35" s="8221"/>
      <c r="AJ35" s="8222"/>
      <c r="AK35" s="8223"/>
      <c r="AL35" s="8224"/>
      <c r="AM35" s="8225"/>
      <c r="AN35" s="8226"/>
      <c r="AO35" s="8227"/>
      <c r="AP35" s="8228"/>
      <c r="AQ35" s="8229"/>
      <c r="AR35" s="8230"/>
      <c r="AS35" s="8231"/>
      <c r="AT35" s="8232"/>
      <c r="AU35" s="8233"/>
      <c r="AV35" s="8234"/>
      <c r="AW35" s="8235"/>
      <c r="AX35" s="8236"/>
      <c r="AY35" s="8237"/>
      <c r="AZ35" s="8238"/>
      <c r="BA35" s="697"/>
      <c r="BK35" s="629"/>
      <c r="BL35" s="629">
        <v>11</v>
      </c>
    </row>
    <row customHeight="1" ht="71.25">
      <c r="A36" s="629"/>
      <c r="B36" s="629" t="s">
        <v>1129</v>
      </c>
      <c r="C36" s="650"/>
      <c r="D36" s="816">
        <v>3</v>
      </c>
      <c r="E36" s="817" t="s">
        <v>1130</v>
      </c>
      <c r="F36" s="819" t="s">
        <v>418</v>
      </c>
      <c r="G36" s="938" t="s">
        <v>1131</v>
      </c>
      <c r="H36" s="937" t="s">
        <v>418</v>
      </c>
      <c r="I36" s="648" t="s">
        <v>1131</v>
      </c>
      <c r="J36" s="815" t="s">
        <v>418</v>
      </c>
      <c r="K36" s="6933" t="s">
        <v>1131</v>
      </c>
      <c r="L36" s="6929" t="s">
        <v>418</v>
      </c>
      <c r="M36" s="6933" t="s">
        <v>1131</v>
      </c>
      <c r="N36" s="6929" t="s">
        <v>418</v>
      </c>
      <c r="O36" s="6933" t="s">
        <v>1131</v>
      </c>
      <c r="P36" s="6929" t="s">
        <v>418</v>
      </c>
      <c r="Q36" s="6933" t="s">
        <v>1131</v>
      </c>
      <c r="R36" s="6929" t="s">
        <v>418</v>
      </c>
      <c r="S36" s="6933" t="s">
        <v>1131</v>
      </c>
      <c r="T36" s="6929" t="s">
        <v>418</v>
      </c>
      <c r="U36" s="6933" t="s">
        <v>1131</v>
      </c>
      <c r="V36" s="6929" t="s">
        <v>418</v>
      </c>
      <c r="W36" s="6933" t="s">
        <v>1131</v>
      </c>
      <c r="X36" s="6929" t="s">
        <v>418</v>
      </c>
      <c r="Y36" s="6933" t="s">
        <v>1131</v>
      </c>
      <c r="Z36" s="6929" t="s">
        <v>418</v>
      </c>
      <c r="AA36" s="6933" t="s">
        <v>1131</v>
      </c>
      <c r="AB36" s="6929" t="s">
        <v>418</v>
      </c>
      <c r="AC36" s="6933" t="s">
        <v>1131</v>
      </c>
      <c r="AD36" s="6929" t="s">
        <v>418</v>
      </c>
      <c r="AE36" s="6933" t="s">
        <v>1131</v>
      </c>
      <c r="AF36" s="6929" t="s">
        <v>418</v>
      </c>
      <c r="AG36" s="6933" t="s">
        <v>1131</v>
      </c>
      <c r="AH36" s="6929" t="s">
        <v>418</v>
      </c>
      <c r="AI36" s="6933" t="s">
        <v>1131</v>
      </c>
      <c r="AJ36" s="6929" t="s">
        <v>418</v>
      </c>
      <c r="AK36" s="6933" t="s">
        <v>1131</v>
      </c>
      <c r="AL36" s="6929" t="s">
        <v>418</v>
      </c>
      <c r="AM36" s="6933" t="s">
        <v>1131</v>
      </c>
      <c r="AN36" s="6929" t="s">
        <v>418</v>
      </c>
      <c r="AO36" s="6933" t="s">
        <v>1131</v>
      </c>
      <c r="AP36" s="6929" t="s">
        <v>418</v>
      </c>
      <c r="AQ36" s="6933" t="s">
        <v>1131</v>
      </c>
      <c r="AR36" s="6929" t="s">
        <v>418</v>
      </c>
      <c r="AS36" s="6933" t="s">
        <v>1131</v>
      </c>
      <c r="AT36" s="6929" t="s">
        <v>418</v>
      </c>
      <c r="AU36" s="6933" t="s">
        <v>1131</v>
      </c>
      <c r="AV36" s="6929" t="s">
        <v>418</v>
      </c>
      <c r="AW36" s="6933" t="s">
        <v>1131</v>
      </c>
      <c r="AX36" s="6929" t="s">
        <v>418</v>
      </c>
      <c r="AY36" s="6933" t="s">
        <v>1131</v>
      </c>
      <c r="AZ36" s="6929" t="s">
        <v>418</v>
      </c>
      <c r="BA36" s="413" t="s">
        <v>1132</v>
      </c>
      <c r="BL36" s="629">
        <v>68</v>
      </c>
    </row>
    <row customHeight="1" ht="11.549999999999999">
      <c r="A37" s="629"/>
      <c r="C37" s="629"/>
      <c r="D37" s="471"/>
      <c r="E37" s="704" t="s">
        <v>1133</v>
      </c>
      <c r="F37" s="696"/>
      <c r="G37" s="818"/>
      <c r="H37" s="818"/>
      <c r="I37" s="818"/>
      <c r="J37" s="818"/>
      <c r="K37" s="8239"/>
      <c r="L37" s="8240"/>
      <c r="M37" s="8241"/>
      <c r="N37" s="8242"/>
      <c r="O37" s="8243"/>
      <c r="P37" s="8244"/>
      <c r="Q37" s="8245"/>
      <c r="R37" s="8246"/>
      <c r="S37" s="8247"/>
      <c r="T37" s="8248"/>
      <c r="U37" s="8249"/>
      <c r="V37" s="8250"/>
      <c r="W37" s="8251"/>
      <c r="X37" s="8252"/>
      <c r="Y37" s="8253"/>
      <c r="Z37" s="8254"/>
      <c r="AA37" s="8255"/>
      <c r="AB37" s="8256"/>
      <c r="AC37" s="8257"/>
      <c r="AD37" s="8258"/>
      <c r="AE37" s="8259"/>
      <c r="AF37" s="8260"/>
      <c r="AG37" s="8261"/>
      <c r="AH37" s="8262"/>
      <c r="AI37" s="8263"/>
      <c r="AJ37" s="8264"/>
      <c r="AK37" s="8265"/>
      <c r="AL37" s="8266"/>
      <c r="AM37" s="8267"/>
      <c r="AN37" s="8268"/>
      <c r="AO37" s="8269"/>
      <c r="AP37" s="8270"/>
      <c r="AQ37" s="8271"/>
      <c r="AR37" s="8272"/>
      <c r="AS37" s="8273"/>
      <c r="AT37" s="8274"/>
      <c r="AU37" s="8275"/>
      <c r="AV37" s="8276"/>
      <c r="AW37" s="8277"/>
      <c r="AX37" s="8278"/>
      <c r="AY37" s="8279"/>
      <c r="AZ37" s="8280"/>
      <c r="BA37" s="697"/>
      <c r="BK37" s="629"/>
      <c r="BL37" s="629">
        <v>11</v>
      </c>
    </row>
    <row customHeight="1" ht="71.25">
      <c r="A38" s="629"/>
      <c r="B38" s="629" t="s">
        <v>1134</v>
      </c>
      <c r="C38" s="650"/>
      <c r="D38" s="816">
        <v>4</v>
      </c>
      <c r="E38" s="817" t="s">
        <v>1135</v>
      </c>
      <c r="F38" s="819" t="s">
        <v>418</v>
      </c>
      <c r="G38" s="938" t="s">
        <v>1131</v>
      </c>
      <c r="H38" s="939" t="s">
        <v>418</v>
      </c>
      <c r="I38" s="648" t="s">
        <v>1131</v>
      </c>
      <c r="J38" s="645" t="s">
        <v>418</v>
      </c>
      <c r="K38" s="6933" t="s">
        <v>1131</v>
      </c>
      <c r="L38" s="7577" t="s">
        <v>418</v>
      </c>
      <c r="M38" s="6933" t="s">
        <v>1131</v>
      </c>
      <c r="N38" s="7577" t="s">
        <v>418</v>
      </c>
      <c r="O38" s="6933" t="s">
        <v>1131</v>
      </c>
      <c r="P38" s="7577" t="s">
        <v>418</v>
      </c>
      <c r="Q38" s="6933" t="s">
        <v>1131</v>
      </c>
      <c r="R38" s="7577" t="s">
        <v>418</v>
      </c>
      <c r="S38" s="6933" t="s">
        <v>1131</v>
      </c>
      <c r="T38" s="7577" t="s">
        <v>418</v>
      </c>
      <c r="U38" s="6933" t="s">
        <v>1131</v>
      </c>
      <c r="V38" s="7577" t="s">
        <v>418</v>
      </c>
      <c r="W38" s="6933" t="s">
        <v>1131</v>
      </c>
      <c r="X38" s="7577" t="s">
        <v>418</v>
      </c>
      <c r="Y38" s="6933" t="s">
        <v>1131</v>
      </c>
      <c r="Z38" s="7577" t="s">
        <v>418</v>
      </c>
      <c r="AA38" s="6933" t="s">
        <v>1131</v>
      </c>
      <c r="AB38" s="7577" t="s">
        <v>418</v>
      </c>
      <c r="AC38" s="6933" t="s">
        <v>1131</v>
      </c>
      <c r="AD38" s="7577" t="s">
        <v>418</v>
      </c>
      <c r="AE38" s="6933" t="s">
        <v>1131</v>
      </c>
      <c r="AF38" s="7577" t="s">
        <v>418</v>
      </c>
      <c r="AG38" s="6933" t="s">
        <v>1131</v>
      </c>
      <c r="AH38" s="7577" t="s">
        <v>418</v>
      </c>
      <c r="AI38" s="6933" t="s">
        <v>1131</v>
      </c>
      <c r="AJ38" s="7577" t="s">
        <v>418</v>
      </c>
      <c r="AK38" s="6933" t="s">
        <v>1131</v>
      </c>
      <c r="AL38" s="7577" t="s">
        <v>418</v>
      </c>
      <c r="AM38" s="6933" t="s">
        <v>1131</v>
      </c>
      <c r="AN38" s="7577" t="s">
        <v>418</v>
      </c>
      <c r="AO38" s="6933" t="s">
        <v>1131</v>
      </c>
      <c r="AP38" s="7577" t="s">
        <v>418</v>
      </c>
      <c r="AQ38" s="6933" t="s">
        <v>1131</v>
      </c>
      <c r="AR38" s="7577" t="s">
        <v>418</v>
      </c>
      <c r="AS38" s="6933" t="s">
        <v>1131</v>
      </c>
      <c r="AT38" s="7577" t="s">
        <v>418</v>
      </c>
      <c r="AU38" s="6933" t="s">
        <v>1131</v>
      </c>
      <c r="AV38" s="7577" t="s">
        <v>418</v>
      </c>
      <c r="AW38" s="6933" t="s">
        <v>1131</v>
      </c>
      <c r="AX38" s="7577" t="s">
        <v>418</v>
      </c>
      <c r="AY38" s="6933" t="s">
        <v>1131</v>
      </c>
      <c r="AZ38" s="7577" t="s">
        <v>418</v>
      </c>
      <c r="BA38" s="803" t="s">
        <v>1136</v>
      </c>
      <c r="BL38" s="629">
        <v>68</v>
      </c>
    </row>
    <row customHeight="1" ht="11.549999999999999">
      <c r="A39" s="629"/>
      <c r="C39" s="629"/>
      <c r="D39" s="471"/>
      <c r="E39" s="704" t="s">
        <v>1137</v>
      </c>
      <c r="F39" s="696"/>
      <c r="G39" s="696"/>
      <c r="H39" s="820"/>
      <c r="I39" s="696"/>
      <c r="J39" s="820"/>
      <c r="K39" s="8281"/>
      <c r="L39" s="8282"/>
      <c r="M39" s="8283"/>
      <c r="N39" s="8284"/>
      <c r="O39" s="8285"/>
      <c r="P39" s="8286"/>
      <c r="Q39" s="8287"/>
      <c r="R39" s="8288"/>
      <c r="S39" s="8289"/>
      <c r="T39" s="8290"/>
      <c r="U39" s="8291"/>
      <c r="V39" s="8292"/>
      <c r="W39" s="8293"/>
      <c r="X39" s="8294"/>
      <c r="Y39" s="8295"/>
      <c r="Z39" s="8296"/>
      <c r="AA39" s="8297"/>
      <c r="AB39" s="8298"/>
      <c r="AC39" s="8299"/>
      <c r="AD39" s="8300"/>
      <c r="AE39" s="8301"/>
      <c r="AF39" s="8302"/>
      <c r="AG39" s="8303"/>
      <c r="AH39" s="8304"/>
      <c r="AI39" s="8305"/>
      <c r="AJ39" s="8306"/>
      <c r="AK39" s="8307"/>
      <c r="AL39" s="8308"/>
      <c r="AM39" s="8309"/>
      <c r="AN39" s="8310"/>
      <c r="AO39" s="8311"/>
      <c r="AP39" s="8312"/>
      <c r="AQ39" s="8313"/>
      <c r="AR39" s="8314"/>
      <c r="AS39" s="8315"/>
      <c r="AT39" s="8316"/>
      <c r="AU39" s="8317"/>
      <c r="AV39" s="8318"/>
      <c r="AW39" s="8319"/>
      <c r="AX39" s="8320"/>
      <c r="AY39" s="8321"/>
      <c r="AZ39" s="8322"/>
      <c r="BA39" s="697"/>
      <c r="BK39" s="629"/>
      <c r="BL39" s="629">
        <v>11</v>
      </c>
    </row>
    <row customHeight="1" ht="22.5" hidden="1">
      <c r="A40" s="573" t="s">
        <v>82</v>
      </c>
      <c r="B40" s="629">
        <v>0</v>
      </c>
      <c r="C40" s="807">
        <v>4</v>
      </c>
      <c r="D40" s="629">
        <v>6</v>
      </c>
      <c r="E40" s="629">
        <v>36</v>
      </c>
      <c r="F40" s="629">
        <v>9</v>
      </c>
      <c r="G40" s="882">
        <v>0</v>
      </c>
      <c r="H40" s="882">
        <v>0</v>
      </c>
      <c r="I40" s="629">
        <v>25</v>
      </c>
      <c r="J40" s="629">
        <v>33</v>
      </c>
      <c r="K40" s="7213">
        <v>0</v>
      </c>
      <c r="L40" s="7213">
        <v>0</v>
      </c>
      <c r="M40" s="7213">
        <v>0</v>
      </c>
      <c r="N40" s="7213">
        <v>0</v>
      </c>
      <c r="O40" s="7213">
        <v>0</v>
      </c>
      <c r="P40" s="7213">
        <v>0</v>
      </c>
      <c r="Q40" s="7213">
        <v>0</v>
      </c>
      <c r="R40" s="7213">
        <v>0</v>
      </c>
      <c r="S40" s="7213">
        <v>0</v>
      </c>
      <c r="T40" s="7213">
        <v>0</v>
      </c>
      <c r="U40" s="7213">
        <v>0</v>
      </c>
      <c r="V40" s="7213">
        <v>0</v>
      </c>
      <c r="W40" s="7213">
        <v>0</v>
      </c>
      <c r="X40" s="7213">
        <v>0</v>
      </c>
      <c r="Y40" s="7213">
        <v>0</v>
      </c>
      <c r="Z40" s="7213">
        <v>0</v>
      </c>
      <c r="AA40" s="7213">
        <v>0</v>
      </c>
      <c r="AB40" s="7213">
        <v>0</v>
      </c>
      <c r="AC40" s="7213">
        <v>0</v>
      </c>
      <c r="AD40" s="7213">
        <v>0</v>
      </c>
      <c r="AE40" s="7213">
        <v>0</v>
      </c>
      <c r="AF40" s="7213">
        <v>0</v>
      </c>
      <c r="AG40" s="7213">
        <v>0</v>
      </c>
      <c r="AH40" s="7213">
        <v>0</v>
      </c>
      <c r="AI40" s="7213">
        <v>0</v>
      </c>
      <c r="AJ40" s="7213">
        <v>0</v>
      </c>
      <c r="AK40" s="7213">
        <v>0</v>
      </c>
      <c r="AL40" s="7213">
        <v>0</v>
      </c>
      <c r="AM40" s="7213">
        <v>0</v>
      </c>
      <c r="AN40" s="7213">
        <v>0</v>
      </c>
      <c r="AO40" s="7213">
        <v>0</v>
      </c>
      <c r="AP40" s="7213">
        <v>0</v>
      </c>
      <c r="AQ40" s="7213">
        <v>0</v>
      </c>
      <c r="AR40" s="7213">
        <v>0</v>
      </c>
      <c r="AS40" s="7213">
        <v>0</v>
      </c>
      <c r="AT40" s="7213">
        <v>0</v>
      </c>
      <c r="AU40" s="7213">
        <v>0</v>
      </c>
      <c r="AV40" s="7213">
        <v>0</v>
      </c>
      <c r="AW40" s="7213">
        <v>0</v>
      </c>
      <c r="AX40" s="7213">
        <v>0</v>
      </c>
      <c r="AY40" s="7213">
        <v>0</v>
      </c>
      <c r="AZ40" s="7213">
        <v>0</v>
      </c>
      <c r="BA40" s="541">
        <v>93</v>
      </c>
      <c r="BB40" s="629">
        <v>10</v>
      </c>
      <c r="BC40" s="629">
        <v>10</v>
      </c>
      <c r="BD40" s="629">
        <v>10</v>
      </c>
      <c r="BE40" s="629">
        <v>10</v>
      </c>
      <c r="BF40" s="629">
        <v>10</v>
      </c>
      <c r="BG40" s="629">
        <v>10</v>
      </c>
      <c r="BH40" s="629">
        <v>10</v>
      </c>
      <c r="BI40" s="629">
        <v>10</v>
      </c>
      <c r="BJ40" s="629">
        <v>10</v>
      </c>
      <c r="BK40" s="799">
        <v>10</v>
      </c>
      <c r="BL40" s="629">
        <v>23</v>
      </c>
    </row>
  </sheetData>
  <sheetProtection formatColumns="0" formatRows="0" autoFilter="0" sort="0" insertRows="0" insertColumns="1" deleteRows="0" deleteColumns="0"/>
  <mergeCells count="84">
    <mergeCell ref="B3:B4"/>
    <mergeCell ref="C3:C4"/>
    <mergeCell ref="B6:B7"/>
    <mergeCell ref="C6:C7"/>
    <mergeCell ref="B9:B11"/>
    <mergeCell ref="C9:C11"/>
    <mergeCell ref="B13:B14"/>
    <mergeCell ref="C13:C14"/>
    <mergeCell ref="D22:I22"/>
    <mergeCell ref="D23:I23"/>
    <mergeCell ref="I26:J26"/>
    <mergeCell ref="E26:F26"/>
    <mergeCell ref="G28:H28"/>
    <mergeCell ref="BA26:B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H6:H7 J6:J7 L6:L7 N6:N7 P6:P7 R6:R7 T6:T7 V6:V7 X6:X7 Z6:Z7 AB6:AB7 AD6:AD7 AF6:AF7 AH6:AH7 AJ6:AJ7 AL6:AL7 AN6:AN7 AP6:AP7 AR6:AR7 AT6:AT7 AV6:AV7 AX6:AX7 AZ6:AZ7 J9:J11 L9:L11 N9:N11 P9:P11 R9:R11 T9:T11 V9:V11 X9:X11 Z9:Z11 AB9:AB11 AD9:AD11 AF9:AF11 AH9:AH11 AJ9:AJ11 AL9:AL11 AN9:AN11 AP9:AP11 AR9:AR11 AT9:AT11 AV9:AV11 AX9:AX11 AZ9:AZ11 H9:H11 J13:J14 L13:L14 N13:N14 P13:P14 R13:R14 T13:T14 V13:V14 X13:X14 Z13:Z14 AB13:AB14 AD13:AD14 AF13:AF14 AH13:AH14 AJ13:AJ14 AL13:AL14 AN13:AN14 AP13:AP14 AR13:AR14 AT13:AT14 AV13:AV14 AX13:AX14 AZ13:AZ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232598-3298-3C58-B3A8-230CBD61D0D8}" mc:Ignorable="x14ac xr xr2 xr3">
  <sheetPr>
    <tabColor theme="9" tint="-0.25"/>
  </sheetPr>
  <dimension ref="A1:AE48"/>
  <sheetViews>
    <sheetView showGridLines="0" zoomScale="85" workbookViewId="0">
      <pane xSplit="7" ySplit="10" topLeftCell="H13" activePane="bottomRight" state="frozen"/>
      <selection pane="bottomLeft" activeCell="A11" sqref="A11"/>
      <selection pane="topRight" activeCell="H1" sqref="H1"/>
      <selection pane="bottomRight" activeCell="G15" sqref="G15:G16"/>
    </sheetView>
  </sheetViews>
  <sheetFormatPr defaultColWidth="9.140625" customHeight="1" defaultRowHeight="10.5"/>
  <cols>
    <col min="1" max="3" style="6944" width="6.7109375" hidden="1" customWidth="1"/>
    <col min="4" max="4" style="7158" width="6.7109375" hidden="1" customWidth="1"/>
    <col min="5" max="5" style="7213" width="3.00390625" customWidth="1"/>
    <col min="6" max="6" style="7213" width="6.00390625" customWidth="1"/>
    <col min="7" max="7" style="7213" width="67.57421875" customWidth="1"/>
    <col min="8" max="8" style="7213" width="16.00390625" customWidth="1"/>
    <col min="9" max="10" style="7213" width="19.00390625" customWidth="1"/>
    <col min="11" max="11" style="7213" width="24.00390625" customWidth="1"/>
    <col min="12" max="13" style="7213" width="25.00390625" customWidth="1"/>
    <col min="14" max="16" style="7213" width="17.00390625" customWidth="1"/>
    <col min="17" max="24" style="7213" width="19.00390625" customWidth="1"/>
    <col min="25" max="25" style="7213" width="7.00390625" customWidth="1"/>
    <col min="26" max="26" style="7213" width="3.00390625" customWidth="1"/>
    <col min="27" max="27" style="7213" width="6.00390625" customWidth="1"/>
    <col min="28" max="28" style="7213" width="34.00390625" customWidth="1"/>
    <col min="29" max="30" style="7213" width="8.00390625" customWidth="1"/>
    <col min="31" max="31" style="7213" width="9.140625" hidden="1"/>
  </cols>
  <sheetData>
    <row s="7158" customFormat="1" customHeight="1" ht="10.5" hidden="1">
      <c r="A1" s="1019"/>
      <c r="B1" s="1019"/>
      <c r="C1" s="1019"/>
      <c r="E1" s="661"/>
      <c r="H1" s="1284"/>
      <c r="AE1" s="541" t="s">
        <v>14</v>
      </c>
    </row>
    <row customHeight="1" ht="10.5" hidden="1">
      <c r="AE2" s="882">
        <v>0</v>
      </c>
    </row>
    <row s="7464" customFormat="1" customHeight="1" ht="10.5" hidden="1">
      <c r="A3" s="1019"/>
      <c r="B3" s="1019"/>
      <c r="C3" s="1019"/>
      <c r="D3" s="541"/>
      <c r="E3" s="486"/>
      <c r="G3" s="1756" t="s">
        <v>1138</v>
      </c>
      <c r="H3" s="1280"/>
      <c r="AE3" s="883">
        <v>0</v>
      </c>
    </row>
    <row customHeight="1" ht="3">
      <c r="AE4" s="882">
        <v>3</v>
      </c>
    </row>
    <row customHeight="1" ht="27.299999999999997">
      <c r="F5" s="238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85"/>
      <c r="H5" s="2385"/>
      <c r="I5" s="2385"/>
      <c r="J5" s="2385"/>
      <c r="K5" s="2385"/>
      <c r="M5" s="706"/>
      <c r="AB5" s="1030"/>
      <c r="AE5" s="882">
        <v>26</v>
      </c>
    </row>
    <row s="7213" customFormat="1" customHeight="1" ht="16.8">
      <c r="A6" s="1290"/>
      <c r="B6" s="1290"/>
      <c r="C6" s="1290"/>
      <c r="D6" s="1284"/>
      <c r="E6" s="1759"/>
      <c r="F6" s="2386" t="str">
        <f>IF(org=0,"Не определено",org)</f>
        <v>ООО "СамРЭК-Эксплуатация"</v>
      </c>
      <c r="G6" s="2386"/>
      <c r="H6" s="2386"/>
      <c r="I6" s="2386"/>
      <c r="J6" s="2386"/>
      <c r="K6" s="2386"/>
      <c r="M6" s="706"/>
      <c r="AB6" s="1272"/>
      <c r="AE6" s="1755">
        <v>16</v>
      </c>
    </row>
    <row customHeight="1" ht="10.5">
      <c r="AE7" s="882">
        <v>10</v>
      </c>
    </row>
    <row customHeight="1" ht="10.5">
      <c r="A8" s="1175"/>
      <c r="B8" s="1175"/>
      <c r="C8" s="1175"/>
      <c r="F8" s="2238" t="s">
        <v>412</v>
      </c>
      <c r="G8" s="2239"/>
      <c r="H8" s="2239"/>
      <c r="I8" s="2239"/>
      <c r="J8" s="2239"/>
      <c r="K8" s="2239"/>
      <c r="L8" s="2239"/>
      <c r="M8" s="2239"/>
      <c r="N8" s="2239"/>
      <c r="O8" s="2239"/>
      <c r="P8" s="2239"/>
      <c r="Q8" s="2239"/>
      <c r="R8" s="2239"/>
      <c r="S8" s="2239"/>
      <c r="T8" s="2239"/>
      <c r="U8" s="2239"/>
      <c r="V8" s="2239"/>
      <c r="W8" s="2239"/>
      <c r="X8" s="2239"/>
      <c r="Y8" s="2239"/>
      <c r="Z8" s="2239"/>
      <c r="AA8" s="2239"/>
      <c r="AB8" s="2240"/>
      <c r="AE8" s="882">
        <v>10</v>
      </c>
    </row>
    <row customHeight="1" ht="43.050000000000004">
      <c r="A9" s="1029"/>
      <c r="B9" s="1029"/>
      <c r="C9" s="1029"/>
      <c r="F9" s="2264" t="s">
        <v>88</v>
      </c>
      <c r="G9" s="2264" t="s">
        <v>1138</v>
      </c>
      <c r="H9" s="2312" t="s">
        <v>1139</v>
      </c>
      <c r="I9" s="2264" t="s">
        <v>1140</v>
      </c>
      <c r="J9" s="2264" t="s">
        <v>1141</v>
      </c>
      <c r="K9" s="2264" t="s">
        <v>1142</v>
      </c>
      <c r="L9" s="2264" t="s">
        <v>1143</v>
      </c>
      <c r="M9" s="2264" t="s">
        <v>1144</v>
      </c>
      <c r="N9" s="2346" t="s">
        <v>1145</v>
      </c>
      <c r="O9" s="2346"/>
      <c r="P9" s="2346"/>
      <c r="Q9" s="2536" t="s">
        <v>1146</v>
      </c>
      <c r="R9" s="2537"/>
      <c r="S9" s="2537"/>
      <c r="T9" s="2538"/>
      <c r="U9" s="2536" t="s">
        <v>1147</v>
      </c>
      <c r="V9" s="2537"/>
      <c r="W9" s="2537"/>
      <c r="X9" s="2538"/>
      <c r="Y9" s="2238" t="s">
        <v>1148</v>
      </c>
      <c r="Z9" s="2239"/>
      <c r="AA9" s="2239"/>
      <c r="AB9" s="2240"/>
      <c r="AE9" s="882">
        <v>41</v>
      </c>
    </row>
    <row customHeight="1" ht="43.050000000000004">
      <c r="A10" s="1029"/>
      <c r="B10" s="1029"/>
      <c r="C10" s="1029"/>
      <c r="F10" s="2312"/>
      <c r="G10" s="2312"/>
      <c r="H10" s="2369"/>
      <c r="I10" s="2312"/>
      <c r="J10" s="2312"/>
      <c r="K10" s="2312"/>
      <c r="L10" s="2312"/>
      <c r="M10" s="2312"/>
      <c r="N10" s="1027" t="s">
        <v>1149</v>
      </c>
      <c r="O10" s="1027" t="s">
        <v>1150</v>
      </c>
      <c r="P10" s="1028" t="s">
        <v>1151</v>
      </c>
      <c r="Q10" s="1039" t="s">
        <v>89</v>
      </c>
      <c r="R10" s="1039" t="s">
        <v>1152</v>
      </c>
      <c r="S10" s="1039" t="s">
        <v>1153</v>
      </c>
      <c r="T10" s="1040" t="s">
        <v>1154</v>
      </c>
      <c r="U10" s="1039" t="s">
        <v>89</v>
      </c>
      <c r="V10" s="1039" t="s">
        <v>1155</v>
      </c>
      <c r="W10" s="1039" t="s">
        <v>1153</v>
      </c>
      <c r="X10" s="1040" t="s">
        <v>1154</v>
      </c>
      <c r="Y10" s="425" t="s">
        <v>1156</v>
      </c>
      <c r="Z10" s="2238" t="s">
        <v>88</v>
      </c>
      <c r="AA10" s="2240"/>
      <c r="AB10" s="1173" t="s">
        <v>1157</v>
      </c>
      <c r="AE10" s="882">
        <v>41</v>
      </c>
    </row>
    <row s="6698" customFormat="1" customHeight="1" ht="5.25" hidden="1">
      <c r="A11" s="1176"/>
      <c r="B11" s="1176"/>
      <c r="C11" s="1176"/>
      <c r="E11" s="1174"/>
      <c r="F11" s="2543" t="s">
        <v>488</v>
      </c>
      <c r="G11" s="2540"/>
      <c r="H11" s="2539"/>
      <c r="I11" s="2539"/>
      <c r="J11" s="2539"/>
      <c r="K11" s="2541"/>
      <c r="L11" s="2541"/>
      <c r="M11" s="2541"/>
      <c r="N11" s="2539"/>
      <c r="O11" s="2539"/>
      <c r="P11" s="2264"/>
      <c r="Q11" s="2316"/>
      <c r="R11" s="2316"/>
      <c r="S11" s="2316"/>
      <c r="T11" s="2539"/>
      <c r="U11" s="2316"/>
      <c r="V11" s="2316"/>
      <c r="W11" s="2316"/>
      <c r="X11" s="2539"/>
      <c r="Y11" s="2245"/>
      <c r="Z11" s="2245"/>
      <c r="AA11" s="2245"/>
      <c r="AB11" s="2245"/>
      <c r="AD11" s="635" t="s">
        <v>1158</v>
      </c>
      <c r="AE11" s="635">
        <v>0</v>
      </c>
    </row>
    <row s="6698" customFormat="1" customHeight="1" ht="5.25" hidden="1">
      <c r="A12" s="1020"/>
      <c r="B12" s="1020"/>
      <c r="C12" s="1020"/>
      <c r="E12" s="642"/>
      <c r="F12" s="2543"/>
      <c r="G12" s="2540"/>
      <c r="H12" s="2539"/>
      <c r="I12" s="2539"/>
      <c r="J12" s="2539"/>
      <c r="K12" s="2541"/>
      <c r="L12" s="2541"/>
      <c r="M12" s="2541"/>
      <c r="N12" s="2539"/>
      <c r="O12" s="2539"/>
      <c r="P12" s="2264"/>
      <c r="Q12" s="2316"/>
      <c r="R12" s="2316"/>
      <c r="S12" s="2316"/>
      <c r="T12" s="2539"/>
      <c r="U12" s="2316"/>
      <c r="V12" s="2316"/>
      <c r="W12" s="2316"/>
      <c r="X12" s="2539"/>
      <c r="Y12" s="2542"/>
      <c r="Z12" s="2542"/>
      <c r="AA12" s="2542"/>
      <c r="AB12" s="2542"/>
      <c r="AE12" s="635">
        <v>0</v>
      </c>
    </row>
    <row customHeight="1" ht="27">
      <c r="A13" s="1290"/>
      <c r="B13" s="1290"/>
      <c r="C13" s="1290"/>
      <c r="D13" s="1284"/>
      <c r="E13" s="7121" t="s">
        <v>103</v>
      </c>
      <c r="F13" s="2718" t="s">
        <v>210</v>
      </c>
      <c r="G13" s="2719" t="s">
        <v>1159</v>
      </c>
      <c r="H13" s="2720" t="s">
        <v>62</v>
      </c>
      <c r="I13" s="7568">
        <v>45253</v>
      </c>
      <c r="J13" s="7569">
        <v>45253</v>
      </c>
      <c r="K13" s="2724" t="s">
        <v>1160</v>
      </c>
      <c r="L13" s="2687" t="s">
        <v>1161</v>
      </c>
      <c r="M13" s="2687" t="s">
        <v>1162</v>
      </c>
      <c r="N13" s="2688" t="s">
        <v>1163</v>
      </c>
      <c r="O13" s="2688" t="s">
        <v>1164</v>
      </c>
      <c r="P13" s="2689" t="str">
        <f>DATEDIF(DATEVALUE(N13),DATEVALUE(O13),"y")&amp;"г. "&amp;DATEDIF(DATEVALUE(N13),DATEVALUE(O13),"ym")&amp;"мес. "&amp;DATEVALUE(O13)-DATE(YEAR(DATEVALUE(O13)),MONTH(DATEVALUE(O13)),1)&amp;"дн. "</f>
        <v>9г. 1мес. 30дн. </v>
      </c>
      <c r="Q13" s="2684" t="s">
        <v>1165</v>
      </c>
      <c r="R13" s="2684" t="s">
        <v>1166</v>
      </c>
      <c r="S13" s="2684" t="s">
        <v>1167</v>
      </c>
      <c r="T13" s="7569" t="s">
        <v>1163</v>
      </c>
      <c r="U13" s="2684"/>
      <c r="V13" s="2684"/>
      <c r="W13" s="2684"/>
      <c r="X13" s="7569"/>
      <c r="Y13" s="2682" t="s">
        <v>62</v>
      </c>
      <c r="Z13" s="1931"/>
      <c r="AA13" s="1915">
        <v>1</v>
      </c>
      <c r="AB13" s="1366" t="s">
        <v>1168</v>
      </c>
      <c r="AC13" s="7213"/>
      <c r="AD13" s="1760" t="s">
        <v>1169</v>
      </c>
      <c r="AE13" s="7213"/>
    </row>
    <row customHeight="1" ht="20.25">
      <c r="A14" s="1290"/>
      <c r="B14" s="1290"/>
      <c r="C14" s="1290"/>
      <c r="D14" s="1284"/>
      <c r="E14" s="1071"/>
      <c r="F14" s="2718" t="s">
        <v>488</v>
      </c>
      <c r="G14" s="2719"/>
      <c r="H14" s="2721"/>
      <c r="I14" s="2723"/>
      <c r="J14" s="2686"/>
      <c r="K14" s="2724"/>
      <c r="L14" s="2687"/>
      <c r="M14" s="2687"/>
      <c r="N14" s="2688"/>
      <c r="O14" s="2688"/>
      <c r="P14" s="2689"/>
      <c r="Q14" s="2684"/>
      <c r="R14" s="2684"/>
      <c r="S14" s="2684"/>
      <c r="T14" s="2686"/>
      <c r="U14" s="2684"/>
      <c r="V14" s="2684"/>
      <c r="W14" s="2684"/>
      <c r="X14" s="2686"/>
      <c r="Y14" s="2683"/>
      <c r="Z14" s="471"/>
      <c r="AA14" s="696"/>
      <c r="AB14" s="776" t="s">
        <v>1170</v>
      </c>
      <c r="AC14" s="7213"/>
      <c r="AD14" s="7213"/>
      <c r="AE14" s="7213"/>
    </row>
    <row customHeight="1" ht="27">
      <c r="A15" s="1290"/>
      <c r="B15" s="1290"/>
      <c r="C15" s="1290"/>
      <c r="D15" s="1284"/>
      <c r="E15" s="7121" t="s">
        <v>103</v>
      </c>
      <c r="F15" s="2718" t="s">
        <v>102</v>
      </c>
      <c r="G15" s="2719" t="s">
        <v>1171</v>
      </c>
      <c r="H15" s="2720" t="s">
        <v>62</v>
      </c>
      <c r="I15" s="7568">
        <v>45223</v>
      </c>
      <c r="J15" s="7569">
        <v>45598</v>
      </c>
      <c r="K15" s="2724" t="s">
        <v>1160</v>
      </c>
      <c r="L15" s="2687" t="s">
        <v>1161</v>
      </c>
      <c r="M15" s="2687" t="s">
        <v>1172</v>
      </c>
      <c r="N15" s="2688" t="s">
        <v>1173</v>
      </c>
      <c r="O15" s="2688" t="s">
        <v>1174</v>
      </c>
      <c r="P15" s="2689" t="str">
        <f>DATEDIF(DATEVALUE(N15),DATEVALUE(O15),"y")&amp;"г. "&amp;DATEDIF(DATEVALUE(N15),DATEVALUE(O15),"ym")&amp;"мес. "&amp;DATEVALUE(O15)-DATE(YEAR(DATEVALUE(O15)),MONTH(DATEVALUE(O15)),1)&amp;"дн. "</f>
        <v>4г. 11мес. 30дн. </v>
      </c>
      <c r="Q15" s="2684" t="s">
        <v>1175</v>
      </c>
      <c r="R15" s="2684" t="s">
        <v>1166</v>
      </c>
      <c r="S15" s="2684" t="s">
        <v>151</v>
      </c>
      <c r="T15" s="2685" t="s">
        <v>1176</v>
      </c>
      <c r="U15" s="2684" t="s">
        <v>1177</v>
      </c>
      <c r="V15" s="2684" t="s">
        <v>1178</v>
      </c>
      <c r="W15" s="2684">
        <v>199</v>
      </c>
      <c r="X15" s="2685">
        <v>45598</v>
      </c>
      <c r="Y15" s="2682" t="s">
        <v>19</v>
      </c>
      <c r="Z15" s="1931"/>
      <c r="AA15" s="1915">
        <v>1</v>
      </c>
      <c r="AB15" s="10781" t="s">
        <v>22</v>
      </c>
      <c r="AC15" s="7213"/>
      <c r="AD15" s="1760" t="s">
        <v>1179</v>
      </c>
      <c r="AE15" s="7213"/>
    </row>
    <row customHeight="1" ht="10.5">
      <c r="A16" s="1290"/>
      <c r="B16" s="1290"/>
      <c r="C16" s="1290"/>
      <c r="D16" s="1284"/>
      <c r="E16" s="1071"/>
      <c r="F16" s="2718" t="s">
        <v>210</v>
      </c>
      <c r="G16" s="2719"/>
      <c r="H16" s="2721"/>
      <c r="I16" s="2723"/>
      <c r="J16" s="2686"/>
      <c r="K16" s="2724"/>
      <c r="L16" s="2687"/>
      <c r="M16" s="2687"/>
      <c r="N16" s="2688"/>
      <c r="O16" s="2688"/>
      <c r="P16" s="2689"/>
      <c r="Q16" s="2684"/>
      <c r="R16" s="2684"/>
      <c r="S16" s="2684"/>
      <c r="T16" s="2686"/>
      <c r="U16" s="2684"/>
      <c r="V16" s="2684"/>
      <c r="W16" s="2684"/>
      <c r="X16" s="2686"/>
      <c r="Y16" s="2683"/>
      <c r="Z16" s="471"/>
      <c r="AA16" s="696"/>
      <c r="AB16" s="776" t="s">
        <v>1170</v>
      </c>
      <c r="AC16" s="7213"/>
      <c r="AD16" s="7213"/>
      <c r="AE16" s="7213"/>
    </row>
    <row customHeight="1" ht="27">
      <c r="A17" s="1290"/>
      <c r="B17" s="1290"/>
      <c r="C17" s="1290"/>
      <c r="D17" s="1284"/>
      <c r="E17" s="7121" t="s">
        <v>103</v>
      </c>
      <c r="F17" s="2718" t="s">
        <v>90</v>
      </c>
      <c r="G17" s="2719" t="s">
        <v>1180</v>
      </c>
      <c r="H17" s="2720" t="s">
        <v>62</v>
      </c>
      <c r="I17" s="7568">
        <v>45224</v>
      </c>
      <c r="J17" s="7569">
        <v>45598</v>
      </c>
      <c r="K17" s="2724" t="s">
        <v>1160</v>
      </c>
      <c r="L17" s="2687" t="s">
        <v>1161</v>
      </c>
      <c r="M17" s="2687" t="s">
        <v>1181</v>
      </c>
      <c r="N17" s="2688" t="s">
        <v>1173</v>
      </c>
      <c r="O17" s="2688" t="s">
        <v>1174</v>
      </c>
      <c r="P17" s="2689" t="str">
        <f>DATEDIF(DATEVALUE(N17),DATEVALUE(O17),"y")&amp;"г. "&amp;DATEDIF(DATEVALUE(N17),DATEVALUE(O17),"ym")&amp;"мес. "&amp;DATEVALUE(O17)-DATE(YEAR(DATEVALUE(O17)),MONTH(DATEVALUE(O17)),1)&amp;"дн. "</f>
        <v>4г. 11мес. 30дн. </v>
      </c>
      <c r="Q17" s="2684" t="s">
        <v>1182</v>
      </c>
      <c r="R17" s="2684" t="s">
        <v>1166</v>
      </c>
      <c r="S17" s="2684" t="s">
        <v>1183</v>
      </c>
      <c r="T17" s="7569" t="s">
        <v>1184</v>
      </c>
      <c r="U17" s="2684" t="s">
        <v>1185</v>
      </c>
      <c r="V17" s="2684" t="s">
        <v>1178</v>
      </c>
      <c r="W17" s="2684">
        <v>197</v>
      </c>
      <c r="X17" s="2685">
        <v>45598</v>
      </c>
      <c r="Y17" s="2682" t="s">
        <v>19</v>
      </c>
      <c r="Z17" s="1931"/>
      <c r="AA17" s="1915">
        <v>1</v>
      </c>
      <c r="AB17" s="10781" t="s">
        <v>22</v>
      </c>
      <c r="AC17" s="7213"/>
      <c r="AD17" s="1760" t="s">
        <v>1186</v>
      </c>
      <c r="AE17" s="7213"/>
    </row>
    <row customHeight="1" ht="10.5">
      <c r="A18" s="1290"/>
      <c r="B18" s="1290"/>
      <c r="C18" s="1290"/>
      <c r="D18" s="1284"/>
      <c r="E18" s="1071"/>
      <c r="F18" s="2718" t="s">
        <v>102</v>
      </c>
      <c r="G18" s="2719"/>
      <c r="H18" s="2721"/>
      <c r="I18" s="2723"/>
      <c r="J18" s="2686"/>
      <c r="K18" s="2724"/>
      <c r="L18" s="2687"/>
      <c r="M18" s="2687"/>
      <c r="N18" s="2688"/>
      <c r="O18" s="2688"/>
      <c r="P18" s="2689"/>
      <c r="Q18" s="2684"/>
      <c r="R18" s="2684"/>
      <c r="S18" s="2684"/>
      <c r="T18" s="2686"/>
      <c r="U18" s="2684"/>
      <c r="V18" s="2684"/>
      <c r="W18" s="2684"/>
      <c r="X18" s="2686"/>
      <c r="Y18" s="2683"/>
      <c r="Z18" s="471"/>
      <c r="AA18" s="696"/>
      <c r="AB18" s="776" t="s">
        <v>1170</v>
      </c>
      <c r="AC18" s="7213"/>
      <c r="AD18" s="7213"/>
      <c r="AE18" s="7213"/>
    </row>
    <row customHeight="1" ht="38.25">
      <c r="A19" s="1290"/>
      <c r="B19" s="1290"/>
      <c r="C19" s="1290"/>
      <c r="D19" s="1284"/>
      <c r="E19" s="7121" t="s">
        <v>103</v>
      </c>
      <c r="F19" s="2718" t="s">
        <v>91</v>
      </c>
      <c r="G19" s="2719" t="s">
        <v>1187</v>
      </c>
      <c r="H19" s="2720" t="s">
        <v>62</v>
      </c>
      <c r="I19" s="7568">
        <v>45223</v>
      </c>
      <c r="J19" s="7569">
        <v>45223</v>
      </c>
      <c r="K19" s="2724" t="s">
        <v>1160</v>
      </c>
      <c r="L19" s="2687" t="s">
        <v>1161</v>
      </c>
      <c r="M19" s="2687" t="s">
        <v>1188</v>
      </c>
      <c r="N19" s="2688" t="s">
        <v>1173</v>
      </c>
      <c r="O19" s="2688" t="s">
        <v>1174</v>
      </c>
      <c r="P19" s="2689" t="str">
        <f>DATEDIF(DATEVALUE(N19),DATEVALUE(O19),"y")&amp;"г. "&amp;DATEDIF(DATEVALUE(N19),DATEVALUE(O19),"ym")&amp;"мес. "&amp;DATEVALUE(O19)-DATE(YEAR(DATEVALUE(O19)),MONTH(DATEVALUE(O19)),1)&amp;"дн. "</f>
        <v>4г. 11мес. 30дн. </v>
      </c>
      <c r="Q19" s="2684" t="s">
        <v>1189</v>
      </c>
      <c r="R19" s="2684" t="s">
        <v>1166</v>
      </c>
      <c r="S19" s="2684" t="s">
        <v>1190</v>
      </c>
      <c r="T19" s="2685" t="s">
        <v>1176</v>
      </c>
      <c r="U19" s="2684" t="s">
        <v>1191</v>
      </c>
      <c r="V19" s="2684" t="s">
        <v>1178</v>
      </c>
      <c r="W19" s="2684">
        <v>194</v>
      </c>
      <c r="X19" s="2685">
        <v>45223</v>
      </c>
      <c r="Y19" s="2682" t="s">
        <v>19</v>
      </c>
      <c r="Z19" s="1931"/>
      <c r="AA19" s="1915">
        <v>1</v>
      </c>
      <c r="AB19" s="10781" t="s">
        <v>22</v>
      </c>
      <c r="AC19" s="7213"/>
      <c r="AD19" s="1760" t="s">
        <v>1192</v>
      </c>
      <c r="AE19" s="7213"/>
    </row>
    <row customHeight="1" ht="12">
      <c r="A20" s="1290"/>
      <c r="B20" s="1290"/>
      <c r="C20" s="1290"/>
      <c r="D20" s="1284"/>
      <c r="E20" s="1071"/>
      <c r="F20" s="2718" t="s">
        <v>90</v>
      </c>
      <c r="G20" s="2719"/>
      <c r="H20" s="2721"/>
      <c r="I20" s="2723"/>
      <c r="J20" s="2686"/>
      <c r="K20" s="2724"/>
      <c r="L20" s="2687"/>
      <c r="M20" s="2687"/>
      <c r="N20" s="2688"/>
      <c r="O20" s="2688"/>
      <c r="P20" s="2689"/>
      <c r="Q20" s="2684"/>
      <c r="R20" s="2684"/>
      <c r="S20" s="2684"/>
      <c r="T20" s="2686"/>
      <c r="U20" s="2684"/>
      <c r="V20" s="2684"/>
      <c r="W20" s="2684"/>
      <c r="X20" s="2686"/>
      <c r="Y20" s="2683"/>
      <c r="Z20" s="471"/>
      <c r="AA20" s="696"/>
      <c r="AB20" s="776" t="s">
        <v>1170</v>
      </c>
      <c r="AC20" s="7213"/>
      <c r="AD20" s="7213"/>
      <c r="AE20" s="7213"/>
    </row>
    <row customHeight="1" ht="27">
      <c r="A21" s="1290"/>
      <c r="B21" s="1290"/>
      <c r="C21" s="1290"/>
      <c r="D21" s="1284"/>
      <c r="E21" s="7121" t="s">
        <v>103</v>
      </c>
      <c r="F21" s="2718" t="s">
        <v>116</v>
      </c>
      <c r="G21" s="2719" t="s">
        <v>1193</v>
      </c>
      <c r="H21" s="2720" t="s">
        <v>62</v>
      </c>
      <c r="I21" s="7568">
        <v>45226</v>
      </c>
      <c r="J21" s="7569">
        <v>45598</v>
      </c>
      <c r="K21" s="2724" t="s">
        <v>1160</v>
      </c>
      <c r="L21" s="2687" t="s">
        <v>1194</v>
      </c>
      <c r="M21" s="2687" t="s">
        <v>1195</v>
      </c>
      <c r="N21" s="2688" t="s">
        <v>1173</v>
      </c>
      <c r="O21" s="2688" t="s">
        <v>1174</v>
      </c>
      <c r="P21" s="2689" t="str">
        <f>DATEDIF(DATEVALUE(N21),DATEVALUE(O21),"y")&amp;"г. "&amp;DATEDIF(DATEVALUE(N21),DATEVALUE(O21),"ym")&amp;"мес. "&amp;DATEVALUE(O21)-DATE(YEAR(DATEVALUE(O21)),MONTH(DATEVALUE(O21)),1)&amp;"дн. "</f>
        <v>4г. 11мес. 30дн. </v>
      </c>
      <c r="Q21" s="2684" t="s">
        <v>1196</v>
      </c>
      <c r="R21" s="2684" t="s">
        <v>1166</v>
      </c>
      <c r="S21" s="2684" t="s">
        <v>1197</v>
      </c>
      <c r="T21" s="2685" t="s">
        <v>1198</v>
      </c>
      <c r="U21" s="2684" t="s">
        <v>1199</v>
      </c>
      <c r="V21" s="2684" t="s">
        <v>1178</v>
      </c>
      <c r="W21" s="2684">
        <v>196</v>
      </c>
      <c r="X21" s="2685">
        <v>45598</v>
      </c>
      <c r="Y21" s="2682" t="s">
        <v>19</v>
      </c>
      <c r="Z21" s="1931"/>
      <c r="AA21" s="1915">
        <v>1</v>
      </c>
      <c r="AB21" s="10781" t="s">
        <v>22</v>
      </c>
      <c r="AC21" s="7213"/>
      <c r="AD21" s="1760" t="s">
        <v>1200</v>
      </c>
      <c r="AE21" s="7213"/>
    </row>
    <row customHeight="1" ht="10.5">
      <c r="A22" s="1290"/>
      <c r="B22" s="1290"/>
      <c r="C22" s="1290"/>
      <c r="D22" s="1284"/>
      <c r="E22" s="1071"/>
      <c r="F22" s="2718" t="s">
        <v>91</v>
      </c>
      <c r="G22" s="2719"/>
      <c r="H22" s="2721"/>
      <c r="I22" s="2723"/>
      <c r="J22" s="2686"/>
      <c r="K22" s="2724"/>
      <c r="L22" s="2687"/>
      <c r="M22" s="2687"/>
      <c r="N22" s="2688"/>
      <c r="O22" s="2688"/>
      <c r="P22" s="2689"/>
      <c r="Q22" s="2684"/>
      <c r="R22" s="2684"/>
      <c r="S22" s="2684"/>
      <c r="T22" s="2686"/>
      <c r="U22" s="2684"/>
      <c r="V22" s="2684"/>
      <c r="W22" s="2684"/>
      <c r="X22" s="2686"/>
      <c r="Y22" s="2683"/>
      <c r="Z22" s="471"/>
      <c r="AA22" s="696"/>
      <c r="AB22" s="776" t="s">
        <v>1170</v>
      </c>
      <c r="AC22" s="7213"/>
      <c r="AD22" s="7213"/>
      <c r="AE22" s="7213"/>
    </row>
    <row customHeight="1" ht="27">
      <c r="A23" s="1290"/>
      <c r="B23" s="1290"/>
      <c r="C23" s="1290"/>
      <c r="D23" s="1284"/>
      <c r="E23" s="7121" t="s">
        <v>103</v>
      </c>
      <c r="F23" s="2718" t="s">
        <v>92</v>
      </c>
      <c r="G23" s="2719" t="s">
        <v>1201</v>
      </c>
      <c r="H23" s="2720" t="s">
        <v>62</v>
      </c>
      <c r="I23" s="7568">
        <v>45223</v>
      </c>
      <c r="J23" s="7569">
        <v>45598</v>
      </c>
      <c r="K23" s="2724" t="s">
        <v>1160</v>
      </c>
      <c r="L23" s="2687" t="s">
        <v>1194</v>
      </c>
      <c r="M23" s="2687" t="s">
        <v>1202</v>
      </c>
      <c r="N23" s="2688" t="s">
        <v>1173</v>
      </c>
      <c r="O23" s="2688" t="s">
        <v>1174</v>
      </c>
      <c r="P23" s="2689" t="str">
        <f>DATEDIF(DATEVALUE(N23),DATEVALUE(O23),"y")&amp;"г. "&amp;DATEDIF(DATEVALUE(N23),DATEVALUE(O23),"ym")&amp;"мес. "&amp;DATEVALUE(O23)-DATE(YEAR(DATEVALUE(O23)),MONTH(DATEVALUE(O23)),1)&amp;"дн. "</f>
        <v>4г. 11мес. 30дн. </v>
      </c>
      <c r="Q23" s="2684" t="s">
        <v>1203</v>
      </c>
      <c r="R23" s="2684" t="s">
        <v>1166</v>
      </c>
      <c r="S23" s="2684" t="s">
        <v>1204</v>
      </c>
      <c r="T23" s="2685" t="s">
        <v>1176</v>
      </c>
      <c r="U23" s="2684" t="s">
        <v>1205</v>
      </c>
      <c r="V23" s="2684" t="s">
        <v>1178</v>
      </c>
      <c r="W23" s="2684">
        <v>189</v>
      </c>
      <c r="X23" s="2685">
        <v>45598</v>
      </c>
      <c r="Y23" s="2682" t="s">
        <v>19</v>
      </c>
      <c r="Z23" s="1931"/>
      <c r="AA23" s="1915">
        <v>1</v>
      </c>
      <c r="AB23" s="10781" t="s">
        <v>22</v>
      </c>
      <c r="AC23" s="7213"/>
      <c r="AD23" s="1760" t="s">
        <v>1206</v>
      </c>
      <c r="AE23" s="7213"/>
    </row>
    <row customHeight="1" ht="10.5">
      <c r="A24" s="1290"/>
      <c r="B24" s="1290"/>
      <c r="C24" s="1290"/>
      <c r="D24" s="1284"/>
      <c r="E24" s="1071"/>
      <c r="F24" s="2718" t="s">
        <v>116</v>
      </c>
      <c r="G24" s="2719"/>
      <c r="H24" s="2721"/>
      <c r="I24" s="2723"/>
      <c r="J24" s="2686"/>
      <c r="K24" s="2724"/>
      <c r="L24" s="2687"/>
      <c r="M24" s="2687"/>
      <c r="N24" s="2688"/>
      <c r="O24" s="2688"/>
      <c r="P24" s="2689"/>
      <c r="Q24" s="2684"/>
      <c r="R24" s="2684"/>
      <c r="S24" s="2684"/>
      <c r="T24" s="2686"/>
      <c r="U24" s="2684"/>
      <c r="V24" s="2684"/>
      <c r="W24" s="2684"/>
      <c r="X24" s="2686"/>
      <c r="Y24" s="2683"/>
      <c r="Z24" s="471"/>
      <c r="AA24" s="696"/>
      <c r="AB24" s="776" t="s">
        <v>1170</v>
      </c>
      <c r="AC24" s="7213"/>
      <c r="AD24" s="7213"/>
      <c r="AE24" s="7213"/>
    </row>
    <row customHeight="1" ht="27">
      <c r="A25" s="1290"/>
      <c r="B25" s="1290"/>
      <c r="C25" s="1290"/>
      <c r="D25" s="1284"/>
      <c r="E25" s="7121" t="s">
        <v>103</v>
      </c>
      <c r="F25" s="2718" t="s">
        <v>93</v>
      </c>
      <c r="G25" s="2719" t="s">
        <v>1207</v>
      </c>
      <c r="H25" s="2720" t="s">
        <v>62</v>
      </c>
      <c r="I25" s="7568">
        <v>45225</v>
      </c>
      <c r="J25" s="7569">
        <v>45225</v>
      </c>
      <c r="K25" s="2724" t="s">
        <v>1160</v>
      </c>
      <c r="L25" s="2687" t="s">
        <v>1194</v>
      </c>
      <c r="M25" s="2687" t="s">
        <v>1208</v>
      </c>
      <c r="N25" s="2688" t="s">
        <v>1173</v>
      </c>
      <c r="O25" s="2688" t="s">
        <v>1174</v>
      </c>
      <c r="P25" s="2689" t="str">
        <f>DATEDIF(DATEVALUE(N25),DATEVALUE(O25),"y")&amp;"г. "&amp;DATEDIF(DATEVALUE(N25),DATEVALUE(O25),"ym")&amp;"мес. "&amp;DATEVALUE(O25)-DATE(YEAR(DATEVALUE(O25)),MONTH(DATEVALUE(O25)),1)&amp;"дн. "</f>
        <v>4г. 11мес. 30дн. </v>
      </c>
      <c r="Q25" s="2684" t="s">
        <v>1209</v>
      </c>
      <c r="R25" s="2684" t="s">
        <v>1166</v>
      </c>
      <c r="S25" s="2684" t="s">
        <v>1210</v>
      </c>
      <c r="T25" s="7569" t="s">
        <v>1211</v>
      </c>
      <c r="U25" s="2684"/>
      <c r="V25" s="2684"/>
      <c r="W25" s="2684"/>
      <c r="X25" s="7569"/>
      <c r="Y25" s="2682" t="s">
        <v>19</v>
      </c>
      <c r="Z25" s="1931"/>
      <c r="AA25" s="1915">
        <v>1</v>
      </c>
      <c r="AB25" s="10781" t="s">
        <v>22</v>
      </c>
      <c r="AC25" s="7213"/>
      <c r="AD25" s="1760" t="s">
        <v>1212</v>
      </c>
      <c r="AE25" s="7213"/>
    </row>
    <row customHeight="1" ht="10.5">
      <c r="A26" s="1290"/>
      <c r="B26" s="1290"/>
      <c r="C26" s="1290"/>
      <c r="D26" s="1284"/>
      <c r="E26" s="1071"/>
      <c r="F26" s="2718" t="s">
        <v>92</v>
      </c>
      <c r="G26" s="2719"/>
      <c r="H26" s="2721"/>
      <c r="I26" s="2723"/>
      <c r="J26" s="2686"/>
      <c r="K26" s="2724"/>
      <c r="L26" s="2687"/>
      <c r="M26" s="2687"/>
      <c r="N26" s="2688"/>
      <c r="O26" s="2688"/>
      <c r="P26" s="2689"/>
      <c r="Q26" s="2684"/>
      <c r="R26" s="2684"/>
      <c r="S26" s="2684"/>
      <c r="T26" s="2686"/>
      <c r="U26" s="2684"/>
      <c r="V26" s="2684"/>
      <c r="W26" s="2684"/>
      <c r="X26" s="2686"/>
      <c r="Y26" s="2683"/>
      <c r="Z26" s="471"/>
      <c r="AA26" s="696"/>
      <c r="AB26" s="776" t="s">
        <v>1170</v>
      </c>
      <c r="AC26" s="7213"/>
      <c r="AD26" s="7213"/>
      <c r="AE26" s="7213"/>
    </row>
    <row customHeight="1" ht="27">
      <c r="A27" s="1290"/>
      <c r="B27" s="1290"/>
      <c r="C27" s="1290"/>
      <c r="D27" s="1284"/>
      <c r="E27" s="7121" t="s">
        <v>103</v>
      </c>
      <c r="F27" s="2718" t="s">
        <v>129</v>
      </c>
      <c r="G27" s="2719" t="s">
        <v>1213</v>
      </c>
      <c r="H27" s="2720" t="s">
        <v>62</v>
      </c>
      <c r="I27" s="7568">
        <v>45226</v>
      </c>
      <c r="J27" s="7569">
        <v>45598</v>
      </c>
      <c r="K27" s="2724" t="s">
        <v>1160</v>
      </c>
      <c r="L27" s="2687" t="s">
        <v>1194</v>
      </c>
      <c r="M27" s="2687" t="s">
        <v>1214</v>
      </c>
      <c r="N27" s="2688" t="s">
        <v>1173</v>
      </c>
      <c r="O27" s="2688" t="s">
        <v>1174</v>
      </c>
      <c r="P27" s="2689" t="str">
        <f>DATEDIF(DATEVALUE(N27),DATEVALUE(O27),"y")&amp;"г. "&amp;DATEDIF(DATEVALUE(N27),DATEVALUE(O27),"ym")&amp;"мес. "&amp;DATEVALUE(O27)-DATE(YEAR(DATEVALUE(O27)),MONTH(DATEVALUE(O27)),1)&amp;"дн. "</f>
        <v>4г. 11мес. 30дн. </v>
      </c>
      <c r="Q27" s="2684" t="s">
        <v>1215</v>
      </c>
      <c r="R27" s="2684" t="s">
        <v>1166</v>
      </c>
      <c r="S27" s="2684" t="s">
        <v>1216</v>
      </c>
      <c r="T27" s="2685" t="s">
        <v>1198</v>
      </c>
      <c r="U27" s="2684" t="s">
        <v>1217</v>
      </c>
      <c r="V27" s="2684" t="s">
        <v>1178</v>
      </c>
      <c r="W27" s="2684">
        <v>192</v>
      </c>
      <c r="X27" s="2685">
        <v>45598</v>
      </c>
      <c r="Y27" s="2682" t="s">
        <v>19</v>
      </c>
      <c r="Z27" s="1931"/>
      <c r="AA27" s="1915">
        <v>1</v>
      </c>
      <c r="AB27" s="10781" t="s">
        <v>22</v>
      </c>
      <c r="AC27" s="7213"/>
      <c r="AD27" s="1760" t="s">
        <v>1218</v>
      </c>
      <c r="AE27" s="7213"/>
    </row>
    <row customHeight="1" ht="10.5">
      <c r="A28" s="1290"/>
      <c r="B28" s="1290"/>
      <c r="C28" s="1290"/>
      <c r="D28" s="1284"/>
      <c r="E28" s="1071"/>
      <c r="F28" s="2718" t="s">
        <v>93</v>
      </c>
      <c r="G28" s="2719"/>
      <c r="H28" s="2721"/>
      <c r="I28" s="2723"/>
      <c r="J28" s="2686"/>
      <c r="K28" s="2724"/>
      <c r="L28" s="2687"/>
      <c r="M28" s="2687"/>
      <c r="N28" s="2688"/>
      <c r="O28" s="2688"/>
      <c r="P28" s="2689"/>
      <c r="Q28" s="2684"/>
      <c r="R28" s="2684"/>
      <c r="S28" s="2684"/>
      <c r="T28" s="2686"/>
      <c r="U28" s="2684"/>
      <c r="V28" s="2684"/>
      <c r="W28" s="2684"/>
      <c r="X28" s="2686"/>
      <c r="Y28" s="2683"/>
      <c r="Z28" s="471"/>
      <c r="AA28" s="696"/>
      <c r="AB28" s="776" t="s">
        <v>1170</v>
      </c>
      <c r="AC28" s="7213"/>
      <c r="AD28" s="7213"/>
      <c r="AE28" s="7213"/>
    </row>
    <row customHeight="1" ht="27">
      <c r="A29" s="1290"/>
      <c r="B29" s="1290"/>
      <c r="C29" s="1290"/>
      <c r="D29" s="1284"/>
      <c r="E29" s="7121" t="s">
        <v>103</v>
      </c>
      <c r="F29" s="2718" t="s">
        <v>134</v>
      </c>
      <c r="G29" s="2719" t="s">
        <v>1219</v>
      </c>
      <c r="H29" s="2720" t="s">
        <v>62</v>
      </c>
      <c r="I29" s="7568">
        <v>45226</v>
      </c>
      <c r="J29" s="7569">
        <v>45223</v>
      </c>
      <c r="K29" s="2724" t="s">
        <v>1160</v>
      </c>
      <c r="L29" s="2687" t="s">
        <v>1194</v>
      </c>
      <c r="M29" s="2687" t="s">
        <v>1220</v>
      </c>
      <c r="N29" s="2688" t="s">
        <v>1173</v>
      </c>
      <c r="O29" s="2688" t="s">
        <v>1174</v>
      </c>
      <c r="P29" s="2689" t="str">
        <f>DATEDIF(DATEVALUE(N29),DATEVALUE(O29),"y")&amp;"г. "&amp;DATEDIF(DATEVALUE(N29),DATEVALUE(O29),"ym")&amp;"мес. "&amp;DATEVALUE(O29)-DATE(YEAR(DATEVALUE(O29)),MONTH(DATEVALUE(O29)),1)&amp;"дн. "</f>
        <v>4г. 11мес. 30дн. </v>
      </c>
      <c r="Q29" s="2684" t="s">
        <v>1221</v>
      </c>
      <c r="R29" s="2684" t="s">
        <v>1166</v>
      </c>
      <c r="S29" s="2684" t="s">
        <v>1222</v>
      </c>
      <c r="T29" s="2685" t="s">
        <v>1198</v>
      </c>
      <c r="U29" s="2684"/>
      <c r="V29" s="2684"/>
      <c r="W29" s="2684"/>
      <c r="X29" s="2685"/>
      <c r="Y29" s="2682" t="s">
        <v>19</v>
      </c>
      <c r="Z29" s="1931"/>
      <c r="AA29" s="1915">
        <v>1</v>
      </c>
      <c r="AB29" s="10781" t="s">
        <v>22</v>
      </c>
      <c r="AC29" s="7213"/>
      <c r="AD29" s="1760" t="s">
        <v>1223</v>
      </c>
      <c r="AE29" s="7213"/>
    </row>
    <row customHeight="1" ht="10.5">
      <c r="A30" s="1290"/>
      <c r="B30" s="1290"/>
      <c r="C30" s="1290"/>
      <c r="D30" s="1284"/>
      <c r="E30" s="1071"/>
      <c r="F30" s="2718" t="s">
        <v>129</v>
      </c>
      <c r="G30" s="2719"/>
      <c r="H30" s="2721"/>
      <c r="I30" s="2723"/>
      <c r="J30" s="2686"/>
      <c r="K30" s="2724"/>
      <c r="L30" s="2687"/>
      <c r="M30" s="2687"/>
      <c r="N30" s="2688"/>
      <c r="O30" s="2688"/>
      <c r="P30" s="2689"/>
      <c r="Q30" s="2684"/>
      <c r="R30" s="2684"/>
      <c r="S30" s="2684"/>
      <c r="T30" s="2686"/>
      <c r="U30" s="2684"/>
      <c r="V30" s="2684"/>
      <c r="W30" s="2684"/>
      <c r="X30" s="2686"/>
      <c r="Y30" s="2683"/>
      <c r="Z30" s="471"/>
      <c r="AA30" s="696"/>
      <c r="AB30" s="776" t="s">
        <v>1170</v>
      </c>
      <c r="AC30" s="7213"/>
      <c r="AD30" s="7213"/>
      <c r="AE30" s="7213"/>
    </row>
    <row customHeight="1" ht="27">
      <c r="A31" s="1290"/>
      <c r="B31" s="1290"/>
      <c r="C31" s="1290"/>
      <c r="D31" s="1284"/>
      <c r="E31" s="7121" t="s">
        <v>103</v>
      </c>
      <c r="F31" s="2718" t="s">
        <v>139</v>
      </c>
      <c r="G31" s="2719" t="s">
        <v>1224</v>
      </c>
      <c r="H31" s="2720" t="s">
        <v>62</v>
      </c>
      <c r="I31" s="7568">
        <v>45223</v>
      </c>
      <c r="J31" s="7569">
        <v>45598</v>
      </c>
      <c r="K31" s="2724" t="s">
        <v>1160</v>
      </c>
      <c r="L31" s="2687" t="s">
        <v>1194</v>
      </c>
      <c r="M31" s="2687" t="s">
        <v>1225</v>
      </c>
      <c r="N31" s="2688" t="s">
        <v>1173</v>
      </c>
      <c r="O31" s="2688" t="s">
        <v>1174</v>
      </c>
      <c r="P31" s="2689" t="str">
        <f>DATEDIF(DATEVALUE(N31),DATEVALUE(O31),"y")&amp;"г. "&amp;DATEDIF(DATEVALUE(N31),DATEVALUE(O31),"ym")&amp;"мес. "&amp;DATEVALUE(O31)-DATE(YEAR(DATEVALUE(O31)),MONTH(DATEVALUE(O31)),1)&amp;"дн. "</f>
        <v>4г. 11мес. 30дн. </v>
      </c>
      <c r="Q31" s="2684" t="s">
        <v>1226</v>
      </c>
      <c r="R31" s="2684" t="s">
        <v>1166</v>
      </c>
      <c r="S31" s="2684" t="s">
        <v>1227</v>
      </c>
      <c r="T31" s="7569" t="s">
        <v>1176</v>
      </c>
      <c r="U31" s="2684" t="s">
        <v>1228</v>
      </c>
      <c r="V31" s="2684" t="s">
        <v>1178</v>
      </c>
      <c r="W31" s="2684">
        <v>193</v>
      </c>
      <c r="X31" s="7569">
        <v>45598</v>
      </c>
      <c r="Y31" s="2682" t="s">
        <v>19</v>
      </c>
      <c r="Z31" s="1931"/>
      <c r="AA31" s="1915">
        <v>1</v>
      </c>
      <c r="AB31" s="10781" t="s">
        <v>22</v>
      </c>
      <c r="AC31" s="7213"/>
      <c r="AD31" s="1760" t="s">
        <v>1229</v>
      </c>
      <c r="AE31" s="7213"/>
    </row>
    <row customHeight="1" ht="10.5">
      <c r="A32" s="1290"/>
      <c r="B32" s="1290"/>
      <c r="C32" s="1290"/>
      <c r="D32" s="1284"/>
      <c r="E32" s="1071"/>
      <c r="F32" s="2718" t="s">
        <v>134</v>
      </c>
      <c r="G32" s="2719"/>
      <c r="H32" s="2721"/>
      <c r="I32" s="2723"/>
      <c r="J32" s="2686"/>
      <c r="K32" s="2724"/>
      <c r="L32" s="2687"/>
      <c r="M32" s="2687"/>
      <c r="N32" s="2688"/>
      <c r="O32" s="2688"/>
      <c r="P32" s="2689"/>
      <c r="Q32" s="2684"/>
      <c r="R32" s="2684"/>
      <c r="S32" s="2684"/>
      <c r="T32" s="2686"/>
      <c r="U32" s="2684"/>
      <c r="V32" s="2684"/>
      <c r="W32" s="2684"/>
      <c r="X32" s="2686"/>
      <c r="Y32" s="2683"/>
      <c r="Z32" s="471"/>
      <c r="AA32" s="696"/>
      <c r="AB32" s="776" t="s">
        <v>1170</v>
      </c>
      <c r="AC32" s="7213"/>
      <c r="AD32" s="7213"/>
      <c r="AE32" s="7213"/>
    </row>
    <row customHeight="1" ht="27">
      <c r="A33" s="1290"/>
      <c r="B33" s="1290"/>
      <c r="C33" s="1290"/>
      <c r="D33" s="1284"/>
      <c r="E33" s="7121" t="s">
        <v>103</v>
      </c>
      <c r="F33" s="2718" t="s">
        <v>144</v>
      </c>
      <c r="G33" s="2719" t="s">
        <v>1230</v>
      </c>
      <c r="H33" s="2720" t="s">
        <v>62</v>
      </c>
      <c r="I33" s="7568">
        <v>45224</v>
      </c>
      <c r="J33" s="7569">
        <v>45598</v>
      </c>
      <c r="K33" s="2724" t="s">
        <v>1160</v>
      </c>
      <c r="L33" s="2687" t="s">
        <v>1194</v>
      </c>
      <c r="M33" s="2687" t="s">
        <v>1231</v>
      </c>
      <c r="N33" s="2688" t="s">
        <v>1173</v>
      </c>
      <c r="O33" s="2688" t="s">
        <v>1174</v>
      </c>
      <c r="P33" s="2689" t="str">
        <f>DATEDIF(DATEVALUE(N33),DATEVALUE(O33),"y")&amp;"г. "&amp;DATEDIF(DATEVALUE(N33),DATEVALUE(O33),"ym")&amp;"мес. "&amp;DATEVALUE(O33)-DATE(YEAR(DATEVALUE(O33)),MONTH(DATEVALUE(O33)),1)&amp;"дн. "</f>
        <v>4г. 11мес. 30дн. </v>
      </c>
      <c r="Q33" s="2684" t="s">
        <v>1232</v>
      </c>
      <c r="R33" s="2684" t="s">
        <v>1166</v>
      </c>
      <c r="S33" s="2684" t="s">
        <v>1233</v>
      </c>
      <c r="T33" s="2685" t="s">
        <v>1184</v>
      </c>
      <c r="U33" s="2684" t="s">
        <v>1234</v>
      </c>
      <c r="V33" s="2684" t="s">
        <v>1178</v>
      </c>
      <c r="W33" s="2684">
        <v>195</v>
      </c>
      <c r="X33" s="2685">
        <v>45598</v>
      </c>
      <c r="Y33" s="2682" t="s">
        <v>19</v>
      </c>
      <c r="Z33" s="1931"/>
      <c r="AA33" s="1915">
        <v>1</v>
      </c>
      <c r="AB33" s="10781" t="s">
        <v>22</v>
      </c>
      <c r="AC33" s="7213"/>
      <c r="AD33" s="1760" t="s">
        <v>1235</v>
      </c>
      <c r="AE33" s="7213"/>
    </row>
    <row customHeight="1" ht="10.5">
      <c r="A34" s="1290"/>
      <c r="B34" s="1290"/>
      <c r="C34" s="1290"/>
      <c r="D34" s="1284"/>
      <c r="E34" s="1071"/>
      <c r="F34" s="2718" t="s">
        <v>139</v>
      </c>
      <c r="G34" s="2719"/>
      <c r="H34" s="2721"/>
      <c r="I34" s="2723"/>
      <c r="J34" s="2686"/>
      <c r="K34" s="2724"/>
      <c r="L34" s="2687"/>
      <c r="M34" s="2687"/>
      <c r="N34" s="2688"/>
      <c r="O34" s="2688"/>
      <c r="P34" s="2689"/>
      <c r="Q34" s="2684"/>
      <c r="R34" s="2684"/>
      <c r="S34" s="2684"/>
      <c r="T34" s="2686"/>
      <c r="U34" s="2684"/>
      <c r="V34" s="2684"/>
      <c r="W34" s="2684"/>
      <c r="X34" s="2686"/>
      <c r="Y34" s="2683"/>
      <c r="Z34" s="471"/>
      <c r="AA34" s="696"/>
      <c r="AB34" s="776" t="s">
        <v>1170</v>
      </c>
      <c r="AC34" s="7213"/>
      <c r="AD34" s="7213"/>
      <c r="AE34" s="7213"/>
    </row>
    <row customHeight="1" ht="27">
      <c r="A35" s="1290"/>
      <c r="B35" s="1290"/>
      <c r="C35" s="1290"/>
      <c r="D35" s="1284"/>
      <c r="E35" s="7121" t="s">
        <v>103</v>
      </c>
      <c r="F35" s="2718" t="s">
        <v>149</v>
      </c>
      <c r="G35" s="2719" t="s">
        <v>1236</v>
      </c>
      <c r="H35" s="2720" t="s">
        <v>62</v>
      </c>
      <c r="I35" s="7568">
        <v>45225</v>
      </c>
      <c r="J35" s="7569">
        <v>45598</v>
      </c>
      <c r="K35" s="2724" t="s">
        <v>1160</v>
      </c>
      <c r="L35" s="2687" t="s">
        <v>1194</v>
      </c>
      <c r="M35" s="2687" t="s">
        <v>1237</v>
      </c>
      <c r="N35" s="2688" t="s">
        <v>1173</v>
      </c>
      <c r="O35" s="2688" t="s">
        <v>1174</v>
      </c>
      <c r="P35" s="2689" t="str">
        <f>DATEDIF(DATEVALUE(N35),DATEVALUE(O35),"y")&amp;"г. "&amp;DATEDIF(DATEVALUE(N35),DATEVALUE(O35),"ym")&amp;"мес. "&amp;DATEVALUE(O35)-DATE(YEAR(DATEVALUE(O35)),MONTH(DATEVALUE(O35)),1)&amp;"дн. "</f>
        <v>4г. 11мес. 30дн. </v>
      </c>
      <c r="Q35" s="2684" t="s">
        <v>1238</v>
      </c>
      <c r="R35" s="2684" t="s">
        <v>1166</v>
      </c>
      <c r="S35" s="2684" t="s">
        <v>1239</v>
      </c>
      <c r="T35" s="2685" t="s">
        <v>1211</v>
      </c>
      <c r="U35" s="2684" t="s">
        <v>1240</v>
      </c>
      <c r="V35" s="2684" t="s">
        <v>1178</v>
      </c>
      <c r="W35" s="2684">
        <v>198</v>
      </c>
      <c r="X35" s="2685">
        <v>45598</v>
      </c>
      <c r="Y35" s="2682" t="s">
        <v>19</v>
      </c>
      <c r="Z35" s="1931"/>
      <c r="AA35" s="1915">
        <v>1</v>
      </c>
      <c r="AB35" s="10781" t="s">
        <v>22</v>
      </c>
      <c r="AC35" s="7213"/>
      <c r="AD35" s="1760" t="s">
        <v>1241</v>
      </c>
      <c r="AE35" s="7213"/>
    </row>
    <row customHeight="1" ht="10.5">
      <c r="A36" s="1290"/>
      <c r="B36" s="1290"/>
      <c r="C36" s="1290"/>
      <c r="D36" s="1284"/>
      <c r="E36" s="1071"/>
      <c r="F36" s="2718" t="s">
        <v>144</v>
      </c>
      <c r="G36" s="2719"/>
      <c r="H36" s="2721"/>
      <c r="I36" s="2723"/>
      <c r="J36" s="2686"/>
      <c r="K36" s="2724"/>
      <c r="L36" s="2687"/>
      <c r="M36" s="2687"/>
      <c r="N36" s="2688"/>
      <c r="O36" s="2688"/>
      <c r="P36" s="2689"/>
      <c r="Q36" s="2684"/>
      <c r="R36" s="2684"/>
      <c r="S36" s="2684"/>
      <c r="T36" s="2686"/>
      <c r="U36" s="2684"/>
      <c r="V36" s="2684"/>
      <c r="W36" s="2684"/>
      <c r="X36" s="2686"/>
      <c r="Y36" s="2683"/>
      <c r="Z36" s="471"/>
      <c r="AA36" s="696"/>
      <c r="AB36" s="776" t="s">
        <v>1170</v>
      </c>
      <c r="AC36" s="7213"/>
      <c r="AD36" s="7213"/>
      <c r="AE36" s="7213"/>
    </row>
    <row customHeight="1" ht="27">
      <c r="A37" s="1290"/>
      <c r="B37" s="1290"/>
      <c r="C37" s="1290"/>
      <c r="D37" s="1284"/>
      <c r="E37" s="7121" t="s">
        <v>103</v>
      </c>
      <c r="F37" s="2718" t="s">
        <v>154</v>
      </c>
      <c r="G37" s="2719" t="s">
        <v>1242</v>
      </c>
      <c r="H37" s="2720" t="s">
        <v>62</v>
      </c>
      <c r="I37" s="7568">
        <v>45225</v>
      </c>
      <c r="J37" s="7569">
        <v>45598</v>
      </c>
      <c r="K37" s="2724" t="s">
        <v>1160</v>
      </c>
      <c r="L37" s="2687" t="s">
        <v>1194</v>
      </c>
      <c r="M37" s="2687" t="s">
        <v>1243</v>
      </c>
      <c r="N37" s="2688" t="s">
        <v>1173</v>
      </c>
      <c r="O37" s="2688" t="s">
        <v>1174</v>
      </c>
      <c r="P37" s="2689" t="str">
        <f>DATEDIF(DATEVALUE(N37),DATEVALUE(O37),"y")&amp;"г. "&amp;DATEDIF(DATEVALUE(N37),DATEVALUE(O37),"ym")&amp;"мес. "&amp;DATEVALUE(O37)-DATE(YEAR(DATEVALUE(O37)),MONTH(DATEVALUE(O37)),1)&amp;"дн. "</f>
        <v>4г. 11мес. 30дн. </v>
      </c>
      <c r="Q37" s="2684" t="s">
        <v>1244</v>
      </c>
      <c r="R37" s="2684" t="s">
        <v>1166</v>
      </c>
      <c r="S37" s="2684" t="s">
        <v>1245</v>
      </c>
      <c r="T37" s="2685" t="s">
        <v>1211</v>
      </c>
      <c r="U37" s="2684" t="s">
        <v>1246</v>
      </c>
      <c r="V37" s="2684" t="s">
        <v>1178</v>
      </c>
      <c r="W37" s="2684">
        <v>190</v>
      </c>
      <c r="X37" s="2685">
        <v>45598</v>
      </c>
      <c r="Y37" s="2682" t="s">
        <v>19</v>
      </c>
      <c r="Z37" s="1931"/>
      <c r="AA37" s="1915">
        <v>1</v>
      </c>
      <c r="AB37" s="10781" t="s">
        <v>22</v>
      </c>
      <c r="AC37" s="7213"/>
      <c r="AD37" s="1760" t="s">
        <v>1247</v>
      </c>
      <c r="AE37" s="7213"/>
    </row>
    <row customHeight="1" ht="10.5">
      <c r="A38" s="1290"/>
      <c r="B38" s="1290"/>
      <c r="C38" s="1290"/>
      <c r="D38" s="1284"/>
      <c r="E38" s="1071"/>
      <c r="F38" s="2718" t="s">
        <v>149</v>
      </c>
      <c r="G38" s="2719"/>
      <c r="H38" s="2721"/>
      <c r="I38" s="2723"/>
      <c r="J38" s="2686"/>
      <c r="K38" s="2724"/>
      <c r="L38" s="2687"/>
      <c r="M38" s="2687"/>
      <c r="N38" s="2688"/>
      <c r="O38" s="2688"/>
      <c r="P38" s="2689"/>
      <c r="Q38" s="2684"/>
      <c r="R38" s="2684"/>
      <c r="S38" s="2684"/>
      <c r="T38" s="2686"/>
      <c r="U38" s="2684"/>
      <c r="V38" s="2684"/>
      <c r="W38" s="2684"/>
      <c r="X38" s="2686"/>
      <c r="Y38" s="2683"/>
      <c r="Z38" s="471"/>
      <c r="AA38" s="696"/>
      <c r="AB38" s="776" t="s">
        <v>1170</v>
      </c>
      <c r="AC38" s="7213"/>
      <c r="AD38" s="7213"/>
      <c r="AE38" s="7213"/>
    </row>
    <row customHeight="1" ht="27">
      <c r="A39" s="1290"/>
      <c r="B39" s="1290"/>
      <c r="C39" s="1290"/>
      <c r="D39" s="1284"/>
      <c r="E39" s="7121" t="s">
        <v>103</v>
      </c>
      <c r="F39" s="2718" t="s">
        <v>159</v>
      </c>
      <c r="G39" s="2719" t="s">
        <v>1248</v>
      </c>
      <c r="H39" s="2720" t="s">
        <v>62</v>
      </c>
      <c r="I39" s="7568">
        <v>45225</v>
      </c>
      <c r="J39" s="7569">
        <v>45598</v>
      </c>
      <c r="K39" s="2724" t="s">
        <v>1160</v>
      </c>
      <c r="L39" s="2687" t="s">
        <v>1194</v>
      </c>
      <c r="M39" s="2687" t="s">
        <v>1249</v>
      </c>
      <c r="N39" s="2688" t="s">
        <v>1173</v>
      </c>
      <c r="O39" s="2688" t="s">
        <v>1174</v>
      </c>
      <c r="P39" s="2689" t="str">
        <f>DATEDIF(DATEVALUE(N39),DATEVALUE(O39),"y")&amp;"г. "&amp;DATEDIF(DATEVALUE(N39),DATEVALUE(O39),"ym")&amp;"мес. "&amp;DATEVALUE(O39)-DATE(YEAR(DATEVALUE(O39)),MONTH(DATEVALUE(O39)),1)&amp;"дн. "</f>
        <v>4г. 11мес. 30дн. </v>
      </c>
      <c r="Q39" s="2684" t="s">
        <v>1250</v>
      </c>
      <c r="R39" s="2684" t="s">
        <v>1166</v>
      </c>
      <c r="S39" s="2684" t="s">
        <v>1251</v>
      </c>
      <c r="T39" s="7569" t="s">
        <v>1211</v>
      </c>
      <c r="U39" s="2684" t="s">
        <v>1252</v>
      </c>
      <c r="V39" s="2684" t="s">
        <v>1178</v>
      </c>
      <c r="W39" s="2684">
        <v>188</v>
      </c>
      <c r="X39" s="7569">
        <v>45598</v>
      </c>
      <c r="Y39" s="2682" t="s">
        <v>19</v>
      </c>
      <c r="Z39" s="1931"/>
      <c r="AA39" s="1915">
        <v>1</v>
      </c>
      <c r="AB39" s="10781" t="s">
        <v>22</v>
      </c>
      <c r="AC39" s="7213"/>
      <c r="AD39" s="1760" t="s">
        <v>1253</v>
      </c>
      <c r="AE39" s="7213"/>
    </row>
    <row customHeight="1" ht="10.5">
      <c r="A40" s="1290"/>
      <c r="B40" s="1290"/>
      <c r="C40" s="1290"/>
      <c r="D40" s="1284"/>
      <c r="E40" s="1071"/>
      <c r="F40" s="2718" t="s">
        <v>154</v>
      </c>
      <c r="G40" s="2719"/>
      <c r="H40" s="2721"/>
      <c r="I40" s="2723"/>
      <c r="J40" s="2686"/>
      <c r="K40" s="2724"/>
      <c r="L40" s="2687"/>
      <c r="M40" s="2687"/>
      <c r="N40" s="2688"/>
      <c r="O40" s="2688"/>
      <c r="P40" s="2689"/>
      <c r="Q40" s="2684"/>
      <c r="R40" s="2684"/>
      <c r="S40" s="2684"/>
      <c r="T40" s="2686"/>
      <c r="U40" s="2684"/>
      <c r="V40" s="2684"/>
      <c r="W40" s="2684"/>
      <c r="X40" s="2686"/>
      <c r="Y40" s="2683"/>
      <c r="Z40" s="471"/>
      <c r="AA40" s="696"/>
      <c r="AB40" s="776" t="s">
        <v>1170</v>
      </c>
      <c r="AC40" s="7213"/>
      <c r="AD40" s="7213"/>
      <c r="AE40" s="7213"/>
    </row>
    <row customHeight="1" ht="27">
      <c r="A41" s="1290"/>
      <c r="B41" s="1290"/>
      <c r="C41" s="1290"/>
      <c r="D41" s="1284"/>
      <c r="E41" s="7121" t="s">
        <v>103</v>
      </c>
      <c r="F41" s="2718" t="s">
        <v>164</v>
      </c>
      <c r="G41" s="2719" t="s">
        <v>1254</v>
      </c>
      <c r="H41" s="2720" t="s">
        <v>62</v>
      </c>
      <c r="I41" s="7568">
        <v>45611</v>
      </c>
      <c r="J41" s="7569"/>
      <c r="K41" s="2724" t="s">
        <v>1160</v>
      </c>
      <c r="L41" s="2687" t="s">
        <v>1194</v>
      </c>
      <c r="M41" s="2687" t="s">
        <v>1255</v>
      </c>
      <c r="N41" s="2688" t="s">
        <v>1256</v>
      </c>
      <c r="O41" s="2688" t="s">
        <v>1174</v>
      </c>
      <c r="P41" s="2689" t="str">
        <f>DATEDIF(DATEVALUE(N41),DATEVALUE(O41),"y")&amp;"г. "&amp;DATEDIF(DATEVALUE(N41),DATEVALUE(O41),"ym")&amp;"мес. "&amp;DATEVALUE(O41)-DATE(YEAR(DATEVALUE(O41)),MONTH(DATEVALUE(O41)),1)&amp;"дн. "</f>
        <v>4г. 1мес. 30дн. </v>
      </c>
      <c r="Q41" s="2684" t="s">
        <v>1257</v>
      </c>
      <c r="R41" s="2684" t="s">
        <v>1166</v>
      </c>
      <c r="S41" s="2684" t="s">
        <v>1227</v>
      </c>
      <c r="T41" s="7569"/>
      <c r="U41" s="2684"/>
      <c r="V41" s="2684"/>
      <c r="W41" s="2684"/>
      <c r="X41" s="7569"/>
      <c r="Y41" s="2682" t="s">
        <v>19</v>
      </c>
      <c r="Z41" s="1931"/>
      <c r="AA41" s="1915">
        <v>1</v>
      </c>
      <c r="AB41" s="10781" t="s">
        <v>22</v>
      </c>
      <c r="AC41" s="7213"/>
      <c r="AD41" s="1760" t="s">
        <v>1258</v>
      </c>
      <c r="AE41" s="7213"/>
    </row>
    <row customHeight="1" ht="27">
      <c r="A42" s="1290"/>
      <c r="B42" s="1290"/>
      <c r="C42" s="1290"/>
      <c r="D42" s="1284"/>
      <c r="E42" s="1071"/>
      <c r="F42" s="2718" t="s">
        <v>159</v>
      </c>
      <c r="G42" s="2719"/>
      <c r="H42" s="2721"/>
      <c r="I42" s="2723"/>
      <c r="J42" s="2686"/>
      <c r="K42" s="2724"/>
      <c r="L42" s="2687"/>
      <c r="M42" s="2687"/>
      <c r="N42" s="2688"/>
      <c r="O42" s="2688"/>
      <c r="P42" s="2689"/>
      <c r="Q42" s="2684"/>
      <c r="R42" s="2684"/>
      <c r="S42" s="2684"/>
      <c r="T42" s="2686"/>
      <c r="U42" s="2684"/>
      <c r="V42" s="2684"/>
      <c r="W42" s="2684"/>
      <c r="X42" s="2686"/>
      <c r="Y42" s="2683"/>
      <c r="Z42" s="471"/>
      <c r="AA42" s="696"/>
      <c r="AB42" s="776" t="s">
        <v>1170</v>
      </c>
      <c r="AC42" s="7213"/>
      <c r="AD42" s="7213"/>
      <c r="AE42" s="7213"/>
    </row>
    <row customHeight="1" ht="27">
      <c r="A43" s="1290"/>
      <c r="B43" s="1290"/>
      <c r="C43" s="1290"/>
      <c r="D43" s="1284"/>
      <c r="E43" s="7121" t="s">
        <v>103</v>
      </c>
      <c r="F43" s="2718" t="s">
        <v>169</v>
      </c>
      <c r="G43" s="2719" t="s">
        <v>1259</v>
      </c>
      <c r="H43" s="2720" t="s">
        <v>62</v>
      </c>
      <c r="I43" s="7568">
        <v>45611</v>
      </c>
      <c r="J43" s="7569"/>
      <c r="K43" s="2724" t="s">
        <v>1160</v>
      </c>
      <c r="L43" s="2687" t="s">
        <v>1194</v>
      </c>
      <c r="M43" s="2687" t="s">
        <v>1260</v>
      </c>
      <c r="N43" s="2688" t="s">
        <v>1256</v>
      </c>
      <c r="O43" s="2688" t="s">
        <v>1261</v>
      </c>
      <c r="P43" s="2689" t="str">
        <f>DATEDIF(DATEVALUE(N43),DATEVALUE(O43),"y")&amp;"г. "&amp;DATEDIF(DATEVALUE(N43),DATEVALUE(O43),"ym")&amp;"мес. "&amp;DATEVALUE(O43)-DATE(YEAR(DATEVALUE(O43)),MONTH(DATEVALUE(O43)),1)&amp;"дн. "</f>
        <v>9г. 1мес. 30дн. </v>
      </c>
      <c r="Q43" s="2684" t="s">
        <v>1262</v>
      </c>
      <c r="R43" s="2684" t="s">
        <v>1166</v>
      </c>
      <c r="S43" s="2684" t="s">
        <v>1233</v>
      </c>
      <c r="T43" s="7569"/>
      <c r="U43" s="2684"/>
      <c r="V43" s="2684"/>
      <c r="W43" s="2684"/>
      <c r="X43" s="7569"/>
      <c r="Y43" s="2682" t="s">
        <v>19</v>
      </c>
      <c r="Z43" s="1931"/>
      <c r="AA43" s="1915">
        <v>1</v>
      </c>
      <c r="AB43" s="10781" t="s">
        <v>22</v>
      </c>
      <c r="AC43" s="7213"/>
      <c r="AD43" s="1760" t="s">
        <v>1263</v>
      </c>
      <c r="AE43" s="7213"/>
    </row>
    <row customHeight="1" ht="10.5">
      <c r="A44" s="1290"/>
      <c r="B44" s="1290"/>
      <c r="C44" s="1290"/>
      <c r="D44" s="1284"/>
      <c r="E44" s="1071"/>
      <c r="F44" s="2718" t="s">
        <v>164</v>
      </c>
      <c r="G44" s="2719"/>
      <c r="H44" s="2721"/>
      <c r="I44" s="2723"/>
      <c r="J44" s="2686"/>
      <c r="K44" s="2724"/>
      <c r="L44" s="2687"/>
      <c r="M44" s="2687"/>
      <c r="N44" s="2688"/>
      <c r="O44" s="2688"/>
      <c r="P44" s="2689"/>
      <c r="Q44" s="2684"/>
      <c r="R44" s="2684"/>
      <c r="S44" s="2684"/>
      <c r="T44" s="2686"/>
      <c r="U44" s="2684"/>
      <c r="V44" s="2684"/>
      <c r="W44" s="2684"/>
      <c r="X44" s="2686"/>
      <c r="Y44" s="2683"/>
      <c r="Z44" s="471"/>
      <c r="AA44" s="696"/>
      <c r="AB44" s="776" t="s">
        <v>1170</v>
      </c>
      <c r="AC44" s="7213"/>
      <c r="AD44" s="7213"/>
      <c r="AE44" s="7213"/>
    </row>
    <row customHeight="1" ht="10.5">
      <c r="F45" s="1026"/>
      <c r="G45" s="774" t="s">
        <v>1264</v>
      </c>
      <c r="H45" s="1292"/>
      <c r="I45" s="696"/>
      <c r="J45" s="696"/>
      <c r="K45" s="696"/>
      <c r="L45" s="696"/>
      <c r="M45" s="696"/>
      <c r="N45" s="696"/>
      <c r="O45" s="696"/>
      <c r="P45" s="696"/>
      <c r="Q45" s="696"/>
      <c r="R45" s="696"/>
      <c r="S45" s="696"/>
      <c r="T45" s="696"/>
      <c r="U45" s="696"/>
      <c r="V45" s="696"/>
      <c r="W45" s="696"/>
      <c r="X45" s="696"/>
      <c r="Y45" s="696"/>
      <c r="Z45" s="820"/>
      <c r="AA45" s="820"/>
      <c r="AB45" s="1041"/>
      <c r="AE45" s="882">
        <v>10</v>
      </c>
    </row>
    <row customHeight="1" ht="10.5">
      <c r="AE46" s="882">
        <v>10</v>
      </c>
    </row>
    <row s="6698" customFormat="1" customHeight="1" ht="10.5">
      <c r="A47" s="1291"/>
      <c r="B47" s="1291"/>
      <c r="C47" s="1291"/>
      <c r="E47" s="642"/>
      <c r="H47" s="635">
        <f>_xlfn.IFERROR(MATCH("нет",IP_MAIN_DIFFERENTIATION_EVENTS_FLAG,0),0)</f>
        <v>0</v>
      </c>
      <c r="AE47" s="635">
        <v>10</v>
      </c>
    </row>
    <row customHeight="1" ht="10.5" hidden="1">
      <c r="A48" s="1019" t="s">
        <v>82</v>
      </c>
      <c r="B48" s="1019">
        <v>0</v>
      </c>
      <c r="C48" s="1019">
        <v>0</v>
      </c>
      <c r="D48" s="541">
        <v>0</v>
      </c>
      <c r="E48" s="633">
        <v>3</v>
      </c>
      <c r="F48" s="882">
        <v>6</v>
      </c>
      <c r="G48" s="882">
        <v>37</v>
      </c>
      <c r="H48" s="1279">
        <v>16</v>
      </c>
      <c r="I48" s="882">
        <v>19</v>
      </c>
      <c r="J48" s="882">
        <v>19</v>
      </c>
      <c r="K48" s="882">
        <v>24</v>
      </c>
      <c r="L48" s="882">
        <v>25</v>
      </c>
      <c r="M48" s="882">
        <v>25</v>
      </c>
      <c r="N48" s="882">
        <v>17</v>
      </c>
      <c r="O48" s="882">
        <v>17</v>
      </c>
      <c r="P48" s="882">
        <v>17</v>
      </c>
      <c r="Q48" s="882">
        <v>19</v>
      </c>
      <c r="R48" s="882">
        <v>19</v>
      </c>
      <c r="S48" s="882">
        <v>19</v>
      </c>
      <c r="T48" s="882">
        <v>19</v>
      </c>
      <c r="U48" s="882">
        <v>19</v>
      </c>
      <c r="V48" s="882">
        <v>19</v>
      </c>
      <c r="W48" s="882">
        <v>19</v>
      </c>
      <c r="X48" s="882">
        <v>19</v>
      </c>
      <c r="Y48" s="882">
        <v>7</v>
      </c>
      <c r="Z48" s="882">
        <v>3</v>
      </c>
      <c r="AA48" s="882">
        <v>6</v>
      </c>
      <c r="AB48" s="882">
        <v>34</v>
      </c>
      <c r="AC48" s="882">
        <v>8</v>
      </c>
      <c r="AD48" s="882">
        <v>8</v>
      </c>
      <c r="AE48" s="882">
        <v>10</v>
      </c>
    </row>
  </sheetData>
  <sheetProtection formatColumns="0" formatRows="0" autoFilter="0" sort="0" insertRows="0" insertColumns="1" deleteRows="0" deleteColumns="0"/>
  <mergeCells count="375">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L17:L18"/>
    <mergeCell ref="U17:U18"/>
    <mergeCell ref="V17:V18"/>
    <mergeCell ref="Y17:Y18"/>
    <mergeCell ref="S17:S18"/>
    <mergeCell ref="T17:T18"/>
    <mergeCell ref="M17:M18"/>
    <mergeCell ref="N17:N18"/>
    <mergeCell ref="O17:O18"/>
    <mergeCell ref="Q17:Q18"/>
    <mergeCell ref="R17:R18"/>
    <mergeCell ref="W17:W18"/>
    <mergeCell ref="X17:X18"/>
    <mergeCell ref="P17:P18"/>
    <mergeCell ref="E17:E18"/>
    <mergeCell ref="F19:F20"/>
    <mergeCell ref="G19:G20"/>
    <mergeCell ref="H19:H20"/>
    <mergeCell ref="I19:I20"/>
    <mergeCell ref="J19:J20"/>
    <mergeCell ref="K19:K20"/>
    <mergeCell ref="L19:L20"/>
    <mergeCell ref="U19:U20"/>
    <mergeCell ref="V19:V20"/>
    <mergeCell ref="Y19:Y20"/>
    <mergeCell ref="S19:S20"/>
    <mergeCell ref="T19:T20"/>
    <mergeCell ref="M19:M20"/>
    <mergeCell ref="N19:N20"/>
    <mergeCell ref="O19:O20"/>
    <mergeCell ref="Q19:Q20"/>
    <mergeCell ref="R19:R20"/>
    <mergeCell ref="W19:W20"/>
    <mergeCell ref="X19:X20"/>
    <mergeCell ref="P19:P20"/>
    <mergeCell ref="E19:E20"/>
    <mergeCell ref="F21:F22"/>
    <mergeCell ref="G21:G22"/>
    <mergeCell ref="H21:H22"/>
    <mergeCell ref="I21:I22"/>
    <mergeCell ref="J21:J22"/>
    <mergeCell ref="K21:K22"/>
    <mergeCell ref="L21:L22"/>
    <mergeCell ref="U21:U22"/>
    <mergeCell ref="V21:V22"/>
    <mergeCell ref="Y21:Y22"/>
    <mergeCell ref="S21:S22"/>
    <mergeCell ref="T21:T22"/>
    <mergeCell ref="M21:M22"/>
    <mergeCell ref="N21:N22"/>
    <mergeCell ref="O21:O22"/>
    <mergeCell ref="Q21:Q22"/>
    <mergeCell ref="R21:R22"/>
    <mergeCell ref="W21:W22"/>
    <mergeCell ref="X21:X22"/>
    <mergeCell ref="P21:P22"/>
    <mergeCell ref="E21:E22"/>
    <mergeCell ref="F23:F24"/>
    <mergeCell ref="G23:G24"/>
    <mergeCell ref="H23:H24"/>
    <mergeCell ref="I23:I24"/>
    <mergeCell ref="J23:J24"/>
    <mergeCell ref="K23:K24"/>
    <mergeCell ref="L23:L24"/>
    <mergeCell ref="U23:U24"/>
    <mergeCell ref="V23:V24"/>
    <mergeCell ref="Y23:Y24"/>
    <mergeCell ref="S23:S24"/>
    <mergeCell ref="T23:T24"/>
    <mergeCell ref="M23:M24"/>
    <mergeCell ref="N23:N24"/>
    <mergeCell ref="O23:O24"/>
    <mergeCell ref="Q23:Q24"/>
    <mergeCell ref="R23:R24"/>
    <mergeCell ref="W23:W24"/>
    <mergeCell ref="X23:X24"/>
    <mergeCell ref="P23:P24"/>
    <mergeCell ref="E23:E24"/>
    <mergeCell ref="F25:F26"/>
    <mergeCell ref="G25:G26"/>
    <mergeCell ref="H25:H26"/>
    <mergeCell ref="I25:I26"/>
    <mergeCell ref="J25:J26"/>
    <mergeCell ref="K25:K26"/>
    <mergeCell ref="L25:L26"/>
    <mergeCell ref="U25:U26"/>
    <mergeCell ref="V25:V26"/>
    <mergeCell ref="Y25:Y26"/>
    <mergeCell ref="S25:S26"/>
    <mergeCell ref="T25:T26"/>
    <mergeCell ref="M25:M26"/>
    <mergeCell ref="N25:N26"/>
    <mergeCell ref="O25:O26"/>
    <mergeCell ref="Q25:Q26"/>
    <mergeCell ref="R25:R26"/>
    <mergeCell ref="W25:W26"/>
    <mergeCell ref="X25:X26"/>
    <mergeCell ref="P25:P26"/>
    <mergeCell ref="E25:E26"/>
    <mergeCell ref="F27:F28"/>
    <mergeCell ref="G27:G28"/>
    <mergeCell ref="H27:H28"/>
    <mergeCell ref="I27:I28"/>
    <mergeCell ref="J27:J28"/>
    <mergeCell ref="K27:K28"/>
    <mergeCell ref="L27:L28"/>
    <mergeCell ref="U27:U28"/>
    <mergeCell ref="V27:V28"/>
    <mergeCell ref="Y27:Y28"/>
    <mergeCell ref="S27:S28"/>
    <mergeCell ref="T27:T28"/>
    <mergeCell ref="M27:M28"/>
    <mergeCell ref="N27:N28"/>
    <mergeCell ref="O27:O28"/>
    <mergeCell ref="Q27:Q28"/>
    <mergeCell ref="R27:R28"/>
    <mergeCell ref="W27:W28"/>
    <mergeCell ref="X27:X28"/>
    <mergeCell ref="P27:P28"/>
    <mergeCell ref="E27:E28"/>
    <mergeCell ref="F29:F30"/>
    <mergeCell ref="G29:G30"/>
    <mergeCell ref="H29:H30"/>
    <mergeCell ref="I29:I30"/>
    <mergeCell ref="J29:J30"/>
    <mergeCell ref="K29:K30"/>
    <mergeCell ref="L29:L30"/>
    <mergeCell ref="U29:U30"/>
    <mergeCell ref="V29:V30"/>
    <mergeCell ref="Y29:Y30"/>
    <mergeCell ref="S29:S30"/>
    <mergeCell ref="T29:T30"/>
    <mergeCell ref="M29:M30"/>
    <mergeCell ref="N29:N30"/>
    <mergeCell ref="O29:O30"/>
    <mergeCell ref="Q29:Q30"/>
    <mergeCell ref="R29:R30"/>
    <mergeCell ref="W29:W30"/>
    <mergeCell ref="X29:X30"/>
    <mergeCell ref="P29:P30"/>
    <mergeCell ref="E29:E30"/>
    <mergeCell ref="F31:F32"/>
    <mergeCell ref="G31:G32"/>
    <mergeCell ref="H31:H32"/>
    <mergeCell ref="I31:I32"/>
    <mergeCell ref="J31:J32"/>
    <mergeCell ref="K31:K32"/>
    <mergeCell ref="L31:L32"/>
    <mergeCell ref="U31:U32"/>
    <mergeCell ref="V31:V32"/>
    <mergeCell ref="Y31:Y32"/>
    <mergeCell ref="S31:S32"/>
    <mergeCell ref="T31:T32"/>
    <mergeCell ref="M31:M32"/>
    <mergeCell ref="N31:N32"/>
    <mergeCell ref="O31:O32"/>
    <mergeCell ref="Q31:Q32"/>
    <mergeCell ref="R31:R32"/>
    <mergeCell ref="W31:W32"/>
    <mergeCell ref="X31:X32"/>
    <mergeCell ref="P31:P32"/>
    <mergeCell ref="E31:E32"/>
    <mergeCell ref="F33:F34"/>
    <mergeCell ref="G33:G34"/>
    <mergeCell ref="H33:H34"/>
    <mergeCell ref="I33:I34"/>
    <mergeCell ref="J33:J34"/>
    <mergeCell ref="K33:K34"/>
    <mergeCell ref="L33:L34"/>
    <mergeCell ref="U33:U34"/>
    <mergeCell ref="V33:V34"/>
    <mergeCell ref="Y33:Y34"/>
    <mergeCell ref="S33:S34"/>
    <mergeCell ref="T33:T34"/>
    <mergeCell ref="M33:M34"/>
    <mergeCell ref="N33:N34"/>
    <mergeCell ref="O33:O34"/>
    <mergeCell ref="Q33:Q34"/>
    <mergeCell ref="R33:R34"/>
    <mergeCell ref="W33:W34"/>
    <mergeCell ref="X33:X34"/>
    <mergeCell ref="P33:P34"/>
    <mergeCell ref="E33:E34"/>
    <mergeCell ref="F35:F36"/>
    <mergeCell ref="G35:G36"/>
    <mergeCell ref="H35:H36"/>
    <mergeCell ref="I35:I36"/>
    <mergeCell ref="J35:J36"/>
    <mergeCell ref="K35:K36"/>
    <mergeCell ref="L35:L36"/>
    <mergeCell ref="U35:U36"/>
    <mergeCell ref="V35:V36"/>
    <mergeCell ref="Y35:Y36"/>
    <mergeCell ref="S35:S36"/>
    <mergeCell ref="T35:T36"/>
    <mergeCell ref="M35:M36"/>
    <mergeCell ref="N35:N36"/>
    <mergeCell ref="O35:O36"/>
    <mergeCell ref="Q35:Q36"/>
    <mergeCell ref="R35:R36"/>
    <mergeCell ref="W35:W36"/>
    <mergeCell ref="X35:X36"/>
    <mergeCell ref="P35:P36"/>
    <mergeCell ref="E35:E36"/>
    <mergeCell ref="F37:F38"/>
    <mergeCell ref="G37:G38"/>
    <mergeCell ref="H37:H38"/>
    <mergeCell ref="I37:I38"/>
    <mergeCell ref="J37:J38"/>
    <mergeCell ref="K37:K38"/>
    <mergeCell ref="L37:L38"/>
    <mergeCell ref="U37:U38"/>
    <mergeCell ref="V37:V38"/>
    <mergeCell ref="Y37:Y38"/>
    <mergeCell ref="S37:S38"/>
    <mergeCell ref="T37:T38"/>
    <mergeCell ref="M37:M38"/>
    <mergeCell ref="N37:N38"/>
    <mergeCell ref="O37:O38"/>
    <mergeCell ref="Q37:Q38"/>
    <mergeCell ref="R37:R38"/>
    <mergeCell ref="W37:W38"/>
    <mergeCell ref="X37:X38"/>
    <mergeCell ref="P37:P38"/>
    <mergeCell ref="E37:E38"/>
    <mergeCell ref="F39:F40"/>
    <mergeCell ref="G39:G40"/>
    <mergeCell ref="H39:H40"/>
    <mergeCell ref="I39:I40"/>
    <mergeCell ref="J39:J40"/>
    <mergeCell ref="K39:K40"/>
    <mergeCell ref="L39:L40"/>
    <mergeCell ref="U39:U40"/>
    <mergeCell ref="V39:V40"/>
    <mergeCell ref="Y39:Y40"/>
    <mergeCell ref="S39:S40"/>
    <mergeCell ref="T39:T40"/>
    <mergeCell ref="M39:M40"/>
    <mergeCell ref="N39:N40"/>
    <mergeCell ref="O39:O40"/>
    <mergeCell ref="Q39:Q40"/>
    <mergeCell ref="R39:R40"/>
    <mergeCell ref="W39:W40"/>
    <mergeCell ref="X39:X40"/>
    <mergeCell ref="P39:P40"/>
    <mergeCell ref="E39:E40"/>
    <mergeCell ref="F41:F42"/>
    <mergeCell ref="G41:G42"/>
    <mergeCell ref="H41:H42"/>
    <mergeCell ref="I41:I42"/>
    <mergeCell ref="J41:J42"/>
    <mergeCell ref="K41:K42"/>
    <mergeCell ref="L41:L42"/>
    <mergeCell ref="U41:U42"/>
    <mergeCell ref="V41:V42"/>
    <mergeCell ref="Y41:Y42"/>
    <mergeCell ref="S41:S42"/>
    <mergeCell ref="T41:T42"/>
    <mergeCell ref="M41:M42"/>
    <mergeCell ref="N41:N42"/>
    <mergeCell ref="O41:O42"/>
    <mergeCell ref="Q41:Q42"/>
    <mergeCell ref="R41:R42"/>
    <mergeCell ref="W41:W42"/>
    <mergeCell ref="X41:X42"/>
    <mergeCell ref="P41:P42"/>
    <mergeCell ref="E41:E42"/>
    <mergeCell ref="F43:F44"/>
    <mergeCell ref="G43:G44"/>
    <mergeCell ref="H43:H44"/>
    <mergeCell ref="I43:I44"/>
    <mergeCell ref="J43:J44"/>
    <mergeCell ref="K43:K44"/>
    <mergeCell ref="L43:L44"/>
    <mergeCell ref="U43:U44"/>
    <mergeCell ref="V43:V44"/>
    <mergeCell ref="Y43:Y44"/>
    <mergeCell ref="S43:S44"/>
    <mergeCell ref="T43:T44"/>
    <mergeCell ref="M43:M44"/>
    <mergeCell ref="N43:N44"/>
    <mergeCell ref="O43:O44"/>
    <mergeCell ref="Q43:Q44"/>
    <mergeCell ref="R43:R44"/>
    <mergeCell ref="W43:W44"/>
    <mergeCell ref="X43:X44"/>
    <mergeCell ref="P43:P44"/>
    <mergeCell ref="E43:E44"/>
  </mergeCells>
  <dataValidations count="240">
    <dataValidation type="textLength" operator="lessThanOrEqual" allowBlank="1" showInputMessage="1" showErrorMessage="1" errorTitle="Ошибка" error="Допускается ввод не более 900 символов!" sqref="AB3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9"/>
    <dataValidation type="textLength" operator="lessThanOrEqual" allowBlank="1" showInputMessage="1" showErrorMessage="1" errorTitle="Ошибка" error="Допускается ввод не более 900 символов!" sqref="W39">
      <formula1>900</formula1>
    </dataValidation>
    <dataValidation type="textLength" operator="lessThanOrEqual" allowBlank="1" showInputMessage="1" showErrorMessage="1" errorTitle="Ошибка" error="Допускается ввод не более 900 символов!" sqref="V39">
      <formula1>900</formula1>
    </dataValidation>
    <dataValidation type="textLength" operator="lessThanOrEqual" allowBlank="1" showInputMessage="1" showErrorMessage="1" errorTitle="Ошибка" error="Допускается ввод не более 900 символов!" sqref="U3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9"/>
    <dataValidation type="textLength" operator="lessThanOrEqual" allowBlank="1" showInputMessage="1" showErrorMessage="1" errorTitle="Ошибка" error="Допускается ввод не более 900 символов!" sqref="S39">
      <formula1>900</formula1>
    </dataValidation>
    <dataValidation type="textLength" operator="lessThanOrEqual" allowBlank="1" showInputMessage="1" showErrorMessage="1" errorTitle="Ошибка" error="Допускается ввод не более 900 символов!" sqref="R39">
      <formula1>900</formula1>
    </dataValidation>
    <dataValidation type="textLength" operator="lessThanOrEqual" allowBlank="1" showInputMessage="1" showErrorMessage="1" errorTitle="Ошибка" error="Допускается ввод не более 900 символов!" sqref="Q39">
      <formula1>900</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L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9"/>
    <dataValidation allowBlank="1" showInputMessage="1" showErrorMessage="1" promptTitle="Ввод" prompt="Для выбора ИП необходимо два раза нажать левую кнопку мыши!" sqref="G39"/>
    <dataValidation type="textLength" operator="lessThanOrEqual" allowBlank="1" showInputMessage="1" showErrorMessage="1" errorTitle="Ошибка" error="Допускается ввод не более 900 символов!" sqref="AB3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7"/>
    <dataValidation type="textLength" operator="lessThanOrEqual" allowBlank="1" showInputMessage="1" showErrorMessage="1" errorTitle="Ошибка" error="Допускается ввод не более 900 символов!" sqref="W37">
      <formula1>900</formula1>
    </dataValidation>
    <dataValidation type="textLength" operator="lessThanOrEqual" allowBlank="1" showInputMessage="1" showErrorMessage="1" errorTitle="Ошибка" error="Допускается ввод не более 900 символов!" sqref="V37">
      <formula1>900</formula1>
    </dataValidation>
    <dataValidation type="textLength" operator="lessThanOrEqual" allowBlank="1" showInputMessage="1" showErrorMessage="1" errorTitle="Ошибка" error="Допускается ввод не более 900 символов!" sqref="U3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7"/>
    <dataValidation type="textLength" operator="lessThanOrEqual" allowBlank="1" showInputMessage="1" showErrorMessage="1" errorTitle="Ошибка" error="Допускается ввод не более 900 символов!" sqref="S37">
      <formula1>900</formula1>
    </dataValidation>
    <dataValidation type="textLength" operator="lessThanOrEqual" allowBlank="1" showInputMessage="1" showErrorMessage="1" errorTitle="Ошибка" error="Допускается ввод не более 900 символов!" sqref="R37">
      <formula1>900</formula1>
    </dataValidation>
    <dataValidation type="textLength" operator="lessThanOrEqual" allowBlank="1" showInputMessage="1" showErrorMessage="1" errorTitle="Ошибка" error="Допускается ввод не более 900 символов!" sqref="Q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textLength" operator="lessThanOrEqual" allowBlank="1" showInputMessage="1" showErrorMessage="1" errorTitle="Ошибка" error="Допускается ввод не более 900 символов!" sqref="L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7"/>
    <dataValidation allowBlank="1" showInputMessage="1" showErrorMessage="1" promptTitle="Ввод" prompt="Для выбора ИП необходимо два раза нажать левую кнопку мыши!" sqref="G37"/>
    <dataValidation type="textLength" operator="lessThanOrEqual" allowBlank="1" showInputMessage="1" showErrorMessage="1" errorTitle="Ошибка" error="Допускается ввод не более 900 символов!" sqref="AB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5"/>
    <dataValidation type="textLength" operator="lessThanOrEqual" allowBlank="1" showInputMessage="1" showErrorMessage="1" errorTitle="Ошибка" error="Допускается ввод не более 900 символов!" sqref="W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U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5"/>
    <dataValidation type="textLength" operator="lessThanOrEqual" allowBlank="1" showInputMessage="1" showErrorMessage="1" errorTitle="Ошибка" error="Допускается ввод не более 900 символов!" sqref="S35">
      <formula1>900</formula1>
    </dataValidation>
    <dataValidation type="textLength" operator="lessThanOrEqual" allowBlank="1" showInputMessage="1" showErrorMessage="1" errorTitle="Ошибка" error="Допускается ввод не более 900 символов!" sqref="R35">
      <formula1>900</formula1>
    </dataValidation>
    <dataValidation type="textLength" operator="lessThanOrEqual" allowBlank="1" showInputMessage="1" showErrorMessage="1" errorTitle="Ошибка" error="Допускается ввод не более 900 символов!" sqref="Q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L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5"/>
    <dataValidation allowBlank="1" showInputMessage="1" showErrorMessage="1" promptTitle="Ввод" prompt="Для выбора ИП необходимо два раза нажать левую кнопку мыши!" sqref="G35"/>
    <dataValidation type="textLength" operator="lessThanOrEqual" allowBlank="1" showInputMessage="1" showErrorMessage="1" errorTitle="Ошибка" error="Допускается ввод не более 900 символов!" sqref="AB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3"/>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U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3"/>
    <dataValidation type="textLength" operator="lessThanOrEqual" allowBlank="1" showInputMessage="1" showErrorMessage="1" errorTitle="Ошибка" error="Допускается ввод не более 900 символов!" sqref="S33">
      <formula1>900</formula1>
    </dataValidation>
    <dataValidation type="textLength" operator="lessThanOrEqual" allowBlank="1" showInputMessage="1" showErrorMessage="1" errorTitle="Ошибка" error="Допускается ввод не более 900 символов!" sqref="R33">
      <formula1>900</formula1>
    </dataValidation>
    <dataValidation type="textLength" operator="lessThanOrEqual" allowBlank="1" showInputMessage="1" showErrorMessage="1" errorTitle="Ошибка" error="Допускается ввод не более 900 символов!" sqref="Q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L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3"/>
    <dataValidation allowBlank="1" showInputMessage="1" showErrorMessage="1" promptTitle="Ввод" prompt="Для выбора ИП необходимо два раза нажать левую кнопку мыши!" sqref="G33"/>
    <dataValidation type="textLength" operator="lessThanOrEqual" allowBlank="1" showInputMessage="1" showErrorMessage="1" errorTitle="Ошибка" error="Допускается ввод не более 900 символов!" sqref="AB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W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U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S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Title="Ввод" prompt="Для выбора ИП необходимо два раза нажать левую кнопку мыши!" sqref="G31"/>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4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41">
      <formula1>"a"</formula1>
    </dataValidation>
    <dataValidation type="textLength" operator="lessThanOrEqual" allowBlank="1" showInputMessage="1" showErrorMessage="1" errorTitle="Ошибка" error="Допускается ввод не более 900 символов!" sqref="L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Q41">
      <formula1>900</formula1>
    </dataValidation>
    <dataValidation type="textLength" operator="lessThanOrEqual" allowBlank="1" showInputMessage="1" showErrorMessage="1" errorTitle="Ошибка" error="Допускается ввод не более 900 символов!" sqref="R41">
      <formula1>900</formula1>
    </dataValidation>
    <dataValidation type="textLength" operator="lessThanOrEqual" allowBlank="1" showInputMessage="1" showErrorMessage="1" errorTitle="Ошибка" error="Допускается ввод не более 900 символов!" sqref="S4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41"/>
    <dataValidation type="textLength" operator="lessThanOrEqual" allowBlank="1" showInputMessage="1" showErrorMessage="1" errorTitle="Ошибка" error="Допускается ввод не более 900 символов!" sqref="U41">
      <formula1>900</formula1>
    </dataValidation>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41"/>
    <dataValidation type="textLength" operator="lessThanOrEqual" allowBlank="1" showInputMessage="1" showErrorMessage="1" errorTitle="Ошибка" error="Допускается ввод не более 900 символов!" sqref="AB41">
      <formula1>900</formula1>
    </dataValidation>
    <dataValidation allowBlank="1" showInputMessage="1" showErrorMessage="1" promptTitle="Ввод" prompt="Для выбора ИП необходимо два раза нажать левую кнопку мыши!" sqref="G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4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43">
      <formula1>"a"</formula1>
    </dataValidation>
    <dataValidation type="textLength" operator="lessThanOrEqual" allowBlank="1" showInputMessage="1" showErrorMessage="1" errorTitle="Ошибка" error="Допускается ввод не более 900 символов!" sqref="L43">
      <formula1>900</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textLength" operator="lessThanOrEqual" allowBlank="1" showInputMessage="1" showErrorMessage="1" errorTitle="Ошибка" error="Допускается ввод не более 900 символов!" sqref="Q43">
      <formula1>900</formula1>
    </dataValidation>
    <dataValidation type="textLength" operator="lessThanOrEqual" allowBlank="1" showInputMessage="1" showErrorMessage="1" errorTitle="Ошибка" error="Допускается ввод не более 900 символов!" sqref="R43">
      <formula1>900</formula1>
    </dataValidation>
    <dataValidation type="textLength" operator="lessThanOrEqual" allowBlank="1" showInputMessage="1" showErrorMessage="1" errorTitle="Ошибка" error="Допускается ввод не более 900 символов!" sqref="S4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43"/>
    <dataValidation type="textLength" operator="lessThanOrEqual" allowBlank="1" showInputMessage="1" showErrorMessage="1" errorTitle="Ошибка" error="Допускается ввод не более 900 символов!" sqref="U43">
      <formula1>900</formula1>
    </dataValidation>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43"/>
    <dataValidation type="textLength" operator="lessThanOrEqual" allowBlank="1" showInputMessage="1" showErrorMessage="1" errorTitle="Ошибка" error="Допускается ввод не более 900 символов!" sqref="AB4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075D2-5678-9188-4484-41EB884BF988}" mc:Ignorable="x14ac xr xr2 xr3">
  <sheetPr>
    <tabColor theme="9" tint="-0.25"/>
  </sheetPr>
  <dimension ref="A1:BG723"/>
  <sheetViews>
    <sheetView showGridLines="0" zoomScale="90" workbookViewId="0">
      <pane xSplit="8" ySplit="12" topLeftCell="K610" activePane="bottomRight" state="frozen"/>
      <selection pane="bottomLeft" activeCell="A13" sqref="A13"/>
      <selection pane="topRight" activeCell="I1" sqref="I1"/>
      <selection pane="bottomRight" activeCell="M657" sqref="M657:M661"/>
    </sheetView>
  </sheetViews>
  <sheetFormatPr defaultColWidth="9.140625" customHeight="1" defaultRowHeight="10.5"/>
  <cols>
    <col min="1" max="3" style="6944" width="4.140625" hidden="1" customWidth="1"/>
    <col min="4" max="4" style="7158" width="4.140625" hidden="1" customWidth="1"/>
    <col min="5" max="5" style="7213" width="3.00390625" customWidth="1"/>
    <col min="6" max="6" style="7213" width="14.00390625" customWidth="1"/>
    <col min="7" max="7" style="7213" width="3.00390625" customWidth="1"/>
    <col min="8" max="8" style="7213" width="7.00390625" customWidth="1"/>
    <col min="9" max="10" style="7213" width="16.00390625" hidden="1" customWidth="1"/>
    <col min="11" max="11" style="7213" width="35.421875" customWidth="1"/>
    <col min="12" max="12" style="7213" width="7.00390625" customWidth="1"/>
    <col min="13" max="13" style="7213" width="26.00390625" customWidth="1"/>
    <col min="14" max="14" style="7213" width="3.00390625" customWidth="1"/>
    <col min="15" max="15" style="7213" width="4.00390625" customWidth="1"/>
    <col min="16" max="16" style="7213" width="8.00390625" customWidth="1"/>
    <col min="17" max="17" style="7213" width="21.00390625" customWidth="1"/>
    <col min="18" max="18" style="7213" width="14.00390625" customWidth="1"/>
    <col min="19" max="20" style="7213" width="17.00390625" customWidth="1"/>
    <col min="21" max="21" style="7213" width="9.00390625" customWidth="1"/>
    <col min="22" max="22" style="7213" width="12.00390625" customWidth="1"/>
    <col min="23" max="23" style="7213" width="9.00390625" customWidth="1"/>
    <col min="24" max="24" style="7213" width="21.00390625" customWidth="1"/>
    <col min="25" max="25" style="7213" width="12.00390625" customWidth="1"/>
    <col min="26" max="26" style="7213" width="3.00390625" customWidth="1"/>
    <col min="27" max="27" style="7213" width="6.00390625" customWidth="1"/>
    <col min="28" max="28" style="7213" width="38.00390625" customWidth="1"/>
    <col min="29" max="29" style="7213" width="15.00390625" customWidth="1"/>
    <col min="30" max="30" style="7213" width="37.57421875" customWidth="1"/>
    <col min="31" max="31" style="7213" width="15.7109375" customWidth="1"/>
    <col min="32" max="34" style="7213" width="16.00390625" customWidth="1"/>
    <col min="35" max="37" style="7213" width="16.7109375" customWidth="1"/>
    <col min="38" max="58" style="7213" width="8.00390625" customWidth="1"/>
    <col min="59" max="59" style="7213" width="9.140625" hidden="1"/>
  </cols>
  <sheetData>
    <row s="7158" customFormat="1" customHeight="1" ht="10.5" hidden="1">
      <c r="A1" s="1019"/>
      <c r="B1" s="1019"/>
      <c r="C1" s="1019"/>
      <c r="E1" s="661"/>
      <c r="H1" s="1284"/>
      <c r="L1" s="1252"/>
      <c r="M1" s="1252"/>
      <c r="AD1" s="1252"/>
      <c r="AH1" s="1271"/>
      <c r="AI1" s="1264"/>
      <c r="BG1" s="541" t="s">
        <v>14</v>
      </c>
    </row>
    <row customHeight="1" ht="10.5" hidden="1">
      <c r="BG2" s="882">
        <v>0</v>
      </c>
    </row>
    <row s="7464" customFormat="1" customHeight="1" ht="10.5" hidden="1">
      <c r="A3" s="1019"/>
      <c r="B3" s="1019"/>
      <c r="C3" s="1019"/>
      <c r="D3" s="541"/>
      <c r="E3" s="486"/>
      <c r="H3" s="1280"/>
      <c r="L3" s="1250"/>
      <c r="M3" s="1250"/>
      <c r="AD3" s="1250"/>
      <c r="AH3" s="1269"/>
      <c r="AI3" s="1262"/>
      <c r="BG3" s="883">
        <v>0</v>
      </c>
    </row>
    <row customHeight="1" ht="3">
      <c r="BG4" s="882">
        <v>3</v>
      </c>
    </row>
    <row customHeight="1" ht="27.299999999999997">
      <c r="F5" s="238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85"/>
      <c r="H5" s="2385"/>
      <c r="I5" s="2385"/>
      <c r="J5" s="2385"/>
      <c r="K5" s="2385"/>
      <c r="L5" s="1259"/>
      <c r="M5" s="1259"/>
      <c r="AG5" s="1030"/>
      <c r="AH5" s="1272"/>
      <c r="BG5" s="882">
        <v>26</v>
      </c>
    </row>
    <row customHeight="1" ht="10.5">
      <c r="F6" s="2313" t="str">
        <f>IF(org=0,"Не определено",org)</f>
        <v>ООО "СамРЭК-Эксплуатация"</v>
      </c>
      <c r="G6" s="2313"/>
      <c r="H6" s="2313"/>
      <c r="I6" s="2313"/>
      <c r="J6" s="2313"/>
      <c r="K6" s="2313"/>
      <c r="L6" s="1260"/>
      <c r="M6" s="1260"/>
      <c r="BG6" s="882">
        <v>10</v>
      </c>
    </row>
    <row customHeight="1" ht="11.549999999999999">
      <c r="E7" s="1032"/>
      <c r="F7" s="1043"/>
      <c r="G7" s="1043"/>
      <c r="H7" s="1308"/>
      <c r="I7" s="1043"/>
      <c r="J7" s="1043"/>
      <c r="K7" s="1045"/>
      <c r="L7" s="1257"/>
      <c r="M7" s="1257"/>
      <c r="N7" s="1043"/>
      <c r="O7" s="1043"/>
      <c r="P7" s="1043"/>
      <c r="Q7" s="1045"/>
      <c r="R7" s="1043"/>
      <c r="S7" s="1043"/>
      <c r="T7" s="1043"/>
      <c r="U7" s="1043"/>
      <c r="V7" s="1043"/>
      <c r="W7" s="1043"/>
      <c r="X7" s="1043"/>
      <c r="Y7" s="1043"/>
      <c r="Z7" s="1043"/>
      <c r="AA7" s="1043"/>
      <c r="AB7" s="1043"/>
      <c r="AC7" s="1044"/>
      <c r="AD7" s="1256"/>
      <c r="AE7" s="1044"/>
      <c r="AF7" s="1043"/>
      <c r="AG7" s="1043"/>
      <c r="AH7" s="1274"/>
      <c r="AI7" s="1267"/>
      <c r="AJ7" s="1043"/>
      <c r="AK7" s="1043"/>
      <c r="AL7" s="1034"/>
      <c r="AM7" s="1034"/>
      <c r="AN7" s="1034"/>
      <c r="AO7" s="1031"/>
      <c r="AP7" s="1031"/>
      <c r="AQ7" s="1031"/>
      <c r="AR7" s="1031"/>
      <c r="AS7" s="1031"/>
      <c r="AT7" s="1031"/>
      <c r="AU7" s="1031"/>
      <c r="AV7" s="1031"/>
      <c r="AW7" s="1031"/>
      <c r="AX7" s="1031"/>
      <c r="AY7" s="1031"/>
      <c r="AZ7" s="1031"/>
      <c r="BA7" s="1031"/>
      <c r="BB7" s="1031"/>
      <c r="BC7" s="1031"/>
      <c r="BD7" s="1031"/>
      <c r="BE7" s="1031"/>
      <c r="BF7" s="1031"/>
      <c r="BG7" s="882">
        <v>11</v>
      </c>
    </row>
    <row customHeight="1" ht="10.5">
      <c r="E8" s="1032"/>
      <c r="F8" s="2552" t="s">
        <v>412</v>
      </c>
      <c r="G8" s="2553"/>
      <c r="H8" s="2553"/>
      <c r="I8" s="2553"/>
      <c r="J8" s="2553"/>
      <c r="K8" s="2553"/>
      <c r="L8" s="2553"/>
      <c r="M8" s="2553"/>
      <c r="N8" s="2553"/>
      <c r="O8" s="2553"/>
      <c r="P8" s="2553"/>
      <c r="Q8" s="2553"/>
      <c r="R8" s="2553"/>
      <c r="S8" s="2553"/>
      <c r="T8" s="2553"/>
      <c r="U8" s="2553"/>
      <c r="V8" s="2553"/>
      <c r="W8" s="2553"/>
      <c r="X8" s="2553"/>
      <c r="Y8" s="2553"/>
      <c r="Z8" s="2553"/>
      <c r="AA8" s="2553"/>
      <c r="AB8" s="2553"/>
      <c r="AC8" s="2553"/>
      <c r="AD8" s="2553"/>
      <c r="AE8" s="2553"/>
      <c r="AF8" s="2553"/>
      <c r="AG8" s="2553"/>
      <c r="AH8" s="2553"/>
      <c r="AI8" s="2553"/>
      <c r="AJ8" s="2553"/>
      <c r="AK8" s="2554"/>
      <c r="AL8" s="1033"/>
      <c r="AM8" s="1031"/>
      <c r="AN8" s="1031"/>
      <c r="AO8" s="1031"/>
      <c r="AP8" s="1031"/>
      <c r="AQ8" s="1031"/>
      <c r="AR8" s="1031"/>
      <c r="AS8" s="1031"/>
      <c r="AT8" s="1031"/>
      <c r="AU8" s="1031"/>
      <c r="AV8" s="1031"/>
      <c r="AW8" s="1031"/>
      <c r="AX8" s="1031"/>
      <c r="AY8" s="1031"/>
      <c r="AZ8" s="1031"/>
      <c r="BA8" s="1031"/>
      <c r="BB8" s="1031"/>
      <c r="BC8" s="1031"/>
      <c r="BD8" s="1031"/>
      <c r="BE8" s="1031"/>
      <c r="BF8" s="1031"/>
      <c r="BG8" s="882">
        <v>10</v>
      </c>
    </row>
    <row customHeight="1" ht="24">
      <c r="A9" s="1029"/>
      <c r="B9" s="1029"/>
      <c r="C9" s="1029"/>
      <c r="E9" s="1032"/>
      <c r="F9" s="2545" t="s">
        <v>1265</v>
      </c>
      <c r="G9" s="2546" t="s">
        <v>1266</v>
      </c>
      <c r="H9" s="2547"/>
      <c r="I9" s="2264" t="s">
        <v>1267</v>
      </c>
      <c r="J9" s="2264"/>
      <c r="K9" s="2264" t="s">
        <v>1268</v>
      </c>
      <c r="L9" s="2264"/>
      <c r="M9" s="2264"/>
      <c r="N9" s="2264"/>
      <c r="O9" s="2264"/>
      <c r="P9" s="2264"/>
      <c r="Q9" s="2264"/>
      <c r="R9" s="2264"/>
      <c r="S9" s="2264"/>
      <c r="T9" s="2264"/>
      <c r="U9" s="2264"/>
      <c r="V9" s="2264"/>
      <c r="W9" s="2264"/>
      <c r="X9" s="2264"/>
      <c r="Y9" s="2264"/>
      <c r="Z9" s="2329" t="s">
        <v>1269</v>
      </c>
      <c r="AA9" s="2330"/>
      <c r="AB9" s="2264" t="s">
        <v>1270</v>
      </c>
      <c r="AC9" s="2264"/>
      <c r="AD9" s="2264"/>
      <c r="AE9" s="2264"/>
      <c r="AF9" s="2312" t="s">
        <v>1271</v>
      </c>
      <c r="AG9" s="2264" t="s">
        <v>1272</v>
      </c>
      <c r="AH9" s="2264"/>
      <c r="AI9" s="2312" t="s">
        <v>1273</v>
      </c>
      <c r="AJ9" s="2264" t="s">
        <v>1274</v>
      </c>
      <c r="AK9" s="2264"/>
      <c r="AL9" s="1266"/>
      <c r="AM9" s="1031"/>
      <c r="AN9" s="1031"/>
      <c r="AO9" s="1031"/>
      <c r="AP9" s="1031"/>
      <c r="AQ9" s="1031"/>
      <c r="AR9" s="1031"/>
      <c r="AS9" s="1031"/>
      <c r="AT9" s="1031"/>
      <c r="AU9" s="1031"/>
      <c r="AV9" s="1031"/>
      <c r="AW9" s="1031"/>
      <c r="AX9" s="1031"/>
      <c r="AY9" s="1031"/>
      <c r="AZ9" s="1031"/>
      <c r="BA9" s="1031"/>
      <c r="BB9" s="1031"/>
      <c r="BC9" s="1031"/>
      <c r="BD9" s="1031"/>
      <c r="BE9" s="1031"/>
      <c r="BF9" s="1031"/>
      <c r="BG9" s="882">
        <v>23</v>
      </c>
    </row>
    <row customHeight="1" ht="25.2">
      <c r="A10" s="1029"/>
      <c r="B10" s="1029"/>
      <c r="C10" s="1029"/>
      <c r="E10" s="1036"/>
      <c r="F10" s="2545"/>
      <c r="G10" s="2548"/>
      <c r="H10" s="2549"/>
      <c r="I10" s="2264"/>
      <c r="J10" s="2264"/>
      <c r="K10" s="2264" t="s">
        <v>1275</v>
      </c>
      <c r="L10" s="2238" t="s">
        <v>1276</v>
      </c>
      <c r="M10" s="2240"/>
      <c r="N10" s="2264" t="s">
        <v>1277</v>
      </c>
      <c r="O10" s="2264"/>
      <c r="P10" s="2264"/>
      <c r="Q10" s="2264"/>
      <c r="R10" s="2264"/>
      <c r="S10" s="2264"/>
      <c r="T10" s="2264"/>
      <c r="U10" s="2264"/>
      <c r="V10" s="2264"/>
      <c r="W10" s="2264"/>
      <c r="X10" s="2264"/>
      <c r="Y10" s="2264"/>
      <c r="Z10" s="2331"/>
      <c r="AA10" s="2332"/>
      <c r="AB10" s="2264"/>
      <c r="AC10" s="2264"/>
      <c r="AD10" s="2264"/>
      <c r="AE10" s="2264"/>
      <c r="AF10" s="2336"/>
      <c r="AG10" s="2264"/>
      <c r="AH10" s="2264"/>
      <c r="AI10" s="2336"/>
      <c r="AJ10" s="2264"/>
      <c r="AK10" s="2264"/>
      <c r="AL10" s="1266"/>
      <c r="AM10" s="1037"/>
      <c r="AN10" s="1037"/>
      <c r="AO10" s="1037"/>
      <c r="AP10" s="1037"/>
      <c r="AQ10" s="1037"/>
      <c r="AR10" s="1037"/>
      <c r="AS10" s="1037"/>
      <c r="AT10" s="1037"/>
      <c r="AU10" s="1037"/>
      <c r="AV10" s="1037"/>
      <c r="AW10" s="1037"/>
      <c r="AX10" s="1037"/>
      <c r="AY10" s="1037"/>
      <c r="AZ10" s="1037"/>
      <c r="BA10" s="1037"/>
      <c r="BB10" s="1037"/>
      <c r="BC10" s="1037"/>
      <c r="BD10" s="1037"/>
      <c r="BE10" s="1037"/>
      <c r="BF10" s="1037"/>
      <c r="BG10" s="882">
        <v>24</v>
      </c>
    </row>
    <row s="7213" customFormat="1" customHeight="1" ht="25.2">
      <c r="A11" s="1253"/>
      <c r="B11" s="1253"/>
      <c r="C11" s="1253"/>
      <c r="D11" s="1252"/>
      <c r="E11" s="1254"/>
      <c r="F11" s="2545"/>
      <c r="G11" s="2548"/>
      <c r="H11" s="2549"/>
      <c r="I11" s="2264"/>
      <c r="J11" s="2264"/>
      <c r="K11" s="2264"/>
      <c r="L11" s="2312" t="s">
        <v>1278</v>
      </c>
      <c r="M11" s="2312" t="s">
        <v>1279</v>
      </c>
      <c r="N11" s="2264" t="s">
        <v>1280</v>
      </c>
      <c r="O11" s="2264"/>
      <c r="P11" s="2555" t="s">
        <v>1156</v>
      </c>
      <c r="Q11" s="2555" t="s">
        <v>1281</v>
      </c>
      <c r="R11" s="2555" t="s">
        <v>1282</v>
      </c>
      <c r="S11" s="2555" t="s">
        <v>1283</v>
      </c>
      <c r="T11" s="2555"/>
      <c r="U11" s="2555"/>
      <c r="V11" s="2555"/>
      <c r="W11" s="2555"/>
      <c r="X11" s="2555"/>
      <c r="Y11" s="2555"/>
      <c r="Z11" s="2331"/>
      <c r="AA11" s="2332"/>
      <c r="AB11" s="2264" t="s">
        <v>1284</v>
      </c>
      <c r="AC11" s="2264"/>
      <c r="AD11" s="2238" t="s">
        <v>1285</v>
      </c>
      <c r="AE11" s="2240"/>
      <c r="AF11" s="2336"/>
      <c r="AG11" s="2264"/>
      <c r="AH11" s="2264"/>
      <c r="AI11" s="2336"/>
      <c r="AJ11" s="2264"/>
      <c r="AK11" s="2264"/>
      <c r="AL11" s="1266"/>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49">
        <v>24</v>
      </c>
    </row>
    <row customHeight="1" ht="35.699999999999996">
      <c r="A12" s="1029"/>
      <c r="B12" s="1029"/>
      <c r="C12" s="1029"/>
      <c r="E12" s="1032"/>
      <c r="F12" s="2545"/>
      <c r="G12" s="2550"/>
      <c r="H12" s="2551"/>
      <c r="I12" s="1277" t="s">
        <v>89</v>
      </c>
      <c r="J12" s="1277" t="s">
        <v>1286</v>
      </c>
      <c r="K12" s="2264"/>
      <c r="L12" s="2369"/>
      <c r="M12" s="2369"/>
      <c r="N12" s="2264"/>
      <c r="O12" s="2264"/>
      <c r="P12" s="2555"/>
      <c r="Q12" s="2555"/>
      <c r="R12" s="2555"/>
      <c r="S12" s="1258" t="s">
        <v>86</v>
      </c>
      <c r="T12" s="1258" t="s">
        <v>87</v>
      </c>
      <c r="U12" s="1258" t="s">
        <v>85</v>
      </c>
      <c r="V12" s="1258" t="s">
        <v>1287</v>
      </c>
      <c r="W12" s="1258" t="s">
        <v>85</v>
      </c>
      <c r="X12" s="1258" t="s">
        <v>1288</v>
      </c>
      <c r="Y12" s="1258" t="s">
        <v>1289</v>
      </c>
      <c r="Z12" s="2337"/>
      <c r="AA12" s="2338"/>
      <c r="AB12" s="1265" t="s">
        <v>1290</v>
      </c>
      <c r="AC12" s="1265" t="s">
        <v>1291</v>
      </c>
      <c r="AD12" s="1265" t="s">
        <v>1290</v>
      </c>
      <c r="AE12" s="1265" t="s">
        <v>1291</v>
      </c>
      <c r="AF12" s="2369"/>
      <c r="AG12" s="1278" t="s">
        <v>1292</v>
      </c>
      <c r="AH12" s="1278" t="s">
        <v>1293</v>
      </c>
      <c r="AI12" s="2369"/>
      <c r="AJ12" s="1278" t="s">
        <v>1292</v>
      </c>
      <c r="AK12" s="1278" t="s">
        <v>1293</v>
      </c>
      <c r="AL12" s="1266"/>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882">
        <v>34</v>
      </c>
    </row>
    <row customHeight="1" ht="1.05">
      <c r="E13" s="1032"/>
      <c r="F13" s="1248">
        <v>0</v>
      </c>
      <c r="G13" s="1248"/>
      <c r="H13" s="1248"/>
      <c r="I13" s="1248"/>
      <c r="J13" s="1248"/>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73"/>
      <c r="AI13" s="1266"/>
      <c r="AJ13" s="1255"/>
      <c r="AK13" s="1255"/>
      <c r="AL13" s="1033"/>
      <c r="AM13" s="1031"/>
      <c r="AN13" s="1031"/>
      <c r="AO13" s="1031"/>
      <c r="AP13" s="1031"/>
      <c r="AQ13" s="1031"/>
      <c r="AR13" s="1031"/>
      <c r="AS13" s="1031"/>
      <c r="AT13" s="1031"/>
      <c r="AU13" s="1031"/>
      <c r="AV13" s="1031"/>
      <c r="AW13" s="1031"/>
      <c r="AX13" s="1031"/>
      <c r="AY13" s="1031"/>
      <c r="AZ13" s="1031"/>
      <c r="BA13" s="1031"/>
      <c r="BB13" s="1031"/>
      <c r="BC13" s="1031"/>
      <c r="BD13" s="1031"/>
      <c r="BE13" s="1031"/>
      <c r="BF13" s="1031"/>
      <c r="BG13" s="882">
        <v>1</v>
      </c>
    </row>
    <row customHeight="1" ht="21">
      <c r="A14" s="1291" t="s">
        <v>1169</v>
      </c>
      <c r="B14" s="1290"/>
      <c r="C14" s="1290"/>
      <c r="D14" s="1284"/>
      <c r="E14" s="1294" t="s">
        <v>22</v>
      </c>
      <c r="F14" s="1246" t="str">
        <f>INDEX(IP_MAIN_LIST_NAME_IP,MATCH(A14,IP_MAIN_LIST_IP_ID,0))&amp;" ("&amp;INDEX(IP_MAIN_START_DATE,MATCH(A14,IP_MAIN_LIST_IP_ID,0))&amp;"-"&amp;INDEX(IP_MAIN_END_DATE,MATCH(A14,IP_MAIN_LIST_IP_ID,0))&amp;")"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G14" s="1247"/>
      <c r="H14" s="1247"/>
      <c r="I14" s="1309"/>
      <c r="J14" s="1309"/>
      <c r="K14" s="1310"/>
      <c r="L14" s="1310"/>
      <c r="M14" s="1310"/>
      <c r="N14" s="1311"/>
      <c r="O14" s="1311"/>
      <c r="P14" s="1311"/>
      <c r="Q14" s="1311"/>
      <c r="R14" s="1311"/>
      <c r="S14" s="1311"/>
      <c r="T14" s="1311"/>
      <c r="U14" s="1311"/>
      <c r="V14" s="1311"/>
      <c r="W14" s="1311"/>
      <c r="X14" s="1311"/>
      <c r="Y14" s="1311"/>
      <c r="Z14" s="1311"/>
      <c r="AA14" s="1311"/>
      <c r="AB14" s="1311"/>
      <c r="AC14" s="1311"/>
      <c r="AD14" s="1311"/>
      <c r="AE14" s="1312"/>
      <c r="AF14" s="1310"/>
      <c r="AG14" s="1310"/>
      <c r="AH14" s="1310"/>
      <c r="AI14" s="1310"/>
      <c r="AJ14" s="1310"/>
      <c r="AK14" s="1310"/>
      <c r="AL14" s="2109"/>
      <c r="AM14" s="1946"/>
      <c r="AN14" s="1946"/>
      <c r="AO14" s="1946"/>
      <c r="AP14" s="1946"/>
      <c r="AQ14" s="1946"/>
      <c r="AR14" s="1946"/>
      <c r="AS14" s="1946"/>
      <c r="AT14" s="1946"/>
      <c r="AU14" s="1946"/>
      <c r="AV14" s="1946"/>
      <c r="AW14" s="1946"/>
      <c r="AX14" s="1946"/>
      <c r="AY14" s="1946"/>
      <c r="AZ14" s="1946"/>
      <c r="BA14" s="1946"/>
      <c r="BB14" s="1946"/>
      <c r="BC14" s="1946"/>
      <c r="BD14" s="1946"/>
      <c r="BE14" s="1946"/>
      <c r="BF14" s="1946"/>
      <c r="BG14" s="7213"/>
    </row>
    <row customHeight="1" ht="0.75">
      <c r="A15" s="1290" t="s">
        <v>1169</v>
      </c>
      <c r="B15" s="1290"/>
      <c r="C15" s="1290"/>
      <c r="D15" s="1284"/>
      <c r="E15" s="1294"/>
      <c r="F15" s="2673">
        <v>2023</v>
      </c>
      <c r="G15" s="2652"/>
      <c r="H15" s="2677" t="s">
        <v>488</v>
      </c>
      <c r="I15" s="2678"/>
      <c r="J15" s="2679"/>
      <c r="K15" s="2679"/>
      <c r="L15" s="2671"/>
      <c r="M15" s="2405"/>
      <c r="N15" s="2157"/>
      <c r="O15" s="2156"/>
      <c r="P15" s="2157"/>
      <c r="Q15" s="2157"/>
      <c r="R15" s="2157"/>
      <c r="S15" s="2157"/>
      <c r="T15" s="2157"/>
      <c r="U15" s="2157"/>
      <c r="V15" s="2157"/>
      <c r="W15" s="2157"/>
      <c r="X15" s="2157"/>
      <c r="Y15" s="2157"/>
      <c r="Z15" s="2157"/>
      <c r="AA15" s="2157"/>
      <c r="AB15" s="2157"/>
      <c r="AC15" s="2157"/>
      <c r="AD15" s="2157"/>
      <c r="AE15" s="2157"/>
      <c r="AF15" s="2675"/>
      <c r="AG15" s="2671"/>
      <c r="AH15" s="2671"/>
      <c r="AI15" s="2675"/>
      <c r="AJ15" s="2671"/>
      <c r="AK15" s="2671"/>
      <c r="AL15" s="2109"/>
      <c r="AM15" s="1946"/>
      <c r="AN15" s="1946"/>
      <c r="AO15" s="1946"/>
      <c r="AP15" s="1946"/>
      <c r="AQ15" s="1946"/>
      <c r="AR15" s="1946"/>
      <c r="AS15" s="1946"/>
      <c r="AT15" s="1946"/>
      <c r="AU15" s="1946"/>
      <c r="AV15" s="1946"/>
      <c r="AW15" s="1946"/>
      <c r="AX15" s="1946"/>
      <c r="AY15" s="1946"/>
      <c r="AZ15" s="1946"/>
      <c r="BA15" s="1946"/>
      <c r="BB15" s="1946"/>
      <c r="BC15" s="1946"/>
      <c r="BD15" s="1946"/>
      <c r="BE15" s="1946"/>
      <c r="BF15" s="1946"/>
      <c r="BG15" s="7213"/>
    </row>
    <row customHeight="1" ht="0.75">
      <c r="A16" s="1290" t="s">
        <v>1169</v>
      </c>
      <c r="B16" s="1290"/>
      <c r="C16" s="1290"/>
      <c r="D16" s="1284"/>
      <c r="E16" s="1294"/>
      <c r="F16" s="2673"/>
      <c r="G16" s="2652"/>
      <c r="H16" s="2677"/>
      <c r="I16" s="2678"/>
      <c r="J16" s="2679"/>
      <c r="K16" s="2679"/>
      <c r="L16" s="2671"/>
      <c r="M16" s="2405"/>
      <c r="N16" s="2680"/>
      <c r="O16" s="2681"/>
      <c r="P16" s="2725"/>
      <c r="Q16" s="2676"/>
      <c r="R16" s="2676"/>
      <c r="S16" s="2676"/>
      <c r="T16" s="2676"/>
      <c r="U16" s="2676"/>
      <c r="V16" s="2676"/>
      <c r="W16" s="2676"/>
      <c r="X16" s="2676"/>
      <c r="Y16" s="2676"/>
      <c r="Z16" s="2158"/>
      <c r="AA16" s="2159"/>
      <c r="AB16" s="2159"/>
      <c r="AC16" s="2160"/>
      <c r="AD16" s="2160"/>
      <c r="AE16" s="2161"/>
      <c r="AF16" s="2675"/>
      <c r="AG16" s="2671"/>
      <c r="AH16" s="2671"/>
      <c r="AI16" s="2675"/>
      <c r="AJ16" s="2671"/>
      <c r="AK16" s="2671"/>
      <c r="AL16" s="2109"/>
      <c r="AM16" s="1946"/>
      <c r="AN16" s="1946"/>
      <c r="AO16" s="1946"/>
      <c r="AP16" s="1946"/>
      <c r="AQ16" s="1946"/>
      <c r="AR16" s="1946"/>
      <c r="AS16" s="1946"/>
      <c r="AT16" s="1946"/>
      <c r="AU16" s="1946"/>
      <c r="AV16" s="1946"/>
      <c r="AW16" s="1946"/>
      <c r="AX16" s="1946"/>
      <c r="AY16" s="1946"/>
      <c r="AZ16" s="1946"/>
      <c r="BA16" s="1946"/>
      <c r="BB16" s="1946"/>
      <c r="BC16" s="1946"/>
      <c r="BD16" s="1946"/>
      <c r="BE16" s="1946"/>
      <c r="BF16" s="1946"/>
      <c r="BG16" s="7213"/>
    </row>
    <row customHeight="1" ht="0.75">
      <c r="A17" s="1290" t="s">
        <v>1169</v>
      </c>
      <c r="B17" s="1290"/>
      <c r="C17" s="1290"/>
      <c r="D17" s="1284"/>
      <c r="E17" s="1294"/>
      <c r="F17" s="2673"/>
      <c r="G17" s="2652"/>
      <c r="H17" s="2677"/>
      <c r="I17" s="2678"/>
      <c r="J17" s="2679"/>
      <c r="K17" s="2679"/>
      <c r="L17" s="2671"/>
      <c r="M17" s="2405"/>
      <c r="N17" s="2680"/>
      <c r="O17" s="2681"/>
      <c r="P17" s="2726"/>
      <c r="Q17" s="2676"/>
      <c r="R17" s="2676"/>
      <c r="S17" s="2676"/>
      <c r="T17" s="2676"/>
      <c r="U17" s="2676"/>
      <c r="V17" s="2676"/>
      <c r="W17" s="2676"/>
      <c r="X17" s="2676"/>
      <c r="Y17" s="2676"/>
      <c r="Z17" s="2162"/>
      <c r="AA17" s="2163"/>
      <c r="AB17" s="2164"/>
      <c r="AC17" s="2165"/>
      <c r="AD17" s="2164"/>
      <c r="AE17" s="2165"/>
      <c r="AF17" s="2675"/>
      <c r="AG17" s="2671"/>
      <c r="AH17" s="2671"/>
      <c r="AI17" s="2675"/>
      <c r="AJ17" s="2671"/>
      <c r="AK17" s="2671"/>
      <c r="AL17" s="2109"/>
      <c r="AM17" s="1946"/>
      <c r="AN17" s="1946"/>
      <c r="AO17" s="1946"/>
      <c r="AP17" s="1946"/>
      <c r="AQ17" s="1946"/>
      <c r="AR17" s="1946"/>
      <c r="AS17" s="1946"/>
      <c r="AT17" s="1946"/>
      <c r="AU17" s="1946"/>
      <c r="AV17" s="1946"/>
      <c r="AW17" s="1946"/>
      <c r="AX17" s="1946"/>
      <c r="AY17" s="1946"/>
      <c r="AZ17" s="1946"/>
      <c r="BA17" s="1946"/>
      <c r="BB17" s="1946"/>
      <c r="BC17" s="1946"/>
      <c r="BD17" s="1946"/>
      <c r="BE17" s="1946"/>
      <c r="BF17" s="1946"/>
      <c r="BG17" s="7213"/>
    </row>
    <row customHeight="1" ht="0.75">
      <c r="A18" s="1290" t="s">
        <v>1169</v>
      </c>
      <c r="B18" s="1290"/>
      <c r="C18" s="1290"/>
      <c r="D18" s="1284"/>
      <c r="E18" s="1294"/>
      <c r="F18" s="2673"/>
      <c r="G18" s="2652"/>
      <c r="H18" s="2677"/>
      <c r="I18" s="2678"/>
      <c r="J18" s="2679"/>
      <c r="K18" s="2679"/>
      <c r="L18" s="2671"/>
      <c r="M18" s="2405"/>
      <c r="N18" s="2680"/>
      <c r="O18" s="2681"/>
      <c r="P18" s="2727"/>
      <c r="Q18" s="2676"/>
      <c r="R18" s="2676"/>
      <c r="S18" s="2676"/>
      <c r="T18" s="2676"/>
      <c r="U18" s="2676"/>
      <c r="V18" s="2676"/>
      <c r="W18" s="2676"/>
      <c r="X18" s="2676"/>
      <c r="Y18" s="2676"/>
      <c r="Z18" s="2158"/>
      <c r="AA18" s="2159"/>
      <c r="AB18" s="2166"/>
      <c r="AC18" s="2160"/>
      <c r="AD18" s="2160"/>
      <c r="AE18" s="2167"/>
      <c r="AF18" s="2675"/>
      <c r="AG18" s="2671"/>
      <c r="AH18" s="2671"/>
      <c r="AI18" s="2675"/>
      <c r="AJ18" s="2671"/>
      <c r="AK18" s="2671"/>
      <c r="AL18" s="2109"/>
      <c r="AM18" s="1946"/>
      <c r="AN18" s="1946"/>
      <c r="AO18" s="1946"/>
      <c r="AP18" s="1946"/>
      <c r="AQ18" s="1946"/>
      <c r="AR18" s="1946"/>
      <c r="AS18" s="1946"/>
      <c r="AT18" s="1946"/>
      <c r="AU18" s="1946"/>
      <c r="AV18" s="1946"/>
      <c r="AW18" s="1946"/>
      <c r="AX18" s="1946"/>
      <c r="AY18" s="1946"/>
      <c r="AZ18" s="1946"/>
      <c r="BA18" s="1946"/>
      <c r="BB18" s="1946"/>
      <c r="BC18" s="1946"/>
      <c r="BD18" s="1946"/>
      <c r="BE18" s="1946"/>
      <c r="BF18" s="1946"/>
      <c r="BG18" s="7213"/>
    </row>
    <row customHeight="1" ht="0.75">
      <c r="A19" s="1290" t="s">
        <v>1169</v>
      </c>
      <c r="B19" s="1290"/>
      <c r="C19" s="1290"/>
      <c r="D19" s="1284"/>
      <c r="E19" s="1294"/>
      <c r="F19" s="2673"/>
      <c r="G19" s="2652"/>
      <c r="H19" s="2677"/>
      <c r="I19" s="2678"/>
      <c r="J19" s="2679"/>
      <c r="K19" s="2679"/>
      <c r="L19" s="2671"/>
      <c r="M19" s="2405"/>
      <c r="N19" s="2159"/>
      <c r="O19" s="2159"/>
      <c r="P19" s="2166"/>
      <c r="Q19" s="2159"/>
      <c r="R19" s="2159"/>
      <c r="S19" s="2159"/>
      <c r="T19" s="2159"/>
      <c r="U19" s="2159"/>
      <c r="V19" s="2159"/>
      <c r="W19" s="2159"/>
      <c r="X19" s="2159"/>
      <c r="Y19" s="2159"/>
      <c r="Z19" s="2159"/>
      <c r="AA19" s="2159"/>
      <c r="AB19" s="2159"/>
      <c r="AC19" s="2159"/>
      <c r="AD19" s="2159"/>
      <c r="AE19" s="2168"/>
      <c r="AF19" s="2675"/>
      <c r="AG19" s="2671"/>
      <c r="AH19" s="2671"/>
      <c r="AI19" s="2675"/>
      <c r="AJ19" s="2671"/>
      <c r="AK19" s="2671"/>
      <c r="AL19" s="2109"/>
      <c r="AM19" s="1946"/>
      <c r="AN19" s="1946"/>
      <c r="AO19" s="1946"/>
      <c r="AP19" s="1946"/>
      <c r="AQ19" s="1946"/>
      <c r="AR19" s="1946"/>
      <c r="AS19" s="1946"/>
      <c r="AT19" s="1946"/>
      <c r="AU19" s="1946"/>
      <c r="AV19" s="1946"/>
      <c r="AW19" s="1946"/>
      <c r="AX19" s="1946"/>
      <c r="AY19" s="1946"/>
      <c r="AZ19" s="1946"/>
      <c r="BA19" s="1946"/>
      <c r="BB19" s="1946"/>
      <c r="BC19" s="1946"/>
      <c r="BD19" s="1946"/>
      <c r="BE19" s="1946"/>
      <c r="BF19" s="1946"/>
      <c r="BG19" s="7213"/>
    </row>
    <row customHeight="1" ht="12">
      <c r="A20" s="1290" t="s">
        <v>1169</v>
      </c>
      <c r="B20" s="1290"/>
      <c r="C20" s="1290"/>
      <c r="D20" s="1284"/>
      <c r="E20" s="1294"/>
      <c r="F20" s="2674"/>
      <c r="G20" s="1314"/>
      <c r="H20" s="1314"/>
      <c r="I20" s="2672" t="s">
        <v>1294</v>
      </c>
      <c r="J20" s="2672"/>
      <c r="K20" s="2672"/>
      <c r="L20" s="1297"/>
      <c r="M20" s="1297"/>
      <c r="N20" s="1298"/>
      <c r="O20" s="1298"/>
      <c r="P20" s="1298"/>
      <c r="Q20" s="1298"/>
      <c r="R20" s="1298"/>
      <c r="S20" s="1298"/>
      <c r="T20" s="1298"/>
      <c r="U20" s="1298"/>
      <c r="V20" s="1298"/>
      <c r="W20" s="1298"/>
      <c r="X20" s="1298"/>
      <c r="Y20" s="1298"/>
      <c r="Z20" s="1298"/>
      <c r="AA20" s="1298"/>
      <c r="AB20" s="1298"/>
      <c r="AC20" s="1298"/>
      <c r="AD20" s="1298"/>
      <c r="AE20" s="1298"/>
      <c r="AF20" s="1298"/>
      <c r="AG20" s="1297"/>
      <c r="AH20" s="1297"/>
      <c r="AI20" s="1298"/>
      <c r="AJ20" s="1297"/>
      <c r="AK20" s="1298"/>
      <c r="AL20" s="2109"/>
      <c r="AM20" s="1946"/>
      <c r="AN20" s="1946"/>
      <c r="AO20" s="1946"/>
      <c r="AP20" s="1946"/>
      <c r="AQ20" s="1946"/>
      <c r="AR20" s="1946"/>
      <c r="AS20" s="1946"/>
      <c r="AT20" s="1946"/>
      <c r="AU20" s="1946"/>
      <c r="AV20" s="1946"/>
      <c r="AW20" s="1946"/>
      <c r="AX20" s="1946"/>
      <c r="AY20" s="1946"/>
      <c r="AZ20" s="1946"/>
      <c r="BA20" s="1946"/>
      <c r="BB20" s="1946"/>
      <c r="BC20" s="1946"/>
      <c r="BD20" s="1946"/>
      <c r="BE20" s="1946"/>
      <c r="BF20" s="1946"/>
      <c r="BG20" s="7213"/>
    </row>
    <row customHeight="1" ht="0.75">
      <c r="A21" s="1290" t="s">
        <v>1169</v>
      </c>
      <c r="B21" s="1290"/>
      <c r="C21" s="1290"/>
      <c r="D21" s="1284"/>
      <c r="E21" s="1294"/>
      <c r="F21" s="2673">
        <v>2024</v>
      </c>
      <c r="G21" s="2652"/>
      <c r="H21" s="2677" t="s">
        <v>488</v>
      </c>
      <c r="I21" s="2678"/>
      <c r="J21" s="2679"/>
      <c r="K21" s="2679"/>
      <c r="L21" s="2671"/>
      <c r="M21" s="2405"/>
      <c r="N21" s="2157"/>
      <c r="O21" s="2156"/>
      <c r="P21" s="2157"/>
      <c r="Q21" s="2157"/>
      <c r="R21" s="2157"/>
      <c r="S21" s="2157"/>
      <c r="T21" s="2157"/>
      <c r="U21" s="2157"/>
      <c r="V21" s="2157"/>
      <c r="W21" s="2157"/>
      <c r="X21" s="2157"/>
      <c r="Y21" s="2157"/>
      <c r="Z21" s="2157"/>
      <c r="AA21" s="2157"/>
      <c r="AB21" s="2157"/>
      <c r="AC21" s="2157"/>
      <c r="AD21" s="2157"/>
      <c r="AE21" s="2157"/>
      <c r="AF21" s="2675"/>
      <c r="AG21" s="2671"/>
      <c r="AH21" s="2671"/>
      <c r="AI21" s="2675"/>
      <c r="AJ21" s="2671"/>
      <c r="AK21" s="2671"/>
      <c r="AL21" s="2109"/>
      <c r="AM21" s="1946"/>
      <c r="AN21" s="1946"/>
      <c r="AO21" s="1946"/>
      <c r="AP21" s="1946"/>
      <c r="AQ21" s="1946"/>
      <c r="AR21" s="1946"/>
      <c r="AS21" s="1946"/>
      <c r="AT21" s="1946"/>
      <c r="AU21" s="1946"/>
      <c r="AV21" s="1946"/>
      <c r="AW21" s="1946"/>
      <c r="AX21" s="1946"/>
      <c r="AY21" s="1946"/>
      <c r="AZ21" s="1946"/>
      <c r="BA21" s="1946"/>
      <c r="BB21" s="1946"/>
      <c r="BC21" s="1946"/>
      <c r="BD21" s="1946"/>
      <c r="BE21" s="1946"/>
      <c r="BF21" s="1946"/>
      <c r="BG21" s="7213"/>
    </row>
    <row customHeight="1" ht="0.75">
      <c r="A22" s="1290" t="s">
        <v>1169</v>
      </c>
      <c r="B22" s="1290"/>
      <c r="C22" s="1290"/>
      <c r="D22" s="1284"/>
      <c r="E22" s="1294"/>
      <c r="F22" s="2673"/>
      <c r="G22" s="2652"/>
      <c r="H22" s="2677"/>
      <c r="I22" s="2678"/>
      <c r="J22" s="2679"/>
      <c r="K22" s="2679"/>
      <c r="L22" s="2671"/>
      <c r="M22" s="2405"/>
      <c r="N22" s="2680"/>
      <c r="O22" s="2681"/>
      <c r="P22" s="2725"/>
      <c r="Q22" s="2676"/>
      <c r="R22" s="2676"/>
      <c r="S22" s="2676"/>
      <c r="T22" s="2676"/>
      <c r="U22" s="2676"/>
      <c r="V22" s="2676"/>
      <c r="W22" s="2676"/>
      <c r="X22" s="2676"/>
      <c r="Y22" s="2676"/>
      <c r="Z22" s="2158"/>
      <c r="AA22" s="2159"/>
      <c r="AB22" s="2159"/>
      <c r="AC22" s="2160"/>
      <c r="AD22" s="2160"/>
      <c r="AE22" s="2161"/>
      <c r="AF22" s="2675"/>
      <c r="AG22" s="2671"/>
      <c r="AH22" s="2671"/>
      <c r="AI22" s="2675"/>
      <c r="AJ22" s="2671"/>
      <c r="AK22" s="2671"/>
      <c r="AL22" s="2109"/>
      <c r="AM22" s="1946"/>
      <c r="AN22" s="1946"/>
      <c r="AO22" s="1946"/>
      <c r="AP22" s="1946"/>
      <c r="AQ22" s="1946"/>
      <c r="AR22" s="1946"/>
      <c r="AS22" s="1946"/>
      <c r="AT22" s="1946"/>
      <c r="AU22" s="1946"/>
      <c r="AV22" s="1946"/>
      <c r="AW22" s="1946"/>
      <c r="AX22" s="1946"/>
      <c r="AY22" s="1946"/>
      <c r="AZ22" s="1946"/>
      <c r="BA22" s="1946"/>
      <c r="BB22" s="1946"/>
      <c r="BC22" s="1946"/>
      <c r="BD22" s="1946"/>
      <c r="BE22" s="1946"/>
      <c r="BF22" s="1946"/>
      <c r="BG22" s="7213"/>
    </row>
    <row customHeight="1" ht="0.75">
      <c r="A23" s="1290" t="s">
        <v>1169</v>
      </c>
      <c r="B23" s="1290"/>
      <c r="C23" s="1290"/>
      <c r="D23" s="1284"/>
      <c r="E23" s="1294"/>
      <c r="F23" s="2673"/>
      <c r="G23" s="2652"/>
      <c r="H23" s="2677"/>
      <c r="I23" s="2678"/>
      <c r="J23" s="2679"/>
      <c r="K23" s="2679"/>
      <c r="L23" s="2671"/>
      <c r="M23" s="2405"/>
      <c r="N23" s="2680"/>
      <c r="O23" s="2681"/>
      <c r="P23" s="2726"/>
      <c r="Q23" s="2676"/>
      <c r="R23" s="2676"/>
      <c r="S23" s="2676"/>
      <c r="T23" s="2676"/>
      <c r="U23" s="2676"/>
      <c r="V23" s="2676"/>
      <c r="W23" s="2676"/>
      <c r="X23" s="2676"/>
      <c r="Y23" s="2676"/>
      <c r="Z23" s="2162"/>
      <c r="AA23" s="2163"/>
      <c r="AB23" s="2164"/>
      <c r="AC23" s="2165"/>
      <c r="AD23" s="2164"/>
      <c r="AE23" s="2165"/>
      <c r="AF23" s="2675"/>
      <c r="AG23" s="2671"/>
      <c r="AH23" s="2671"/>
      <c r="AI23" s="2675"/>
      <c r="AJ23" s="2671"/>
      <c r="AK23" s="2671"/>
      <c r="AL23" s="2109"/>
      <c r="AM23" s="1946"/>
      <c r="AN23" s="1946"/>
      <c r="AO23" s="1946"/>
      <c r="AP23" s="1946"/>
      <c r="AQ23" s="1946"/>
      <c r="AR23" s="1946"/>
      <c r="AS23" s="1946"/>
      <c r="AT23" s="1946"/>
      <c r="AU23" s="1946"/>
      <c r="AV23" s="1946"/>
      <c r="AW23" s="1946"/>
      <c r="AX23" s="1946"/>
      <c r="AY23" s="1946"/>
      <c r="AZ23" s="1946"/>
      <c r="BA23" s="1946"/>
      <c r="BB23" s="1946"/>
      <c r="BC23" s="1946"/>
      <c r="BD23" s="1946"/>
      <c r="BE23" s="1946"/>
      <c r="BF23" s="1946"/>
      <c r="BG23" s="7213"/>
    </row>
    <row customHeight="1" ht="0.75">
      <c r="A24" s="1290" t="s">
        <v>1169</v>
      </c>
      <c r="B24" s="1290"/>
      <c r="C24" s="1290"/>
      <c r="D24" s="1284"/>
      <c r="E24" s="1294"/>
      <c r="F24" s="2673"/>
      <c r="G24" s="2652"/>
      <c r="H24" s="2677"/>
      <c r="I24" s="2678"/>
      <c r="J24" s="2679"/>
      <c r="K24" s="2679"/>
      <c r="L24" s="2671"/>
      <c r="M24" s="2405"/>
      <c r="N24" s="2680"/>
      <c r="O24" s="2681"/>
      <c r="P24" s="2727"/>
      <c r="Q24" s="2676"/>
      <c r="R24" s="2676"/>
      <c r="S24" s="2676"/>
      <c r="T24" s="2676"/>
      <c r="U24" s="2676"/>
      <c r="V24" s="2676"/>
      <c r="W24" s="2676"/>
      <c r="X24" s="2676"/>
      <c r="Y24" s="2676"/>
      <c r="Z24" s="2158"/>
      <c r="AA24" s="2159"/>
      <c r="AB24" s="2166"/>
      <c r="AC24" s="2160"/>
      <c r="AD24" s="2160"/>
      <c r="AE24" s="2167"/>
      <c r="AF24" s="2675"/>
      <c r="AG24" s="2671"/>
      <c r="AH24" s="2671"/>
      <c r="AI24" s="2675"/>
      <c r="AJ24" s="2671"/>
      <c r="AK24" s="2671"/>
      <c r="AL24" s="2109"/>
      <c r="AM24" s="1946"/>
      <c r="AN24" s="1946"/>
      <c r="AO24" s="1946"/>
      <c r="AP24" s="1946"/>
      <c r="AQ24" s="1946"/>
      <c r="AR24" s="1946"/>
      <c r="AS24" s="1946"/>
      <c r="AT24" s="1946"/>
      <c r="AU24" s="1946"/>
      <c r="AV24" s="1946"/>
      <c r="AW24" s="1946"/>
      <c r="AX24" s="1946"/>
      <c r="AY24" s="1946"/>
      <c r="AZ24" s="1946"/>
      <c r="BA24" s="1946"/>
      <c r="BB24" s="1946"/>
      <c r="BC24" s="1946"/>
      <c r="BD24" s="1946"/>
      <c r="BE24" s="1946"/>
      <c r="BF24" s="1946"/>
      <c r="BG24" s="7213"/>
    </row>
    <row customHeight="1" ht="0.75">
      <c r="A25" s="1290" t="s">
        <v>1169</v>
      </c>
      <c r="B25" s="1290"/>
      <c r="C25" s="1290"/>
      <c r="D25" s="1284"/>
      <c r="E25" s="1294"/>
      <c r="F25" s="2673"/>
      <c r="G25" s="2652"/>
      <c r="H25" s="2677"/>
      <c r="I25" s="2678"/>
      <c r="J25" s="2679"/>
      <c r="K25" s="2679"/>
      <c r="L25" s="2671"/>
      <c r="M25" s="2405"/>
      <c r="N25" s="2159"/>
      <c r="O25" s="2159"/>
      <c r="P25" s="2166"/>
      <c r="Q25" s="2159"/>
      <c r="R25" s="2159"/>
      <c r="S25" s="2159"/>
      <c r="T25" s="2159"/>
      <c r="U25" s="2159"/>
      <c r="V25" s="2159"/>
      <c r="W25" s="2159"/>
      <c r="X25" s="2159"/>
      <c r="Y25" s="2159"/>
      <c r="Z25" s="2159"/>
      <c r="AA25" s="2159"/>
      <c r="AB25" s="2159"/>
      <c r="AC25" s="2159"/>
      <c r="AD25" s="2159"/>
      <c r="AE25" s="2168"/>
      <c r="AF25" s="2675"/>
      <c r="AG25" s="2671"/>
      <c r="AH25" s="2671"/>
      <c r="AI25" s="2675"/>
      <c r="AJ25" s="2671"/>
      <c r="AK25" s="2671"/>
      <c r="AL25" s="2109"/>
      <c r="AM25" s="1946"/>
      <c r="AN25" s="1946"/>
      <c r="AO25" s="1946"/>
      <c r="AP25" s="1946"/>
      <c r="AQ25" s="1946"/>
      <c r="AR25" s="1946"/>
      <c r="AS25" s="1946"/>
      <c r="AT25" s="1946"/>
      <c r="AU25" s="1946"/>
      <c r="AV25" s="1946"/>
      <c r="AW25" s="1946"/>
      <c r="AX25" s="1946"/>
      <c r="AY25" s="1946"/>
      <c r="AZ25" s="1946"/>
      <c r="BA25" s="1946"/>
      <c r="BB25" s="1946"/>
      <c r="BC25" s="1946"/>
      <c r="BD25" s="1946"/>
      <c r="BE25" s="1946"/>
      <c r="BF25" s="1946"/>
      <c r="BG25" s="7213"/>
    </row>
    <row customHeight="1" ht="11.25">
      <c r="A26" s="1290" t="s">
        <v>1169</v>
      </c>
      <c r="B26" s="1290"/>
      <c r="C26" s="1290"/>
      <c r="D26" s="1284"/>
      <c r="E26" s="1294"/>
      <c r="F26" s="1952"/>
      <c r="G26" s="7121" t="s">
        <v>103</v>
      </c>
      <c r="H26" s="2652" t="s">
        <v>210</v>
      </c>
      <c r="I26" s="2653"/>
      <c r="J26" s="2622"/>
      <c r="K26" s="2654" t="s">
        <v>1295</v>
      </c>
      <c r="L26" s="2244" t="s">
        <v>62</v>
      </c>
      <c r="M26" s="10782" t="s">
        <v>1168</v>
      </c>
      <c r="N26" s="2107"/>
      <c r="O26" s="1301" t="s">
        <v>488</v>
      </c>
      <c r="P26" s="1302"/>
      <c r="Q26" s="1302"/>
      <c r="R26" s="1302"/>
      <c r="S26" s="1302"/>
      <c r="T26" s="1302"/>
      <c r="U26" s="1302"/>
      <c r="V26" s="1302"/>
      <c r="W26" s="1302"/>
      <c r="X26" s="1302"/>
      <c r="Y26" s="1302"/>
      <c r="Z26" s="1302"/>
      <c r="AA26" s="1302"/>
      <c r="AB26" s="1302"/>
      <c r="AC26" s="1302"/>
      <c r="AD26" s="1302"/>
      <c r="AE26" s="1302"/>
      <c r="AF26" s="2643">
        <v>2024</v>
      </c>
      <c r="AG26" s="2644" t="s">
        <v>1296</v>
      </c>
      <c r="AH26" s="2644" t="s">
        <v>1297</v>
      </c>
      <c r="AI26" s="2643">
        <v>2024</v>
      </c>
      <c r="AJ26" s="2644" t="s">
        <v>1296</v>
      </c>
      <c r="AK26" s="2644" t="s">
        <v>1297</v>
      </c>
      <c r="AL26" s="2109"/>
      <c r="AM26" s="1946"/>
      <c r="AN26" s="1946"/>
      <c r="AO26" s="1946"/>
      <c r="AP26" s="1946"/>
      <c r="AQ26" s="1946"/>
      <c r="AR26" s="1946"/>
      <c r="AS26" s="1946"/>
      <c r="AT26" s="1946"/>
      <c r="AU26" s="1946"/>
      <c r="AV26" s="1946"/>
      <c r="AW26" s="1946"/>
      <c r="AX26" s="1946"/>
      <c r="AY26" s="1946"/>
      <c r="AZ26" s="1946"/>
      <c r="BA26" s="1946"/>
      <c r="BB26" s="1946"/>
      <c r="BC26" s="1946"/>
      <c r="BD26" s="1946"/>
      <c r="BE26" s="1946"/>
      <c r="BF26" s="1946"/>
      <c r="BG26" s="7213"/>
    </row>
    <row customHeight="1" ht="11.25">
      <c r="A27" s="1290" t="s">
        <v>1169</v>
      </c>
      <c r="B27" s="1290"/>
      <c r="C27" s="1290"/>
      <c r="D27" s="1284"/>
      <c r="E27" s="1294"/>
      <c r="F27" s="1952"/>
      <c r="G27" s="1953"/>
      <c r="H27" s="2652" t="s">
        <v>488</v>
      </c>
      <c r="I27" s="2653"/>
      <c r="J27" s="2622"/>
      <c r="K27" s="2654"/>
      <c r="L27" s="2244"/>
      <c r="M27" s="10782"/>
      <c r="N27" s="2645"/>
      <c r="O27" s="2646">
        <v>1</v>
      </c>
      <c r="P27" s="2647" t="s">
        <v>62</v>
      </c>
      <c r="Q27" s="10783" t="s">
        <v>1298</v>
      </c>
      <c r="R27" s="10784" t="s">
        <v>1299</v>
      </c>
      <c r="S27" s="10784" t="s">
        <v>99</v>
      </c>
      <c r="T27" s="10784" t="s">
        <v>1300</v>
      </c>
      <c r="U27" s="10784" t="s">
        <v>1301</v>
      </c>
      <c r="V27" s="10784" t="s">
        <v>1302</v>
      </c>
      <c r="W27" s="10784" t="s">
        <v>1303</v>
      </c>
      <c r="X27" s="10784" t="s">
        <v>1304</v>
      </c>
      <c r="Y27" s="10784" t="s">
        <v>1305</v>
      </c>
      <c r="Z27" s="1299"/>
      <c r="AA27" s="1300"/>
      <c r="AB27" s="1300"/>
      <c r="AC27" s="1304"/>
      <c r="AD27" s="1304"/>
      <c r="AE27" s="1305"/>
      <c r="AF27" s="2643"/>
      <c r="AG27" s="2644"/>
      <c r="AH27" s="2644"/>
      <c r="AI27" s="2643"/>
      <c r="AJ27" s="2644"/>
      <c r="AK27" s="2644"/>
      <c r="AL27" s="2109"/>
      <c r="AM27" s="1946"/>
      <c r="AN27" s="1946"/>
      <c r="AO27" s="1946"/>
      <c r="AP27" s="1946"/>
      <c r="AQ27" s="1946"/>
      <c r="AR27" s="1946"/>
      <c r="AS27" s="1946"/>
      <c r="AT27" s="1946"/>
      <c r="AU27" s="1946"/>
      <c r="AV27" s="1946"/>
      <c r="AW27" s="1946"/>
      <c r="AX27" s="1946"/>
      <c r="AY27" s="1946"/>
      <c r="AZ27" s="1946"/>
      <c r="BA27" s="1946"/>
      <c r="BB27" s="1946"/>
      <c r="BC27" s="1946"/>
      <c r="BD27" s="1946"/>
      <c r="BE27" s="1946"/>
      <c r="BF27" s="1946"/>
      <c r="BG27" s="7213"/>
    </row>
    <row customHeight="1" ht="11.25">
      <c r="A28" s="1290" t="s">
        <v>1169</v>
      </c>
      <c r="B28" s="1290"/>
      <c r="C28" s="1290"/>
      <c r="D28" s="1284"/>
      <c r="E28" s="1294"/>
      <c r="F28" s="1952"/>
      <c r="G28" s="1953"/>
      <c r="H28" s="2652" t="s">
        <v>488</v>
      </c>
      <c r="I28" s="2653"/>
      <c r="J28" s="2622"/>
      <c r="K28" s="2654"/>
      <c r="L28" s="2244"/>
      <c r="M28" s="10782"/>
      <c r="N28" s="2645"/>
      <c r="O28" s="2646"/>
      <c r="P28" s="2648"/>
      <c r="Q28" s="10783"/>
      <c r="R28" s="2650"/>
      <c r="S28" s="2651"/>
      <c r="T28" s="2650"/>
      <c r="U28" s="2650"/>
      <c r="V28" s="2650"/>
      <c r="W28" s="2650"/>
      <c r="X28" s="2650"/>
      <c r="Y28" s="2650"/>
      <c r="Z28" s="1951"/>
      <c r="AA28" s="1917">
        <v>1</v>
      </c>
      <c r="AB28" s="1303" t="s">
        <v>1306</v>
      </c>
      <c r="AC28" s="1293">
        <v>59.69143</v>
      </c>
      <c r="AD28" s="1303" t="str">
        <f>AB28</f>
        <v>  Прибыль направляемая на инвестиции</v>
      </c>
      <c r="AE28" s="1293">
        <v>59.69143</v>
      </c>
      <c r="AF28" s="2643"/>
      <c r="AG28" s="2644"/>
      <c r="AH28" s="2644"/>
      <c r="AI28" s="2643"/>
      <c r="AJ28" s="2644"/>
      <c r="AK28" s="2644"/>
      <c r="AL28" s="2109"/>
      <c r="AM28" s="1946"/>
      <c r="AN28" s="1946"/>
      <c r="AO28" s="1946"/>
      <c r="AP28" s="1946"/>
      <c r="AQ28" s="1946"/>
      <c r="AR28" s="1946"/>
      <c r="AS28" s="1946"/>
      <c r="AT28" s="1946"/>
      <c r="AU28" s="1946"/>
      <c r="AV28" s="1946"/>
      <c r="AW28" s="1946"/>
      <c r="AX28" s="1946"/>
      <c r="AY28" s="1946"/>
      <c r="AZ28" s="1946"/>
      <c r="BA28" s="1946"/>
      <c r="BB28" s="1946"/>
      <c r="BC28" s="1946"/>
      <c r="BD28" s="1946"/>
      <c r="BE28" s="1946"/>
      <c r="BF28" s="1946"/>
      <c r="BG28" s="7213"/>
    </row>
    <row customHeight="1" ht="32.25">
      <c r="A29" s="1290" t="s">
        <v>1169</v>
      </c>
      <c r="B29" s="1290"/>
      <c r="C29" s="1290"/>
      <c r="D29" s="1284"/>
      <c r="E29" s="1294"/>
      <c r="F29" s="1953"/>
      <c r="G29" s="1953"/>
      <c r="H29" s="1953"/>
      <c r="I29" s="1953"/>
      <c r="J29" s="1953"/>
      <c r="K29" s="1953"/>
      <c r="L29" s="1953"/>
      <c r="M29" s="1953"/>
      <c r="N29" s="1953"/>
      <c r="O29" s="1953"/>
      <c r="P29" s="1953"/>
      <c r="Q29" s="1953"/>
      <c r="R29" s="1953"/>
      <c r="S29" s="1953"/>
      <c r="T29" s="1953"/>
      <c r="U29" s="1953"/>
      <c r="V29" s="1953"/>
      <c r="W29" s="1953"/>
      <c r="X29" s="1953"/>
      <c r="Y29" s="1953"/>
      <c r="Z29" s="7121" t="s">
        <v>103</v>
      </c>
      <c r="AA29" s="1937" t="s">
        <v>102</v>
      </c>
      <c r="AB29" s="1303" t="s">
        <v>1307</v>
      </c>
      <c r="AC29" s="1293">
        <v>0.292907</v>
      </c>
      <c r="AD29" s="1303" t="str">
        <f>AB29</f>
        <v>      Амортизационные отчисления с выделением результатов переоценки основных средств и нематериальных активов</v>
      </c>
      <c r="AE29" s="1293">
        <v>0.292907</v>
      </c>
      <c r="AF29" s="2210"/>
      <c r="AG29" s="1882"/>
      <c r="AH29" s="1882"/>
      <c r="AI29" s="2210"/>
      <c r="AJ29" s="1882"/>
      <c r="AK29" s="2108"/>
      <c r="AL29" s="2109"/>
      <c r="AM29" s="1946"/>
      <c r="AN29" s="1946"/>
      <c r="AO29" s="1946"/>
      <c r="AP29" s="1946"/>
      <c r="AQ29" s="1946"/>
      <c r="AR29" s="1946"/>
      <c r="AS29" s="1946"/>
      <c r="AT29" s="1946"/>
      <c r="AU29" s="1946"/>
      <c r="AV29" s="1946"/>
      <c r="AW29" s="1946"/>
      <c r="AX29" s="1946"/>
      <c r="AY29" s="1946"/>
      <c r="AZ29" s="1946"/>
      <c r="BA29" s="1946"/>
      <c r="BB29" s="1946"/>
      <c r="BC29" s="1946"/>
      <c r="BD29" s="1946"/>
      <c r="BE29" s="1946"/>
      <c r="BF29" s="1946"/>
      <c r="BG29" s="7213"/>
    </row>
    <row customHeight="1" ht="11.25">
      <c r="A30" s="1290" t="s">
        <v>1169</v>
      </c>
      <c r="B30" s="1290"/>
      <c r="C30" s="1290"/>
      <c r="D30" s="1284"/>
      <c r="E30" s="1294"/>
      <c r="F30" s="1953"/>
      <c r="G30" s="1953"/>
      <c r="H30" s="1953"/>
      <c r="I30" s="1953"/>
      <c r="J30" s="1953"/>
      <c r="K30" s="1953"/>
      <c r="L30" s="1953"/>
      <c r="M30" s="1953"/>
      <c r="N30" s="1953"/>
      <c r="O30" s="1953"/>
      <c r="P30" s="1953"/>
      <c r="Q30" s="1953"/>
      <c r="R30" s="1953"/>
      <c r="S30" s="1953"/>
      <c r="T30" s="1953"/>
      <c r="U30" s="1953"/>
      <c r="V30" s="1953"/>
      <c r="W30" s="1953"/>
      <c r="X30" s="1953"/>
      <c r="Y30" s="1953"/>
      <c r="Z30" s="7121" t="s">
        <v>103</v>
      </c>
      <c r="AA30" s="1937" t="s">
        <v>90</v>
      </c>
      <c r="AB30" s="1303" t="s">
        <v>1308</v>
      </c>
      <c r="AC30" s="1293">
        <v>0.305668</v>
      </c>
      <c r="AD30" s="1303" t="str">
        <f>AB30</f>
        <v>  Прочие</v>
      </c>
      <c r="AE30" s="1293">
        <v>0.305668</v>
      </c>
      <c r="AF30" s="2210"/>
      <c r="AG30" s="1882"/>
      <c r="AH30" s="1882"/>
      <c r="AI30" s="2210"/>
      <c r="AJ30" s="1882"/>
      <c r="AK30" s="2108"/>
      <c r="AL30" s="2109"/>
      <c r="AM30" s="1946"/>
      <c r="AN30" s="1946"/>
      <c r="AO30" s="1946"/>
      <c r="AP30" s="1946"/>
      <c r="AQ30" s="1946"/>
      <c r="AR30" s="1946"/>
      <c r="AS30" s="1946"/>
      <c r="AT30" s="1946"/>
      <c r="AU30" s="1946"/>
      <c r="AV30" s="1946"/>
      <c r="AW30" s="1946"/>
      <c r="AX30" s="1946"/>
      <c r="AY30" s="1946"/>
      <c r="AZ30" s="1946"/>
      <c r="BA30" s="1946"/>
      <c r="BB30" s="1946"/>
      <c r="BC30" s="1946"/>
      <c r="BD30" s="1946"/>
      <c r="BE30" s="1946"/>
      <c r="BF30" s="1946"/>
      <c r="BG30" s="7213"/>
    </row>
    <row customHeight="1" ht="11.25">
      <c r="A31" s="1290" t="s">
        <v>1169</v>
      </c>
      <c r="B31" s="1290"/>
      <c r="C31" s="1290"/>
      <c r="D31" s="1284"/>
      <c r="E31" s="1294"/>
      <c r="F31" s="1952"/>
      <c r="G31" s="1953"/>
      <c r="H31" s="2652" t="s">
        <v>488</v>
      </c>
      <c r="I31" s="2653"/>
      <c r="J31" s="2622"/>
      <c r="K31" s="2654"/>
      <c r="L31" s="2244"/>
      <c r="M31" s="10782"/>
      <c r="N31" s="2645"/>
      <c r="O31" s="2646"/>
      <c r="P31" s="2649"/>
      <c r="Q31" s="10783"/>
      <c r="R31" s="2650"/>
      <c r="S31" s="2651"/>
      <c r="T31" s="2650"/>
      <c r="U31" s="2650"/>
      <c r="V31" s="2650"/>
      <c r="W31" s="2650"/>
      <c r="X31" s="2650"/>
      <c r="Y31" s="2650"/>
      <c r="Z31" s="1299"/>
      <c r="AA31" s="1300"/>
      <c r="AB31" s="1365" t="s">
        <v>1309</v>
      </c>
      <c r="AC31" s="1304"/>
      <c r="AD31" s="1304"/>
      <c r="AE31" s="1306"/>
      <c r="AF31" s="2643"/>
      <c r="AG31" s="2644"/>
      <c r="AH31" s="2644"/>
      <c r="AI31" s="2643"/>
      <c r="AJ31" s="2644"/>
      <c r="AK31" s="2644"/>
      <c r="AL31" s="2109"/>
      <c r="AM31" s="1946"/>
      <c r="AN31" s="1946"/>
      <c r="AO31" s="1946"/>
      <c r="AP31" s="1946"/>
      <c r="AQ31" s="1946"/>
      <c r="AR31" s="1946"/>
      <c r="AS31" s="1946"/>
      <c r="AT31" s="1946"/>
      <c r="AU31" s="1946"/>
      <c r="AV31" s="1946"/>
      <c r="AW31" s="1946"/>
      <c r="AX31" s="1946"/>
      <c r="AY31" s="1946"/>
      <c r="AZ31" s="1946"/>
      <c r="BA31" s="1946"/>
      <c r="BB31" s="1946"/>
      <c r="BC31" s="1946"/>
      <c r="BD31" s="1946"/>
      <c r="BE31" s="1946"/>
      <c r="BF31" s="1946"/>
      <c r="BG31" s="7213"/>
    </row>
    <row customHeight="1" ht="11.25">
      <c r="A32" s="1290" t="s">
        <v>1169</v>
      </c>
      <c r="B32" s="1290"/>
      <c r="C32" s="1290"/>
      <c r="D32" s="1284"/>
      <c r="E32" s="1294"/>
      <c r="F32" s="1952"/>
      <c r="G32" s="1953"/>
      <c r="H32" s="2652" t="s">
        <v>488</v>
      </c>
      <c r="I32" s="2653"/>
      <c r="J32" s="2622"/>
      <c r="K32" s="2654"/>
      <c r="L32" s="2244"/>
      <c r="M32" s="10782"/>
      <c r="N32" s="1299"/>
      <c r="O32" s="1300"/>
      <c r="P32" s="1292" t="s">
        <v>1310</v>
      </c>
      <c r="Q32" s="1300"/>
      <c r="R32" s="1300"/>
      <c r="S32" s="1300"/>
      <c r="T32" s="1300"/>
      <c r="U32" s="1300"/>
      <c r="V32" s="1300"/>
      <c r="W32" s="1300"/>
      <c r="X32" s="1300"/>
      <c r="Y32" s="1300"/>
      <c r="Z32" s="1300"/>
      <c r="AA32" s="1300"/>
      <c r="AB32" s="1300"/>
      <c r="AC32" s="1300"/>
      <c r="AD32" s="1300"/>
      <c r="AE32" s="1307"/>
      <c r="AF32" s="2643"/>
      <c r="AG32" s="2644"/>
      <c r="AH32" s="2644"/>
      <c r="AI32" s="2643"/>
      <c r="AJ32" s="2644"/>
      <c r="AK32" s="2644"/>
      <c r="AL32" s="2109"/>
      <c r="AM32" s="1946"/>
      <c r="AN32" s="1946"/>
      <c r="AO32" s="1946"/>
      <c r="AP32" s="1946"/>
      <c r="AQ32" s="1946"/>
      <c r="AR32" s="1946"/>
      <c r="AS32" s="1946"/>
      <c r="AT32" s="1946"/>
      <c r="AU32" s="1946"/>
      <c r="AV32" s="1946"/>
      <c r="AW32" s="1946"/>
      <c r="AX32" s="1946"/>
      <c r="AY32" s="1946"/>
      <c r="AZ32" s="1946"/>
      <c r="BA32" s="1946"/>
      <c r="BB32" s="1946"/>
      <c r="BC32" s="1946"/>
      <c r="BD32" s="1946"/>
      <c r="BE32" s="1946"/>
      <c r="BF32" s="1946"/>
      <c r="BG32" s="7213"/>
    </row>
    <row customHeight="1" ht="11.25">
      <c r="A33" s="1290" t="s">
        <v>1169</v>
      </c>
      <c r="B33" s="1290"/>
      <c r="C33" s="1290"/>
      <c r="D33" s="1284"/>
      <c r="E33" s="1294"/>
      <c r="F33" s="1952"/>
      <c r="G33" s="7121" t="s">
        <v>103</v>
      </c>
      <c r="H33" s="2652" t="s">
        <v>102</v>
      </c>
      <c r="I33" s="2653"/>
      <c r="J33" s="2622"/>
      <c r="K33" s="2654" t="s">
        <v>1311</v>
      </c>
      <c r="L33" s="2244" t="s">
        <v>62</v>
      </c>
      <c r="M33" s="11135" t="s">
        <v>1168</v>
      </c>
      <c r="N33" s="2107"/>
      <c r="O33" s="1301" t="s">
        <v>488</v>
      </c>
      <c r="P33" s="1302"/>
      <c r="Q33" s="1302"/>
      <c r="R33" s="1302"/>
      <c r="S33" s="1302"/>
      <c r="T33" s="1302"/>
      <c r="U33" s="1302"/>
      <c r="V33" s="1302"/>
      <c r="W33" s="1302"/>
      <c r="X33" s="1302"/>
      <c r="Y33" s="1302"/>
      <c r="Z33" s="1302"/>
      <c r="AA33" s="1302"/>
      <c r="AB33" s="1302"/>
      <c r="AC33" s="1302"/>
      <c r="AD33" s="1302"/>
      <c r="AE33" s="1302"/>
      <c r="AF33" s="2643">
        <v>2024</v>
      </c>
      <c r="AG33" s="2644" t="s">
        <v>1296</v>
      </c>
      <c r="AH33" s="2644" t="s">
        <v>1297</v>
      </c>
      <c r="AI33" s="2643">
        <v>2024</v>
      </c>
      <c r="AJ33" s="2644" t="s">
        <v>1296</v>
      </c>
      <c r="AK33" s="2644" t="s">
        <v>1297</v>
      </c>
      <c r="AL33" s="2109"/>
      <c r="AM33" s="1946"/>
      <c r="AN33" s="1946"/>
      <c r="AO33" s="1946"/>
      <c r="AP33" s="1946"/>
      <c r="AQ33" s="1946"/>
      <c r="AR33" s="1946"/>
      <c r="AS33" s="1946"/>
      <c r="AT33" s="1946"/>
      <c r="AU33" s="1946"/>
      <c r="AV33" s="1946"/>
      <c r="AW33" s="1946"/>
      <c r="AX33" s="1946"/>
      <c r="AY33" s="1946"/>
      <c r="AZ33" s="1946"/>
      <c r="BA33" s="1946"/>
      <c r="BB33" s="1946"/>
      <c r="BC33" s="1946"/>
      <c r="BD33" s="1946"/>
      <c r="BE33" s="1946"/>
      <c r="BF33" s="1946"/>
      <c r="BG33" s="7213"/>
    </row>
    <row customHeight="1" ht="11.25">
      <c r="A34" s="1290" t="s">
        <v>1169</v>
      </c>
      <c r="B34" s="1290"/>
      <c r="C34" s="1290"/>
      <c r="D34" s="1284"/>
      <c r="E34" s="1294"/>
      <c r="F34" s="1952"/>
      <c r="G34" s="1953"/>
      <c r="H34" s="2652" t="s">
        <v>210</v>
      </c>
      <c r="I34" s="2653"/>
      <c r="J34" s="2622"/>
      <c r="K34" s="2654"/>
      <c r="L34" s="2244"/>
      <c r="M34" s="11135"/>
      <c r="N34" s="2645"/>
      <c r="O34" s="2646">
        <v>1</v>
      </c>
      <c r="P34" s="2647" t="s">
        <v>62</v>
      </c>
      <c r="Q34" s="11136" t="s">
        <v>1312</v>
      </c>
      <c r="R34" s="11137" t="s">
        <v>1299</v>
      </c>
      <c r="S34" s="11137" t="s">
        <v>99</v>
      </c>
      <c r="T34" s="11137" t="s">
        <v>1313</v>
      </c>
      <c r="U34" s="11137" t="s">
        <v>1314</v>
      </c>
      <c r="V34" s="11137" t="s">
        <v>1315</v>
      </c>
      <c r="W34" s="11137" t="s">
        <v>1316</v>
      </c>
      <c r="X34" s="11137" t="s">
        <v>1317</v>
      </c>
      <c r="Y34" s="11137" t="s">
        <v>210</v>
      </c>
      <c r="Z34" s="1299"/>
      <c r="AA34" s="1300"/>
      <c r="AB34" s="1300"/>
      <c r="AC34" s="1304"/>
      <c r="AD34" s="1304"/>
      <c r="AE34" s="1305"/>
      <c r="AF34" s="2643"/>
      <c r="AG34" s="2644"/>
      <c r="AH34" s="2644"/>
      <c r="AI34" s="2643"/>
      <c r="AJ34" s="2644"/>
      <c r="AK34" s="2644"/>
      <c r="AL34" s="2109"/>
      <c r="AM34" s="1946"/>
      <c r="AN34" s="1946"/>
      <c r="AO34" s="1946"/>
      <c r="AP34" s="1946"/>
      <c r="AQ34" s="1946"/>
      <c r="AR34" s="1946"/>
      <c r="AS34" s="1946"/>
      <c r="AT34" s="1946"/>
      <c r="AU34" s="1946"/>
      <c r="AV34" s="1946"/>
      <c r="AW34" s="1946"/>
      <c r="AX34" s="1946"/>
      <c r="AY34" s="1946"/>
      <c r="AZ34" s="1946"/>
      <c r="BA34" s="1946"/>
      <c r="BB34" s="1946"/>
      <c r="BC34" s="1946"/>
      <c r="BD34" s="1946"/>
      <c r="BE34" s="1946"/>
      <c r="BF34" s="1946"/>
      <c r="BG34" s="7213"/>
    </row>
    <row customHeight="1" ht="11.25">
      <c r="A35" s="1290" t="s">
        <v>1169</v>
      </c>
      <c r="B35" s="1290"/>
      <c r="C35" s="1290"/>
      <c r="D35" s="1284"/>
      <c r="E35" s="1294"/>
      <c r="F35" s="1952"/>
      <c r="G35" s="1953"/>
      <c r="H35" s="2652" t="s">
        <v>210</v>
      </c>
      <c r="I35" s="2653"/>
      <c r="J35" s="2622"/>
      <c r="K35" s="2654"/>
      <c r="L35" s="2244"/>
      <c r="M35" s="11135"/>
      <c r="N35" s="2645"/>
      <c r="O35" s="2646"/>
      <c r="P35" s="2648"/>
      <c r="Q35" s="11136"/>
      <c r="R35" s="2650"/>
      <c r="S35" s="2651"/>
      <c r="T35" s="2650"/>
      <c r="U35" s="2650"/>
      <c r="V35" s="2650"/>
      <c r="W35" s="2650"/>
      <c r="X35" s="2650"/>
      <c r="Y35" s="2650"/>
      <c r="Z35" s="1951"/>
      <c r="AA35" s="1917">
        <v>1</v>
      </c>
      <c r="AB35" s="1303" t="s">
        <v>1306</v>
      </c>
      <c r="AC35" s="1293">
        <v>397.6326</v>
      </c>
      <c r="AD35" s="1303" t="str">
        <f>AB35</f>
        <v>  Прибыль направляемая на инвестиции</v>
      </c>
      <c r="AE35" s="1293">
        <v>397.6326</v>
      </c>
      <c r="AF35" s="2643"/>
      <c r="AG35" s="2644"/>
      <c r="AH35" s="2644"/>
      <c r="AI35" s="2643"/>
      <c r="AJ35" s="2644"/>
      <c r="AK35" s="2644"/>
      <c r="AL35" s="2109"/>
      <c r="AM35" s="1946"/>
      <c r="AN35" s="1946"/>
      <c r="AO35" s="1946"/>
      <c r="AP35" s="1946"/>
      <c r="AQ35" s="1946"/>
      <c r="AR35" s="1946"/>
      <c r="AS35" s="1946"/>
      <c r="AT35" s="1946"/>
      <c r="AU35" s="1946"/>
      <c r="AV35" s="1946"/>
      <c r="AW35" s="1946"/>
      <c r="AX35" s="1946"/>
      <c r="AY35" s="1946"/>
      <c r="AZ35" s="1946"/>
      <c r="BA35" s="1946"/>
      <c r="BB35" s="1946"/>
      <c r="BC35" s="1946"/>
      <c r="BD35" s="1946"/>
      <c r="BE35" s="1946"/>
      <c r="BF35" s="1946"/>
      <c r="BG35" s="7213"/>
    </row>
    <row customHeight="1" ht="11.25">
      <c r="A36" s="1290" t="s">
        <v>1169</v>
      </c>
      <c r="B36" s="1290"/>
      <c r="C36" s="1290"/>
      <c r="D36" s="1284"/>
      <c r="E36" s="1294"/>
      <c r="F36" s="1953"/>
      <c r="G36" s="1953"/>
      <c r="H36" s="1953"/>
      <c r="I36" s="1953"/>
      <c r="J36" s="1953"/>
      <c r="K36" s="1953"/>
      <c r="L36" s="1953"/>
      <c r="M36" s="1953"/>
      <c r="N36" s="1953"/>
      <c r="O36" s="1953"/>
      <c r="P36" s="1953"/>
      <c r="Q36" s="1953"/>
      <c r="R36" s="1953"/>
      <c r="S36" s="1953"/>
      <c r="T36" s="1953"/>
      <c r="U36" s="1953"/>
      <c r="V36" s="1953"/>
      <c r="W36" s="1953"/>
      <c r="X36" s="1953"/>
      <c r="Y36" s="1953"/>
      <c r="Z36" s="7121" t="s">
        <v>103</v>
      </c>
      <c r="AA36" s="1937" t="s">
        <v>102</v>
      </c>
      <c r="AB36" s="1303" t="s">
        <v>1307</v>
      </c>
      <c r="AC36" s="1293">
        <v>1.95119</v>
      </c>
      <c r="AD36" s="1303" t="str">
        <f>AB36</f>
        <v>      Амортизационные отчисления с выделением результатов переоценки основных средств и нематериальных активов</v>
      </c>
      <c r="AE36" s="1293">
        <v>1.95119</v>
      </c>
      <c r="AF36" s="2210"/>
      <c r="AG36" s="1882"/>
      <c r="AH36" s="1882"/>
      <c r="AI36" s="2210"/>
      <c r="AJ36" s="1882"/>
      <c r="AK36" s="2108"/>
      <c r="AL36" s="2109"/>
      <c r="AM36" s="1946"/>
      <c r="AN36" s="1946"/>
      <c r="AO36" s="1946"/>
      <c r="AP36" s="1946"/>
      <c r="AQ36" s="1946"/>
      <c r="AR36" s="1946"/>
      <c r="AS36" s="1946"/>
      <c r="AT36" s="1946"/>
      <c r="AU36" s="1946"/>
      <c r="AV36" s="1946"/>
      <c r="AW36" s="1946"/>
      <c r="AX36" s="1946"/>
      <c r="AY36" s="1946"/>
      <c r="AZ36" s="1946"/>
      <c r="BA36" s="1946"/>
      <c r="BB36" s="1946"/>
      <c r="BC36" s="1946"/>
      <c r="BD36" s="1946"/>
      <c r="BE36" s="1946"/>
      <c r="BF36" s="1946"/>
      <c r="BG36" s="7213"/>
    </row>
    <row customHeight="1" ht="11.25">
      <c r="A37" s="1290" t="s">
        <v>1169</v>
      </c>
      <c r="B37" s="1290"/>
      <c r="C37" s="1290"/>
      <c r="D37" s="1284"/>
      <c r="E37" s="1294"/>
      <c r="F37" s="1953"/>
      <c r="G37" s="1953"/>
      <c r="H37" s="1953"/>
      <c r="I37" s="1953"/>
      <c r="J37" s="1953"/>
      <c r="K37" s="1953"/>
      <c r="L37" s="1953"/>
      <c r="M37" s="1953"/>
      <c r="N37" s="1953"/>
      <c r="O37" s="1953"/>
      <c r="P37" s="1953"/>
      <c r="Q37" s="1953"/>
      <c r="R37" s="1953"/>
      <c r="S37" s="1953"/>
      <c r="T37" s="1953"/>
      <c r="U37" s="1953"/>
      <c r="V37" s="1953"/>
      <c r="W37" s="1953"/>
      <c r="X37" s="1953"/>
      <c r="Y37" s="1953"/>
      <c r="Z37" s="7121" t="s">
        <v>103</v>
      </c>
      <c r="AA37" s="1937" t="s">
        <v>90</v>
      </c>
      <c r="AB37" s="1303" t="s">
        <v>1308</v>
      </c>
      <c r="AC37" s="1293">
        <v>2.036195</v>
      </c>
      <c r="AD37" s="1303" t="str">
        <f>AB37</f>
        <v>  Прочие</v>
      </c>
      <c r="AE37" s="1293">
        <v>2.036195</v>
      </c>
      <c r="AF37" s="2210"/>
      <c r="AG37" s="1882"/>
      <c r="AH37" s="1882"/>
      <c r="AI37" s="2210"/>
      <c r="AJ37" s="1882"/>
      <c r="AK37" s="2108"/>
      <c r="AL37" s="2109"/>
      <c r="AM37" s="1946"/>
      <c r="AN37" s="1946"/>
      <c r="AO37" s="1946"/>
      <c r="AP37" s="1946"/>
      <c r="AQ37" s="1946"/>
      <c r="AR37" s="1946"/>
      <c r="AS37" s="1946"/>
      <c r="AT37" s="1946"/>
      <c r="AU37" s="1946"/>
      <c r="AV37" s="1946"/>
      <c r="AW37" s="1946"/>
      <c r="AX37" s="1946"/>
      <c r="AY37" s="1946"/>
      <c r="AZ37" s="1946"/>
      <c r="BA37" s="1946"/>
      <c r="BB37" s="1946"/>
      <c r="BC37" s="1946"/>
      <c r="BD37" s="1946"/>
      <c r="BE37" s="1946"/>
      <c r="BF37" s="1946"/>
      <c r="BG37" s="7213"/>
    </row>
    <row customHeight="1" ht="11.25">
      <c r="A38" s="1290" t="s">
        <v>1169</v>
      </c>
      <c r="B38" s="1290"/>
      <c r="C38" s="1290"/>
      <c r="D38" s="1284"/>
      <c r="E38" s="1294"/>
      <c r="F38" s="1952"/>
      <c r="G38" s="1953"/>
      <c r="H38" s="2652" t="s">
        <v>210</v>
      </c>
      <c r="I38" s="2653"/>
      <c r="J38" s="2622"/>
      <c r="K38" s="2654"/>
      <c r="L38" s="2244"/>
      <c r="M38" s="11135"/>
      <c r="N38" s="2645"/>
      <c r="O38" s="2646"/>
      <c r="P38" s="2649"/>
      <c r="Q38" s="11136"/>
      <c r="R38" s="2650"/>
      <c r="S38" s="2651"/>
      <c r="T38" s="2650"/>
      <c r="U38" s="2650"/>
      <c r="V38" s="2650"/>
      <c r="W38" s="2650"/>
      <c r="X38" s="2650"/>
      <c r="Y38" s="2650"/>
      <c r="Z38" s="1299"/>
      <c r="AA38" s="1300"/>
      <c r="AB38" s="1365" t="s">
        <v>1309</v>
      </c>
      <c r="AC38" s="1304"/>
      <c r="AD38" s="1304"/>
      <c r="AE38" s="1306"/>
      <c r="AF38" s="2643"/>
      <c r="AG38" s="2644"/>
      <c r="AH38" s="2644"/>
      <c r="AI38" s="2643"/>
      <c r="AJ38" s="2644"/>
      <c r="AK38" s="2644"/>
      <c r="AL38" s="2109"/>
      <c r="AM38" s="1946"/>
      <c r="AN38" s="1946"/>
      <c r="AO38" s="1946"/>
      <c r="AP38" s="1946"/>
      <c r="AQ38" s="1946"/>
      <c r="AR38" s="1946"/>
      <c r="AS38" s="1946"/>
      <c r="AT38" s="1946"/>
      <c r="AU38" s="1946"/>
      <c r="AV38" s="1946"/>
      <c r="AW38" s="1946"/>
      <c r="AX38" s="1946"/>
      <c r="AY38" s="1946"/>
      <c r="AZ38" s="1946"/>
      <c r="BA38" s="1946"/>
      <c r="BB38" s="1946"/>
      <c r="BC38" s="1946"/>
      <c r="BD38" s="1946"/>
      <c r="BE38" s="1946"/>
      <c r="BF38" s="1946"/>
      <c r="BG38" s="7213"/>
    </row>
    <row customHeight="1" ht="11.25">
      <c r="A39" s="1290" t="s">
        <v>1169</v>
      </c>
      <c r="B39" s="1290"/>
      <c r="C39" s="1290"/>
      <c r="D39" s="1284"/>
      <c r="E39" s="1294"/>
      <c r="F39" s="1952"/>
      <c r="G39" s="1953"/>
      <c r="H39" s="2652" t="s">
        <v>210</v>
      </c>
      <c r="I39" s="2653"/>
      <c r="J39" s="2622"/>
      <c r="K39" s="2654"/>
      <c r="L39" s="2244"/>
      <c r="M39" s="11135"/>
      <c r="N39" s="1299"/>
      <c r="O39" s="1300"/>
      <c r="P39" s="1292" t="s">
        <v>1310</v>
      </c>
      <c r="Q39" s="1300"/>
      <c r="R39" s="1300"/>
      <c r="S39" s="1300"/>
      <c r="T39" s="1300"/>
      <c r="U39" s="1300"/>
      <c r="V39" s="1300"/>
      <c r="W39" s="1300"/>
      <c r="X39" s="1300"/>
      <c r="Y39" s="1300"/>
      <c r="Z39" s="1300"/>
      <c r="AA39" s="1300"/>
      <c r="AB39" s="1300"/>
      <c r="AC39" s="1300"/>
      <c r="AD39" s="1300"/>
      <c r="AE39" s="1307"/>
      <c r="AF39" s="2643"/>
      <c r="AG39" s="2644"/>
      <c r="AH39" s="2644"/>
      <c r="AI39" s="2643"/>
      <c r="AJ39" s="2644"/>
      <c r="AK39" s="2644"/>
      <c r="AL39" s="2109"/>
      <c r="AM39" s="1946"/>
      <c r="AN39" s="1946"/>
      <c r="AO39" s="1946"/>
      <c r="AP39" s="1946"/>
      <c r="AQ39" s="1946"/>
      <c r="AR39" s="1946"/>
      <c r="AS39" s="1946"/>
      <c r="AT39" s="1946"/>
      <c r="AU39" s="1946"/>
      <c r="AV39" s="1946"/>
      <c r="AW39" s="1946"/>
      <c r="AX39" s="1946"/>
      <c r="AY39" s="1946"/>
      <c r="AZ39" s="1946"/>
      <c r="BA39" s="1946"/>
      <c r="BB39" s="1946"/>
      <c r="BC39" s="1946"/>
      <c r="BD39" s="1946"/>
      <c r="BE39" s="1946"/>
      <c r="BF39" s="1946"/>
      <c r="BG39" s="7213"/>
    </row>
    <row customHeight="1" ht="11.25">
      <c r="A40" s="1290" t="s">
        <v>1169</v>
      </c>
      <c r="B40" s="1290"/>
      <c r="C40" s="1290"/>
      <c r="D40" s="1284"/>
      <c r="E40" s="1294"/>
      <c r="F40" s="1952"/>
      <c r="G40" s="7121" t="s">
        <v>103</v>
      </c>
      <c r="H40" s="2652" t="s">
        <v>90</v>
      </c>
      <c r="I40" s="2653"/>
      <c r="J40" s="2622"/>
      <c r="K40" s="2654" t="s">
        <v>1318</v>
      </c>
      <c r="L40" s="2244" t="s">
        <v>62</v>
      </c>
      <c r="M40" s="11135" t="s">
        <v>1168</v>
      </c>
      <c r="N40" s="2107"/>
      <c r="O40" s="1301" t="s">
        <v>488</v>
      </c>
      <c r="P40" s="1302"/>
      <c r="Q40" s="1302"/>
      <c r="R40" s="1302"/>
      <c r="S40" s="1302"/>
      <c r="T40" s="1302"/>
      <c r="U40" s="1302"/>
      <c r="V40" s="1302"/>
      <c r="W40" s="1302"/>
      <c r="X40" s="1302"/>
      <c r="Y40" s="1302"/>
      <c r="Z40" s="1302"/>
      <c r="AA40" s="1302"/>
      <c r="AB40" s="1302"/>
      <c r="AC40" s="1302"/>
      <c r="AD40" s="1302"/>
      <c r="AE40" s="1302"/>
      <c r="AF40" s="2643">
        <v>2024</v>
      </c>
      <c r="AG40" s="2644" t="s">
        <v>1296</v>
      </c>
      <c r="AH40" s="2644" t="s">
        <v>1297</v>
      </c>
      <c r="AI40" s="2643">
        <v>2024</v>
      </c>
      <c r="AJ40" s="2644" t="s">
        <v>1296</v>
      </c>
      <c r="AK40" s="2644" t="s">
        <v>1297</v>
      </c>
      <c r="AL40" s="2109"/>
      <c r="AM40" s="1946"/>
      <c r="AN40" s="1946"/>
      <c r="AO40" s="1946"/>
      <c r="AP40" s="1946"/>
      <c r="AQ40" s="1946"/>
      <c r="AR40" s="1946"/>
      <c r="AS40" s="1946"/>
      <c r="AT40" s="1946"/>
      <c r="AU40" s="1946"/>
      <c r="AV40" s="1946"/>
      <c r="AW40" s="1946"/>
      <c r="AX40" s="1946"/>
      <c r="AY40" s="1946"/>
      <c r="AZ40" s="1946"/>
      <c r="BA40" s="1946"/>
      <c r="BB40" s="1946"/>
      <c r="BC40" s="1946"/>
      <c r="BD40" s="1946"/>
      <c r="BE40" s="1946"/>
      <c r="BF40" s="1946"/>
      <c r="BG40" s="7213"/>
    </row>
    <row customHeight="1" ht="11.25">
      <c r="A41" s="1290" t="s">
        <v>1169</v>
      </c>
      <c r="B41" s="1290"/>
      <c r="C41" s="1290"/>
      <c r="D41" s="1284"/>
      <c r="E41" s="1294"/>
      <c r="F41" s="1952"/>
      <c r="G41" s="1953"/>
      <c r="H41" s="2652" t="s">
        <v>102</v>
      </c>
      <c r="I41" s="2653"/>
      <c r="J41" s="2622"/>
      <c r="K41" s="2654"/>
      <c r="L41" s="2244"/>
      <c r="M41" s="11135"/>
      <c r="N41" s="2645"/>
      <c r="O41" s="2646">
        <v>1</v>
      </c>
      <c r="P41" s="2647" t="s">
        <v>62</v>
      </c>
      <c r="Q41" s="11136" t="s">
        <v>1319</v>
      </c>
      <c r="R41" s="11137" t="s">
        <v>1299</v>
      </c>
      <c r="S41" s="11137" t="s">
        <v>99</v>
      </c>
      <c r="T41" s="11137" t="s">
        <v>1313</v>
      </c>
      <c r="U41" s="11137" t="s">
        <v>1314</v>
      </c>
      <c r="V41" s="11137" t="s">
        <v>1315</v>
      </c>
      <c r="W41" s="11137" t="s">
        <v>1316</v>
      </c>
      <c r="X41" s="11137" t="s">
        <v>1317</v>
      </c>
      <c r="Y41" s="11137" t="s">
        <v>102</v>
      </c>
      <c r="Z41" s="1299"/>
      <c r="AA41" s="1300"/>
      <c r="AB41" s="1300"/>
      <c r="AC41" s="1304"/>
      <c r="AD41" s="1304"/>
      <c r="AE41" s="1305"/>
      <c r="AF41" s="2643"/>
      <c r="AG41" s="2644"/>
      <c r="AH41" s="2644"/>
      <c r="AI41" s="2643"/>
      <c r="AJ41" s="2644"/>
      <c r="AK41" s="2644"/>
      <c r="AL41" s="2109"/>
      <c r="AM41" s="1946"/>
      <c r="AN41" s="1946"/>
      <c r="AO41" s="1946"/>
      <c r="AP41" s="1946"/>
      <c r="AQ41" s="1946"/>
      <c r="AR41" s="1946"/>
      <c r="AS41" s="1946"/>
      <c r="AT41" s="1946"/>
      <c r="AU41" s="1946"/>
      <c r="AV41" s="1946"/>
      <c r="AW41" s="1946"/>
      <c r="AX41" s="1946"/>
      <c r="AY41" s="1946"/>
      <c r="AZ41" s="1946"/>
      <c r="BA41" s="1946"/>
      <c r="BB41" s="1946"/>
      <c r="BC41" s="1946"/>
      <c r="BD41" s="1946"/>
      <c r="BE41" s="1946"/>
      <c r="BF41" s="1946"/>
      <c r="BG41" s="7213"/>
    </row>
    <row customHeight="1" ht="11.25">
      <c r="A42" s="1290" t="s">
        <v>1169</v>
      </c>
      <c r="B42" s="1290"/>
      <c r="C42" s="1290"/>
      <c r="D42" s="1284"/>
      <c r="E42" s="1294"/>
      <c r="F42" s="1952"/>
      <c r="G42" s="1953"/>
      <c r="H42" s="2652" t="s">
        <v>102</v>
      </c>
      <c r="I42" s="2653"/>
      <c r="J42" s="2622"/>
      <c r="K42" s="2654"/>
      <c r="L42" s="2244"/>
      <c r="M42" s="11135"/>
      <c r="N42" s="2645"/>
      <c r="O42" s="2646"/>
      <c r="P42" s="2648"/>
      <c r="Q42" s="11136"/>
      <c r="R42" s="2650"/>
      <c r="S42" s="2651"/>
      <c r="T42" s="2650"/>
      <c r="U42" s="2650"/>
      <c r="V42" s="2650"/>
      <c r="W42" s="2650"/>
      <c r="X42" s="2650"/>
      <c r="Y42" s="2650"/>
      <c r="Z42" s="1951"/>
      <c r="AA42" s="1917">
        <v>1</v>
      </c>
      <c r="AB42" s="1303" t="s">
        <v>1306</v>
      </c>
      <c r="AC42" s="1293">
        <v>397.6326</v>
      </c>
      <c r="AD42" s="1303" t="str">
        <f>AB42</f>
        <v>  Прибыль направляемая на инвестиции</v>
      </c>
      <c r="AE42" s="1293">
        <v>397.6326</v>
      </c>
      <c r="AF42" s="2643"/>
      <c r="AG42" s="2644"/>
      <c r="AH42" s="2644"/>
      <c r="AI42" s="2643"/>
      <c r="AJ42" s="2644"/>
      <c r="AK42" s="2644"/>
      <c r="AL42" s="2109"/>
      <c r="AM42" s="1946"/>
      <c r="AN42" s="1946"/>
      <c r="AO42" s="1946"/>
      <c r="AP42" s="1946"/>
      <c r="AQ42" s="1946"/>
      <c r="AR42" s="1946"/>
      <c r="AS42" s="1946"/>
      <c r="AT42" s="1946"/>
      <c r="AU42" s="1946"/>
      <c r="AV42" s="1946"/>
      <c r="AW42" s="1946"/>
      <c r="AX42" s="1946"/>
      <c r="AY42" s="1946"/>
      <c r="AZ42" s="1946"/>
      <c r="BA42" s="1946"/>
      <c r="BB42" s="1946"/>
      <c r="BC42" s="1946"/>
      <c r="BD42" s="1946"/>
      <c r="BE42" s="1946"/>
      <c r="BF42" s="1946"/>
      <c r="BG42" s="7213"/>
    </row>
    <row customHeight="1" ht="11.25">
      <c r="A43" s="1290" t="s">
        <v>1169</v>
      </c>
      <c r="B43" s="1290"/>
      <c r="C43" s="1290"/>
      <c r="D43" s="1284"/>
      <c r="E43" s="1294"/>
      <c r="F43" s="1953"/>
      <c r="G43" s="1953"/>
      <c r="H43" s="1953"/>
      <c r="I43" s="1953"/>
      <c r="J43" s="1953"/>
      <c r="K43" s="1953"/>
      <c r="L43" s="1953"/>
      <c r="M43" s="1953"/>
      <c r="N43" s="1953"/>
      <c r="O43" s="1953"/>
      <c r="P43" s="1953"/>
      <c r="Q43" s="1953"/>
      <c r="R43" s="1953"/>
      <c r="S43" s="1953"/>
      <c r="T43" s="1953"/>
      <c r="U43" s="1953"/>
      <c r="V43" s="1953"/>
      <c r="W43" s="1953"/>
      <c r="X43" s="1953"/>
      <c r="Y43" s="1953"/>
      <c r="Z43" s="7121" t="s">
        <v>103</v>
      </c>
      <c r="AA43" s="1937" t="s">
        <v>102</v>
      </c>
      <c r="AB43" s="1303" t="s">
        <v>1307</v>
      </c>
      <c r="AC43" s="1293">
        <v>1.95119</v>
      </c>
      <c r="AD43" s="1303" t="str">
        <f>AB43</f>
        <v>      Амортизационные отчисления с выделением результатов переоценки основных средств и нематериальных активов</v>
      </c>
      <c r="AE43" s="1293">
        <v>1.95119</v>
      </c>
      <c r="AF43" s="2210"/>
      <c r="AG43" s="1882"/>
      <c r="AH43" s="1882"/>
      <c r="AI43" s="2210"/>
      <c r="AJ43" s="1882"/>
      <c r="AK43" s="2108"/>
      <c r="AL43" s="2109"/>
      <c r="AM43" s="1946"/>
      <c r="AN43" s="1946"/>
      <c r="AO43" s="1946"/>
      <c r="AP43" s="1946"/>
      <c r="AQ43" s="1946"/>
      <c r="AR43" s="1946"/>
      <c r="AS43" s="1946"/>
      <c r="AT43" s="1946"/>
      <c r="AU43" s="1946"/>
      <c r="AV43" s="1946"/>
      <c r="AW43" s="1946"/>
      <c r="AX43" s="1946"/>
      <c r="AY43" s="1946"/>
      <c r="AZ43" s="1946"/>
      <c r="BA43" s="1946"/>
      <c r="BB43" s="1946"/>
      <c r="BC43" s="1946"/>
      <c r="BD43" s="1946"/>
      <c r="BE43" s="1946"/>
      <c r="BF43" s="1946"/>
      <c r="BG43" s="7213"/>
    </row>
    <row customHeight="1" ht="11.25">
      <c r="A44" s="1290" t="s">
        <v>1169</v>
      </c>
      <c r="B44" s="1290"/>
      <c r="C44" s="1290"/>
      <c r="D44" s="1284"/>
      <c r="E44" s="1294"/>
      <c r="F44" s="1953"/>
      <c r="G44" s="1953"/>
      <c r="H44" s="1953"/>
      <c r="I44" s="1953"/>
      <c r="J44" s="1953"/>
      <c r="K44" s="1953"/>
      <c r="L44" s="1953"/>
      <c r="M44" s="1953"/>
      <c r="N44" s="1953"/>
      <c r="O44" s="1953"/>
      <c r="P44" s="1953"/>
      <c r="Q44" s="1953"/>
      <c r="R44" s="1953"/>
      <c r="S44" s="1953"/>
      <c r="T44" s="1953"/>
      <c r="U44" s="1953"/>
      <c r="V44" s="1953"/>
      <c r="W44" s="1953"/>
      <c r="X44" s="1953"/>
      <c r="Y44" s="1953"/>
      <c r="Z44" s="7121" t="s">
        <v>103</v>
      </c>
      <c r="AA44" s="1937" t="s">
        <v>90</v>
      </c>
      <c r="AB44" s="1303" t="s">
        <v>1308</v>
      </c>
      <c r="AC44" s="1293">
        <v>2.036195</v>
      </c>
      <c r="AD44" s="1303" t="str">
        <f>AB44</f>
        <v>  Прочие</v>
      </c>
      <c r="AE44" s="1293">
        <v>2.036195</v>
      </c>
      <c r="AF44" s="2210"/>
      <c r="AG44" s="1882"/>
      <c r="AH44" s="1882"/>
      <c r="AI44" s="2210"/>
      <c r="AJ44" s="1882"/>
      <c r="AK44" s="2108"/>
      <c r="AL44" s="2109"/>
      <c r="AM44" s="1946"/>
      <c r="AN44" s="1946"/>
      <c r="AO44" s="1946"/>
      <c r="AP44" s="1946"/>
      <c r="AQ44" s="1946"/>
      <c r="AR44" s="1946"/>
      <c r="AS44" s="1946"/>
      <c r="AT44" s="1946"/>
      <c r="AU44" s="1946"/>
      <c r="AV44" s="1946"/>
      <c r="AW44" s="1946"/>
      <c r="AX44" s="1946"/>
      <c r="AY44" s="1946"/>
      <c r="AZ44" s="1946"/>
      <c r="BA44" s="1946"/>
      <c r="BB44" s="1946"/>
      <c r="BC44" s="1946"/>
      <c r="BD44" s="1946"/>
      <c r="BE44" s="1946"/>
      <c r="BF44" s="1946"/>
      <c r="BG44" s="7213"/>
    </row>
    <row customHeight="1" ht="11.25">
      <c r="A45" s="1290" t="s">
        <v>1169</v>
      </c>
      <c r="B45" s="1290"/>
      <c r="C45" s="1290"/>
      <c r="D45" s="1284"/>
      <c r="E45" s="1294"/>
      <c r="F45" s="1952"/>
      <c r="G45" s="1953"/>
      <c r="H45" s="2652" t="s">
        <v>102</v>
      </c>
      <c r="I45" s="2653"/>
      <c r="J45" s="2622"/>
      <c r="K45" s="2654"/>
      <c r="L45" s="2244"/>
      <c r="M45" s="11135"/>
      <c r="N45" s="2645"/>
      <c r="O45" s="2646"/>
      <c r="P45" s="2649"/>
      <c r="Q45" s="11136"/>
      <c r="R45" s="2650"/>
      <c r="S45" s="2651"/>
      <c r="T45" s="2650"/>
      <c r="U45" s="2650"/>
      <c r="V45" s="2650"/>
      <c r="W45" s="2650"/>
      <c r="X45" s="2650"/>
      <c r="Y45" s="2650"/>
      <c r="Z45" s="1299"/>
      <c r="AA45" s="1300"/>
      <c r="AB45" s="1365" t="s">
        <v>1309</v>
      </c>
      <c r="AC45" s="1304"/>
      <c r="AD45" s="1304"/>
      <c r="AE45" s="1306"/>
      <c r="AF45" s="2643"/>
      <c r="AG45" s="2644"/>
      <c r="AH45" s="2644"/>
      <c r="AI45" s="2643"/>
      <c r="AJ45" s="2644"/>
      <c r="AK45" s="2644"/>
      <c r="AL45" s="2109"/>
      <c r="AM45" s="1946"/>
      <c r="AN45" s="1946"/>
      <c r="AO45" s="1946"/>
      <c r="AP45" s="1946"/>
      <c r="AQ45" s="1946"/>
      <c r="AR45" s="1946"/>
      <c r="AS45" s="1946"/>
      <c r="AT45" s="1946"/>
      <c r="AU45" s="1946"/>
      <c r="AV45" s="1946"/>
      <c r="AW45" s="1946"/>
      <c r="AX45" s="1946"/>
      <c r="AY45" s="1946"/>
      <c r="AZ45" s="1946"/>
      <c r="BA45" s="1946"/>
      <c r="BB45" s="1946"/>
      <c r="BC45" s="1946"/>
      <c r="BD45" s="1946"/>
      <c r="BE45" s="1946"/>
      <c r="BF45" s="1946"/>
      <c r="BG45" s="7213"/>
    </row>
    <row customHeight="1" ht="11.25">
      <c r="A46" s="1290" t="s">
        <v>1169</v>
      </c>
      <c r="B46" s="1290"/>
      <c r="C46" s="1290"/>
      <c r="D46" s="1284"/>
      <c r="E46" s="1294"/>
      <c r="F46" s="1952"/>
      <c r="G46" s="1953"/>
      <c r="H46" s="2652" t="s">
        <v>102</v>
      </c>
      <c r="I46" s="2653"/>
      <c r="J46" s="2622"/>
      <c r="K46" s="2654"/>
      <c r="L46" s="2244"/>
      <c r="M46" s="11135"/>
      <c r="N46" s="1299"/>
      <c r="O46" s="1300"/>
      <c r="P46" s="1292" t="s">
        <v>1310</v>
      </c>
      <c r="Q46" s="1300"/>
      <c r="R46" s="1300"/>
      <c r="S46" s="1300"/>
      <c r="T46" s="1300"/>
      <c r="U46" s="1300"/>
      <c r="V46" s="1300"/>
      <c r="W46" s="1300"/>
      <c r="X46" s="1300"/>
      <c r="Y46" s="1300"/>
      <c r="Z46" s="1300"/>
      <c r="AA46" s="1300"/>
      <c r="AB46" s="1300"/>
      <c r="AC46" s="1300"/>
      <c r="AD46" s="1300"/>
      <c r="AE46" s="1307"/>
      <c r="AF46" s="2643"/>
      <c r="AG46" s="2644"/>
      <c r="AH46" s="2644"/>
      <c r="AI46" s="2643"/>
      <c r="AJ46" s="2644"/>
      <c r="AK46" s="2644"/>
      <c r="AL46" s="2109"/>
      <c r="AM46" s="1946"/>
      <c r="AN46" s="1946"/>
      <c r="AO46" s="1946"/>
      <c r="AP46" s="1946"/>
      <c r="AQ46" s="1946"/>
      <c r="AR46" s="1946"/>
      <c r="AS46" s="1946"/>
      <c r="AT46" s="1946"/>
      <c r="AU46" s="1946"/>
      <c r="AV46" s="1946"/>
      <c r="AW46" s="1946"/>
      <c r="AX46" s="1946"/>
      <c r="AY46" s="1946"/>
      <c r="AZ46" s="1946"/>
      <c r="BA46" s="1946"/>
      <c r="BB46" s="1946"/>
      <c r="BC46" s="1946"/>
      <c r="BD46" s="1946"/>
      <c r="BE46" s="1946"/>
      <c r="BF46" s="1946"/>
      <c r="BG46" s="7213"/>
    </row>
    <row customHeight="1" ht="11.25">
      <c r="A47" s="1290" t="s">
        <v>1169</v>
      </c>
      <c r="B47" s="1290"/>
      <c r="C47" s="1290"/>
      <c r="D47" s="1284"/>
      <c r="E47" s="1294"/>
      <c r="F47" s="1952"/>
      <c r="G47" s="7121" t="s">
        <v>103</v>
      </c>
      <c r="H47" s="2652" t="s">
        <v>91</v>
      </c>
      <c r="I47" s="2653"/>
      <c r="J47" s="2622"/>
      <c r="K47" s="2654" t="s">
        <v>1320</v>
      </c>
      <c r="L47" s="2244" t="s">
        <v>62</v>
      </c>
      <c r="M47" s="11135" t="s">
        <v>1168</v>
      </c>
      <c r="N47" s="2107"/>
      <c r="O47" s="1301" t="s">
        <v>488</v>
      </c>
      <c r="P47" s="1302"/>
      <c r="Q47" s="1302"/>
      <c r="R47" s="1302"/>
      <c r="S47" s="1302"/>
      <c r="T47" s="1302"/>
      <c r="U47" s="1302"/>
      <c r="V47" s="1302"/>
      <c r="W47" s="1302"/>
      <c r="X47" s="1302"/>
      <c r="Y47" s="1302"/>
      <c r="Z47" s="1302"/>
      <c r="AA47" s="1302"/>
      <c r="AB47" s="1302"/>
      <c r="AC47" s="1302"/>
      <c r="AD47" s="1302"/>
      <c r="AE47" s="1302"/>
      <c r="AF47" s="2643">
        <v>2024</v>
      </c>
      <c r="AG47" s="2644" t="s">
        <v>1296</v>
      </c>
      <c r="AH47" s="2644" t="s">
        <v>1297</v>
      </c>
      <c r="AI47" s="2643">
        <v>2024</v>
      </c>
      <c r="AJ47" s="2644" t="s">
        <v>1296</v>
      </c>
      <c r="AK47" s="2644" t="s">
        <v>1297</v>
      </c>
      <c r="AL47" s="2109"/>
      <c r="AM47" s="1946"/>
      <c r="AN47" s="1946"/>
      <c r="AO47" s="1946"/>
      <c r="AP47" s="1946"/>
      <c r="AQ47" s="1946"/>
      <c r="AR47" s="1946"/>
      <c r="AS47" s="1946"/>
      <c r="AT47" s="1946"/>
      <c r="AU47" s="1946"/>
      <c r="AV47" s="1946"/>
      <c r="AW47" s="1946"/>
      <c r="AX47" s="1946"/>
      <c r="AY47" s="1946"/>
      <c r="AZ47" s="1946"/>
      <c r="BA47" s="1946"/>
      <c r="BB47" s="1946"/>
      <c r="BC47" s="1946"/>
      <c r="BD47" s="1946"/>
      <c r="BE47" s="1946"/>
      <c r="BF47" s="1946"/>
      <c r="BG47" s="7213"/>
    </row>
    <row customHeight="1" ht="11.25">
      <c r="A48" s="1290" t="s">
        <v>1169</v>
      </c>
      <c r="B48" s="1290"/>
      <c r="C48" s="1290"/>
      <c r="D48" s="1284"/>
      <c r="E48" s="1294"/>
      <c r="F48" s="1952"/>
      <c r="G48" s="1953"/>
      <c r="H48" s="2652" t="s">
        <v>90</v>
      </c>
      <c r="I48" s="2653"/>
      <c r="J48" s="2622"/>
      <c r="K48" s="2654"/>
      <c r="L48" s="2244"/>
      <c r="M48" s="11135"/>
      <c r="N48" s="2645"/>
      <c r="O48" s="2646">
        <v>1</v>
      </c>
      <c r="P48" s="2647" t="s">
        <v>62</v>
      </c>
      <c r="Q48" s="11136" t="s">
        <v>1321</v>
      </c>
      <c r="R48" s="11137" t="s">
        <v>1299</v>
      </c>
      <c r="S48" s="11137" t="s">
        <v>99</v>
      </c>
      <c r="T48" s="11137" t="s">
        <v>1313</v>
      </c>
      <c r="U48" s="11137" t="s">
        <v>1314</v>
      </c>
      <c r="V48" s="11137" t="s">
        <v>1315</v>
      </c>
      <c r="W48" s="11137" t="s">
        <v>1316</v>
      </c>
      <c r="X48" s="11137" t="s">
        <v>1317</v>
      </c>
      <c r="Y48" s="11137" t="s">
        <v>90</v>
      </c>
      <c r="Z48" s="1299"/>
      <c r="AA48" s="1300"/>
      <c r="AB48" s="1300"/>
      <c r="AC48" s="1304"/>
      <c r="AD48" s="1304"/>
      <c r="AE48" s="1305"/>
      <c r="AF48" s="2643"/>
      <c r="AG48" s="2644"/>
      <c r="AH48" s="2644"/>
      <c r="AI48" s="2643"/>
      <c r="AJ48" s="2644"/>
      <c r="AK48" s="2644"/>
      <c r="AL48" s="2109"/>
      <c r="AM48" s="1946"/>
      <c r="AN48" s="1946"/>
      <c r="AO48" s="1946"/>
      <c r="AP48" s="1946"/>
      <c r="AQ48" s="1946"/>
      <c r="AR48" s="1946"/>
      <c r="AS48" s="1946"/>
      <c r="AT48" s="1946"/>
      <c r="AU48" s="1946"/>
      <c r="AV48" s="1946"/>
      <c r="AW48" s="1946"/>
      <c r="AX48" s="1946"/>
      <c r="AY48" s="1946"/>
      <c r="AZ48" s="1946"/>
      <c r="BA48" s="1946"/>
      <c r="BB48" s="1946"/>
      <c r="BC48" s="1946"/>
      <c r="BD48" s="1946"/>
      <c r="BE48" s="1946"/>
      <c r="BF48" s="1946"/>
      <c r="BG48" s="7213"/>
    </row>
    <row customHeight="1" ht="11.25">
      <c r="A49" s="1290" t="s">
        <v>1169</v>
      </c>
      <c r="B49" s="1290"/>
      <c r="C49" s="1290"/>
      <c r="D49" s="1284"/>
      <c r="E49" s="1294"/>
      <c r="F49" s="1952"/>
      <c r="G49" s="1953"/>
      <c r="H49" s="2652" t="s">
        <v>90</v>
      </c>
      <c r="I49" s="2653"/>
      <c r="J49" s="2622"/>
      <c r="K49" s="2654"/>
      <c r="L49" s="2244"/>
      <c r="M49" s="11135"/>
      <c r="N49" s="2645"/>
      <c r="O49" s="2646"/>
      <c r="P49" s="2648"/>
      <c r="Q49" s="11136"/>
      <c r="R49" s="2650"/>
      <c r="S49" s="2651"/>
      <c r="T49" s="2650"/>
      <c r="U49" s="2650"/>
      <c r="V49" s="2650"/>
      <c r="W49" s="2650"/>
      <c r="X49" s="2650"/>
      <c r="Y49" s="2650"/>
      <c r="Z49" s="1951"/>
      <c r="AA49" s="1917">
        <v>1</v>
      </c>
      <c r="AB49" s="1303" t="s">
        <v>1306</v>
      </c>
      <c r="AC49" s="1293">
        <v>397.6326</v>
      </c>
      <c r="AD49" s="1303" t="str">
        <f>AB49</f>
        <v>  Прибыль направляемая на инвестиции</v>
      </c>
      <c r="AE49" s="1293">
        <v>397.6326</v>
      </c>
      <c r="AF49" s="2643"/>
      <c r="AG49" s="2644"/>
      <c r="AH49" s="2644"/>
      <c r="AI49" s="2643"/>
      <c r="AJ49" s="2644"/>
      <c r="AK49" s="2644"/>
      <c r="AL49" s="2109"/>
      <c r="AM49" s="1946"/>
      <c r="AN49" s="1946"/>
      <c r="AO49" s="1946"/>
      <c r="AP49" s="1946"/>
      <c r="AQ49" s="1946"/>
      <c r="AR49" s="1946"/>
      <c r="AS49" s="1946"/>
      <c r="AT49" s="1946"/>
      <c r="AU49" s="1946"/>
      <c r="AV49" s="1946"/>
      <c r="AW49" s="1946"/>
      <c r="AX49" s="1946"/>
      <c r="AY49" s="1946"/>
      <c r="AZ49" s="1946"/>
      <c r="BA49" s="1946"/>
      <c r="BB49" s="1946"/>
      <c r="BC49" s="1946"/>
      <c r="BD49" s="1946"/>
      <c r="BE49" s="1946"/>
      <c r="BF49" s="1946"/>
      <c r="BG49" s="7213"/>
    </row>
    <row customHeight="1" ht="11.25">
      <c r="A50" s="1290" t="s">
        <v>1169</v>
      </c>
      <c r="B50" s="1290"/>
      <c r="C50" s="1290"/>
      <c r="D50" s="1284"/>
      <c r="E50" s="1294"/>
      <c r="F50" s="1953"/>
      <c r="G50" s="1953"/>
      <c r="H50" s="1953"/>
      <c r="I50" s="1953"/>
      <c r="J50" s="1953"/>
      <c r="K50" s="1953"/>
      <c r="L50" s="1953"/>
      <c r="M50" s="1953"/>
      <c r="N50" s="1953"/>
      <c r="O50" s="1953"/>
      <c r="P50" s="1953"/>
      <c r="Q50" s="1953"/>
      <c r="R50" s="1953"/>
      <c r="S50" s="1953"/>
      <c r="T50" s="1953"/>
      <c r="U50" s="1953"/>
      <c r="V50" s="1953"/>
      <c r="W50" s="1953"/>
      <c r="X50" s="1953"/>
      <c r="Y50" s="1953"/>
      <c r="Z50" s="7121" t="s">
        <v>103</v>
      </c>
      <c r="AA50" s="1937" t="s">
        <v>102</v>
      </c>
      <c r="AB50" s="1303" t="s">
        <v>1307</v>
      </c>
      <c r="AC50" s="1293">
        <v>1.95119</v>
      </c>
      <c r="AD50" s="1303" t="str">
        <f>AB50</f>
        <v>      Амортизационные отчисления с выделением результатов переоценки основных средств и нематериальных активов</v>
      </c>
      <c r="AE50" s="1293">
        <v>1.95119</v>
      </c>
      <c r="AF50" s="2210"/>
      <c r="AG50" s="1882"/>
      <c r="AH50" s="1882"/>
      <c r="AI50" s="2210"/>
      <c r="AJ50" s="1882"/>
      <c r="AK50" s="2108"/>
      <c r="AL50" s="2109"/>
      <c r="AM50" s="1946"/>
      <c r="AN50" s="1946"/>
      <c r="AO50" s="1946"/>
      <c r="AP50" s="1946"/>
      <c r="AQ50" s="1946"/>
      <c r="AR50" s="1946"/>
      <c r="AS50" s="1946"/>
      <c r="AT50" s="1946"/>
      <c r="AU50" s="1946"/>
      <c r="AV50" s="1946"/>
      <c r="AW50" s="1946"/>
      <c r="AX50" s="1946"/>
      <c r="AY50" s="1946"/>
      <c r="AZ50" s="1946"/>
      <c r="BA50" s="1946"/>
      <c r="BB50" s="1946"/>
      <c r="BC50" s="1946"/>
      <c r="BD50" s="1946"/>
      <c r="BE50" s="1946"/>
      <c r="BF50" s="1946"/>
      <c r="BG50" s="7213"/>
    </row>
    <row customHeight="1" ht="11.25">
      <c r="A51" s="1290" t="s">
        <v>1169</v>
      </c>
      <c r="B51" s="1290"/>
      <c r="C51" s="1290"/>
      <c r="D51" s="1284"/>
      <c r="E51" s="1294"/>
      <c r="F51" s="1953"/>
      <c r="G51" s="1953"/>
      <c r="H51" s="1953"/>
      <c r="I51" s="1953"/>
      <c r="J51" s="1953"/>
      <c r="K51" s="1953"/>
      <c r="L51" s="1953"/>
      <c r="M51" s="1953"/>
      <c r="N51" s="1953"/>
      <c r="O51" s="1953"/>
      <c r="P51" s="1953"/>
      <c r="Q51" s="1953"/>
      <c r="R51" s="1953"/>
      <c r="S51" s="1953"/>
      <c r="T51" s="1953"/>
      <c r="U51" s="1953"/>
      <c r="V51" s="1953"/>
      <c r="W51" s="1953"/>
      <c r="X51" s="1953"/>
      <c r="Y51" s="1953"/>
      <c r="Z51" s="7121" t="s">
        <v>103</v>
      </c>
      <c r="AA51" s="1937" t="s">
        <v>90</v>
      </c>
      <c r="AB51" s="1303" t="s">
        <v>1308</v>
      </c>
      <c r="AC51" s="1293">
        <v>2.036195</v>
      </c>
      <c r="AD51" s="1303" t="str">
        <f>AB51</f>
        <v>  Прочие</v>
      </c>
      <c r="AE51" s="1293">
        <v>2.036195</v>
      </c>
      <c r="AF51" s="2210"/>
      <c r="AG51" s="1882"/>
      <c r="AH51" s="1882"/>
      <c r="AI51" s="2210"/>
      <c r="AJ51" s="1882"/>
      <c r="AK51" s="2108"/>
      <c r="AL51" s="2109"/>
      <c r="AM51" s="1946"/>
      <c r="AN51" s="1946"/>
      <c r="AO51" s="1946"/>
      <c r="AP51" s="1946"/>
      <c r="AQ51" s="1946"/>
      <c r="AR51" s="1946"/>
      <c r="AS51" s="1946"/>
      <c r="AT51" s="1946"/>
      <c r="AU51" s="1946"/>
      <c r="AV51" s="1946"/>
      <c r="AW51" s="1946"/>
      <c r="AX51" s="1946"/>
      <c r="AY51" s="1946"/>
      <c r="AZ51" s="1946"/>
      <c r="BA51" s="1946"/>
      <c r="BB51" s="1946"/>
      <c r="BC51" s="1946"/>
      <c r="BD51" s="1946"/>
      <c r="BE51" s="1946"/>
      <c r="BF51" s="1946"/>
      <c r="BG51" s="7213"/>
    </row>
    <row customHeight="1" ht="11.25">
      <c r="A52" s="1290" t="s">
        <v>1169</v>
      </c>
      <c r="B52" s="1290"/>
      <c r="C52" s="1290"/>
      <c r="D52" s="1284"/>
      <c r="E52" s="1294"/>
      <c r="F52" s="1952"/>
      <c r="G52" s="1953"/>
      <c r="H52" s="2652" t="s">
        <v>90</v>
      </c>
      <c r="I52" s="2653"/>
      <c r="J52" s="2622"/>
      <c r="K52" s="2654"/>
      <c r="L52" s="2244"/>
      <c r="M52" s="11135"/>
      <c r="N52" s="2645"/>
      <c r="O52" s="2646"/>
      <c r="P52" s="2649"/>
      <c r="Q52" s="11136"/>
      <c r="R52" s="2650"/>
      <c r="S52" s="2651"/>
      <c r="T52" s="2650"/>
      <c r="U52" s="2650"/>
      <c r="V52" s="2650"/>
      <c r="W52" s="2650"/>
      <c r="X52" s="2650"/>
      <c r="Y52" s="2650"/>
      <c r="Z52" s="1299"/>
      <c r="AA52" s="1300"/>
      <c r="AB52" s="1365" t="s">
        <v>1309</v>
      </c>
      <c r="AC52" s="1304"/>
      <c r="AD52" s="1304"/>
      <c r="AE52" s="1306"/>
      <c r="AF52" s="2643"/>
      <c r="AG52" s="2644"/>
      <c r="AH52" s="2644"/>
      <c r="AI52" s="2643"/>
      <c r="AJ52" s="2644"/>
      <c r="AK52" s="2644"/>
      <c r="AL52" s="2109"/>
      <c r="AM52" s="1946"/>
      <c r="AN52" s="1946"/>
      <c r="AO52" s="1946"/>
      <c r="AP52" s="1946"/>
      <c r="AQ52" s="1946"/>
      <c r="AR52" s="1946"/>
      <c r="AS52" s="1946"/>
      <c r="AT52" s="1946"/>
      <c r="AU52" s="1946"/>
      <c r="AV52" s="1946"/>
      <c r="AW52" s="1946"/>
      <c r="AX52" s="1946"/>
      <c r="AY52" s="1946"/>
      <c r="AZ52" s="1946"/>
      <c r="BA52" s="1946"/>
      <c r="BB52" s="1946"/>
      <c r="BC52" s="1946"/>
      <c r="BD52" s="1946"/>
      <c r="BE52" s="1946"/>
      <c r="BF52" s="1946"/>
      <c r="BG52" s="7213"/>
    </row>
    <row customHeight="1" ht="11.25">
      <c r="A53" s="1290" t="s">
        <v>1169</v>
      </c>
      <c r="B53" s="1290"/>
      <c r="C53" s="1290"/>
      <c r="D53" s="1284"/>
      <c r="E53" s="1294"/>
      <c r="F53" s="1952"/>
      <c r="G53" s="1953"/>
      <c r="H53" s="2652" t="s">
        <v>90</v>
      </c>
      <c r="I53" s="2653"/>
      <c r="J53" s="2622"/>
      <c r="K53" s="2654"/>
      <c r="L53" s="2244"/>
      <c r="M53" s="11135"/>
      <c r="N53" s="1299"/>
      <c r="O53" s="1300"/>
      <c r="P53" s="1292" t="s">
        <v>1310</v>
      </c>
      <c r="Q53" s="1300"/>
      <c r="R53" s="1300"/>
      <c r="S53" s="1300"/>
      <c r="T53" s="1300"/>
      <c r="U53" s="1300"/>
      <c r="V53" s="1300"/>
      <c r="W53" s="1300"/>
      <c r="X53" s="1300"/>
      <c r="Y53" s="1300"/>
      <c r="Z53" s="1300"/>
      <c r="AA53" s="1300"/>
      <c r="AB53" s="1300"/>
      <c r="AC53" s="1300"/>
      <c r="AD53" s="1300"/>
      <c r="AE53" s="1307"/>
      <c r="AF53" s="2643"/>
      <c r="AG53" s="2644"/>
      <c r="AH53" s="2644"/>
      <c r="AI53" s="2643"/>
      <c r="AJ53" s="2644"/>
      <c r="AK53" s="2644"/>
      <c r="AL53" s="2109"/>
      <c r="AM53" s="1946"/>
      <c r="AN53" s="1946"/>
      <c r="AO53" s="1946"/>
      <c r="AP53" s="1946"/>
      <c r="AQ53" s="1946"/>
      <c r="AR53" s="1946"/>
      <c r="AS53" s="1946"/>
      <c r="AT53" s="1946"/>
      <c r="AU53" s="1946"/>
      <c r="AV53" s="1946"/>
      <c r="AW53" s="1946"/>
      <c r="AX53" s="1946"/>
      <c r="AY53" s="1946"/>
      <c r="AZ53" s="1946"/>
      <c r="BA53" s="1946"/>
      <c r="BB53" s="1946"/>
      <c r="BC53" s="1946"/>
      <c r="BD53" s="1946"/>
      <c r="BE53" s="1946"/>
      <c r="BF53" s="1946"/>
      <c r="BG53" s="7213"/>
    </row>
    <row customHeight="1" ht="11.25">
      <c r="A54" s="1290" t="s">
        <v>1169</v>
      </c>
      <c r="B54" s="1290"/>
      <c r="C54" s="1290"/>
      <c r="D54" s="1284"/>
      <c r="E54" s="1294"/>
      <c r="F54" s="1952"/>
      <c r="G54" s="7121" t="s">
        <v>103</v>
      </c>
      <c r="H54" s="2652" t="s">
        <v>116</v>
      </c>
      <c r="I54" s="2653"/>
      <c r="J54" s="2622"/>
      <c r="K54" s="2654" t="s">
        <v>1322</v>
      </c>
      <c r="L54" s="2244" t="s">
        <v>62</v>
      </c>
      <c r="M54" s="11135" t="s">
        <v>1168</v>
      </c>
      <c r="N54" s="2107"/>
      <c r="O54" s="1301" t="s">
        <v>488</v>
      </c>
      <c r="P54" s="1302"/>
      <c r="Q54" s="1302"/>
      <c r="R54" s="1302"/>
      <c r="S54" s="1302"/>
      <c r="T54" s="1302"/>
      <c r="U54" s="1302"/>
      <c r="V54" s="1302"/>
      <c r="W54" s="1302"/>
      <c r="X54" s="1302"/>
      <c r="Y54" s="1302"/>
      <c r="Z54" s="1302"/>
      <c r="AA54" s="1302"/>
      <c r="AB54" s="1302"/>
      <c r="AC54" s="1302"/>
      <c r="AD54" s="1302"/>
      <c r="AE54" s="1302"/>
      <c r="AF54" s="2643">
        <v>2024</v>
      </c>
      <c r="AG54" s="2644" t="s">
        <v>1296</v>
      </c>
      <c r="AH54" s="2644" t="s">
        <v>1297</v>
      </c>
      <c r="AI54" s="2643">
        <v>2024</v>
      </c>
      <c r="AJ54" s="2644" t="s">
        <v>1296</v>
      </c>
      <c r="AK54" s="2644" t="s">
        <v>1297</v>
      </c>
      <c r="AL54" s="2109"/>
      <c r="AM54" s="1946"/>
      <c r="AN54" s="1946"/>
      <c r="AO54" s="1946"/>
      <c r="AP54" s="1946"/>
      <c r="AQ54" s="1946"/>
      <c r="AR54" s="1946"/>
      <c r="AS54" s="1946"/>
      <c r="AT54" s="1946"/>
      <c r="AU54" s="1946"/>
      <c r="AV54" s="1946"/>
      <c r="AW54" s="1946"/>
      <c r="AX54" s="1946"/>
      <c r="AY54" s="1946"/>
      <c r="AZ54" s="1946"/>
      <c r="BA54" s="1946"/>
      <c r="BB54" s="1946"/>
      <c r="BC54" s="1946"/>
      <c r="BD54" s="1946"/>
      <c r="BE54" s="1946"/>
      <c r="BF54" s="1946"/>
      <c r="BG54" s="7213"/>
    </row>
    <row customHeight="1" ht="11.25">
      <c r="A55" s="1290" t="s">
        <v>1169</v>
      </c>
      <c r="B55" s="1290"/>
      <c r="C55" s="1290"/>
      <c r="D55" s="1284"/>
      <c r="E55" s="1294"/>
      <c r="F55" s="1952"/>
      <c r="G55" s="1953"/>
      <c r="H55" s="2652" t="s">
        <v>91</v>
      </c>
      <c r="I55" s="2653"/>
      <c r="J55" s="2622"/>
      <c r="K55" s="2654"/>
      <c r="L55" s="2244"/>
      <c r="M55" s="11135"/>
      <c r="N55" s="2645"/>
      <c r="O55" s="2646">
        <v>1</v>
      </c>
      <c r="P55" s="2647" t="s">
        <v>62</v>
      </c>
      <c r="Q55" s="11136" t="s">
        <v>1323</v>
      </c>
      <c r="R55" s="11137" t="s">
        <v>1299</v>
      </c>
      <c r="S55" s="11137" t="s">
        <v>99</v>
      </c>
      <c r="T55" s="11137" t="s">
        <v>1313</v>
      </c>
      <c r="U55" s="11137" t="s">
        <v>1314</v>
      </c>
      <c r="V55" s="11137" t="s">
        <v>1315</v>
      </c>
      <c r="W55" s="11137" t="s">
        <v>1316</v>
      </c>
      <c r="X55" s="11137" t="s">
        <v>1317</v>
      </c>
      <c r="Y55" s="11137" t="s">
        <v>91</v>
      </c>
      <c r="Z55" s="1299"/>
      <c r="AA55" s="1300"/>
      <c r="AB55" s="1300"/>
      <c r="AC55" s="1304"/>
      <c r="AD55" s="1304"/>
      <c r="AE55" s="1305"/>
      <c r="AF55" s="2643"/>
      <c r="AG55" s="2644"/>
      <c r="AH55" s="2644"/>
      <c r="AI55" s="2643"/>
      <c r="AJ55" s="2644"/>
      <c r="AK55" s="2644"/>
      <c r="AL55" s="2109"/>
      <c r="AM55" s="1946"/>
      <c r="AN55" s="1946"/>
      <c r="AO55" s="1946"/>
      <c r="AP55" s="1946"/>
      <c r="AQ55" s="1946"/>
      <c r="AR55" s="1946"/>
      <c r="AS55" s="1946"/>
      <c r="AT55" s="1946"/>
      <c r="AU55" s="1946"/>
      <c r="AV55" s="1946"/>
      <c r="AW55" s="1946"/>
      <c r="AX55" s="1946"/>
      <c r="AY55" s="1946"/>
      <c r="AZ55" s="1946"/>
      <c r="BA55" s="1946"/>
      <c r="BB55" s="1946"/>
      <c r="BC55" s="1946"/>
      <c r="BD55" s="1946"/>
      <c r="BE55" s="1946"/>
      <c r="BF55" s="1946"/>
      <c r="BG55" s="7213"/>
    </row>
    <row customHeight="1" ht="11.25">
      <c r="A56" s="1290" t="s">
        <v>1169</v>
      </c>
      <c r="B56" s="1290"/>
      <c r="C56" s="1290"/>
      <c r="D56" s="1284"/>
      <c r="E56" s="1294"/>
      <c r="F56" s="1952"/>
      <c r="G56" s="1953"/>
      <c r="H56" s="2652" t="s">
        <v>91</v>
      </c>
      <c r="I56" s="2653"/>
      <c r="J56" s="2622"/>
      <c r="K56" s="2654"/>
      <c r="L56" s="2244"/>
      <c r="M56" s="11135"/>
      <c r="N56" s="2645"/>
      <c r="O56" s="2646"/>
      <c r="P56" s="2648"/>
      <c r="Q56" s="11136"/>
      <c r="R56" s="2650"/>
      <c r="S56" s="2651"/>
      <c r="T56" s="2650"/>
      <c r="U56" s="2650"/>
      <c r="V56" s="2650"/>
      <c r="W56" s="2650"/>
      <c r="X56" s="2650"/>
      <c r="Y56" s="2650"/>
      <c r="Z56" s="1951"/>
      <c r="AA56" s="1917">
        <v>1</v>
      </c>
      <c r="AB56" s="1303" t="s">
        <v>1306</v>
      </c>
      <c r="AC56" s="1293">
        <v>397.6326</v>
      </c>
      <c r="AD56" s="1303" t="str">
        <f>AB56</f>
        <v>  Прибыль направляемая на инвестиции</v>
      </c>
      <c r="AE56" s="1293">
        <v>397.6326</v>
      </c>
      <c r="AF56" s="2643"/>
      <c r="AG56" s="2644"/>
      <c r="AH56" s="2644"/>
      <c r="AI56" s="2643"/>
      <c r="AJ56" s="2644"/>
      <c r="AK56" s="2644"/>
      <c r="AL56" s="2109"/>
      <c r="AM56" s="1946"/>
      <c r="AN56" s="1946"/>
      <c r="AO56" s="1946"/>
      <c r="AP56" s="1946"/>
      <c r="AQ56" s="1946"/>
      <c r="AR56" s="1946"/>
      <c r="AS56" s="1946"/>
      <c r="AT56" s="1946"/>
      <c r="AU56" s="1946"/>
      <c r="AV56" s="1946"/>
      <c r="AW56" s="1946"/>
      <c r="AX56" s="1946"/>
      <c r="AY56" s="1946"/>
      <c r="AZ56" s="1946"/>
      <c r="BA56" s="1946"/>
      <c r="BB56" s="1946"/>
      <c r="BC56" s="1946"/>
      <c r="BD56" s="1946"/>
      <c r="BE56" s="1946"/>
      <c r="BF56" s="1946"/>
      <c r="BG56" s="7213"/>
    </row>
    <row customHeight="1" ht="11.25">
      <c r="A57" s="1290" t="s">
        <v>1169</v>
      </c>
      <c r="B57" s="1290"/>
      <c r="C57" s="1290"/>
      <c r="D57" s="1284"/>
      <c r="E57" s="1294"/>
      <c r="F57" s="1953"/>
      <c r="G57" s="1953"/>
      <c r="H57" s="1953"/>
      <c r="I57" s="1953"/>
      <c r="J57" s="1953"/>
      <c r="K57" s="1953"/>
      <c r="L57" s="1953"/>
      <c r="M57" s="1953"/>
      <c r="N57" s="1953"/>
      <c r="O57" s="1953"/>
      <c r="P57" s="1953"/>
      <c r="Q57" s="1953"/>
      <c r="R57" s="1953"/>
      <c r="S57" s="1953"/>
      <c r="T57" s="1953"/>
      <c r="U57" s="1953"/>
      <c r="V57" s="1953"/>
      <c r="W57" s="1953"/>
      <c r="X57" s="1953"/>
      <c r="Y57" s="1953"/>
      <c r="Z57" s="7121" t="s">
        <v>103</v>
      </c>
      <c r="AA57" s="1937" t="s">
        <v>102</v>
      </c>
      <c r="AB57" s="1303" t="s">
        <v>1307</v>
      </c>
      <c r="AC57" s="1293">
        <v>1.95119</v>
      </c>
      <c r="AD57" s="1303" t="str">
        <f>AB57</f>
        <v>      Амортизационные отчисления с выделением результатов переоценки основных средств и нематериальных активов</v>
      </c>
      <c r="AE57" s="1293">
        <v>1.95119</v>
      </c>
      <c r="AF57" s="2210"/>
      <c r="AG57" s="1882"/>
      <c r="AH57" s="1882"/>
      <c r="AI57" s="2210"/>
      <c r="AJ57" s="1882"/>
      <c r="AK57" s="2108"/>
      <c r="AL57" s="2109"/>
      <c r="AM57" s="1946"/>
      <c r="AN57" s="1946"/>
      <c r="AO57" s="1946"/>
      <c r="AP57" s="1946"/>
      <c r="AQ57" s="1946"/>
      <c r="AR57" s="1946"/>
      <c r="AS57" s="1946"/>
      <c r="AT57" s="1946"/>
      <c r="AU57" s="1946"/>
      <c r="AV57" s="1946"/>
      <c r="AW57" s="1946"/>
      <c r="AX57" s="1946"/>
      <c r="AY57" s="1946"/>
      <c r="AZ57" s="1946"/>
      <c r="BA57" s="1946"/>
      <c r="BB57" s="1946"/>
      <c r="BC57" s="1946"/>
      <c r="BD57" s="1946"/>
      <c r="BE57" s="1946"/>
      <c r="BF57" s="1946"/>
      <c r="BG57" s="7213"/>
    </row>
    <row customHeight="1" ht="11.25">
      <c r="A58" s="1290" t="s">
        <v>1169</v>
      </c>
      <c r="B58" s="1290"/>
      <c r="C58" s="1290"/>
      <c r="D58" s="1284"/>
      <c r="E58" s="1294"/>
      <c r="F58" s="1953"/>
      <c r="G58" s="1953"/>
      <c r="H58" s="1953"/>
      <c r="I58" s="1953"/>
      <c r="J58" s="1953"/>
      <c r="K58" s="1953"/>
      <c r="L58" s="1953"/>
      <c r="M58" s="1953"/>
      <c r="N58" s="1953"/>
      <c r="O58" s="1953"/>
      <c r="P58" s="1953"/>
      <c r="Q58" s="1953"/>
      <c r="R58" s="1953"/>
      <c r="S58" s="1953"/>
      <c r="T58" s="1953"/>
      <c r="U58" s="1953"/>
      <c r="V58" s="1953"/>
      <c r="W58" s="1953"/>
      <c r="X58" s="1953"/>
      <c r="Y58" s="1953"/>
      <c r="Z58" s="7121" t="s">
        <v>103</v>
      </c>
      <c r="AA58" s="1937" t="s">
        <v>90</v>
      </c>
      <c r="AB58" s="1303" t="s">
        <v>1308</v>
      </c>
      <c r="AC58" s="1293">
        <v>2.036195</v>
      </c>
      <c r="AD58" s="1303" t="str">
        <f>AB58</f>
        <v>  Прочие</v>
      </c>
      <c r="AE58" s="1293">
        <v>2.036195</v>
      </c>
      <c r="AF58" s="2210"/>
      <c r="AG58" s="1882"/>
      <c r="AH58" s="1882"/>
      <c r="AI58" s="2210"/>
      <c r="AJ58" s="1882"/>
      <c r="AK58" s="2108"/>
      <c r="AL58" s="2109"/>
      <c r="AM58" s="1946"/>
      <c r="AN58" s="1946"/>
      <c r="AO58" s="1946"/>
      <c r="AP58" s="1946"/>
      <c r="AQ58" s="1946"/>
      <c r="AR58" s="1946"/>
      <c r="AS58" s="1946"/>
      <c r="AT58" s="1946"/>
      <c r="AU58" s="1946"/>
      <c r="AV58" s="1946"/>
      <c r="AW58" s="1946"/>
      <c r="AX58" s="1946"/>
      <c r="AY58" s="1946"/>
      <c r="AZ58" s="1946"/>
      <c r="BA58" s="1946"/>
      <c r="BB58" s="1946"/>
      <c r="BC58" s="1946"/>
      <c r="BD58" s="1946"/>
      <c r="BE58" s="1946"/>
      <c r="BF58" s="1946"/>
      <c r="BG58" s="7213"/>
    </row>
    <row customHeight="1" ht="11.25">
      <c r="A59" s="1290" t="s">
        <v>1169</v>
      </c>
      <c r="B59" s="1290"/>
      <c r="C59" s="1290"/>
      <c r="D59" s="1284"/>
      <c r="E59" s="1294"/>
      <c r="F59" s="1952"/>
      <c r="G59" s="1953"/>
      <c r="H59" s="2652" t="s">
        <v>91</v>
      </c>
      <c r="I59" s="2653"/>
      <c r="J59" s="2622"/>
      <c r="K59" s="2654"/>
      <c r="L59" s="2244"/>
      <c r="M59" s="11135"/>
      <c r="N59" s="2645"/>
      <c r="O59" s="2646"/>
      <c r="P59" s="2649"/>
      <c r="Q59" s="11136"/>
      <c r="R59" s="2650"/>
      <c r="S59" s="2651"/>
      <c r="T59" s="2650"/>
      <c r="U59" s="2650"/>
      <c r="V59" s="2650"/>
      <c r="W59" s="2650"/>
      <c r="X59" s="2650"/>
      <c r="Y59" s="2650"/>
      <c r="Z59" s="1299"/>
      <c r="AA59" s="1300"/>
      <c r="AB59" s="1365" t="s">
        <v>1309</v>
      </c>
      <c r="AC59" s="1304"/>
      <c r="AD59" s="1304"/>
      <c r="AE59" s="1306"/>
      <c r="AF59" s="2643"/>
      <c r="AG59" s="2644"/>
      <c r="AH59" s="2644"/>
      <c r="AI59" s="2643"/>
      <c r="AJ59" s="2644"/>
      <c r="AK59" s="2644"/>
      <c r="AL59" s="2109"/>
      <c r="AM59" s="1946"/>
      <c r="AN59" s="1946"/>
      <c r="AO59" s="1946"/>
      <c r="AP59" s="1946"/>
      <c r="AQ59" s="1946"/>
      <c r="AR59" s="1946"/>
      <c r="AS59" s="1946"/>
      <c r="AT59" s="1946"/>
      <c r="AU59" s="1946"/>
      <c r="AV59" s="1946"/>
      <c r="AW59" s="1946"/>
      <c r="AX59" s="1946"/>
      <c r="AY59" s="1946"/>
      <c r="AZ59" s="1946"/>
      <c r="BA59" s="1946"/>
      <c r="BB59" s="1946"/>
      <c r="BC59" s="1946"/>
      <c r="BD59" s="1946"/>
      <c r="BE59" s="1946"/>
      <c r="BF59" s="1946"/>
      <c r="BG59" s="7213"/>
    </row>
    <row customHeight="1" ht="11.25">
      <c r="A60" s="1290" t="s">
        <v>1169</v>
      </c>
      <c r="B60" s="1290"/>
      <c r="C60" s="1290"/>
      <c r="D60" s="1284"/>
      <c r="E60" s="1294"/>
      <c r="F60" s="1952"/>
      <c r="G60" s="1953"/>
      <c r="H60" s="2652" t="s">
        <v>91</v>
      </c>
      <c r="I60" s="2653"/>
      <c r="J60" s="2622"/>
      <c r="K60" s="2654"/>
      <c r="L60" s="2244"/>
      <c r="M60" s="11135"/>
      <c r="N60" s="1299"/>
      <c r="O60" s="1300"/>
      <c r="P60" s="1292" t="s">
        <v>1310</v>
      </c>
      <c r="Q60" s="1300"/>
      <c r="R60" s="1300"/>
      <c r="S60" s="1300"/>
      <c r="T60" s="1300"/>
      <c r="U60" s="1300"/>
      <c r="V60" s="1300"/>
      <c r="W60" s="1300"/>
      <c r="X60" s="1300"/>
      <c r="Y60" s="1300"/>
      <c r="Z60" s="1300"/>
      <c r="AA60" s="1300"/>
      <c r="AB60" s="1300"/>
      <c r="AC60" s="1300"/>
      <c r="AD60" s="1300"/>
      <c r="AE60" s="1307"/>
      <c r="AF60" s="2643"/>
      <c r="AG60" s="2644"/>
      <c r="AH60" s="2644"/>
      <c r="AI60" s="2643"/>
      <c r="AJ60" s="2644"/>
      <c r="AK60" s="2644"/>
      <c r="AL60" s="2109"/>
      <c r="AM60" s="1946"/>
      <c r="AN60" s="1946"/>
      <c r="AO60" s="1946"/>
      <c r="AP60" s="1946"/>
      <c r="AQ60" s="1946"/>
      <c r="AR60" s="1946"/>
      <c r="AS60" s="1946"/>
      <c r="AT60" s="1946"/>
      <c r="AU60" s="1946"/>
      <c r="AV60" s="1946"/>
      <c r="AW60" s="1946"/>
      <c r="AX60" s="1946"/>
      <c r="AY60" s="1946"/>
      <c r="AZ60" s="1946"/>
      <c r="BA60" s="1946"/>
      <c r="BB60" s="1946"/>
      <c r="BC60" s="1946"/>
      <c r="BD60" s="1946"/>
      <c r="BE60" s="1946"/>
      <c r="BF60" s="1946"/>
      <c r="BG60" s="7213"/>
    </row>
    <row customHeight="1" ht="11.25">
      <c r="A61" s="1290" t="s">
        <v>1169</v>
      </c>
      <c r="B61" s="1290"/>
      <c r="C61" s="1290"/>
      <c r="D61" s="1284"/>
      <c r="E61" s="1294"/>
      <c r="F61" s="1952"/>
      <c r="G61" s="7121" t="s">
        <v>103</v>
      </c>
      <c r="H61" s="2652" t="s">
        <v>92</v>
      </c>
      <c r="I61" s="2653"/>
      <c r="J61" s="2622"/>
      <c r="K61" s="2654" t="s">
        <v>1324</v>
      </c>
      <c r="L61" s="2244" t="s">
        <v>62</v>
      </c>
      <c r="M61" s="11135" t="s">
        <v>1168</v>
      </c>
      <c r="N61" s="2107"/>
      <c r="O61" s="1301" t="s">
        <v>488</v>
      </c>
      <c r="P61" s="1302"/>
      <c r="Q61" s="1302"/>
      <c r="R61" s="1302"/>
      <c r="S61" s="1302"/>
      <c r="T61" s="1302"/>
      <c r="U61" s="1302"/>
      <c r="V61" s="1302"/>
      <c r="W61" s="1302"/>
      <c r="X61" s="1302"/>
      <c r="Y61" s="1302"/>
      <c r="Z61" s="1302"/>
      <c r="AA61" s="1302"/>
      <c r="AB61" s="1302"/>
      <c r="AC61" s="1302"/>
      <c r="AD61" s="1302"/>
      <c r="AE61" s="1302"/>
      <c r="AF61" s="2643">
        <v>2024</v>
      </c>
      <c r="AG61" s="2644" t="s">
        <v>1296</v>
      </c>
      <c r="AH61" s="2644" t="s">
        <v>1297</v>
      </c>
      <c r="AI61" s="2643">
        <v>2024</v>
      </c>
      <c r="AJ61" s="2644" t="s">
        <v>1296</v>
      </c>
      <c r="AK61" s="2644" t="s">
        <v>1297</v>
      </c>
      <c r="AL61" s="2109"/>
      <c r="AM61" s="1946"/>
      <c r="AN61" s="1946"/>
      <c r="AO61" s="1946"/>
      <c r="AP61" s="1946"/>
      <c r="AQ61" s="1946"/>
      <c r="AR61" s="1946"/>
      <c r="AS61" s="1946"/>
      <c r="AT61" s="1946"/>
      <c r="AU61" s="1946"/>
      <c r="AV61" s="1946"/>
      <c r="AW61" s="1946"/>
      <c r="AX61" s="1946"/>
      <c r="AY61" s="1946"/>
      <c r="AZ61" s="1946"/>
      <c r="BA61" s="1946"/>
      <c r="BB61" s="1946"/>
      <c r="BC61" s="1946"/>
      <c r="BD61" s="1946"/>
      <c r="BE61" s="1946"/>
      <c r="BF61" s="1946"/>
      <c r="BG61" s="7213"/>
    </row>
    <row customHeight="1" ht="11.25">
      <c r="A62" s="1290" t="s">
        <v>1169</v>
      </c>
      <c r="B62" s="1290"/>
      <c r="C62" s="1290"/>
      <c r="D62" s="1284"/>
      <c r="E62" s="1294"/>
      <c r="F62" s="1952"/>
      <c r="G62" s="1953"/>
      <c r="H62" s="2652" t="s">
        <v>116</v>
      </c>
      <c r="I62" s="2653"/>
      <c r="J62" s="2622"/>
      <c r="K62" s="2654"/>
      <c r="L62" s="2244"/>
      <c r="M62" s="11135"/>
      <c r="N62" s="2645"/>
      <c r="O62" s="2646">
        <v>1</v>
      </c>
      <c r="P62" s="2647" t="s">
        <v>62</v>
      </c>
      <c r="Q62" s="11136" t="s">
        <v>1325</v>
      </c>
      <c r="R62" s="11137" t="s">
        <v>1299</v>
      </c>
      <c r="S62" s="11137" t="s">
        <v>99</v>
      </c>
      <c r="T62" s="11137" t="s">
        <v>1326</v>
      </c>
      <c r="U62" s="11137" t="s">
        <v>1327</v>
      </c>
      <c r="V62" s="11137" t="s">
        <v>1328</v>
      </c>
      <c r="W62" s="11137" t="s">
        <v>1329</v>
      </c>
      <c r="X62" s="11137" t="s">
        <v>1330</v>
      </c>
      <c r="Y62" s="11137" t="s">
        <v>1331</v>
      </c>
      <c r="Z62" s="1299"/>
      <c r="AA62" s="1300"/>
      <c r="AB62" s="1300"/>
      <c r="AC62" s="1304"/>
      <c r="AD62" s="1304"/>
      <c r="AE62" s="1305"/>
      <c r="AF62" s="2643"/>
      <c r="AG62" s="2644"/>
      <c r="AH62" s="2644"/>
      <c r="AI62" s="2643"/>
      <c r="AJ62" s="2644"/>
      <c r="AK62" s="2644"/>
      <c r="AL62" s="2109"/>
      <c r="AM62" s="1946"/>
      <c r="AN62" s="1946"/>
      <c r="AO62" s="1946"/>
      <c r="AP62" s="1946"/>
      <c r="AQ62" s="1946"/>
      <c r="AR62" s="1946"/>
      <c r="AS62" s="1946"/>
      <c r="AT62" s="1946"/>
      <c r="AU62" s="1946"/>
      <c r="AV62" s="1946"/>
      <c r="AW62" s="1946"/>
      <c r="AX62" s="1946"/>
      <c r="AY62" s="1946"/>
      <c r="AZ62" s="1946"/>
      <c r="BA62" s="1946"/>
      <c r="BB62" s="1946"/>
      <c r="BC62" s="1946"/>
      <c r="BD62" s="1946"/>
      <c r="BE62" s="1946"/>
      <c r="BF62" s="1946"/>
      <c r="BG62" s="7213"/>
    </row>
    <row customHeight="1" ht="11.25">
      <c r="A63" s="1290" t="s">
        <v>1169</v>
      </c>
      <c r="B63" s="1290"/>
      <c r="C63" s="1290"/>
      <c r="D63" s="1284"/>
      <c r="E63" s="1294"/>
      <c r="F63" s="1952"/>
      <c r="G63" s="1953"/>
      <c r="H63" s="2652" t="s">
        <v>116</v>
      </c>
      <c r="I63" s="2653"/>
      <c r="J63" s="2622"/>
      <c r="K63" s="2654"/>
      <c r="L63" s="2244"/>
      <c r="M63" s="11135"/>
      <c r="N63" s="2645"/>
      <c r="O63" s="2646"/>
      <c r="P63" s="2648"/>
      <c r="Q63" s="11136"/>
      <c r="R63" s="2650"/>
      <c r="S63" s="2651"/>
      <c r="T63" s="2650"/>
      <c r="U63" s="2650"/>
      <c r="V63" s="2650"/>
      <c r="W63" s="2650"/>
      <c r="X63" s="2650"/>
      <c r="Y63" s="2650"/>
      <c r="Z63" s="1951"/>
      <c r="AA63" s="1917">
        <v>1</v>
      </c>
      <c r="AB63" s="1303" t="s">
        <v>1306</v>
      </c>
      <c r="AC63" s="1293">
        <v>795.2553</v>
      </c>
      <c r="AD63" s="1303" t="str">
        <f>AB63</f>
        <v>  Прибыль направляемая на инвестиции</v>
      </c>
      <c r="AE63" s="1293">
        <v>795.2553</v>
      </c>
      <c r="AF63" s="2643"/>
      <c r="AG63" s="2644"/>
      <c r="AH63" s="2644"/>
      <c r="AI63" s="2643"/>
      <c r="AJ63" s="2644"/>
      <c r="AK63" s="2644"/>
      <c r="AL63" s="2109"/>
      <c r="AM63" s="1946"/>
      <c r="AN63" s="1946"/>
      <c r="AO63" s="1946"/>
      <c r="AP63" s="1946"/>
      <c r="AQ63" s="1946"/>
      <c r="AR63" s="1946"/>
      <c r="AS63" s="1946"/>
      <c r="AT63" s="1946"/>
      <c r="AU63" s="1946"/>
      <c r="AV63" s="1946"/>
      <c r="AW63" s="1946"/>
      <c r="AX63" s="1946"/>
      <c r="AY63" s="1946"/>
      <c r="AZ63" s="1946"/>
      <c r="BA63" s="1946"/>
      <c r="BB63" s="1946"/>
      <c r="BC63" s="1946"/>
      <c r="BD63" s="1946"/>
      <c r="BE63" s="1946"/>
      <c r="BF63" s="1946"/>
      <c r="BG63" s="7213"/>
    </row>
    <row customHeight="1" ht="11.25">
      <c r="A64" s="1290" t="s">
        <v>1169</v>
      </c>
      <c r="B64" s="1290"/>
      <c r="C64" s="1290"/>
      <c r="D64" s="1284"/>
      <c r="E64" s="1294"/>
      <c r="F64" s="1953"/>
      <c r="G64" s="1953"/>
      <c r="H64" s="1953"/>
      <c r="I64" s="1953"/>
      <c r="J64" s="1953"/>
      <c r="K64" s="1953"/>
      <c r="L64" s="1953"/>
      <c r="M64" s="1953"/>
      <c r="N64" s="1953"/>
      <c r="O64" s="1953"/>
      <c r="P64" s="1953"/>
      <c r="Q64" s="1953"/>
      <c r="R64" s="1953"/>
      <c r="S64" s="1953"/>
      <c r="T64" s="1953"/>
      <c r="U64" s="1953"/>
      <c r="V64" s="1953"/>
      <c r="W64" s="1953"/>
      <c r="X64" s="1953"/>
      <c r="Y64" s="1953"/>
      <c r="Z64" s="7121" t="s">
        <v>103</v>
      </c>
      <c r="AA64" s="1937" t="s">
        <v>102</v>
      </c>
      <c r="AB64" s="1303" t="s">
        <v>1307</v>
      </c>
      <c r="AC64" s="1293">
        <v>3.902332</v>
      </c>
      <c r="AD64" s="1303" t="str">
        <f>AB64</f>
        <v>      Амортизационные отчисления с выделением результатов переоценки основных средств и нематериальных активов</v>
      </c>
      <c r="AE64" s="1293">
        <v>3.902332</v>
      </c>
      <c r="AF64" s="2210"/>
      <c r="AG64" s="1882"/>
      <c r="AH64" s="1882"/>
      <c r="AI64" s="2210"/>
      <c r="AJ64" s="1882"/>
      <c r="AK64" s="2108"/>
      <c r="AL64" s="2109"/>
      <c r="AM64" s="1946"/>
      <c r="AN64" s="1946"/>
      <c r="AO64" s="1946"/>
      <c r="AP64" s="1946"/>
      <c r="AQ64" s="1946"/>
      <c r="AR64" s="1946"/>
      <c r="AS64" s="1946"/>
      <c r="AT64" s="1946"/>
      <c r="AU64" s="1946"/>
      <c r="AV64" s="1946"/>
      <c r="AW64" s="1946"/>
      <c r="AX64" s="1946"/>
      <c r="AY64" s="1946"/>
      <c r="AZ64" s="1946"/>
      <c r="BA64" s="1946"/>
      <c r="BB64" s="1946"/>
      <c r="BC64" s="1946"/>
      <c r="BD64" s="1946"/>
      <c r="BE64" s="1946"/>
      <c r="BF64" s="1946"/>
      <c r="BG64" s="7213"/>
    </row>
    <row customHeight="1" ht="11.25">
      <c r="A65" s="1290" t="s">
        <v>1169</v>
      </c>
      <c r="B65" s="1290"/>
      <c r="C65" s="1290"/>
      <c r="D65" s="1284"/>
      <c r="E65" s="1294"/>
      <c r="F65" s="1953"/>
      <c r="G65" s="1953"/>
      <c r="H65" s="1953"/>
      <c r="I65" s="1953"/>
      <c r="J65" s="1953"/>
      <c r="K65" s="1953"/>
      <c r="L65" s="1953"/>
      <c r="M65" s="1953"/>
      <c r="N65" s="1953"/>
      <c r="O65" s="1953"/>
      <c r="P65" s="1953"/>
      <c r="Q65" s="1953"/>
      <c r="R65" s="1953"/>
      <c r="S65" s="1953"/>
      <c r="T65" s="1953"/>
      <c r="U65" s="1953"/>
      <c r="V65" s="1953"/>
      <c r="W65" s="1953"/>
      <c r="X65" s="1953"/>
      <c r="Y65" s="1953"/>
      <c r="Z65" s="7121" t="s">
        <v>103</v>
      </c>
      <c r="AA65" s="1937" t="s">
        <v>90</v>
      </c>
      <c r="AB65" s="1303" t="s">
        <v>1308</v>
      </c>
      <c r="AC65" s="1293">
        <v>4.07234</v>
      </c>
      <c r="AD65" s="1303" t="str">
        <f>AB65</f>
        <v>  Прочие</v>
      </c>
      <c r="AE65" s="1293">
        <v>4.07234</v>
      </c>
      <c r="AF65" s="2210"/>
      <c r="AG65" s="1882"/>
      <c r="AH65" s="1882"/>
      <c r="AI65" s="2210"/>
      <c r="AJ65" s="1882"/>
      <c r="AK65" s="2108"/>
      <c r="AL65" s="2109"/>
      <c r="AM65" s="1946"/>
      <c r="AN65" s="1946"/>
      <c r="AO65" s="1946"/>
      <c r="AP65" s="1946"/>
      <c r="AQ65" s="1946"/>
      <c r="AR65" s="1946"/>
      <c r="AS65" s="1946"/>
      <c r="AT65" s="1946"/>
      <c r="AU65" s="1946"/>
      <c r="AV65" s="1946"/>
      <c r="AW65" s="1946"/>
      <c r="AX65" s="1946"/>
      <c r="AY65" s="1946"/>
      <c r="AZ65" s="1946"/>
      <c r="BA65" s="1946"/>
      <c r="BB65" s="1946"/>
      <c r="BC65" s="1946"/>
      <c r="BD65" s="1946"/>
      <c r="BE65" s="1946"/>
      <c r="BF65" s="1946"/>
      <c r="BG65" s="7213"/>
    </row>
    <row customHeight="1" ht="11.25">
      <c r="A66" s="1290" t="s">
        <v>1169</v>
      </c>
      <c r="B66" s="1290"/>
      <c r="C66" s="1290"/>
      <c r="D66" s="1284"/>
      <c r="E66" s="1294"/>
      <c r="F66" s="1952"/>
      <c r="G66" s="1953"/>
      <c r="H66" s="2652" t="s">
        <v>116</v>
      </c>
      <c r="I66" s="2653"/>
      <c r="J66" s="2622"/>
      <c r="K66" s="2654"/>
      <c r="L66" s="2244"/>
      <c r="M66" s="11135"/>
      <c r="N66" s="2645"/>
      <c r="O66" s="2646"/>
      <c r="P66" s="2649"/>
      <c r="Q66" s="11136"/>
      <c r="R66" s="2650"/>
      <c r="S66" s="2651"/>
      <c r="T66" s="2650"/>
      <c r="U66" s="2650"/>
      <c r="V66" s="2650"/>
      <c r="W66" s="2650"/>
      <c r="X66" s="2650"/>
      <c r="Y66" s="2650"/>
      <c r="Z66" s="1299"/>
      <c r="AA66" s="1300"/>
      <c r="AB66" s="1365" t="s">
        <v>1309</v>
      </c>
      <c r="AC66" s="1304"/>
      <c r="AD66" s="1304"/>
      <c r="AE66" s="1306"/>
      <c r="AF66" s="2643"/>
      <c r="AG66" s="2644"/>
      <c r="AH66" s="2644"/>
      <c r="AI66" s="2643"/>
      <c r="AJ66" s="2644"/>
      <c r="AK66" s="2644"/>
      <c r="AL66" s="2109"/>
      <c r="AM66" s="1946"/>
      <c r="AN66" s="1946"/>
      <c r="AO66" s="1946"/>
      <c r="AP66" s="1946"/>
      <c r="AQ66" s="1946"/>
      <c r="AR66" s="1946"/>
      <c r="AS66" s="1946"/>
      <c r="AT66" s="1946"/>
      <c r="AU66" s="1946"/>
      <c r="AV66" s="1946"/>
      <c r="AW66" s="1946"/>
      <c r="AX66" s="1946"/>
      <c r="AY66" s="1946"/>
      <c r="AZ66" s="1946"/>
      <c r="BA66" s="1946"/>
      <c r="BB66" s="1946"/>
      <c r="BC66" s="1946"/>
      <c r="BD66" s="1946"/>
      <c r="BE66" s="1946"/>
      <c r="BF66" s="1946"/>
      <c r="BG66" s="7213"/>
    </row>
    <row customHeight="1" ht="11.25">
      <c r="A67" s="1290" t="s">
        <v>1169</v>
      </c>
      <c r="B67" s="1290"/>
      <c r="C67" s="1290"/>
      <c r="D67" s="1284"/>
      <c r="E67" s="1294"/>
      <c r="F67" s="1952"/>
      <c r="G67" s="1953"/>
      <c r="H67" s="2652" t="s">
        <v>116</v>
      </c>
      <c r="I67" s="2653"/>
      <c r="J67" s="2622"/>
      <c r="K67" s="2654"/>
      <c r="L67" s="2244"/>
      <c r="M67" s="11135"/>
      <c r="N67" s="1299"/>
      <c r="O67" s="1300"/>
      <c r="P67" s="1292" t="s">
        <v>1310</v>
      </c>
      <c r="Q67" s="1300"/>
      <c r="R67" s="1300"/>
      <c r="S67" s="1300"/>
      <c r="T67" s="1300"/>
      <c r="U67" s="1300"/>
      <c r="V67" s="1300"/>
      <c r="W67" s="1300"/>
      <c r="X67" s="1300"/>
      <c r="Y67" s="1300"/>
      <c r="Z67" s="1300"/>
      <c r="AA67" s="1300"/>
      <c r="AB67" s="1300"/>
      <c r="AC67" s="1300"/>
      <c r="AD67" s="1300"/>
      <c r="AE67" s="1307"/>
      <c r="AF67" s="2643"/>
      <c r="AG67" s="2644"/>
      <c r="AH67" s="2644"/>
      <c r="AI67" s="2643"/>
      <c r="AJ67" s="2644"/>
      <c r="AK67" s="2644"/>
      <c r="AL67" s="2109"/>
      <c r="AM67" s="1946"/>
      <c r="AN67" s="1946"/>
      <c r="AO67" s="1946"/>
      <c r="AP67" s="1946"/>
      <c r="AQ67" s="1946"/>
      <c r="AR67" s="1946"/>
      <c r="AS67" s="1946"/>
      <c r="AT67" s="1946"/>
      <c r="AU67" s="1946"/>
      <c r="AV67" s="1946"/>
      <c r="AW67" s="1946"/>
      <c r="AX67" s="1946"/>
      <c r="AY67" s="1946"/>
      <c r="AZ67" s="1946"/>
      <c r="BA67" s="1946"/>
      <c r="BB67" s="1946"/>
      <c r="BC67" s="1946"/>
      <c r="BD67" s="1946"/>
      <c r="BE67" s="1946"/>
      <c r="BF67" s="1946"/>
      <c r="BG67" s="7213"/>
    </row>
    <row customHeight="1" ht="12">
      <c r="A68" s="1290" t="s">
        <v>1169</v>
      </c>
      <c r="B68" s="1290"/>
      <c r="C68" s="1290"/>
      <c r="D68" s="1284"/>
      <c r="E68" s="1294"/>
      <c r="F68" s="2674"/>
      <c r="G68" s="1314"/>
      <c r="H68" s="1314"/>
      <c r="I68" s="2672" t="s">
        <v>1294</v>
      </c>
      <c r="J68" s="2672"/>
      <c r="K68" s="2672"/>
      <c r="L68" s="1297"/>
      <c r="M68" s="1297"/>
      <c r="N68" s="1298"/>
      <c r="O68" s="1298"/>
      <c r="P68" s="1298"/>
      <c r="Q68" s="1298"/>
      <c r="R68" s="1298"/>
      <c r="S68" s="1298"/>
      <c r="T68" s="1298"/>
      <c r="U68" s="1298"/>
      <c r="V68" s="1298"/>
      <c r="W68" s="1298"/>
      <c r="X68" s="1298"/>
      <c r="Y68" s="1298"/>
      <c r="Z68" s="1298"/>
      <c r="AA68" s="1298"/>
      <c r="AB68" s="1298"/>
      <c r="AC68" s="1298"/>
      <c r="AD68" s="1298"/>
      <c r="AE68" s="1298"/>
      <c r="AF68" s="1298"/>
      <c r="AG68" s="1297"/>
      <c r="AH68" s="1297"/>
      <c r="AI68" s="1298"/>
      <c r="AJ68" s="1297"/>
      <c r="AK68" s="1298"/>
      <c r="AL68" s="2109"/>
      <c r="AM68" s="1946"/>
      <c r="AN68" s="1946"/>
      <c r="AO68" s="1946"/>
      <c r="AP68" s="1946"/>
      <c r="AQ68" s="1946"/>
      <c r="AR68" s="1946"/>
      <c r="AS68" s="1946"/>
      <c r="AT68" s="1946"/>
      <c r="AU68" s="1946"/>
      <c r="AV68" s="1946"/>
      <c r="AW68" s="1946"/>
      <c r="AX68" s="1946"/>
      <c r="AY68" s="1946"/>
      <c r="AZ68" s="1946"/>
      <c r="BA68" s="1946"/>
      <c r="BB68" s="1946"/>
      <c r="BC68" s="1946"/>
      <c r="BD68" s="1946"/>
      <c r="BE68" s="1946"/>
      <c r="BF68" s="1946"/>
      <c r="BG68" s="7213"/>
    </row>
    <row customHeight="1" ht="0.75">
      <c r="A69" s="1290" t="s">
        <v>1169</v>
      </c>
      <c r="B69" s="1290"/>
      <c r="C69" s="1290"/>
      <c r="D69" s="1284"/>
      <c r="E69" s="1294"/>
      <c r="F69" s="2673">
        <v>2025</v>
      </c>
      <c r="G69" s="2652"/>
      <c r="H69" s="2677" t="s">
        <v>488</v>
      </c>
      <c r="I69" s="2678"/>
      <c r="J69" s="2679"/>
      <c r="K69" s="2679"/>
      <c r="L69" s="2671"/>
      <c r="M69" s="2405"/>
      <c r="N69" s="2157"/>
      <c r="O69" s="2156"/>
      <c r="P69" s="2157"/>
      <c r="Q69" s="2157"/>
      <c r="R69" s="2157"/>
      <c r="S69" s="2157"/>
      <c r="T69" s="2157"/>
      <c r="U69" s="2157"/>
      <c r="V69" s="2157"/>
      <c r="W69" s="2157"/>
      <c r="X69" s="2157"/>
      <c r="Y69" s="2157"/>
      <c r="Z69" s="2157"/>
      <c r="AA69" s="2157"/>
      <c r="AB69" s="2157"/>
      <c r="AC69" s="2157"/>
      <c r="AD69" s="2157"/>
      <c r="AE69" s="2157"/>
      <c r="AF69" s="2675"/>
      <c r="AG69" s="2671"/>
      <c r="AH69" s="2671"/>
      <c r="AI69" s="2675"/>
      <c r="AJ69" s="2671"/>
      <c r="AK69" s="2671"/>
      <c r="AL69" s="2109"/>
      <c r="AM69" s="1946"/>
      <c r="AN69" s="1946"/>
      <c r="AO69" s="1946"/>
      <c r="AP69" s="1946"/>
      <c r="AQ69" s="1946"/>
      <c r="AR69" s="1946"/>
      <c r="AS69" s="1946"/>
      <c r="AT69" s="1946"/>
      <c r="AU69" s="1946"/>
      <c r="AV69" s="1946"/>
      <c r="AW69" s="1946"/>
      <c r="AX69" s="1946"/>
      <c r="AY69" s="1946"/>
      <c r="AZ69" s="1946"/>
      <c r="BA69" s="1946"/>
      <c r="BB69" s="1946"/>
      <c r="BC69" s="1946"/>
      <c r="BD69" s="1946"/>
      <c r="BE69" s="1946"/>
      <c r="BF69" s="1946"/>
      <c r="BG69" s="7213"/>
    </row>
    <row customHeight="1" ht="0.75">
      <c r="A70" s="1290" t="s">
        <v>1169</v>
      </c>
      <c r="B70" s="1290"/>
      <c r="C70" s="1290"/>
      <c r="D70" s="1284"/>
      <c r="E70" s="1294"/>
      <c r="F70" s="2673"/>
      <c r="G70" s="2652"/>
      <c r="H70" s="2677"/>
      <c r="I70" s="2678"/>
      <c r="J70" s="2679"/>
      <c r="K70" s="2679"/>
      <c r="L70" s="2671"/>
      <c r="M70" s="2405"/>
      <c r="N70" s="2680"/>
      <c r="O70" s="2681"/>
      <c r="P70" s="2725"/>
      <c r="Q70" s="2676"/>
      <c r="R70" s="2676"/>
      <c r="S70" s="2676"/>
      <c r="T70" s="2676"/>
      <c r="U70" s="2676"/>
      <c r="V70" s="2676"/>
      <c r="W70" s="2676"/>
      <c r="X70" s="2676"/>
      <c r="Y70" s="2676"/>
      <c r="Z70" s="2158"/>
      <c r="AA70" s="2159"/>
      <c r="AB70" s="2159"/>
      <c r="AC70" s="2160"/>
      <c r="AD70" s="2160"/>
      <c r="AE70" s="2161"/>
      <c r="AF70" s="2675"/>
      <c r="AG70" s="2671"/>
      <c r="AH70" s="2671"/>
      <c r="AI70" s="2675"/>
      <c r="AJ70" s="2671"/>
      <c r="AK70" s="2671"/>
      <c r="AL70" s="2109"/>
      <c r="AM70" s="1946"/>
      <c r="AN70" s="1946"/>
      <c r="AO70" s="1946"/>
      <c r="AP70" s="1946"/>
      <c r="AQ70" s="1946"/>
      <c r="AR70" s="1946"/>
      <c r="AS70" s="1946"/>
      <c r="AT70" s="1946"/>
      <c r="AU70" s="1946"/>
      <c r="AV70" s="1946"/>
      <c r="AW70" s="1946"/>
      <c r="AX70" s="1946"/>
      <c r="AY70" s="1946"/>
      <c r="AZ70" s="1946"/>
      <c r="BA70" s="1946"/>
      <c r="BB70" s="1946"/>
      <c r="BC70" s="1946"/>
      <c r="BD70" s="1946"/>
      <c r="BE70" s="1946"/>
      <c r="BF70" s="1946"/>
      <c r="BG70" s="7213"/>
    </row>
    <row customHeight="1" ht="0.75">
      <c r="A71" s="1290" t="s">
        <v>1169</v>
      </c>
      <c r="B71" s="1290"/>
      <c r="C71" s="1290"/>
      <c r="D71" s="1284"/>
      <c r="E71" s="1294"/>
      <c r="F71" s="2673"/>
      <c r="G71" s="2652"/>
      <c r="H71" s="2677"/>
      <c r="I71" s="2678"/>
      <c r="J71" s="2679"/>
      <c r="K71" s="2679"/>
      <c r="L71" s="2671"/>
      <c r="M71" s="2405"/>
      <c r="N71" s="2680"/>
      <c r="O71" s="2681"/>
      <c r="P71" s="2726"/>
      <c r="Q71" s="2676"/>
      <c r="R71" s="2676"/>
      <c r="S71" s="2676"/>
      <c r="T71" s="2676"/>
      <c r="U71" s="2676"/>
      <c r="V71" s="2676"/>
      <c r="W71" s="2676"/>
      <c r="X71" s="2676"/>
      <c r="Y71" s="2676"/>
      <c r="Z71" s="2162"/>
      <c r="AA71" s="2163"/>
      <c r="AB71" s="2164"/>
      <c r="AC71" s="2165"/>
      <c r="AD71" s="2164"/>
      <c r="AE71" s="2165"/>
      <c r="AF71" s="2675"/>
      <c r="AG71" s="2671"/>
      <c r="AH71" s="2671"/>
      <c r="AI71" s="2675"/>
      <c r="AJ71" s="2671"/>
      <c r="AK71" s="2671"/>
      <c r="AL71" s="2109"/>
      <c r="AM71" s="1946"/>
      <c r="AN71" s="1946"/>
      <c r="AO71" s="1946"/>
      <c r="AP71" s="1946"/>
      <c r="AQ71" s="1946"/>
      <c r="AR71" s="1946"/>
      <c r="AS71" s="1946"/>
      <c r="AT71" s="1946"/>
      <c r="AU71" s="1946"/>
      <c r="AV71" s="1946"/>
      <c r="AW71" s="1946"/>
      <c r="AX71" s="1946"/>
      <c r="AY71" s="1946"/>
      <c r="AZ71" s="1946"/>
      <c r="BA71" s="1946"/>
      <c r="BB71" s="1946"/>
      <c r="BC71" s="1946"/>
      <c r="BD71" s="1946"/>
      <c r="BE71" s="1946"/>
      <c r="BF71" s="1946"/>
      <c r="BG71" s="7213"/>
    </row>
    <row customHeight="1" ht="0.75">
      <c r="A72" s="1290" t="s">
        <v>1169</v>
      </c>
      <c r="B72" s="1290"/>
      <c r="C72" s="1290"/>
      <c r="D72" s="1284"/>
      <c r="E72" s="1294"/>
      <c r="F72" s="2673"/>
      <c r="G72" s="2652"/>
      <c r="H72" s="2677"/>
      <c r="I72" s="2678"/>
      <c r="J72" s="2679"/>
      <c r="K72" s="2679"/>
      <c r="L72" s="2671"/>
      <c r="M72" s="2405"/>
      <c r="N72" s="2680"/>
      <c r="O72" s="2681"/>
      <c r="P72" s="2727"/>
      <c r="Q72" s="2676"/>
      <c r="R72" s="2676"/>
      <c r="S72" s="2676"/>
      <c r="T72" s="2676"/>
      <c r="U72" s="2676"/>
      <c r="V72" s="2676"/>
      <c r="W72" s="2676"/>
      <c r="X72" s="2676"/>
      <c r="Y72" s="2676"/>
      <c r="Z72" s="2158"/>
      <c r="AA72" s="2159"/>
      <c r="AB72" s="2166"/>
      <c r="AC72" s="2160"/>
      <c r="AD72" s="2160"/>
      <c r="AE72" s="2167"/>
      <c r="AF72" s="2675"/>
      <c r="AG72" s="2671"/>
      <c r="AH72" s="2671"/>
      <c r="AI72" s="2675"/>
      <c r="AJ72" s="2671"/>
      <c r="AK72" s="2671"/>
      <c r="AL72" s="2109"/>
      <c r="AM72" s="1946"/>
      <c r="AN72" s="1946"/>
      <c r="AO72" s="1946"/>
      <c r="AP72" s="1946"/>
      <c r="AQ72" s="1946"/>
      <c r="AR72" s="1946"/>
      <c r="AS72" s="1946"/>
      <c r="AT72" s="1946"/>
      <c r="AU72" s="1946"/>
      <c r="AV72" s="1946"/>
      <c r="AW72" s="1946"/>
      <c r="AX72" s="1946"/>
      <c r="AY72" s="1946"/>
      <c r="AZ72" s="1946"/>
      <c r="BA72" s="1946"/>
      <c r="BB72" s="1946"/>
      <c r="BC72" s="1946"/>
      <c r="BD72" s="1946"/>
      <c r="BE72" s="1946"/>
      <c r="BF72" s="1946"/>
      <c r="BG72" s="7213"/>
    </row>
    <row customHeight="1" ht="0.75">
      <c r="A73" s="1290" t="s">
        <v>1169</v>
      </c>
      <c r="B73" s="1290"/>
      <c r="C73" s="1290"/>
      <c r="D73" s="1284"/>
      <c r="E73" s="1294"/>
      <c r="F73" s="2673"/>
      <c r="G73" s="2652"/>
      <c r="H73" s="2677"/>
      <c r="I73" s="2678"/>
      <c r="J73" s="2679"/>
      <c r="K73" s="2679"/>
      <c r="L73" s="2671"/>
      <c r="M73" s="2405"/>
      <c r="N73" s="2159"/>
      <c r="O73" s="2159"/>
      <c r="P73" s="2166"/>
      <c r="Q73" s="2159"/>
      <c r="R73" s="2159"/>
      <c r="S73" s="2159"/>
      <c r="T73" s="2159"/>
      <c r="U73" s="2159"/>
      <c r="V73" s="2159"/>
      <c r="W73" s="2159"/>
      <c r="X73" s="2159"/>
      <c r="Y73" s="2159"/>
      <c r="Z73" s="2159"/>
      <c r="AA73" s="2159"/>
      <c r="AB73" s="2159"/>
      <c r="AC73" s="2159"/>
      <c r="AD73" s="2159"/>
      <c r="AE73" s="2168"/>
      <c r="AF73" s="2675"/>
      <c r="AG73" s="2671"/>
      <c r="AH73" s="2671"/>
      <c r="AI73" s="2675"/>
      <c r="AJ73" s="2671"/>
      <c r="AK73" s="2671"/>
      <c r="AL73" s="2109"/>
      <c r="AM73" s="1946"/>
      <c r="AN73" s="1946"/>
      <c r="AO73" s="1946"/>
      <c r="AP73" s="1946"/>
      <c r="AQ73" s="1946"/>
      <c r="AR73" s="1946"/>
      <c r="AS73" s="1946"/>
      <c r="AT73" s="1946"/>
      <c r="AU73" s="1946"/>
      <c r="AV73" s="1946"/>
      <c r="AW73" s="1946"/>
      <c r="AX73" s="1946"/>
      <c r="AY73" s="1946"/>
      <c r="AZ73" s="1946"/>
      <c r="BA73" s="1946"/>
      <c r="BB73" s="1946"/>
      <c r="BC73" s="1946"/>
      <c r="BD73" s="1946"/>
      <c r="BE73" s="1946"/>
      <c r="BF73" s="1946"/>
      <c r="BG73" s="7213"/>
    </row>
    <row customHeight="1" ht="12">
      <c r="A74" s="1290" t="s">
        <v>1169</v>
      </c>
      <c r="B74" s="1290"/>
      <c r="C74" s="1290"/>
      <c r="D74" s="1284"/>
      <c r="E74" s="1294"/>
      <c r="F74" s="2674"/>
      <c r="G74" s="1314"/>
      <c r="H74" s="1314"/>
      <c r="I74" s="2672" t="s">
        <v>1294</v>
      </c>
      <c r="J74" s="2672"/>
      <c r="K74" s="2672"/>
      <c r="L74" s="1297"/>
      <c r="M74" s="1297"/>
      <c r="N74" s="1298"/>
      <c r="O74" s="1298"/>
      <c r="P74" s="1298"/>
      <c r="Q74" s="1298"/>
      <c r="R74" s="1298"/>
      <c r="S74" s="1298"/>
      <c r="T74" s="1298"/>
      <c r="U74" s="1298"/>
      <c r="V74" s="1298"/>
      <c r="W74" s="1298"/>
      <c r="X74" s="1298"/>
      <c r="Y74" s="1298"/>
      <c r="Z74" s="1298"/>
      <c r="AA74" s="1298"/>
      <c r="AB74" s="1298"/>
      <c r="AC74" s="1298"/>
      <c r="AD74" s="1298"/>
      <c r="AE74" s="1298"/>
      <c r="AF74" s="1298"/>
      <c r="AG74" s="1297"/>
      <c r="AH74" s="1297"/>
      <c r="AI74" s="1298"/>
      <c r="AJ74" s="1297"/>
      <c r="AK74" s="1298"/>
      <c r="AL74" s="2109"/>
      <c r="AM74" s="1946"/>
      <c r="AN74" s="1946"/>
      <c r="AO74" s="1946"/>
      <c r="AP74" s="1946"/>
      <c r="AQ74" s="1946"/>
      <c r="AR74" s="1946"/>
      <c r="AS74" s="1946"/>
      <c r="AT74" s="1946"/>
      <c r="AU74" s="1946"/>
      <c r="AV74" s="1946"/>
      <c r="AW74" s="1946"/>
      <c r="AX74" s="1946"/>
      <c r="AY74" s="1946"/>
      <c r="AZ74" s="1946"/>
      <c r="BA74" s="1946"/>
      <c r="BB74" s="1946"/>
      <c r="BC74" s="1946"/>
      <c r="BD74" s="1946"/>
      <c r="BE74" s="1946"/>
      <c r="BF74" s="1946"/>
      <c r="BG74" s="7213"/>
    </row>
    <row customHeight="1" ht="0.75">
      <c r="A75" s="1290" t="s">
        <v>1169</v>
      </c>
      <c r="B75" s="1290"/>
      <c r="C75" s="1290"/>
      <c r="D75" s="1284"/>
      <c r="E75" s="1294"/>
      <c r="F75" s="2673">
        <v>2026</v>
      </c>
      <c r="G75" s="2652"/>
      <c r="H75" s="2677" t="s">
        <v>488</v>
      </c>
      <c r="I75" s="2678"/>
      <c r="J75" s="2679"/>
      <c r="K75" s="2679"/>
      <c r="L75" s="2671"/>
      <c r="M75" s="2405"/>
      <c r="N75" s="2157"/>
      <c r="O75" s="2156"/>
      <c r="P75" s="2157"/>
      <c r="Q75" s="2157"/>
      <c r="R75" s="2157"/>
      <c r="S75" s="2157"/>
      <c r="T75" s="2157"/>
      <c r="U75" s="2157"/>
      <c r="V75" s="2157"/>
      <c r="W75" s="2157"/>
      <c r="X75" s="2157"/>
      <c r="Y75" s="2157"/>
      <c r="Z75" s="2157"/>
      <c r="AA75" s="2157"/>
      <c r="AB75" s="2157"/>
      <c r="AC75" s="2157"/>
      <c r="AD75" s="2157"/>
      <c r="AE75" s="2157"/>
      <c r="AF75" s="2675"/>
      <c r="AG75" s="2671"/>
      <c r="AH75" s="2671"/>
      <c r="AI75" s="2675"/>
      <c r="AJ75" s="2671"/>
      <c r="AK75" s="2671"/>
      <c r="AL75" s="2109"/>
      <c r="AM75" s="1946"/>
      <c r="AN75" s="1946"/>
      <c r="AO75" s="1946"/>
      <c r="AP75" s="1946"/>
      <c r="AQ75" s="1946"/>
      <c r="AR75" s="1946"/>
      <c r="AS75" s="1946"/>
      <c r="AT75" s="1946"/>
      <c r="AU75" s="1946"/>
      <c r="AV75" s="1946"/>
      <c r="AW75" s="1946"/>
      <c r="AX75" s="1946"/>
      <c r="AY75" s="1946"/>
      <c r="AZ75" s="1946"/>
      <c r="BA75" s="1946"/>
      <c r="BB75" s="1946"/>
      <c r="BC75" s="1946"/>
      <c r="BD75" s="1946"/>
      <c r="BE75" s="1946"/>
      <c r="BF75" s="1946"/>
      <c r="BG75" s="7213"/>
    </row>
    <row customHeight="1" ht="0.75">
      <c r="A76" s="1290" t="s">
        <v>1169</v>
      </c>
      <c r="B76" s="1290"/>
      <c r="C76" s="1290"/>
      <c r="D76" s="1284"/>
      <c r="E76" s="1294"/>
      <c r="F76" s="2673"/>
      <c r="G76" s="2652"/>
      <c r="H76" s="2677"/>
      <c r="I76" s="2678"/>
      <c r="J76" s="2679"/>
      <c r="K76" s="2679"/>
      <c r="L76" s="2671"/>
      <c r="M76" s="2405"/>
      <c r="N76" s="2680"/>
      <c r="O76" s="2681"/>
      <c r="P76" s="2725"/>
      <c r="Q76" s="2676"/>
      <c r="R76" s="2676"/>
      <c r="S76" s="2676"/>
      <c r="T76" s="2676"/>
      <c r="U76" s="2676"/>
      <c r="V76" s="2676"/>
      <c r="W76" s="2676"/>
      <c r="X76" s="2676"/>
      <c r="Y76" s="2676"/>
      <c r="Z76" s="2158"/>
      <c r="AA76" s="2159"/>
      <c r="AB76" s="2159"/>
      <c r="AC76" s="2160"/>
      <c r="AD76" s="2160"/>
      <c r="AE76" s="2161"/>
      <c r="AF76" s="2675"/>
      <c r="AG76" s="2671"/>
      <c r="AH76" s="2671"/>
      <c r="AI76" s="2675"/>
      <c r="AJ76" s="2671"/>
      <c r="AK76" s="2671"/>
      <c r="AL76" s="2109"/>
      <c r="AM76" s="1946"/>
      <c r="AN76" s="1946"/>
      <c r="AO76" s="1946"/>
      <c r="AP76" s="1946"/>
      <c r="AQ76" s="1946"/>
      <c r="AR76" s="1946"/>
      <c r="AS76" s="1946"/>
      <c r="AT76" s="1946"/>
      <c r="AU76" s="1946"/>
      <c r="AV76" s="1946"/>
      <c r="AW76" s="1946"/>
      <c r="AX76" s="1946"/>
      <c r="AY76" s="1946"/>
      <c r="AZ76" s="1946"/>
      <c r="BA76" s="1946"/>
      <c r="BB76" s="1946"/>
      <c r="BC76" s="1946"/>
      <c r="BD76" s="1946"/>
      <c r="BE76" s="1946"/>
      <c r="BF76" s="1946"/>
      <c r="BG76" s="7213"/>
    </row>
    <row customHeight="1" ht="0.75">
      <c r="A77" s="1290" t="s">
        <v>1169</v>
      </c>
      <c r="B77" s="1290"/>
      <c r="C77" s="1290"/>
      <c r="D77" s="1284"/>
      <c r="E77" s="1294"/>
      <c r="F77" s="2673"/>
      <c r="G77" s="2652"/>
      <c r="H77" s="2677"/>
      <c r="I77" s="2678"/>
      <c r="J77" s="2679"/>
      <c r="K77" s="2679"/>
      <c r="L77" s="2671"/>
      <c r="M77" s="2405"/>
      <c r="N77" s="2680"/>
      <c r="O77" s="2681"/>
      <c r="P77" s="2726"/>
      <c r="Q77" s="2676"/>
      <c r="R77" s="2676"/>
      <c r="S77" s="2676"/>
      <c r="T77" s="2676"/>
      <c r="U77" s="2676"/>
      <c r="V77" s="2676"/>
      <c r="W77" s="2676"/>
      <c r="X77" s="2676"/>
      <c r="Y77" s="2676"/>
      <c r="Z77" s="2162"/>
      <c r="AA77" s="2163"/>
      <c r="AB77" s="2164"/>
      <c r="AC77" s="2165"/>
      <c r="AD77" s="2164"/>
      <c r="AE77" s="2165"/>
      <c r="AF77" s="2675"/>
      <c r="AG77" s="2671"/>
      <c r="AH77" s="2671"/>
      <c r="AI77" s="2675"/>
      <c r="AJ77" s="2671"/>
      <c r="AK77" s="2671"/>
      <c r="AL77" s="2109"/>
      <c r="AM77" s="1946"/>
      <c r="AN77" s="1946"/>
      <c r="AO77" s="1946"/>
      <c r="AP77" s="1946"/>
      <c r="AQ77" s="1946"/>
      <c r="AR77" s="1946"/>
      <c r="AS77" s="1946"/>
      <c r="AT77" s="1946"/>
      <c r="AU77" s="1946"/>
      <c r="AV77" s="1946"/>
      <c r="AW77" s="1946"/>
      <c r="AX77" s="1946"/>
      <c r="AY77" s="1946"/>
      <c r="AZ77" s="1946"/>
      <c r="BA77" s="1946"/>
      <c r="BB77" s="1946"/>
      <c r="BC77" s="1946"/>
      <c r="BD77" s="1946"/>
      <c r="BE77" s="1946"/>
      <c r="BF77" s="1946"/>
      <c r="BG77" s="7213"/>
    </row>
    <row customHeight="1" ht="0.75">
      <c r="A78" s="1290" t="s">
        <v>1169</v>
      </c>
      <c r="B78" s="1290"/>
      <c r="C78" s="1290"/>
      <c r="D78" s="1284"/>
      <c r="E78" s="1294"/>
      <c r="F78" s="2673"/>
      <c r="G78" s="2652"/>
      <c r="H78" s="2677"/>
      <c r="I78" s="2678"/>
      <c r="J78" s="2679"/>
      <c r="K78" s="2679"/>
      <c r="L78" s="2671"/>
      <c r="M78" s="2405"/>
      <c r="N78" s="2680"/>
      <c r="O78" s="2681"/>
      <c r="P78" s="2727"/>
      <c r="Q78" s="2676"/>
      <c r="R78" s="2676"/>
      <c r="S78" s="2676"/>
      <c r="T78" s="2676"/>
      <c r="U78" s="2676"/>
      <c r="V78" s="2676"/>
      <c r="W78" s="2676"/>
      <c r="X78" s="2676"/>
      <c r="Y78" s="2676"/>
      <c r="Z78" s="2158"/>
      <c r="AA78" s="2159"/>
      <c r="AB78" s="2166"/>
      <c r="AC78" s="2160"/>
      <c r="AD78" s="2160"/>
      <c r="AE78" s="2167"/>
      <c r="AF78" s="2675"/>
      <c r="AG78" s="2671"/>
      <c r="AH78" s="2671"/>
      <c r="AI78" s="2675"/>
      <c r="AJ78" s="2671"/>
      <c r="AK78" s="2671"/>
      <c r="AL78" s="2109"/>
      <c r="AM78" s="1946"/>
      <c r="AN78" s="1946"/>
      <c r="AO78" s="1946"/>
      <c r="AP78" s="1946"/>
      <c r="AQ78" s="1946"/>
      <c r="AR78" s="1946"/>
      <c r="AS78" s="1946"/>
      <c r="AT78" s="1946"/>
      <c r="AU78" s="1946"/>
      <c r="AV78" s="1946"/>
      <c r="AW78" s="1946"/>
      <c r="AX78" s="1946"/>
      <c r="AY78" s="1946"/>
      <c r="AZ78" s="1946"/>
      <c r="BA78" s="1946"/>
      <c r="BB78" s="1946"/>
      <c r="BC78" s="1946"/>
      <c r="BD78" s="1946"/>
      <c r="BE78" s="1946"/>
      <c r="BF78" s="1946"/>
      <c r="BG78" s="7213"/>
    </row>
    <row customHeight="1" ht="0.75">
      <c r="A79" s="1290" t="s">
        <v>1169</v>
      </c>
      <c r="B79" s="1290"/>
      <c r="C79" s="1290"/>
      <c r="D79" s="1284"/>
      <c r="E79" s="1294"/>
      <c r="F79" s="2673"/>
      <c r="G79" s="2652"/>
      <c r="H79" s="2677"/>
      <c r="I79" s="2678"/>
      <c r="J79" s="2679"/>
      <c r="K79" s="2679"/>
      <c r="L79" s="2671"/>
      <c r="M79" s="2405"/>
      <c r="N79" s="2159"/>
      <c r="O79" s="2159"/>
      <c r="P79" s="2166"/>
      <c r="Q79" s="2159"/>
      <c r="R79" s="2159"/>
      <c r="S79" s="2159"/>
      <c r="T79" s="2159"/>
      <c r="U79" s="2159"/>
      <c r="V79" s="2159"/>
      <c r="W79" s="2159"/>
      <c r="X79" s="2159"/>
      <c r="Y79" s="2159"/>
      <c r="Z79" s="2159"/>
      <c r="AA79" s="2159"/>
      <c r="AB79" s="2159"/>
      <c r="AC79" s="2159"/>
      <c r="AD79" s="2159"/>
      <c r="AE79" s="2168"/>
      <c r="AF79" s="2675"/>
      <c r="AG79" s="2671"/>
      <c r="AH79" s="2671"/>
      <c r="AI79" s="2675"/>
      <c r="AJ79" s="2671"/>
      <c r="AK79" s="2671"/>
      <c r="AL79" s="2109"/>
      <c r="AM79" s="1946"/>
      <c r="AN79" s="1946"/>
      <c r="AO79" s="1946"/>
      <c r="AP79" s="1946"/>
      <c r="AQ79" s="1946"/>
      <c r="AR79" s="1946"/>
      <c r="AS79" s="1946"/>
      <c r="AT79" s="1946"/>
      <c r="AU79" s="1946"/>
      <c r="AV79" s="1946"/>
      <c r="AW79" s="1946"/>
      <c r="AX79" s="1946"/>
      <c r="AY79" s="1946"/>
      <c r="AZ79" s="1946"/>
      <c r="BA79" s="1946"/>
      <c r="BB79" s="1946"/>
      <c r="BC79" s="1946"/>
      <c r="BD79" s="1946"/>
      <c r="BE79" s="1946"/>
      <c r="BF79" s="1946"/>
      <c r="BG79" s="7213"/>
    </row>
    <row customHeight="1" ht="12">
      <c r="A80" s="1290" t="s">
        <v>1169</v>
      </c>
      <c r="B80" s="1290"/>
      <c r="C80" s="1290"/>
      <c r="D80" s="1284"/>
      <c r="E80" s="1294"/>
      <c r="F80" s="2674"/>
      <c r="G80" s="1314"/>
      <c r="H80" s="1314"/>
      <c r="I80" s="2672" t="s">
        <v>1294</v>
      </c>
      <c r="J80" s="2672"/>
      <c r="K80" s="2672"/>
      <c r="L80" s="1297"/>
      <c r="M80" s="1297"/>
      <c r="N80" s="1298"/>
      <c r="O80" s="1298"/>
      <c r="P80" s="1298"/>
      <c r="Q80" s="1298"/>
      <c r="R80" s="1298"/>
      <c r="S80" s="1298"/>
      <c r="T80" s="1298"/>
      <c r="U80" s="1298"/>
      <c r="V80" s="1298"/>
      <c r="W80" s="1298"/>
      <c r="X80" s="1298"/>
      <c r="Y80" s="1298"/>
      <c r="Z80" s="1298"/>
      <c r="AA80" s="1298"/>
      <c r="AB80" s="1298"/>
      <c r="AC80" s="1298"/>
      <c r="AD80" s="1298"/>
      <c r="AE80" s="1298"/>
      <c r="AF80" s="1298"/>
      <c r="AG80" s="1297"/>
      <c r="AH80" s="1297"/>
      <c r="AI80" s="1298"/>
      <c r="AJ80" s="1297"/>
      <c r="AK80" s="1298"/>
      <c r="AL80" s="2109"/>
      <c r="AM80" s="1946"/>
      <c r="AN80" s="1946"/>
      <c r="AO80" s="1946"/>
      <c r="AP80" s="1946"/>
      <c r="AQ80" s="1946"/>
      <c r="AR80" s="1946"/>
      <c r="AS80" s="1946"/>
      <c r="AT80" s="1946"/>
      <c r="AU80" s="1946"/>
      <c r="AV80" s="1946"/>
      <c r="AW80" s="1946"/>
      <c r="AX80" s="1946"/>
      <c r="AY80" s="1946"/>
      <c r="AZ80" s="1946"/>
      <c r="BA80" s="1946"/>
      <c r="BB80" s="1946"/>
      <c r="BC80" s="1946"/>
      <c r="BD80" s="1946"/>
      <c r="BE80" s="1946"/>
      <c r="BF80" s="1946"/>
      <c r="BG80" s="7213"/>
    </row>
    <row customHeight="1" ht="0.75">
      <c r="A81" s="1290" t="s">
        <v>1169</v>
      </c>
      <c r="B81" s="1290"/>
      <c r="C81" s="1290"/>
      <c r="D81" s="1284"/>
      <c r="E81" s="1294"/>
      <c r="F81" s="2673">
        <v>2027</v>
      </c>
      <c r="G81" s="2652"/>
      <c r="H81" s="2677" t="s">
        <v>488</v>
      </c>
      <c r="I81" s="2678"/>
      <c r="J81" s="2679"/>
      <c r="K81" s="2679"/>
      <c r="L81" s="2671"/>
      <c r="M81" s="2405"/>
      <c r="N81" s="2157"/>
      <c r="O81" s="2156"/>
      <c r="P81" s="2157"/>
      <c r="Q81" s="2157"/>
      <c r="R81" s="2157"/>
      <c r="S81" s="2157"/>
      <c r="T81" s="2157"/>
      <c r="U81" s="2157"/>
      <c r="V81" s="2157"/>
      <c r="W81" s="2157"/>
      <c r="X81" s="2157"/>
      <c r="Y81" s="2157"/>
      <c r="Z81" s="2157"/>
      <c r="AA81" s="2157"/>
      <c r="AB81" s="2157"/>
      <c r="AC81" s="2157"/>
      <c r="AD81" s="2157"/>
      <c r="AE81" s="2157"/>
      <c r="AF81" s="2675"/>
      <c r="AG81" s="2671"/>
      <c r="AH81" s="2671"/>
      <c r="AI81" s="2675"/>
      <c r="AJ81" s="2671"/>
      <c r="AK81" s="2671"/>
      <c r="AL81" s="2109"/>
      <c r="AM81" s="1946"/>
      <c r="AN81" s="1946"/>
      <c r="AO81" s="1946"/>
      <c r="AP81" s="1946"/>
      <c r="AQ81" s="1946"/>
      <c r="AR81" s="1946"/>
      <c r="AS81" s="1946"/>
      <c r="AT81" s="1946"/>
      <c r="AU81" s="1946"/>
      <c r="AV81" s="1946"/>
      <c r="AW81" s="1946"/>
      <c r="AX81" s="1946"/>
      <c r="AY81" s="1946"/>
      <c r="AZ81" s="1946"/>
      <c r="BA81" s="1946"/>
      <c r="BB81" s="1946"/>
      <c r="BC81" s="1946"/>
      <c r="BD81" s="1946"/>
      <c r="BE81" s="1946"/>
      <c r="BF81" s="1946"/>
      <c r="BG81" s="7213"/>
    </row>
    <row customHeight="1" ht="0.75">
      <c r="A82" s="1290" t="s">
        <v>1169</v>
      </c>
      <c r="B82" s="1290"/>
      <c r="C82" s="1290"/>
      <c r="D82" s="1284"/>
      <c r="E82" s="1294"/>
      <c r="F82" s="2673"/>
      <c r="G82" s="2652"/>
      <c r="H82" s="2677"/>
      <c r="I82" s="2678"/>
      <c r="J82" s="2679"/>
      <c r="K82" s="2679"/>
      <c r="L82" s="2671"/>
      <c r="M82" s="2405"/>
      <c r="N82" s="2680"/>
      <c r="O82" s="2681"/>
      <c r="P82" s="2725"/>
      <c r="Q82" s="2676"/>
      <c r="R82" s="2676"/>
      <c r="S82" s="2676"/>
      <c r="T82" s="2676"/>
      <c r="U82" s="2676"/>
      <c r="V82" s="2676"/>
      <c r="W82" s="2676"/>
      <c r="X82" s="2676"/>
      <c r="Y82" s="2676"/>
      <c r="Z82" s="2158"/>
      <c r="AA82" s="2159"/>
      <c r="AB82" s="2159"/>
      <c r="AC82" s="2160"/>
      <c r="AD82" s="2160"/>
      <c r="AE82" s="2161"/>
      <c r="AF82" s="2675"/>
      <c r="AG82" s="2671"/>
      <c r="AH82" s="2671"/>
      <c r="AI82" s="2675"/>
      <c r="AJ82" s="2671"/>
      <c r="AK82" s="2671"/>
      <c r="AL82" s="2109"/>
      <c r="AM82" s="1946"/>
      <c r="AN82" s="1946"/>
      <c r="AO82" s="1946"/>
      <c r="AP82" s="1946"/>
      <c r="AQ82" s="1946"/>
      <c r="AR82" s="1946"/>
      <c r="AS82" s="1946"/>
      <c r="AT82" s="1946"/>
      <c r="AU82" s="1946"/>
      <c r="AV82" s="1946"/>
      <c r="AW82" s="1946"/>
      <c r="AX82" s="1946"/>
      <c r="AY82" s="1946"/>
      <c r="AZ82" s="1946"/>
      <c r="BA82" s="1946"/>
      <c r="BB82" s="1946"/>
      <c r="BC82" s="1946"/>
      <c r="BD82" s="1946"/>
      <c r="BE82" s="1946"/>
      <c r="BF82" s="1946"/>
      <c r="BG82" s="7213"/>
    </row>
    <row customHeight="1" ht="0.75">
      <c r="A83" s="1290" t="s">
        <v>1169</v>
      </c>
      <c r="B83" s="1290"/>
      <c r="C83" s="1290"/>
      <c r="D83" s="1284"/>
      <c r="E83" s="1294"/>
      <c r="F83" s="2673"/>
      <c r="G83" s="2652"/>
      <c r="H83" s="2677"/>
      <c r="I83" s="2678"/>
      <c r="J83" s="2679"/>
      <c r="K83" s="2679"/>
      <c r="L83" s="2671"/>
      <c r="M83" s="2405"/>
      <c r="N83" s="2680"/>
      <c r="O83" s="2681"/>
      <c r="P83" s="2726"/>
      <c r="Q83" s="2676"/>
      <c r="R83" s="2676"/>
      <c r="S83" s="2676"/>
      <c r="T83" s="2676"/>
      <c r="U83" s="2676"/>
      <c r="V83" s="2676"/>
      <c r="W83" s="2676"/>
      <c r="X83" s="2676"/>
      <c r="Y83" s="2676"/>
      <c r="Z83" s="2162"/>
      <c r="AA83" s="2163"/>
      <c r="AB83" s="2164"/>
      <c r="AC83" s="2165"/>
      <c r="AD83" s="2164"/>
      <c r="AE83" s="2165"/>
      <c r="AF83" s="2675"/>
      <c r="AG83" s="2671"/>
      <c r="AH83" s="2671"/>
      <c r="AI83" s="2675"/>
      <c r="AJ83" s="2671"/>
      <c r="AK83" s="2671"/>
      <c r="AL83" s="2109"/>
      <c r="AM83" s="1946"/>
      <c r="AN83" s="1946"/>
      <c r="AO83" s="1946"/>
      <c r="AP83" s="1946"/>
      <c r="AQ83" s="1946"/>
      <c r="AR83" s="1946"/>
      <c r="AS83" s="1946"/>
      <c r="AT83" s="1946"/>
      <c r="AU83" s="1946"/>
      <c r="AV83" s="1946"/>
      <c r="AW83" s="1946"/>
      <c r="AX83" s="1946"/>
      <c r="AY83" s="1946"/>
      <c r="AZ83" s="1946"/>
      <c r="BA83" s="1946"/>
      <c r="BB83" s="1946"/>
      <c r="BC83" s="1946"/>
      <c r="BD83" s="1946"/>
      <c r="BE83" s="1946"/>
      <c r="BF83" s="1946"/>
      <c r="BG83" s="7213"/>
    </row>
    <row customHeight="1" ht="0.75">
      <c r="A84" s="1290" t="s">
        <v>1169</v>
      </c>
      <c r="B84" s="1290"/>
      <c r="C84" s="1290"/>
      <c r="D84" s="1284"/>
      <c r="E84" s="1294"/>
      <c r="F84" s="2673"/>
      <c r="G84" s="2652"/>
      <c r="H84" s="2677"/>
      <c r="I84" s="2678"/>
      <c r="J84" s="2679"/>
      <c r="K84" s="2679"/>
      <c r="L84" s="2671"/>
      <c r="M84" s="2405"/>
      <c r="N84" s="2680"/>
      <c r="O84" s="2681"/>
      <c r="P84" s="2727"/>
      <c r="Q84" s="2676"/>
      <c r="R84" s="2676"/>
      <c r="S84" s="2676"/>
      <c r="T84" s="2676"/>
      <c r="U84" s="2676"/>
      <c r="V84" s="2676"/>
      <c r="W84" s="2676"/>
      <c r="X84" s="2676"/>
      <c r="Y84" s="2676"/>
      <c r="Z84" s="2158"/>
      <c r="AA84" s="2159"/>
      <c r="AB84" s="2166"/>
      <c r="AC84" s="2160"/>
      <c r="AD84" s="2160"/>
      <c r="AE84" s="2167"/>
      <c r="AF84" s="2675"/>
      <c r="AG84" s="2671"/>
      <c r="AH84" s="2671"/>
      <c r="AI84" s="2675"/>
      <c r="AJ84" s="2671"/>
      <c r="AK84" s="2671"/>
      <c r="AL84" s="2109"/>
      <c r="AM84" s="1946"/>
      <c r="AN84" s="1946"/>
      <c r="AO84" s="1946"/>
      <c r="AP84" s="1946"/>
      <c r="AQ84" s="1946"/>
      <c r="AR84" s="1946"/>
      <c r="AS84" s="1946"/>
      <c r="AT84" s="1946"/>
      <c r="AU84" s="1946"/>
      <c r="AV84" s="1946"/>
      <c r="AW84" s="1946"/>
      <c r="AX84" s="1946"/>
      <c r="AY84" s="1946"/>
      <c r="AZ84" s="1946"/>
      <c r="BA84" s="1946"/>
      <c r="BB84" s="1946"/>
      <c r="BC84" s="1946"/>
      <c r="BD84" s="1946"/>
      <c r="BE84" s="1946"/>
      <c r="BF84" s="1946"/>
      <c r="BG84" s="7213"/>
    </row>
    <row customHeight="1" ht="0.75">
      <c r="A85" s="1290" t="s">
        <v>1169</v>
      </c>
      <c r="B85" s="1290"/>
      <c r="C85" s="1290"/>
      <c r="D85" s="1284"/>
      <c r="E85" s="1294"/>
      <c r="F85" s="2673"/>
      <c r="G85" s="2652"/>
      <c r="H85" s="2677"/>
      <c r="I85" s="2678"/>
      <c r="J85" s="2679"/>
      <c r="K85" s="2679"/>
      <c r="L85" s="2671"/>
      <c r="M85" s="2405"/>
      <c r="N85" s="2159"/>
      <c r="O85" s="2159"/>
      <c r="P85" s="2166"/>
      <c r="Q85" s="2159"/>
      <c r="R85" s="2159"/>
      <c r="S85" s="2159"/>
      <c r="T85" s="2159"/>
      <c r="U85" s="2159"/>
      <c r="V85" s="2159"/>
      <c r="W85" s="2159"/>
      <c r="X85" s="2159"/>
      <c r="Y85" s="2159"/>
      <c r="Z85" s="2159"/>
      <c r="AA85" s="2159"/>
      <c r="AB85" s="2159"/>
      <c r="AC85" s="2159"/>
      <c r="AD85" s="2159"/>
      <c r="AE85" s="2168"/>
      <c r="AF85" s="2675"/>
      <c r="AG85" s="2671"/>
      <c r="AH85" s="2671"/>
      <c r="AI85" s="2675"/>
      <c r="AJ85" s="2671"/>
      <c r="AK85" s="2671"/>
      <c r="AL85" s="2109"/>
      <c r="AM85" s="1946"/>
      <c r="AN85" s="1946"/>
      <c r="AO85" s="1946"/>
      <c r="AP85" s="1946"/>
      <c r="AQ85" s="1946"/>
      <c r="AR85" s="1946"/>
      <c r="AS85" s="1946"/>
      <c r="AT85" s="1946"/>
      <c r="AU85" s="1946"/>
      <c r="AV85" s="1946"/>
      <c r="AW85" s="1946"/>
      <c r="AX85" s="1946"/>
      <c r="AY85" s="1946"/>
      <c r="AZ85" s="1946"/>
      <c r="BA85" s="1946"/>
      <c r="BB85" s="1946"/>
      <c r="BC85" s="1946"/>
      <c r="BD85" s="1946"/>
      <c r="BE85" s="1946"/>
      <c r="BF85" s="1946"/>
      <c r="BG85" s="7213"/>
    </row>
    <row customHeight="1" ht="12">
      <c r="A86" s="1290" t="s">
        <v>1169</v>
      </c>
      <c r="B86" s="1290"/>
      <c r="C86" s="1290"/>
      <c r="D86" s="1284"/>
      <c r="E86" s="1294"/>
      <c r="F86" s="2674"/>
      <c r="G86" s="1314"/>
      <c r="H86" s="1314"/>
      <c r="I86" s="2672" t="s">
        <v>1294</v>
      </c>
      <c r="J86" s="2672"/>
      <c r="K86" s="2672"/>
      <c r="L86" s="1297"/>
      <c r="M86" s="1297"/>
      <c r="N86" s="1298"/>
      <c r="O86" s="1298"/>
      <c r="P86" s="1298"/>
      <c r="Q86" s="1298"/>
      <c r="R86" s="1298"/>
      <c r="S86" s="1298"/>
      <c r="T86" s="1298"/>
      <c r="U86" s="1298"/>
      <c r="V86" s="1298"/>
      <c r="W86" s="1298"/>
      <c r="X86" s="1298"/>
      <c r="Y86" s="1298"/>
      <c r="Z86" s="1298"/>
      <c r="AA86" s="1298"/>
      <c r="AB86" s="1298"/>
      <c r="AC86" s="1298"/>
      <c r="AD86" s="1298"/>
      <c r="AE86" s="1298"/>
      <c r="AF86" s="1298"/>
      <c r="AG86" s="1297"/>
      <c r="AH86" s="1297"/>
      <c r="AI86" s="1298"/>
      <c r="AJ86" s="1297"/>
      <c r="AK86" s="1298"/>
      <c r="AL86" s="2109"/>
      <c r="AM86" s="1946"/>
      <c r="AN86" s="1946"/>
      <c r="AO86" s="1946"/>
      <c r="AP86" s="1946"/>
      <c r="AQ86" s="1946"/>
      <c r="AR86" s="1946"/>
      <c r="AS86" s="1946"/>
      <c r="AT86" s="1946"/>
      <c r="AU86" s="1946"/>
      <c r="AV86" s="1946"/>
      <c r="AW86" s="1946"/>
      <c r="AX86" s="1946"/>
      <c r="AY86" s="1946"/>
      <c r="AZ86" s="1946"/>
      <c r="BA86" s="1946"/>
      <c r="BB86" s="1946"/>
      <c r="BC86" s="1946"/>
      <c r="BD86" s="1946"/>
      <c r="BE86" s="1946"/>
      <c r="BF86" s="1946"/>
      <c r="BG86" s="7213"/>
    </row>
    <row customHeight="1" ht="0.75">
      <c r="A87" s="1290" t="s">
        <v>1169</v>
      </c>
      <c r="B87" s="1290"/>
      <c r="C87" s="1290"/>
      <c r="D87" s="1284"/>
      <c r="E87" s="1294"/>
      <c r="F87" s="2673">
        <v>2028</v>
      </c>
      <c r="G87" s="2652"/>
      <c r="H87" s="2677" t="s">
        <v>488</v>
      </c>
      <c r="I87" s="2678"/>
      <c r="J87" s="2679"/>
      <c r="K87" s="2679"/>
      <c r="L87" s="2671"/>
      <c r="M87" s="2405"/>
      <c r="N87" s="2157"/>
      <c r="O87" s="2156"/>
      <c r="P87" s="2157"/>
      <c r="Q87" s="2157"/>
      <c r="R87" s="2157"/>
      <c r="S87" s="2157"/>
      <c r="T87" s="2157"/>
      <c r="U87" s="2157"/>
      <c r="V87" s="2157"/>
      <c r="W87" s="2157"/>
      <c r="X87" s="2157"/>
      <c r="Y87" s="2157"/>
      <c r="Z87" s="2157"/>
      <c r="AA87" s="2157"/>
      <c r="AB87" s="2157"/>
      <c r="AC87" s="2157"/>
      <c r="AD87" s="2157"/>
      <c r="AE87" s="2157"/>
      <c r="AF87" s="2675"/>
      <c r="AG87" s="2671"/>
      <c r="AH87" s="2671"/>
      <c r="AI87" s="2675"/>
      <c r="AJ87" s="2671"/>
      <c r="AK87" s="2671"/>
      <c r="AL87" s="2109"/>
      <c r="AM87" s="1946"/>
      <c r="AN87" s="1946"/>
      <c r="AO87" s="1946"/>
      <c r="AP87" s="1946"/>
      <c r="AQ87" s="1946"/>
      <c r="AR87" s="1946"/>
      <c r="AS87" s="1946"/>
      <c r="AT87" s="1946"/>
      <c r="AU87" s="1946"/>
      <c r="AV87" s="1946"/>
      <c r="AW87" s="1946"/>
      <c r="AX87" s="1946"/>
      <c r="AY87" s="1946"/>
      <c r="AZ87" s="1946"/>
      <c r="BA87" s="1946"/>
      <c r="BB87" s="1946"/>
      <c r="BC87" s="1946"/>
      <c r="BD87" s="1946"/>
      <c r="BE87" s="1946"/>
      <c r="BF87" s="1946"/>
      <c r="BG87" s="7213"/>
    </row>
    <row customHeight="1" ht="0.75">
      <c r="A88" s="1290" t="s">
        <v>1169</v>
      </c>
      <c r="B88" s="1290"/>
      <c r="C88" s="1290"/>
      <c r="D88" s="1284"/>
      <c r="E88" s="1294"/>
      <c r="F88" s="2673"/>
      <c r="G88" s="2652"/>
      <c r="H88" s="2677"/>
      <c r="I88" s="2678"/>
      <c r="J88" s="2679"/>
      <c r="K88" s="2679"/>
      <c r="L88" s="2671"/>
      <c r="M88" s="2405"/>
      <c r="N88" s="2680"/>
      <c r="O88" s="2681"/>
      <c r="P88" s="2725"/>
      <c r="Q88" s="2676"/>
      <c r="R88" s="2676"/>
      <c r="S88" s="2676"/>
      <c r="T88" s="2676"/>
      <c r="U88" s="2676"/>
      <c r="V88" s="2676"/>
      <c r="W88" s="2676"/>
      <c r="X88" s="2676"/>
      <c r="Y88" s="2676"/>
      <c r="Z88" s="2158"/>
      <c r="AA88" s="2159"/>
      <c r="AB88" s="2159"/>
      <c r="AC88" s="2160"/>
      <c r="AD88" s="2160"/>
      <c r="AE88" s="2161"/>
      <c r="AF88" s="2675"/>
      <c r="AG88" s="2671"/>
      <c r="AH88" s="2671"/>
      <c r="AI88" s="2675"/>
      <c r="AJ88" s="2671"/>
      <c r="AK88" s="2671"/>
      <c r="AL88" s="2109"/>
      <c r="AM88" s="1946"/>
      <c r="AN88" s="1946"/>
      <c r="AO88" s="1946"/>
      <c r="AP88" s="1946"/>
      <c r="AQ88" s="1946"/>
      <c r="AR88" s="1946"/>
      <c r="AS88" s="1946"/>
      <c r="AT88" s="1946"/>
      <c r="AU88" s="1946"/>
      <c r="AV88" s="1946"/>
      <c r="AW88" s="1946"/>
      <c r="AX88" s="1946"/>
      <c r="AY88" s="1946"/>
      <c r="AZ88" s="1946"/>
      <c r="BA88" s="1946"/>
      <c r="BB88" s="1946"/>
      <c r="BC88" s="1946"/>
      <c r="BD88" s="1946"/>
      <c r="BE88" s="1946"/>
      <c r="BF88" s="1946"/>
      <c r="BG88" s="7213"/>
    </row>
    <row customHeight="1" ht="0.75">
      <c r="A89" s="1290" t="s">
        <v>1169</v>
      </c>
      <c r="B89" s="1290"/>
      <c r="C89" s="1290"/>
      <c r="D89" s="1284"/>
      <c r="E89" s="1294"/>
      <c r="F89" s="2673"/>
      <c r="G89" s="2652"/>
      <c r="H89" s="2677"/>
      <c r="I89" s="2678"/>
      <c r="J89" s="2679"/>
      <c r="K89" s="2679"/>
      <c r="L89" s="2671"/>
      <c r="M89" s="2405"/>
      <c r="N89" s="2680"/>
      <c r="O89" s="2681"/>
      <c r="P89" s="2726"/>
      <c r="Q89" s="2676"/>
      <c r="R89" s="2676"/>
      <c r="S89" s="2676"/>
      <c r="T89" s="2676"/>
      <c r="U89" s="2676"/>
      <c r="V89" s="2676"/>
      <c r="W89" s="2676"/>
      <c r="X89" s="2676"/>
      <c r="Y89" s="2676"/>
      <c r="Z89" s="2162"/>
      <c r="AA89" s="2163"/>
      <c r="AB89" s="2164"/>
      <c r="AC89" s="2165"/>
      <c r="AD89" s="2164"/>
      <c r="AE89" s="2165"/>
      <c r="AF89" s="2675"/>
      <c r="AG89" s="2671"/>
      <c r="AH89" s="2671"/>
      <c r="AI89" s="2675"/>
      <c r="AJ89" s="2671"/>
      <c r="AK89" s="2671"/>
      <c r="AL89" s="2109"/>
      <c r="AM89" s="1946"/>
      <c r="AN89" s="1946"/>
      <c r="AO89" s="1946"/>
      <c r="AP89" s="1946"/>
      <c r="AQ89" s="1946"/>
      <c r="AR89" s="1946"/>
      <c r="AS89" s="1946"/>
      <c r="AT89" s="1946"/>
      <c r="AU89" s="1946"/>
      <c r="AV89" s="1946"/>
      <c r="AW89" s="1946"/>
      <c r="AX89" s="1946"/>
      <c r="AY89" s="1946"/>
      <c r="AZ89" s="1946"/>
      <c r="BA89" s="1946"/>
      <c r="BB89" s="1946"/>
      <c r="BC89" s="1946"/>
      <c r="BD89" s="1946"/>
      <c r="BE89" s="1946"/>
      <c r="BF89" s="1946"/>
      <c r="BG89" s="7213"/>
    </row>
    <row customHeight="1" ht="0.75">
      <c r="A90" s="1290" t="s">
        <v>1169</v>
      </c>
      <c r="B90" s="1290"/>
      <c r="C90" s="1290"/>
      <c r="D90" s="1284"/>
      <c r="E90" s="1294"/>
      <c r="F90" s="2673"/>
      <c r="G90" s="2652"/>
      <c r="H90" s="2677"/>
      <c r="I90" s="2678"/>
      <c r="J90" s="2679"/>
      <c r="K90" s="2679"/>
      <c r="L90" s="2671"/>
      <c r="M90" s="2405"/>
      <c r="N90" s="2680"/>
      <c r="O90" s="2681"/>
      <c r="P90" s="2727"/>
      <c r="Q90" s="2676"/>
      <c r="R90" s="2676"/>
      <c r="S90" s="2676"/>
      <c r="T90" s="2676"/>
      <c r="U90" s="2676"/>
      <c r="V90" s="2676"/>
      <c r="W90" s="2676"/>
      <c r="X90" s="2676"/>
      <c r="Y90" s="2676"/>
      <c r="Z90" s="2158"/>
      <c r="AA90" s="2159"/>
      <c r="AB90" s="2166"/>
      <c r="AC90" s="2160"/>
      <c r="AD90" s="2160"/>
      <c r="AE90" s="2167"/>
      <c r="AF90" s="2675"/>
      <c r="AG90" s="2671"/>
      <c r="AH90" s="2671"/>
      <c r="AI90" s="2675"/>
      <c r="AJ90" s="2671"/>
      <c r="AK90" s="2671"/>
      <c r="AL90" s="2109"/>
      <c r="AM90" s="1946"/>
      <c r="AN90" s="1946"/>
      <c r="AO90" s="1946"/>
      <c r="AP90" s="1946"/>
      <c r="AQ90" s="1946"/>
      <c r="AR90" s="1946"/>
      <c r="AS90" s="1946"/>
      <c r="AT90" s="1946"/>
      <c r="AU90" s="1946"/>
      <c r="AV90" s="1946"/>
      <c r="AW90" s="1946"/>
      <c r="AX90" s="1946"/>
      <c r="AY90" s="1946"/>
      <c r="AZ90" s="1946"/>
      <c r="BA90" s="1946"/>
      <c r="BB90" s="1946"/>
      <c r="BC90" s="1946"/>
      <c r="BD90" s="1946"/>
      <c r="BE90" s="1946"/>
      <c r="BF90" s="1946"/>
      <c r="BG90" s="7213"/>
    </row>
    <row customHeight="1" ht="0.75">
      <c r="A91" s="1290" t="s">
        <v>1169</v>
      </c>
      <c r="B91" s="1290"/>
      <c r="C91" s="1290"/>
      <c r="D91" s="1284"/>
      <c r="E91" s="1294"/>
      <c r="F91" s="2673"/>
      <c r="G91" s="2652"/>
      <c r="H91" s="2677"/>
      <c r="I91" s="2678"/>
      <c r="J91" s="2679"/>
      <c r="K91" s="2679"/>
      <c r="L91" s="2671"/>
      <c r="M91" s="2405"/>
      <c r="N91" s="2159"/>
      <c r="O91" s="2159"/>
      <c r="P91" s="2166"/>
      <c r="Q91" s="2159"/>
      <c r="R91" s="2159"/>
      <c r="S91" s="2159"/>
      <c r="T91" s="2159"/>
      <c r="U91" s="2159"/>
      <c r="V91" s="2159"/>
      <c r="W91" s="2159"/>
      <c r="X91" s="2159"/>
      <c r="Y91" s="2159"/>
      <c r="Z91" s="2159"/>
      <c r="AA91" s="2159"/>
      <c r="AB91" s="2159"/>
      <c r="AC91" s="2159"/>
      <c r="AD91" s="2159"/>
      <c r="AE91" s="2168"/>
      <c r="AF91" s="2675"/>
      <c r="AG91" s="2671"/>
      <c r="AH91" s="2671"/>
      <c r="AI91" s="2675"/>
      <c r="AJ91" s="2671"/>
      <c r="AK91" s="2671"/>
      <c r="AL91" s="2109"/>
      <c r="AM91" s="1946"/>
      <c r="AN91" s="1946"/>
      <c r="AO91" s="1946"/>
      <c r="AP91" s="1946"/>
      <c r="AQ91" s="1946"/>
      <c r="AR91" s="1946"/>
      <c r="AS91" s="1946"/>
      <c r="AT91" s="1946"/>
      <c r="AU91" s="1946"/>
      <c r="AV91" s="1946"/>
      <c r="AW91" s="1946"/>
      <c r="AX91" s="1946"/>
      <c r="AY91" s="1946"/>
      <c r="AZ91" s="1946"/>
      <c r="BA91" s="1946"/>
      <c r="BB91" s="1946"/>
      <c r="BC91" s="1946"/>
      <c r="BD91" s="1946"/>
      <c r="BE91" s="1946"/>
      <c r="BF91" s="1946"/>
      <c r="BG91" s="7213"/>
    </row>
    <row customHeight="1" ht="12">
      <c r="A92" s="1290" t="s">
        <v>1169</v>
      </c>
      <c r="B92" s="1290"/>
      <c r="C92" s="1290"/>
      <c r="D92" s="1284"/>
      <c r="E92" s="1294"/>
      <c r="F92" s="2674"/>
      <c r="G92" s="1314"/>
      <c r="H92" s="1314"/>
      <c r="I92" s="2672" t="s">
        <v>1294</v>
      </c>
      <c r="J92" s="2672"/>
      <c r="K92" s="2672"/>
      <c r="L92" s="1297"/>
      <c r="M92" s="1297"/>
      <c r="N92" s="1298"/>
      <c r="O92" s="1298"/>
      <c r="P92" s="1298"/>
      <c r="Q92" s="1298"/>
      <c r="R92" s="1298"/>
      <c r="S92" s="1298"/>
      <c r="T92" s="1298"/>
      <c r="U92" s="1298"/>
      <c r="V92" s="1298"/>
      <c r="W92" s="1298"/>
      <c r="X92" s="1298"/>
      <c r="Y92" s="1298"/>
      <c r="Z92" s="1298"/>
      <c r="AA92" s="1298"/>
      <c r="AB92" s="1298"/>
      <c r="AC92" s="1298"/>
      <c r="AD92" s="1298"/>
      <c r="AE92" s="1298"/>
      <c r="AF92" s="1298"/>
      <c r="AG92" s="1297"/>
      <c r="AH92" s="1297"/>
      <c r="AI92" s="1298"/>
      <c r="AJ92" s="1297"/>
      <c r="AK92" s="1298"/>
      <c r="AL92" s="2109"/>
      <c r="AM92" s="1946"/>
      <c r="AN92" s="1946"/>
      <c r="AO92" s="1946"/>
      <c r="AP92" s="1946"/>
      <c r="AQ92" s="1946"/>
      <c r="AR92" s="1946"/>
      <c r="AS92" s="1946"/>
      <c r="AT92" s="1946"/>
      <c r="AU92" s="1946"/>
      <c r="AV92" s="1946"/>
      <c r="AW92" s="1946"/>
      <c r="AX92" s="1946"/>
      <c r="AY92" s="1946"/>
      <c r="AZ92" s="1946"/>
      <c r="BA92" s="1946"/>
      <c r="BB92" s="1946"/>
      <c r="BC92" s="1946"/>
      <c r="BD92" s="1946"/>
      <c r="BE92" s="1946"/>
      <c r="BF92" s="1946"/>
      <c r="BG92" s="7213"/>
    </row>
    <row customHeight="1" ht="0.75">
      <c r="A93" s="1290" t="s">
        <v>1169</v>
      </c>
      <c r="B93" s="1290"/>
      <c r="C93" s="1290"/>
      <c r="D93" s="1284"/>
      <c r="E93" s="1294"/>
      <c r="F93" s="2673">
        <v>2029</v>
      </c>
      <c r="G93" s="2652"/>
      <c r="H93" s="2677" t="s">
        <v>488</v>
      </c>
      <c r="I93" s="2678"/>
      <c r="J93" s="2679"/>
      <c r="K93" s="2679"/>
      <c r="L93" s="2671"/>
      <c r="M93" s="2405"/>
      <c r="N93" s="2157"/>
      <c r="O93" s="2156"/>
      <c r="P93" s="2157"/>
      <c r="Q93" s="2157"/>
      <c r="R93" s="2157"/>
      <c r="S93" s="2157"/>
      <c r="T93" s="2157"/>
      <c r="U93" s="2157"/>
      <c r="V93" s="2157"/>
      <c r="W93" s="2157"/>
      <c r="X93" s="2157"/>
      <c r="Y93" s="2157"/>
      <c r="Z93" s="2157"/>
      <c r="AA93" s="2157"/>
      <c r="AB93" s="2157"/>
      <c r="AC93" s="2157"/>
      <c r="AD93" s="2157"/>
      <c r="AE93" s="2157"/>
      <c r="AF93" s="2675"/>
      <c r="AG93" s="2671"/>
      <c r="AH93" s="2671"/>
      <c r="AI93" s="2675"/>
      <c r="AJ93" s="2671"/>
      <c r="AK93" s="2671"/>
      <c r="AL93" s="2109"/>
      <c r="AM93" s="1946"/>
      <c r="AN93" s="1946"/>
      <c r="AO93" s="1946"/>
      <c r="AP93" s="1946"/>
      <c r="AQ93" s="1946"/>
      <c r="AR93" s="1946"/>
      <c r="AS93" s="1946"/>
      <c r="AT93" s="1946"/>
      <c r="AU93" s="1946"/>
      <c r="AV93" s="1946"/>
      <c r="AW93" s="1946"/>
      <c r="AX93" s="1946"/>
      <c r="AY93" s="1946"/>
      <c r="AZ93" s="1946"/>
      <c r="BA93" s="1946"/>
      <c r="BB93" s="1946"/>
      <c r="BC93" s="1946"/>
      <c r="BD93" s="1946"/>
      <c r="BE93" s="1946"/>
      <c r="BF93" s="1946"/>
      <c r="BG93" s="7213"/>
    </row>
    <row customHeight="1" ht="0.75">
      <c r="A94" s="1290" t="s">
        <v>1169</v>
      </c>
      <c r="B94" s="1290"/>
      <c r="C94" s="1290"/>
      <c r="D94" s="1284"/>
      <c r="E94" s="1294"/>
      <c r="F94" s="2673"/>
      <c r="G94" s="2652"/>
      <c r="H94" s="2677"/>
      <c r="I94" s="2678"/>
      <c r="J94" s="2679"/>
      <c r="K94" s="2679"/>
      <c r="L94" s="2671"/>
      <c r="M94" s="2405"/>
      <c r="N94" s="2680"/>
      <c r="O94" s="2681"/>
      <c r="P94" s="2725"/>
      <c r="Q94" s="2676"/>
      <c r="R94" s="2676"/>
      <c r="S94" s="2676"/>
      <c r="T94" s="2676"/>
      <c r="U94" s="2676"/>
      <c r="V94" s="2676"/>
      <c r="W94" s="2676"/>
      <c r="X94" s="2676"/>
      <c r="Y94" s="2676"/>
      <c r="Z94" s="2158"/>
      <c r="AA94" s="2159"/>
      <c r="AB94" s="2159"/>
      <c r="AC94" s="2160"/>
      <c r="AD94" s="2160"/>
      <c r="AE94" s="2161"/>
      <c r="AF94" s="2675"/>
      <c r="AG94" s="2671"/>
      <c r="AH94" s="2671"/>
      <c r="AI94" s="2675"/>
      <c r="AJ94" s="2671"/>
      <c r="AK94" s="2671"/>
      <c r="AL94" s="2109"/>
      <c r="AM94" s="1946"/>
      <c r="AN94" s="1946"/>
      <c r="AO94" s="1946"/>
      <c r="AP94" s="1946"/>
      <c r="AQ94" s="1946"/>
      <c r="AR94" s="1946"/>
      <c r="AS94" s="1946"/>
      <c r="AT94" s="1946"/>
      <c r="AU94" s="1946"/>
      <c r="AV94" s="1946"/>
      <c r="AW94" s="1946"/>
      <c r="AX94" s="1946"/>
      <c r="AY94" s="1946"/>
      <c r="AZ94" s="1946"/>
      <c r="BA94" s="1946"/>
      <c r="BB94" s="1946"/>
      <c r="BC94" s="1946"/>
      <c r="BD94" s="1946"/>
      <c r="BE94" s="1946"/>
      <c r="BF94" s="1946"/>
      <c r="BG94" s="7213"/>
    </row>
    <row customHeight="1" ht="0.75">
      <c r="A95" s="1290" t="s">
        <v>1169</v>
      </c>
      <c r="B95" s="1290"/>
      <c r="C95" s="1290"/>
      <c r="D95" s="1284"/>
      <c r="E95" s="1294"/>
      <c r="F95" s="2673"/>
      <c r="G95" s="2652"/>
      <c r="H95" s="2677"/>
      <c r="I95" s="2678"/>
      <c r="J95" s="2679"/>
      <c r="K95" s="2679"/>
      <c r="L95" s="2671"/>
      <c r="M95" s="2405"/>
      <c r="N95" s="2680"/>
      <c r="O95" s="2681"/>
      <c r="P95" s="2726"/>
      <c r="Q95" s="2676"/>
      <c r="R95" s="2676"/>
      <c r="S95" s="2676"/>
      <c r="T95" s="2676"/>
      <c r="U95" s="2676"/>
      <c r="V95" s="2676"/>
      <c r="W95" s="2676"/>
      <c r="X95" s="2676"/>
      <c r="Y95" s="2676"/>
      <c r="Z95" s="2162"/>
      <c r="AA95" s="2163"/>
      <c r="AB95" s="2164"/>
      <c r="AC95" s="2165"/>
      <c r="AD95" s="2164"/>
      <c r="AE95" s="2165"/>
      <c r="AF95" s="2675"/>
      <c r="AG95" s="2671"/>
      <c r="AH95" s="2671"/>
      <c r="AI95" s="2675"/>
      <c r="AJ95" s="2671"/>
      <c r="AK95" s="2671"/>
      <c r="AL95" s="2109"/>
      <c r="AM95" s="1946"/>
      <c r="AN95" s="1946"/>
      <c r="AO95" s="1946"/>
      <c r="AP95" s="1946"/>
      <c r="AQ95" s="1946"/>
      <c r="AR95" s="1946"/>
      <c r="AS95" s="1946"/>
      <c r="AT95" s="1946"/>
      <c r="AU95" s="1946"/>
      <c r="AV95" s="1946"/>
      <c r="AW95" s="1946"/>
      <c r="AX95" s="1946"/>
      <c r="AY95" s="1946"/>
      <c r="AZ95" s="1946"/>
      <c r="BA95" s="1946"/>
      <c r="BB95" s="1946"/>
      <c r="BC95" s="1946"/>
      <c r="BD95" s="1946"/>
      <c r="BE95" s="1946"/>
      <c r="BF95" s="1946"/>
      <c r="BG95" s="7213"/>
    </row>
    <row customHeight="1" ht="0.75">
      <c r="A96" s="1290" t="s">
        <v>1169</v>
      </c>
      <c r="B96" s="1290"/>
      <c r="C96" s="1290"/>
      <c r="D96" s="1284"/>
      <c r="E96" s="1294"/>
      <c r="F96" s="2673"/>
      <c r="G96" s="2652"/>
      <c r="H96" s="2677"/>
      <c r="I96" s="2678"/>
      <c r="J96" s="2679"/>
      <c r="K96" s="2679"/>
      <c r="L96" s="2671"/>
      <c r="M96" s="2405"/>
      <c r="N96" s="2680"/>
      <c r="O96" s="2681"/>
      <c r="P96" s="2727"/>
      <c r="Q96" s="2676"/>
      <c r="R96" s="2676"/>
      <c r="S96" s="2676"/>
      <c r="T96" s="2676"/>
      <c r="U96" s="2676"/>
      <c r="V96" s="2676"/>
      <c r="W96" s="2676"/>
      <c r="X96" s="2676"/>
      <c r="Y96" s="2676"/>
      <c r="Z96" s="2158"/>
      <c r="AA96" s="2159"/>
      <c r="AB96" s="2166"/>
      <c r="AC96" s="2160"/>
      <c r="AD96" s="2160"/>
      <c r="AE96" s="2167"/>
      <c r="AF96" s="2675"/>
      <c r="AG96" s="2671"/>
      <c r="AH96" s="2671"/>
      <c r="AI96" s="2675"/>
      <c r="AJ96" s="2671"/>
      <c r="AK96" s="2671"/>
      <c r="AL96" s="2109"/>
      <c r="AM96" s="1946"/>
      <c r="AN96" s="1946"/>
      <c r="AO96" s="1946"/>
      <c r="AP96" s="1946"/>
      <c r="AQ96" s="1946"/>
      <c r="AR96" s="1946"/>
      <c r="AS96" s="1946"/>
      <c r="AT96" s="1946"/>
      <c r="AU96" s="1946"/>
      <c r="AV96" s="1946"/>
      <c r="AW96" s="1946"/>
      <c r="AX96" s="1946"/>
      <c r="AY96" s="1946"/>
      <c r="AZ96" s="1946"/>
      <c r="BA96" s="1946"/>
      <c r="BB96" s="1946"/>
      <c r="BC96" s="1946"/>
      <c r="BD96" s="1946"/>
      <c r="BE96" s="1946"/>
      <c r="BF96" s="1946"/>
      <c r="BG96" s="7213"/>
    </row>
    <row customHeight="1" ht="0.75">
      <c r="A97" s="1290" t="s">
        <v>1169</v>
      </c>
      <c r="B97" s="1290"/>
      <c r="C97" s="1290"/>
      <c r="D97" s="1284"/>
      <c r="E97" s="1294"/>
      <c r="F97" s="2673"/>
      <c r="G97" s="2652"/>
      <c r="H97" s="2677"/>
      <c r="I97" s="2678"/>
      <c r="J97" s="2679"/>
      <c r="K97" s="2679"/>
      <c r="L97" s="2671"/>
      <c r="M97" s="2405"/>
      <c r="N97" s="2159"/>
      <c r="O97" s="2159"/>
      <c r="P97" s="2166"/>
      <c r="Q97" s="2159"/>
      <c r="R97" s="2159"/>
      <c r="S97" s="2159"/>
      <c r="T97" s="2159"/>
      <c r="U97" s="2159"/>
      <c r="V97" s="2159"/>
      <c r="W97" s="2159"/>
      <c r="X97" s="2159"/>
      <c r="Y97" s="2159"/>
      <c r="Z97" s="2159"/>
      <c r="AA97" s="2159"/>
      <c r="AB97" s="2159"/>
      <c r="AC97" s="2159"/>
      <c r="AD97" s="2159"/>
      <c r="AE97" s="2168"/>
      <c r="AF97" s="2675"/>
      <c r="AG97" s="2671"/>
      <c r="AH97" s="2671"/>
      <c r="AI97" s="2675"/>
      <c r="AJ97" s="2671"/>
      <c r="AK97" s="2671"/>
      <c r="AL97" s="2109"/>
      <c r="AM97" s="1946"/>
      <c r="AN97" s="1946"/>
      <c r="AO97" s="1946"/>
      <c r="AP97" s="1946"/>
      <c r="AQ97" s="1946"/>
      <c r="AR97" s="1946"/>
      <c r="AS97" s="1946"/>
      <c r="AT97" s="1946"/>
      <c r="AU97" s="1946"/>
      <c r="AV97" s="1946"/>
      <c r="AW97" s="1946"/>
      <c r="AX97" s="1946"/>
      <c r="AY97" s="1946"/>
      <c r="AZ97" s="1946"/>
      <c r="BA97" s="1946"/>
      <c r="BB97" s="1946"/>
      <c r="BC97" s="1946"/>
      <c r="BD97" s="1946"/>
      <c r="BE97" s="1946"/>
      <c r="BF97" s="1946"/>
      <c r="BG97" s="7213"/>
    </row>
    <row customHeight="1" ht="12">
      <c r="A98" s="1290" t="s">
        <v>1169</v>
      </c>
      <c r="B98" s="1290"/>
      <c r="C98" s="1290"/>
      <c r="D98" s="1284"/>
      <c r="E98" s="1294"/>
      <c r="F98" s="2674"/>
      <c r="G98" s="1314"/>
      <c r="H98" s="1314"/>
      <c r="I98" s="2672" t="s">
        <v>1294</v>
      </c>
      <c r="J98" s="2672"/>
      <c r="K98" s="2672"/>
      <c r="L98" s="1297"/>
      <c r="M98" s="1297"/>
      <c r="N98" s="1298"/>
      <c r="O98" s="1298"/>
      <c r="P98" s="1298"/>
      <c r="Q98" s="1298"/>
      <c r="R98" s="1298"/>
      <c r="S98" s="1298"/>
      <c r="T98" s="1298"/>
      <c r="U98" s="1298"/>
      <c r="V98" s="1298"/>
      <c r="W98" s="1298"/>
      <c r="X98" s="1298"/>
      <c r="Y98" s="1298"/>
      <c r="Z98" s="1298"/>
      <c r="AA98" s="1298"/>
      <c r="AB98" s="1298"/>
      <c r="AC98" s="1298"/>
      <c r="AD98" s="1298"/>
      <c r="AE98" s="1298"/>
      <c r="AF98" s="1298"/>
      <c r="AG98" s="1297"/>
      <c r="AH98" s="1297"/>
      <c r="AI98" s="1298"/>
      <c r="AJ98" s="1297"/>
      <c r="AK98" s="1298"/>
      <c r="AL98" s="2109"/>
      <c r="AM98" s="1946"/>
      <c r="AN98" s="1946"/>
      <c r="AO98" s="1946"/>
      <c r="AP98" s="1946"/>
      <c r="AQ98" s="1946"/>
      <c r="AR98" s="1946"/>
      <c r="AS98" s="1946"/>
      <c r="AT98" s="1946"/>
      <c r="AU98" s="1946"/>
      <c r="AV98" s="1946"/>
      <c r="AW98" s="1946"/>
      <c r="AX98" s="1946"/>
      <c r="AY98" s="1946"/>
      <c r="AZ98" s="1946"/>
      <c r="BA98" s="1946"/>
      <c r="BB98" s="1946"/>
      <c r="BC98" s="1946"/>
      <c r="BD98" s="1946"/>
      <c r="BE98" s="1946"/>
      <c r="BF98" s="1946"/>
      <c r="BG98" s="7213"/>
    </row>
    <row customHeight="1" ht="0.75">
      <c r="A99" s="1290" t="s">
        <v>1169</v>
      </c>
      <c r="B99" s="1290"/>
      <c r="C99" s="1290"/>
      <c r="D99" s="1284"/>
      <c r="E99" s="1294"/>
      <c r="F99" s="2673">
        <v>2030</v>
      </c>
      <c r="G99" s="2652"/>
      <c r="H99" s="2677" t="s">
        <v>488</v>
      </c>
      <c r="I99" s="2678"/>
      <c r="J99" s="2679"/>
      <c r="K99" s="2679"/>
      <c r="L99" s="2671"/>
      <c r="M99" s="2405"/>
      <c r="N99" s="2157"/>
      <c r="O99" s="2156"/>
      <c r="P99" s="2157"/>
      <c r="Q99" s="2157"/>
      <c r="R99" s="2157"/>
      <c r="S99" s="2157"/>
      <c r="T99" s="2157"/>
      <c r="U99" s="2157"/>
      <c r="V99" s="2157"/>
      <c r="W99" s="2157"/>
      <c r="X99" s="2157"/>
      <c r="Y99" s="2157"/>
      <c r="Z99" s="2157"/>
      <c r="AA99" s="2157"/>
      <c r="AB99" s="2157"/>
      <c r="AC99" s="2157"/>
      <c r="AD99" s="2157"/>
      <c r="AE99" s="2157"/>
      <c r="AF99" s="2675"/>
      <c r="AG99" s="2671"/>
      <c r="AH99" s="2671"/>
      <c r="AI99" s="2675"/>
      <c r="AJ99" s="2671"/>
      <c r="AK99" s="2671"/>
      <c r="AL99" s="2109"/>
      <c r="AM99" s="1946"/>
      <c r="AN99" s="1946"/>
      <c r="AO99" s="1946"/>
      <c r="AP99" s="1946"/>
      <c r="AQ99" s="1946"/>
      <c r="AR99" s="1946"/>
      <c r="AS99" s="1946"/>
      <c r="AT99" s="1946"/>
      <c r="AU99" s="1946"/>
      <c r="AV99" s="1946"/>
      <c r="AW99" s="1946"/>
      <c r="AX99" s="1946"/>
      <c r="AY99" s="1946"/>
      <c r="AZ99" s="1946"/>
      <c r="BA99" s="1946"/>
      <c r="BB99" s="1946"/>
      <c r="BC99" s="1946"/>
      <c r="BD99" s="1946"/>
      <c r="BE99" s="1946"/>
      <c r="BF99" s="1946"/>
      <c r="BG99" s="7213"/>
    </row>
    <row customHeight="1" ht="0.75">
      <c r="A100" s="1290" t="s">
        <v>1169</v>
      </c>
      <c r="B100" s="1290"/>
      <c r="C100" s="1290"/>
      <c r="D100" s="1284"/>
      <c r="E100" s="1294"/>
      <c r="F100" s="2673"/>
      <c r="G100" s="2652"/>
      <c r="H100" s="2677"/>
      <c r="I100" s="2678"/>
      <c r="J100" s="2679"/>
      <c r="K100" s="2679"/>
      <c r="L100" s="2671"/>
      <c r="M100" s="2405"/>
      <c r="N100" s="2680"/>
      <c r="O100" s="2681"/>
      <c r="P100" s="2725"/>
      <c r="Q100" s="2676"/>
      <c r="R100" s="2676"/>
      <c r="S100" s="2676"/>
      <c r="T100" s="2676"/>
      <c r="U100" s="2676"/>
      <c r="V100" s="2676"/>
      <c r="W100" s="2676"/>
      <c r="X100" s="2676"/>
      <c r="Y100" s="2676"/>
      <c r="Z100" s="2158"/>
      <c r="AA100" s="2159"/>
      <c r="AB100" s="2159"/>
      <c r="AC100" s="2160"/>
      <c r="AD100" s="2160"/>
      <c r="AE100" s="2161"/>
      <c r="AF100" s="2675"/>
      <c r="AG100" s="2671"/>
      <c r="AH100" s="2671"/>
      <c r="AI100" s="2675"/>
      <c r="AJ100" s="2671"/>
      <c r="AK100" s="2671"/>
      <c r="AL100" s="2109"/>
      <c r="AM100" s="1946"/>
      <c r="AN100" s="1946"/>
      <c r="AO100" s="1946"/>
      <c r="AP100" s="1946"/>
      <c r="AQ100" s="1946"/>
      <c r="AR100" s="1946"/>
      <c r="AS100" s="1946"/>
      <c r="AT100" s="1946"/>
      <c r="AU100" s="1946"/>
      <c r="AV100" s="1946"/>
      <c r="AW100" s="1946"/>
      <c r="AX100" s="1946"/>
      <c r="AY100" s="1946"/>
      <c r="AZ100" s="1946"/>
      <c r="BA100" s="1946"/>
      <c r="BB100" s="1946"/>
      <c r="BC100" s="1946"/>
      <c r="BD100" s="1946"/>
      <c r="BE100" s="1946"/>
      <c r="BF100" s="1946"/>
      <c r="BG100" s="7213"/>
    </row>
    <row customHeight="1" ht="0.75">
      <c r="A101" s="1290" t="s">
        <v>1169</v>
      </c>
      <c r="B101" s="1290"/>
      <c r="C101" s="1290"/>
      <c r="D101" s="1284"/>
      <c r="E101" s="1294"/>
      <c r="F101" s="2673"/>
      <c r="G101" s="2652"/>
      <c r="H101" s="2677"/>
      <c r="I101" s="2678"/>
      <c r="J101" s="2679"/>
      <c r="K101" s="2679"/>
      <c r="L101" s="2671"/>
      <c r="M101" s="2405"/>
      <c r="N101" s="2680"/>
      <c r="O101" s="2681"/>
      <c r="P101" s="2726"/>
      <c r="Q101" s="2676"/>
      <c r="R101" s="2676"/>
      <c r="S101" s="2676"/>
      <c r="T101" s="2676"/>
      <c r="U101" s="2676"/>
      <c r="V101" s="2676"/>
      <c r="W101" s="2676"/>
      <c r="X101" s="2676"/>
      <c r="Y101" s="2676"/>
      <c r="Z101" s="2162"/>
      <c r="AA101" s="2163"/>
      <c r="AB101" s="2164"/>
      <c r="AC101" s="2165"/>
      <c r="AD101" s="2164"/>
      <c r="AE101" s="2165"/>
      <c r="AF101" s="2675"/>
      <c r="AG101" s="2671"/>
      <c r="AH101" s="2671"/>
      <c r="AI101" s="2675"/>
      <c r="AJ101" s="2671"/>
      <c r="AK101" s="2671"/>
      <c r="AL101" s="2109"/>
      <c r="AM101" s="1946"/>
      <c r="AN101" s="1946"/>
      <c r="AO101" s="1946"/>
      <c r="AP101" s="1946"/>
      <c r="AQ101" s="1946"/>
      <c r="AR101" s="1946"/>
      <c r="AS101" s="1946"/>
      <c r="AT101" s="1946"/>
      <c r="AU101" s="1946"/>
      <c r="AV101" s="1946"/>
      <c r="AW101" s="1946"/>
      <c r="AX101" s="1946"/>
      <c r="AY101" s="1946"/>
      <c r="AZ101" s="1946"/>
      <c r="BA101" s="1946"/>
      <c r="BB101" s="1946"/>
      <c r="BC101" s="1946"/>
      <c r="BD101" s="1946"/>
      <c r="BE101" s="1946"/>
      <c r="BF101" s="1946"/>
      <c r="BG101" s="7213"/>
    </row>
    <row customHeight="1" ht="0.75">
      <c r="A102" s="1290" t="s">
        <v>1169</v>
      </c>
      <c r="B102" s="1290"/>
      <c r="C102" s="1290"/>
      <c r="D102" s="1284"/>
      <c r="E102" s="1294"/>
      <c r="F102" s="2673"/>
      <c r="G102" s="2652"/>
      <c r="H102" s="2677"/>
      <c r="I102" s="2678"/>
      <c r="J102" s="2679"/>
      <c r="K102" s="2679"/>
      <c r="L102" s="2671"/>
      <c r="M102" s="2405"/>
      <c r="N102" s="2680"/>
      <c r="O102" s="2681"/>
      <c r="P102" s="2727"/>
      <c r="Q102" s="2676"/>
      <c r="R102" s="2676"/>
      <c r="S102" s="2676"/>
      <c r="T102" s="2676"/>
      <c r="U102" s="2676"/>
      <c r="V102" s="2676"/>
      <c r="W102" s="2676"/>
      <c r="X102" s="2676"/>
      <c r="Y102" s="2676"/>
      <c r="Z102" s="2158"/>
      <c r="AA102" s="2159"/>
      <c r="AB102" s="2166"/>
      <c r="AC102" s="2160"/>
      <c r="AD102" s="2160"/>
      <c r="AE102" s="2167"/>
      <c r="AF102" s="2675"/>
      <c r="AG102" s="2671"/>
      <c r="AH102" s="2671"/>
      <c r="AI102" s="2675"/>
      <c r="AJ102" s="2671"/>
      <c r="AK102" s="2671"/>
      <c r="AL102" s="2109"/>
      <c r="AM102" s="1946"/>
      <c r="AN102" s="1946"/>
      <c r="AO102" s="1946"/>
      <c r="AP102" s="1946"/>
      <c r="AQ102" s="1946"/>
      <c r="AR102" s="1946"/>
      <c r="AS102" s="1946"/>
      <c r="AT102" s="1946"/>
      <c r="AU102" s="1946"/>
      <c r="AV102" s="1946"/>
      <c r="AW102" s="1946"/>
      <c r="AX102" s="1946"/>
      <c r="AY102" s="1946"/>
      <c r="AZ102" s="1946"/>
      <c r="BA102" s="1946"/>
      <c r="BB102" s="1946"/>
      <c r="BC102" s="1946"/>
      <c r="BD102" s="1946"/>
      <c r="BE102" s="1946"/>
      <c r="BF102" s="1946"/>
      <c r="BG102" s="7213"/>
    </row>
    <row customHeight="1" ht="0.75">
      <c r="A103" s="1290" t="s">
        <v>1169</v>
      </c>
      <c r="B103" s="1290"/>
      <c r="C103" s="1290"/>
      <c r="D103" s="1284"/>
      <c r="E103" s="1294"/>
      <c r="F103" s="2673"/>
      <c r="G103" s="2652"/>
      <c r="H103" s="2677"/>
      <c r="I103" s="2678"/>
      <c r="J103" s="2679"/>
      <c r="K103" s="2679"/>
      <c r="L103" s="2671"/>
      <c r="M103" s="2405"/>
      <c r="N103" s="2159"/>
      <c r="O103" s="2159"/>
      <c r="P103" s="2166"/>
      <c r="Q103" s="2159"/>
      <c r="R103" s="2159"/>
      <c r="S103" s="2159"/>
      <c r="T103" s="2159"/>
      <c r="U103" s="2159"/>
      <c r="V103" s="2159"/>
      <c r="W103" s="2159"/>
      <c r="X103" s="2159"/>
      <c r="Y103" s="2159"/>
      <c r="Z103" s="2159"/>
      <c r="AA103" s="2159"/>
      <c r="AB103" s="2159"/>
      <c r="AC103" s="2159"/>
      <c r="AD103" s="2159"/>
      <c r="AE103" s="2168"/>
      <c r="AF103" s="2675"/>
      <c r="AG103" s="2671"/>
      <c r="AH103" s="2671"/>
      <c r="AI103" s="2675"/>
      <c r="AJ103" s="2671"/>
      <c r="AK103" s="2671"/>
      <c r="AL103" s="2109"/>
      <c r="AM103" s="1946"/>
      <c r="AN103" s="1946"/>
      <c r="AO103" s="1946"/>
      <c r="AP103" s="1946"/>
      <c r="AQ103" s="1946"/>
      <c r="AR103" s="1946"/>
      <c r="AS103" s="1946"/>
      <c r="AT103" s="1946"/>
      <c r="AU103" s="1946"/>
      <c r="AV103" s="1946"/>
      <c r="AW103" s="1946"/>
      <c r="AX103" s="1946"/>
      <c r="AY103" s="1946"/>
      <c r="AZ103" s="1946"/>
      <c r="BA103" s="1946"/>
      <c r="BB103" s="1946"/>
      <c r="BC103" s="1946"/>
      <c r="BD103" s="1946"/>
      <c r="BE103" s="1946"/>
      <c r="BF103" s="1946"/>
      <c r="BG103" s="7213"/>
    </row>
    <row customHeight="1" ht="12">
      <c r="A104" s="1290" t="s">
        <v>1169</v>
      </c>
      <c r="B104" s="1290"/>
      <c r="C104" s="1290"/>
      <c r="D104" s="1284"/>
      <c r="E104" s="1294"/>
      <c r="F104" s="2674"/>
      <c r="G104" s="1314"/>
      <c r="H104" s="1314"/>
      <c r="I104" s="2672" t="s">
        <v>1294</v>
      </c>
      <c r="J104" s="2672"/>
      <c r="K104" s="2672"/>
      <c r="L104" s="1297"/>
      <c r="M104" s="1297"/>
      <c r="N104" s="1298"/>
      <c r="O104" s="1298"/>
      <c r="P104" s="1298"/>
      <c r="Q104" s="1298"/>
      <c r="R104" s="1298"/>
      <c r="S104" s="1298"/>
      <c r="T104" s="1298"/>
      <c r="U104" s="1298"/>
      <c r="V104" s="1298"/>
      <c r="W104" s="1298"/>
      <c r="X104" s="1298"/>
      <c r="Y104" s="1298"/>
      <c r="Z104" s="1298"/>
      <c r="AA104" s="1298"/>
      <c r="AB104" s="1298"/>
      <c r="AC104" s="1298"/>
      <c r="AD104" s="1298"/>
      <c r="AE104" s="1298"/>
      <c r="AF104" s="1298"/>
      <c r="AG104" s="1297"/>
      <c r="AH104" s="1297"/>
      <c r="AI104" s="1298"/>
      <c r="AJ104" s="1297"/>
      <c r="AK104" s="1298"/>
      <c r="AL104" s="2109"/>
      <c r="AM104" s="1946"/>
      <c r="AN104" s="1946"/>
      <c r="AO104" s="1946"/>
      <c r="AP104" s="1946"/>
      <c r="AQ104" s="1946"/>
      <c r="AR104" s="1946"/>
      <c r="AS104" s="1946"/>
      <c r="AT104" s="1946"/>
      <c r="AU104" s="1946"/>
      <c r="AV104" s="1946"/>
      <c r="AW104" s="1946"/>
      <c r="AX104" s="1946"/>
      <c r="AY104" s="1946"/>
      <c r="AZ104" s="1946"/>
      <c r="BA104" s="1946"/>
      <c r="BB104" s="1946"/>
      <c r="BC104" s="1946"/>
      <c r="BD104" s="1946"/>
      <c r="BE104" s="1946"/>
      <c r="BF104" s="1946"/>
      <c r="BG104" s="7213"/>
    </row>
    <row customHeight="1" ht="0.75">
      <c r="A105" s="1290" t="s">
        <v>1169</v>
      </c>
      <c r="B105" s="1290"/>
      <c r="C105" s="1290"/>
      <c r="D105" s="1284"/>
      <c r="E105" s="1294"/>
      <c r="F105" s="2673">
        <v>2031</v>
      </c>
      <c r="G105" s="2652"/>
      <c r="H105" s="2677" t="s">
        <v>488</v>
      </c>
      <c r="I105" s="2678"/>
      <c r="J105" s="2679"/>
      <c r="K105" s="2679"/>
      <c r="L105" s="2671"/>
      <c r="M105" s="2405"/>
      <c r="N105" s="2157"/>
      <c r="O105" s="2156"/>
      <c r="P105" s="2157"/>
      <c r="Q105" s="2157"/>
      <c r="R105" s="2157"/>
      <c r="S105" s="2157"/>
      <c r="T105" s="2157"/>
      <c r="U105" s="2157"/>
      <c r="V105" s="2157"/>
      <c r="W105" s="2157"/>
      <c r="X105" s="2157"/>
      <c r="Y105" s="2157"/>
      <c r="Z105" s="2157"/>
      <c r="AA105" s="2157"/>
      <c r="AB105" s="2157"/>
      <c r="AC105" s="2157"/>
      <c r="AD105" s="2157"/>
      <c r="AE105" s="2157"/>
      <c r="AF105" s="2675"/>
      <c r="AG105" s="2671"/>
      <c r="AH105" s="2671"/>
      <c r="AI105" s="2675"/>
      <c r="AJ105" s="2671"/>
      <c r="AK105" s="2671"/>
      <c r="AL105" s="2109"/>
      <c r="AM105" s="1946"/>
      <c r="AN105" s="1946"/>
      <c r="AO105" s="1946"/>
      <c r="AP105" s="1946"/>
      <c r="AQ105" s="1946"/>
      <c r="AR105" s="1946"/>
      <c r="AS105" s="1946"/>
      <c r="AT105" s="1946"/>
      <c r="AU105" s="1946"/>
      <c r="AV105" s="1946"/>
      <c r="AW105" s="1946"/>
      <c r="AX105" s="1946"/>
      <c r="AY105" s="1946"/>
      <c r="AZ105" s="1946"/>
      <c r="BA105" s="1946"/>
      <c r="BB105" s="1946"/>
      <c r="BC105" s="1946"/>
      <c r="BD105" s="1946"/>
      <c r="BE105" s="1946"/>
      <c r="BF105" s="1946"/>
      <c r="BG105" s="7213"/>
    </row>
    <row customHeight="1" ht="0.75">
      <c r="A106" s="1290" t="s">
        <v>1169</v>
      </c>
      <c r="B106" s="1290"/>
      <c r="C106" s="1290"/>
      <c r="D106" s="1284"/>
      <c r="E106" s="1294"/>
      <c r="F106" s="2673"/>
      <c r="G106" s="2652"/>
      <c r="H106" s="2677"/>
      <c r="I106" s="2678"/>
      <c r="J106" s="2679"/>
      <c r="K106" s="2679"/>
      <c r="L106" s="2671"/>
      <c r="M106" s="2405"/>
      <c r="N106" s="2680"/>
      <c r="O106" s="2681"/>
      <c r="P106" s="2725"/>
      <c r="Q106" s="2676"/>
      <c r="R106" s="2676"/>
      <c r="S106" s="2676"/>
      <c r="T106" s="2676"/>
      <c r="U106" s="2676"/>
      <c r="V106" s="2676"/>
      <c r="W106" s="2676"/>
      <c r="X106" s="2676"/>
      <c r="Y106" s="2676"/>
      <c r="Z106" s="2158"/>
      <c r="AA106" s="2159"/>
      <c r="AB106" s="2159"/>
      <c r="AC106" s="2160"/>
      <c r="AD106" s="2160"/>
      <c r="AE106" s="2161"/>
      <c r="AF106" s="2675"/>
      <c r="AG106" s="2671"/>
      <c r="AH106" s="2671"/>
      <c r="AI106" s="2675"/>
      <c r="AJ106" s="2671"/>
      <c r="AK106" s="2671"/>
      <c r="AL106" s="2109"/>
      <c r="AM106" s="1946"/>
      <c r="AN106" s="1946"/>
      <c r="AO106" s="1946"/>
      <c r="AP106" s="1946"/>
      <c r="AQ106" s="1946"/>
      <c r="AR106" s="1946"/>
      <c r="AS106" s="1946"/>
      <c r="AT106" s="1946"/>
      <c r="AU106" s="1946"/>
      <c r="AV106" s="1946"/>
      <c r="AW106" s="1946"/>
      <c r="AX106" s="1946"/>
      <c r="AY106" s="1946"/>
      <c r="AZ106" s="1946"/>
      <c r="BA106" s="1946"/>
      <c r="BB106" s="1946"/>
      <c r="BC106" s="1946"/>
      <c r="BD106" s="1946"/>
      <c r="BE106" s="1946"/>
      <c r="BF106" s="1946"/>
      <c r="BG106" s="7213"/>
    </row>
    <row customHeight="1" ht="0.75">
      <c r="A107" s="1290" t="s">
        <v>1169</v>
      </c>
      <c r="B107" s="1290"/>
      <c r="C107" s="1290"/>
      <c r="D107" s="1284"/>
      <c r="E107" s="1294"/>
      <c r="F107" s="2673"/>
      <c r="G107" s="2652"/>
      <c r="H107" s="2677"/>
      <c r="I107" s="2678"/>
      <c r="J107" s="2679"/>
      <c r="K107" s="2679"/>
      <c r="L107" s="2671"/>
      <c r="M107" s="2405"/>
      <c r="N107" s="2680"/>
      <c r="O107" s="2681"/>
      <c r="P107" s="2726"/>
      <c r="Q107" s="2676"/>
      <c r="R107" s="2676"/>
      <c r="S107" s="2676"/>
      <c r="T107" s="2676"/>
      <c r="U107" s="2676"/>
      <c r="V107" s="2676"/>
      <c r="W107" s="2676"/>
      <c r="X107" s="2676"/>
      <c r="Y107" s="2676"/>
      <c r="Z107" s="2162"/>
      <c r="AA107" s="2163"/>
      <c r="AB107" s="2164"/>
      <c r="AC107" s="2165"/>
      <c r="AD107" s="2164"/>
      <c r="AE107" s="2165"/>
      <c r="AF107" s="2675"/>
      <c r="AG107" s="2671"/>
      <c r="AH107" s="2671"/>
      <c r="AI107" s="2675"/>
      <c r="AJ107" s="2671"/>
      <c r="AK107" s="2671"/>
      <c r="AL107" s="2109"/>
      <c r="AM107" s="1946"/>
      <c r="AN107" s="1946"/>
      <c r="AO107" s="1946"/>
      <c r="AP107" s="1946"/>
      <c r="AQ107" s="1946"/>
      <c r="AR107" s="1946"/>
      <c r="AS107" s="1946"/>
      <c r="AT107" s="1946"/>
      <c r="AU107" s="1946"/>
      <c r="AV107" s="1946"/>
      <c r="AW107" s="1946"/>
      <c r="AX107" s="1946"/>
      <c r="AY107" s="1946"/>
      <c r="AZ107" s="1946"/>
      <c r="BA107" s="1946"/>
      <c r="BB107" s="1946"/>
      <c r="BC107" s="1946"/>
      <c r="BD107" s="1946"/>
      <c r="BE107" s="1946"/>
      <c r="BF107" s="1946"/>
      <c r="BG107" s="7213"/>
    </row>
    <row customHeight="1" ht="0.75">
      <c r="A108" s="1290" t="s">
        <v>1169</v>
      </c>
      <c r="B108" s="1290"/>
      <c r="C108" s="1290"/>
      <c r="D108" s="1284"/>
      <c r="E108" s="1294"/>
      <c r="F108" s="2673"/>
      <c r="G108" s="2652"/>
      <c r="H108" s="2677"/>
      <c r="I108" s="2678"/>
      <c r="J108" s="2679"/>
      <c r="K108" s="2679"/>
      <c r="L108" s="2671"/>
      <c r="M108" s="2405"/>
      <c r="N108" s="2680"/>
      <c r="O108" s="2681"/>
      <c r="P108" s="2727"/>
      <c r="Q108" s="2676"/>
      <c r="R108" s="2676"/>
      <c r="S108" s="2676"/>
      <c r="T108" s="2676"/>
      <c r="U108" s="2676"/>
      <c r="V108" s="2676"/>
      <c r="W108" s="2676"/>
      <c r="X108" s="2676"/>
      <c r="Y108" s="2676"/>
      <c r="Z108" s="2158"/>
      <c r="AA108" s="2159"/>
      <c r="AB108" s="2166"/>
      <c r="AC108" s="2160"/>
      <c r="AD108" s="2160"/>
      <c r="AE108" s="2167"/>
      <c r="AF108" s="2675"/>
      <c r="AG108" s="2671"/>
      <c r="AH108" s="2671"/>
      <c r="AI108" s="2675"/>
      <c r="AJ108" s="2671"/>
      <c r="AK108" s="2671"/>
      <c r="AL108" s="2109"/>
      <c r="AM108" s="1946"/>
      <c r="AN108" s="1946"/>
      <c r="AO108" s="1946"/>
      <c r="AP108" s="1946"/>
      <c r="AQ108" s="1946"/>
      <c r="AR108" s="1946"/>
      <c r="AS108" s="1946"/>
      <c r="AT108" s="1946"/>
      <c r="AU108" s="1946"/>
      <c r="AV108" s="1946"/>
      <c r="AW108" s="1946"/>
      <c r="AX108" s="1946"/>
      <c r="AY108" s="1946"/>
      <c r="AZ108" s="1946"/>
      <c r="BA108" s="1946"/>
      <c r="BB108" s="1946"/>
      <c r="BC108" s="1946"/>
      <c r="BD108" s="1946"/>
      <c r="BE108" s="1946"/>
      <c r="BF108" s="1946"/>
      <c r="BG108" s="7213"/>
    </row>
    <row customHeight="1" ht="0.75">
      <c r="A109" s="1290" t="s">
        <v>1169</v>
      </c>
      <c r="B109" s="1290"/>
      <c r="C109" s="1290"/>
      <c r="D109" s="1284"/>
      <c r="E109" s="1294"/>
      <c r="F109" s="2673"/>
      <c r="G109" s="2652"/>
      <c r="H109" s="2677"/>
      <c r="I109" s="2678"/>
      <c r="J109" s="2679"/>
      <c r="K109" s="2679"/>
      <c r="L109" s="2671"/>
      <c r="M109" s="2405"/>
      <c r="N109" s="2159"/>
      <c r="O109" s="2159"/>
      <c r="P109" s="2166"/>
      <c r="Q109" s="2159"/>
      <c r="R109" s="2159"/>
      <c r="S109" s="2159"/>
      <c r="T109" s="2159"/>
      <c r="U109" s="2159"/>
      <c r="V109" s="2159"/>
      <c r="W109" s="2159"/>
      <c r="X109" s="2159"/>
      <c r="Y109" s="2159"/>
      <c r="Z109" s="2159"/>
      <c r="AA109" s="2159"/>
      <c r="AB109" s="2159"/>
      <c r="AC109" s="2159"/>
      <c r="AD109" s="2159"/>
      <c r="AE109" s="2168"/>
      <c r="AF109" s="2675"/>
      <c r="AG109" s="2671"/>
      <c r="AH109" s="2671"/>
      <c r="AI109" s="2675"/>
      <c r="AJ109" s="2671"/>
      <c r="AK109" s="2671"/>
      <c r="AL109" s="2109"/>
      <c r="AM109" s="1946"/>
      <c r="AN109" s="1946"/>
      <c r="AO109" s="1946"/>
      <c r="AP109" s="1946"/>
      <c r="AQ109" s="1946"/>
      <c r="AR109" s="1946"/>
      <c r="AS109" s="1946"/>
      <c r="AT109" s="1946"/>
      <c r="AU109" s="1946"/>
      <c r="AV109" s="1946"/>
      <c r="AW109" s="1946"/>
      <c r="AX109" s="1946"/>
      <c r="AY109" s="1946"/>
      <c r="AZ109" s="1946"/>
      <c r="BA109" s="1946"/>
      <c r="BB109" s="1946"/>
      <c r="BC109" s="1946"/>
      <c r="BD109" s="1946"/>
      <c r="BE109" s="1946"/>
      <c r="BF109" s="1946"/>
      <c r="BG109" s="7213"/>
    </row>
    <row customHeight="1" ht="12">
      <c r="A110" s="1290" t="s">
        <v>1169</v>
      </c>
      <c r="B110" s="1290"/>
      <c r="C110" s="1290"/>
      <c r="D110" s="1284"/>
      <c r="E110" s="1294"/>
      <c r="F110" s="2674"/>
      <c r="G110" s="1314"/>
      <c r="H110" s="1314"/>
      <c r="I110" s="2672" t="s">
        <v>1294</v>
      </c>
      <c r="J110" s="2672"/>
      <c r="K110" s="2672"/>
      <c r="L110" s="1297"/>
      <c r="M110" s="1297"/>
      <c r="N110" s="1298"/>
      <c r="O110" s="1298"/>
      <c r="P110" s="1298"/>
      <c r="Q110" s="1298"/>
      <c r="R110" s="1298"/>
      <c r="S110" s="1298"/>
      <c r="T110" s="1298"/>
      <c r="U110" s="1298"/>
      <c r="V110" s="1298"/>
      <c r="W110" s="1298"/>
      <c r="X110" s="1298"/>
      <c r="Y110" s="1298"/>
      <c r="Z110" s="1298"/>
      <c r="AA110" s="1298"/>
      <c r="AB110" s="1298"/>
      <c r="AC110" s="1298"/>
      <c r="AD110" s="1298"/>
      <c r="AE110" s="1298"/>
      <c r="AF110" s="1298"/>
      <c r="AG110" s="1297"/>
      <c r="AH110" s="1297"/>
      <c r="AI110" s="1298"/>
      <c r="AJ110" s="1297"/>
      <c r="AK110" s="1298"/>
      <c r="AL110" s="2109"/>
      <c r="AM110" s="1946"/>
      <c r="AN110" s="1946"/>
      <c r="AO110" s="1946"/>
      <c r="AP110" s="1946"/>
      <c r="AQ110" s="1946"/>
      <c r="AR110" s="1946"/>
      <c r="AS110" s="1946"/>
      <c r="AT110" s="1946"/>
      <c r="AU110" s="1946"/>
      <c r="AV110" s="1946"/>
      <c r="AW110" s="1946"/>
      <c r="AX110" s="1946"/>
      <c r="AY110" s="1946"/>
      <c r="AZ110" s="1946"/>
      <c r="BA110" s="1946"/>
      <c r="BB110" s="1946"/>
      <c r="BC110" s="1946"/>
      <c r="BD110" s="1946"/>
      <c r="BE110" s="1946"/>
      <c r="BF110" s="1946"/>
      <c r="BG110" s="7213"/>
    </row>
    <row customHeight="1" ht="0.75">
      <c r="A111" s="1290" t="s">
        <v>1169</v>
      </c>
      <c r="B111" s="1290"/>
      <c r="C111" s="1290"/>
      <c r="D111" s="1284"/>
      <c r="E111" s="1294"/>
      <c r="F111" s="2673">
        <v>2032</v>
      </c>
      <c r="G111" s="2652"/>
      <c r="H111" s="2677" t="s">
        <v>488</v>
      </c>
      <c r="I111" s="2678"/>
      <c r="J111" s="2679"/>
      <c r="K111" s="2679"/>
      <c r="L111" s="2671"/>
      <c r="M111" s="2405"/>
      <c r="N111" s="2157"/>
      <c r="O111" s="2156"/>
      <c r="P111" s="2157"/>
      <c r="Q111" s="2157"/>
      <c r="R111" s="2157"/>
      <c r="S111" s="2157"/>
      <c r="T111" s="2157"/>
      <c r="U111" s="2157"/>
      <c r="V111" s="2157"/>
      <c r="W111" s="2157"/>
      <c r="X111" s="2157"/>
      <c r="Y111" s="2157"/>
      <c r="Z111" s="2157"/>
      <c r="AA111" s="2157"/>
      <c r="AB111" s="2157"/>
      <c r="AC111" s="2157"/>
      <c r="AD111" s="2157"/>
      <c r="AE111" s="2157"/>
      <c r="AF111" s="2675"/>
      <c r="AG111" s="2671"/>
      <c r="AH111" s="2671"/>
      <c r="AI111" s="2675"/>
      <c r="AJ111" s="2671"/>
      <c r="AK111" s="2671"/>
      <c r="AL111" s="2109"/>
      <c r="AM111" s="1946"/>
      <c r="AN111" s="1946"/>
      <c r="AO111" s="1946"/>
      <c r="AP111" s="1946"/>
      <c r="AQ111" s="1946"/>
      <c r="AR111" s="1946"/>
      <c r="AS111" s="1946"/>
      <c r="AT111" s="1946"/>
      <c r="AU111" s="1946"/>
      <c r="AV111" s="1946"/>
      <c r="AW111" s="1946"/>
      <c r="AX111" s="1946"/>
      <c r="AY111" s="1946"/>
      <c r="AZ111" s="1946"/>
      <c r="BA111" s="1946"/>
      <c r="BB111" s="1946"/>
      <c r="BC111" s="1946"/>
      <c r="BD111" s="1946"/>
      <c r="BE111" s="1946"/>
      <c r="BF111" s="1946"/>
      <c r="BG111" s="7213"/>
    </row>
    <row customHeight="1" ht="0.75">
      <c r="A112" s="1290" t="s">
        <v>1169</v>
      </c>
      <c r="B112" s="1290"/>
      <c r="C112" s="1290"/>
      <c r="D112" s="1284"/>
      <c r="E112" s="1294"/>
      <c r="F112" s="2673"/>
      <c r="G112" s="2652"/>
      <c r="H112" s="2677"/>
      <c r="I112" s="2678"/>
      <c r="J112" s="2679"/>
      <c r="K112" s="2679"/>
      <c r="L112" s="2671"/>
      <c r="M112" s="2405"/>
      <c r="N112" s="2680"/>
      <c r="O112" s="2681"/>
      <c r="P112" s="2725"/>
      <c r="Q112" s="2676"/>
      <c r="R112" s="2676"/>
      <c r="S112" s="2676"/>
      <c r="T112" s="2676"/>
      <c r="U112" s="2676"/>
      <c r="V112" s="2676"/>
      <c r="W112" s="2676"/>
      <c r="X112" s="2676"/>
      <c r="Y112" s="2676"/>
      <c r="Z112" s="2158"/>
      <c r="AA112" s="2159"/>
      <c r="AB112" s="2159"/>
      <c r="AC112" s="2160"/>
      <c r="AD112" s="2160"/>
      <c r="AE112" s="2161"/>
      <c r="AF112" s="2675"/>
      <c r="AG112" s="2671"/>
      <c r="AH112" s="2671"/>
      <c r="AI112" s="2675"/>
      <c r="AJ112" s="2671"/>
      <c r="AK112" s="2671"/>
      <c r="AL112" s="2109"/>
      <c r="AM112" s="1946"/>
      <c r="AN112" s="1946"/>
      <c r="AO112" s="1946"/>
      <c r="AP112" s="1946"/>
      <c r="AQ112" s="1946"/>
      <c r="AR112" s="1946"/>
      <c r="AS112" s="1946"/>
      <c r="AT112" s="1946"/>
      <c r="AU112" s="1946"/>
      <c r="AV112" s="1946"/>
      <c r="AW112" s="1946"/>
      <c r="AX112" s="1946"/>
      <c r="AY112" s="1946"/>
      <c r="AZ112" s="1946"/>
      <c r="BA112" s="1946"/>
      <c r="BB112" s="1946"/>
      <c r="BC112" s="1946"/>
      <c r="BD112" s="1946"/>
      <c r="BE112" s="1946"/>
      <c r="BF112" s="1946"/>
      <c r="BG112" s="7213"/>
    </row>
    <row customHeight="1" ht="0.75">
      <c r="A113" s="1290" t="s">
        <v>1169</v>
      </c>
      <c r="B113" s="1290"/>
      <c r="C113" s="1290"/>
      <c r="D113" s="1284"/>
      <c r="E113" s="1294"/>
      <c r="F113" s="2673"/>
      <c r="G113" s="2652"/>
      <c r="H113" s="2677"/>
      <c r="I113" s="2678"/>
      <c r="J113" s="2679"/>
      <c r="K113" s="2679"/>
      <c r="L113" s="2671"/>
      <c r="M113" s="2405"/>
      <c r="N113" s="2680"/>
      <c r="O113" s="2681"/>
      <c r="P113" s="2726"/>
      <c r="Q113" s="2676"/>
      <c r="R113" s="2676"/>
      <c r="S113" s="2676"/>
      <c r="T113" s="2676"/>
      <c r="U113" s="2676"/>
      <c r="V113" s="2676"/>
      <c r="W113" s="2676"/>
      <c r="X113" s="2676"/>
      <c r="Y113" s="2676"/>
      <c r="Z113" s="2162"/>
      <c r="AA113" s="2163"/>
      <c r="AB113" s="2164"/>
      <c r="AC113" s="2165"/>
      <c r="AD113" s="2164"/>
      <c r="AE113" s="2165"/>
      <c r="AF113" s="2675"/>
      <c r="AG113" s="2671"/>
      <c r="AH113" s="2671"/>
      <c r="AI113" s="2675"/>
      <c r="AJ113" s="2671"/>
      <c r="AK113" s="2671"/>
      <c r="AL113" s="2109"/>
      <c r="AM113" s="1946"/>
      <c r="AN113" s="1946"/>
      <c r="AO113" s="1946"/>
      <c r="AP113" s="1946"/>
      <c r="AQ113" s="1946"/>
      <c r="AR113" s="1946"/>
      <c r="AS113" s="1946"/>
      <c r="AT113" s="1946"/>
      <c r="AU113" s="1946"/>
      <c r="AV113" s="1946"/>
      <c r="AW113" s="1946"/>
      <c r="AX113" s="1946"/>
      <c r="AY113" s="1946"/>
      <c r="AZ113" s="1946"/>
      <c r="BA113" s="1946"/>
      <c r="BB113" s="1946"/>
      <c r="BC113" s="1946"/>
      <c r="BD113" s="1946"/>
      <c r="BE113" s="1946"/>
      <c r="BF113" s="1946"/>
      <c r="BG113" s="7213"/>
    </row>
    <row customHeight="1" ht="0.75">
      <c r="A114" s="1290" t="s">
        <v>1169</v>
      </c>
      <c r="B114" s="1290"/>
      <c r="C114" s="1290"/>
      <c r="D114" s="1284"/>
      <c r="E114" s="1294"/>
      <c r="F114" s="2673"/>
      <c r="G114" s="2652"/>
      <c r="H114" s="2677"/>
      <c r="I114" s="2678"/>
      <c r="J114" s="2679"/>
      <c r="K114" s="2679"/>
      <c r="L114" s="2671"/>
      <c r="M114" s="2405"/>
      <c r="N114" s="2680"/>
      <c r="O114" s="2681"/>
      <c r="P114" s="2727"/>
      <c r="Q114" s="2676"/>
      <c r="R114" s="2676"/>
      <c r="S114" s="2676"/>
      <c r="T114" s="2676"/>
      <c r="U114" s="2676"/>
      <c r="V114" s="2676"/>
      <c r="W114" s="2676"/>
      <c r="X114" s="2676"/>
      <c r="Y114" s="2676"/>
      <c r="Z114" s="2158"/>
      <c r="AA114" s="2159"/>
      <c r="AB114" s="2166"/>
      <c r="AC114" s="2160"/>
      <c r="AD114" s="2160"/>
      <c r="AE114" s="2167"/>
      <c r="AF114" s="2675"/>
      <c r="AG114" s="2671"/>
      <c r="AH114" s="2671"/>
      <c r="AI114" s="2675"/>
      <c r="AJ114" s="2671"/>
      <c r="AK114" s="2671"/>
      <c r="AL114" s="2109"/>
      <c r="AM114" s="1946"/>
      <c r="AN114" s="1946"/>
      <c r="AO114" s="1946"/>
      <c r="AP114" s="1946"/>
      <c r="AQ114" s="1946"/>
      <c r="AR114" s="1946"/>
      <c r="AS114" s="1946"/>
      <c r="AT114" s="1946"/>
      <c r="AU114" s="1946"/>
      <c r="AV114" s="1946"/>
      <c r="AW114" s="1946"/>
      <c r="AX114" s="1946"/>
      <c r="AY114" s="1946"/>
      <c r="AZ114" s="1946"/>
      <c r="BA114" s="1946"/>
      <c r="BB114" s="1946"/>
      <c r="BC114" s="1946"/>
      <c r="BD114" s="1946"/>
      <c r="BE114" s="1946"/>
      <c r="BF114" s="1946"/>
      <c r="BG114" s="7213"/>
    </row>
    <row customHeight="1" ht="0.75">
      <c r="A115" s="1290" t="s">
        <v>1169</v>
      </c>
      <c r="B115" s="1290"/>
      <c r="C115" s="1290"/>
      <c r="D115" s="1284"/>
      <c r="E115" s="1294"/>
      <c r="F115" s="2673"/>
      <c r="G115" s="2652"/>
      <c r="H115" s="2677"/>
      <c r="I115" s="2678"/>
      <c r="J115" s="2679"/>
      <c r="K115" s="2679"/>
      <c r="L115" s="2671"/>
      <c r="M115" s="2405"/>
      <c r="N115" s="2159"/>
      <c r="O115" s="2159"/>
      <c r="P115" s="2166"/>
      <c r="Q115" s="2159"/>
      <c r="R115" s="2159"/>
      <c r="S115" s="2159"/>
      <c r="T115" s="2159"/>
      <c r="U115" s="2159"/>
      <c r="V115" s="2159"/>
      <c r="W115" s="2159"/>
      <c r="X115" s="2159"/>
      <c r="Y115" s="2159"/>
      <c r="Z115" s="2159"/>
      <c r="AA115" s="2159"/>
      <c r="AB115" s="2159"/>
      <c r="AC115" s="2159"/>
      <c r="AD115" s="2159"/>
      <c r="AE115" s="2168"/>
      <c r="AF115" s="2675"/>
      <c r="AG115" s="2671"/>
      <c r="AH115" s="2671"/>
      <c r="AI115" s="2675"/>
      <c r="AJ115" s="2671"/>
      <c r="AK115" s="2671"/>
      <c r="AL115" s="2109"/>
      <c r="AM115" s="1946"/>
      <c r="AN115" s="1946"/>
      <c r="AO115" s="1946"/>
      <c r="AP115" s="1946"/>
      <c r="AQ115" s="1946"/>
      <c r="AR115" s="1946"/>
      <c r="AS115" s="1946"/>
      <c r="AT115" s="1946"/>
      <c r="AU115" s="1946"/>
      <c r="AV115" s="1946"/>
      <c r="AW115" s="1946"/>
      <c r="AX115" s="1946"/>
      <c r="AY115" s="1946"/>
      <c r="AZ115" s="1946"/>
      <c r="BA115" s="1946"/>
      <c r="BB115" s="1946"/>
      <c r="BC115" s="1946"/>
      <c r="BD115" s="1946"/>
      <c r="BE115" s="1946"/>
      <c r="BF115" s="1946"/>
      <c r="BG115" s="7213"/>
    </row>
    <row customHeight="1" ht="12">
      <c r="A116" s="1290" t="s">
        <v>1169</v>
      </c>
      <c r="B116" s="1290"/>
      <c r="C116" s="1290"/>
      <c r="D116" s="1284"/>
      <c r="E116" s="1294"/>
      <c r="F116" s="2674"/>
      <c r="G116" s="1314"/>
      <c r="H116" s="1314"/>
      <c r="I116" s="2672" t="s">
        <v>1294</v>
      </c>
      <c r="J116" s="2672"/>
      <c r="K116" s="2672"/>
      <c r="L116" s="1297"/>
      <c r="M116" s="1297"/>
      <c r="N116" s="1298"/>
      <c r="O116" s="1298"/>
      <c r="P116" s="1298"/>
      <c r="Q116" s="1298"/>
      <c r="R116" s="1298"/>
      <c r="S116" s="1298"/>
      <c r="T116" s="1298"/>
      <c r="U116" s="1298"/>
      <c r="V116" s="1298"/>
      <c r="W116" s="1298"/>
      <c r="X116" s="1298"/>
      <c r="Y116" s="1298"/>
      <c r="Z116" s="1298"/>
      <c r="AA116" s="1298"/>
      <c r="AB116" s="1298"/>
      <c r="AC116" s="1298"/>
      <c r="AD116" s="1298"/>
      <c r="AE116" s="1298"/>
      <c r="AF116" s="1298"/>
      <c r="AG116" s="1297"/>
      <c r="AH116" s="1297"/>
      <c r="AI116" s="1298"/>
      <c r="AJ116" s="1297"/>
      <c r="AK116" s="1298"/>
      <c r="AL116" s="2109"/>
      <c r="AM116" s="1946"/>
      <c r="AN116" s="1946"/>
      <c r="AO116" s="1946"/>
      <c r="AP116" s="1946"/>
      <c r="AQ116" s="1946"/>
      <c r="AR116" s="1946"/>
      <c r="AS116" s="1946"/>
      <c r="AT116" s="1946"/>
      <c r="AU116" s="1946"/>
      <c r="AV116" s="1946"/>
      <c r="AW116" s="1946"/>
      <c r="AX116" s="1946"/>
      <c r="AY116" s="1946"/>
      <c r="AZ116" s="1946"/>
      <c r="BA116" s="1946"/>
      <c r="BB116" s="1946"/>
      <c r="BC116" s="1946"/>
      <c r="BD116" s="1946"/>
      <c r="BE116" s="1946"/>
      <c r="BF116" s="1946"/>
      <c r="BG116" s="7213"/>
    </row>
    <row customHeight="1" ht="21">
      <c r="A117" s="1291" t="s">
        <v>1179</v>
      </c>
      <c r="B117" s="1290"/>
      <c r="C117" s="1290"/>
      <c r="D117" s="1284"/>
      <c r="E117" s="1294" t="s">
        <v>22</v>
      </c>
      <c r="F117" s="1246" t="str">
        <f>INDEX(IP_MAIN_LIST_NAME_IP,MATCH(A117,IP_MAIN_LIST_IP_ID,0))&amp;" ("&amp;INDEX(IP_MAIN_START_DATE,MATCH(A117,IP_MAIN_LIST_IP_ID,0))&amp;"-"&amp;INDEX(IP_MAIN_END_DATE,MATCH(A117,IP_MAIN_LIST_IP_ID,0))&amp;")"</f>
        <v>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 (01.01.2024-31.12.2028)</v>
      </c>
      <c r="G117" s="1247"/>
      <c r="H117" s="1247"/>
      <c r="I117" s="1309"/>
      <c r="J117" s="1309"/>
      <c r="K117" s="1310"/>
      <c r="L117" s="1310"/>
      <c r="M117" s="1310"/>
      <c r="N117" s="1311"/>
      <c r="O117" s="1311"/>
      <c r="P117" s="1311"/>
      <c r="Q117" s="1311"/>
      <c r="R117" s="1311"/>
      <c r="S117" s="1311"/>
      <c r="T117" s="1311"/>
      <c r="U117" s="1311"/>
      <c r="V117" s="1311"/>
      <c r="W117" s="1311"/>
      <c r="X117" s="1311"/>
      <c r="Y117" s="1311"/>
      <c r="Z117" s="1311"/>
      <c r="AA117" s="1311"/>
      <c r="AB117" s="1311"/>
      <c r="AC117" s="1311"/>
      <c r="AD117" s="1311"/>
      <c r="AE117" s="1312"/>
      <c r="AF117" s="1310"/>
      <c r="AG117" s="1310"/>
      <c r="AH117" s="1310"/>
      <c r="AI117" s="1310"/>
      <c r="AJ117" s="1310"/>
      <c r="AK117" s="1310"/>
      <c r="AL117" s="2109"/>
      <c r="AM117" s="1946"/>
      <c r="AN117" s="1946"/>
      <c r="AO117" s="1946"/>
      <c r="AP117" s="1946"/>
      <c r="AQ117" s="1946"/>
      <c r="AR117" s="1946"/>
      <c r="AS117" s="1946"/>
      <c r="AT117" s="1946"/>
      <c r="AU117" s="1946"/>
      <c r="AV117" s="1946"/>
      <c r="AW117" s="1946"/>
      <c r="AX117" s="1946"/>
      <c r="AY117" s="1946"/>
      <c r="AZ117" s="1946"/>
      <c r="BA117" s="1946"/>
      <c r="BB117" s="1946"/>
      <c r="BC117" s="1946"/>
      <c r="BD117" s="1946"/>
      <c r="BE117" s="1946"/>
      <c r="BF117" s="1946"/>
      <c r="BG117" s="7213"/>
    </row>
    <row customHeight="1" ht="0.75">
      <c r="A118" s="1290" t="s">
        <v>1179</v>
      </c>
      <c r="B118" s="1290"/>
      <c r="C118" s="1290"/>
      <c r="D118" s="1284"/>
      <c r="E118" s="1294"/>
      <c r="F118" s="2673">
        <v>2024</v>
      </c>
      <c r="G118" s="2652"/>
      <c r="H118" s="2677" t="s">
        <v>488</v>
      </c>
      <c r="I118" s="2678"/>
      <c r="J118" s="2679"/>
      <c r="K118" s="2679"/>
      <c r="L118" s="2671"/>
      <c r="M118" s="2405"/>
      <c r="N118" s="2157"/>
      <c r="O118" s="2156"/>
      <c r="P118" s="2157"/>
      <c r="Q118" s="2157"/>
      <c r="R118" s="2157"/>
      <c r="S118" s="2157"/>
      <c r="T118" s="2157"/>
      <c r="U118" s="2157"/>
      <c r="V118" s="2157"/>
      <c r="W118" s="2157"/>
      <c r="X118" s="2157"/>
      <c r="Y118" s="2157"/>
      <c r="Z118" s="2157"/>
      <c r="AA118" s="2157"/>
      <c r="AB118" s="2157"/>
      <c r="AC118" s="2157"/>
      <c r="AD118" s="2157"/>
      <c r="AE118" s="2157"/>
      <c r="AF118" s="2675"/>
      <c r="AG118" s="2671"/>
      <c r="AH118" s="2671"/>
      <c r="AI118" s="2675"/>
      <c r="AJ118" s="2671"/>
      <c r="AK118" s="2671"/>
      <c r="AL118" s="2109"/>
      <c r="AM118" s="1946"/>
      <c r="AN118" s="1946"/>
      <c r="AO118" s="1946"/>
      <c r="AP118" s="1946"/>
      <c r="AQ118" s="1946"/>
      <c r="AR118" s="1946"/>
      <c r="AS118" s="1946"/>
      <c r="AT118" s="1946"/>
      <c r="AU118" s="1946"/>
      <c r="AV118" s="1946"/>
      <c r="AW118" s="1946"/>
      <c r="AX118" s="1946"/>
      <c r="AY118" s="1946"/>
      <c r="AZ118" s="1946"/>
      <c r="BA118" s="1946"/>
      <c r="BB118" s="1946"/>
      <c r="BC118" s="1946"/>
      <c r="BD118" s="1946"/>
      <c r="BE118" s="1946"/>
      <c r="BF118" s="1946"/>
      <c r="BG118" s="7213"/>
    </row>
    <row customHeight="1" ht="0.75">
      <c r="A119" s="1290" t="s">
        <v>1179</v>
      </c>
      <c r="B119" s="1290"/>
      <c r="C119" s="1290"/>
      <c r="D119" s="1284"/>
      <c r="E119" s="1294"/>
      <c r="F119" s="2673"/>
      <c r="G119" s="2652"/>
      <c r="H119" s="2677"/>
      <c r="I119" s="2678"/>
      <c r="J119" s="2679"/>
      <c r="K119" s="2679"/>
      <c r="L119" s="2671"/>
      <c r="M119" s="2405"/>
      <c r="N119" s="2680"/>
      <c r="O119" s="2681"/>
      <c r="P119" s="2725"/>
      <c r="Q119" s="2676"/>
      <c r="R119" s="2676"/>
      <c r="S119" s="2676"/>
      <c r="T119" s="2676"/>
      <c r="U119" s="2676"/>
      <c r="V119" s="2676"/>
      <c r="W119" s="2676"/>
      <c r="X119" s="2676"/>
      <c r="Y119" s="2676"/>
      <c r="Z119" s="2158"/>
      <c r="AA119" s="2159"/>
      <c r="AB119" s="2159"/>
      <c r="AC119" s="2160"/>
      <c r="AD119" s="2160"/>
      <c r="AE119" s="2161"/>
      <c r="AF119" s="2675"/>
      <c r="AG119" s="2671"/>
      <c r="AH119" s="2671"/>
      <c r="AI119" s="2675"/>
      <c r="AJ119" s="2671"/>
      <c r="AK119" s="2671"/>
      <c r="AL119" s="2109"/>
      <c r="AM119" s="1946"/>
      <c r="AN119" s="1946"/>
      <c r="AO119" s="1946"/>
      <c r="AP119" s="1946"/>
      <c r="AQ119" s="1946"/>
      <c r="AR119" s="1946"/>
      <c r="AS119" s="1946"/>
      <c r="AT119" s="1946"/>
      <c r="AU119" s="1946"/>
      <c r="AV119" s="1946"/>
      <c r="AW119" s="1946"/>
      <c r="AX119" s="1946"/>
      <c r="AY119" s="1946"/>
      <c r="AZ119" s="1946"/>
      <c r="BA119" s="1946"/>
      <c r="BB119" s="1946"/>
      <c r="BC119" s="1946"/>
      <c r="BD119" s="1946"/>
      <c r="BE119" s="1946"/>
      <c r="BF119" s="1946"/>
      <c r="BG119" s="7213"/>
    </row>
    <row customHeight="1" ht="0.75">
      <c r="A120" s="1290" t="s">
        <v>1179</v>
      </c>
      <c r="B120" s="1290"/>
      <c r="C120" s="1290"/>
      <c r="D120" s="1284"/>
      <c r="E120" s="1294"/>
      <c r="F120" s="2673"/>
      <c r="G120" s="2652"/>
      <c r="H120" s="2677"/>
      <c r="I120" s="2678"/>
      <c r="J120" s="2679"/>
      <c r="K120" s="2679"/>
      <c r="L120" s="2671"/>
      <c r="M120" s="2405"/>
      <c r="N120" s="2680"/>
      <c r="O120" s="2681"/>
      <c r="P120" s="2726"/>
      <c r="Q120" s="2676"/>
      <c r="R120" s="2676"/>
      <c r="S120" s="2676"/>
      <c r="T120" s="2676"/>
      <c r="U120" s="2676"/>
      <c r="V120" s="2676"/>
      <c r="W120" s="2676"/>
      <c r="X120" s="2676"/>
      <c r="Y120" s="2676"/>
      <c r="Z120" s="2162"/>
      <c r="AA120" s="2163"/>
      <c r="AB120" s="2164"/>
      <c r="AC120" s="2165"/>
      <c r="AD120" s="2164"/>
      <c r="AE120" s="2165"/>
      <c r="AF120" s="2675"/>
      <c r="AG120" s="2671"/>
      <c r="AH120" s="2671"/>
      <c r="AI120" s="2675"/>
      <c r="AJ120" s="2671"/>
      <c r="AK120" s="2671"/>
      <c r="AL120" s="2109"/>
      <c r="AM120" s="1946"/>
      <c r="AN120" s="1946"/>
      <c r="AO120" s="1946"/>
      <c r="AP120" s="1946"/>
      <c r="AQ120" s="1946"/>
      <c r="AR120" s="1946"/>
      <c r="AS120" s="1946"/>
      <c r="AT120" s="1946"/>
      <c r="AU120" s="1946"/>
      <c r="AV120" s="1946"/>
      <c r="AW120" s="1946"/>
      <c r="AX120" s="1946"/>
      <c r="AY120" s="1946"/>
      <c r="AZ120" s="1946"/>
      <c r="BA120" s="1946"/>
      <c r="BB120" s="1946"/>
      <c r="BC120" s="1946"/>
      <c r="BD120" s="1946"/>
      <c r="BE120" s="1946"/>
      <c r="BF120" s="1946"/>
      <c r="BG120" s="7213"/>
    </row>
    <row customHeight="1" ht="0.75">
      <c r="A121" s="1290" t="s">
        <v>1179</v>
      </c>
      <c r="B121" s="1290"/>
      <c r="C121" s="1290"/>
      <c r="D121" s="1284"/>
      <c r="E121" s="1294"/>
      <c r="F121" s="2673"/>
      <c r="G121" s="2652"/>
      <c r="H121" s="2677"/>
      <c r="I121" s="2678"/>
      <c r="J121" s="2679"/>
      <c r="K121" s="2679"/>
      <c r="L121" s="2671"/>
      <c r="M121" s="2405"/>
      <c r="N121" s="2680"/>
      <c r="O121" s="2681"/>
      <c r="P121" s="2727"/>
      <c r="Q121" s="2676"/>
      <c r="R121" s="2676"/>
      <c r="S121" s="2676"/>
      <c r="T121" s="2676"/>
      <c r="U121" s="2676"/>
      <c r="V121" s="2676"/>
      <c r="W121" s="2676"/>
      <c r="X121" s="2676"/>
      <c r="Y121" s="2676"/>
      <c r="Z121" s="2158"/>
      <c r="AA121" s="2159"/>
      <c r="AB121" s="2166"/>
      <c r="AC121" s="2160"/>
      <c r="AD121" s="2160"/>
      <c r="AE121" s="2167"/>
      <c r="AF121" s="2675"/>
      <c r="AG121" s="2671"/>
      <c r="AH121" s="2671"/>
      <c r="AI121" s="2675"/>
      <c r="AJ121" s="2671"/>
      <c r="AK121" s="2671"/>
      <c r="AL121" s="2109"/>
      <c r="AM121" s="1946"/>
      <c r="AN121" s="1946"/>
      <c r="AO121" s="1946"/>
      <c r="AP121" s="1946"/>
      <c r="AQ121" s="1946"/>
      <c r="AR121" s="1946"/>
      <c r="AS121" s="1946"/>
      <c r="AT121" s="1946"/>
      <c r="AU121" s="1946"/>
      <c r="AV121" s="1946"/>
      <c r="AW121" s="1946"/>
      <c r="AX121" s="1946"/>
      <c r="AY121" s="1946"/>
      <c r="AZ121" s="1946"/>
      <c r="BA121" s="1946"/>
      <c r="BB121" s="1946"/>
      <c r="BC121" s="1946"/>
      <c r="BD121" s="1946"/>
      <c r="BE121" s="1946"/>
      <c r="BF121" s="1946"/>
      <c r="BG121" s="7213"/>
    </row>
    <row customHeight="1" ht="0.75">
      <c r="A122" s="1290" t="s">
        <v>1179</v>
      </c>
      <c r="B122" s="1290"/>
      <c r="C122" s="1290"/>
      <c r="D122" s="1284"/>
      <c r="E122" s="1294"/>
      <c r="F122" s="2673"/>
      <c r="G122" s="2652"/>
      <c r="H122" s="2677"/>
      <c r="I122" s="2678"/>
      <c r="J122" s="2679"/>
      <c r="K122" s="2679"/>
      <c r="L122" s="2671"/>
      <c r="M122" s="2405"/>
      <c r="N122" s="2159"/>
      <c r="O122" s="2159"/>
      <c r="P122" s="2166"/>
      <c r="Q122" s="2159"/>
      <c r="R122" s="2159"/>
      <c r="S122" s="2159"/>
      <c r="T122" s="2159"/>
      <c r="U122" s="2159"/>
      <c r="V122" s="2159"/>
      <c r="W122" s="2159"/>
      <c r="X122" s="2159"/>
      <c r="Y122" s="2159"/>
      <c r="Z122" s="2159"/>
      <c r="AA122" s="2159"/>
      <c r="AB122" s="2159"/>
      <c r="AC122" s="2159"/>
      <c r="AD122" s="2159"/>
      <c r="AE122" s="2168"/>
      <c r="AF122" s="2675"/>
      <c r="AG122" s="2671"/>
      <c r="AH122" s="2671"/>
      <c r="AI122" s="2675"/>
      <c r="AJ122" s="2671"/>
      <c r="AK122" s="2671"/>
      <c r="AL122" s="2109"/>
      <c r="AM122" s="1946"/>
      <c r="AN122" s="1946"/>
      <c r="AO122" s="1946"/>
      <c r="AP122" s="1946"/>
      <c r="AQ122" s="1946"/>
      <c r="AR122" s="1946"/>
      <c r="AS122" s="1946"/>
      <c r="AT122" s="1946"/>
      <c r="AU122" s="1946"/>
      <c r="AV122" s="1946"/>
      <c r="AW122" s="1946"/>
      <c r="AX122" s="1946"/>
      <c r="AY122" s="1946"/>
      <c r="AZ122" s="1946"/>
      <c r="BA122" s="1946"/>
      <c r="BB122" s="1946"/>
      <c r="BC122" s="1946"/>
      <c r="BD122" s="1946"/>
      <c r="BE122" s="1946"/>
      <c r="BF122" s="1946"/>
      <c r="BG122" s="7213"/>
    </row>
    <row customHeight="1" ht="11.25">
      <c r="A123" s="1290" t="s">
        <v>1179</v>
      </c>
      <c r="B123" s="1290"/>
      <c r="C123" s="1290"/>
      <c r="D123" s="1284"/>
      <c r="E123" s="1294"/>
      <c r="F123" s="1952"/>
      <c r="G123" s="7121" t="s">
        <v>103</v>
      </c>
      <c r="H123" s="2652" t="s">
        <v>210</v>
      </c>
      <c r="I123" s="2653"/>
      <c r="J123" s="2622"/>
      <c r="K123" s="2654" t="s">
        <v>1332</v>
      </c>
      <c r="L123" s="2244" t="s">
        <v>19</v>
      </c>
      <c r="M123" s="11138" t="s">
        <v>22</v>
      </c>
      <c r="N123" s="2107"/>
      <c r="O123" s="1301" t="s">
        <v>488</v>
      </c>
      <c r="P123" s="1302"/>
      <c r="Q123" s="1302"/>
      <c r="R123" s="1302"/>
      <c r="S123" s="1302"/>
      <c r="T123" s="1302"/>
      <c r="U123" s="1302"/>
      <c r="V123" s="1302"/>
      <c r="W123" s="1302"/>
      <c r="X123" s="1302"/>
      <c r="Y123" s="1302"/>
      <c r="Z123" s="1302"/>
      <c r="AA123" s="1302"/>
      <c r="AB123" s="1302"/>
      <c r="AC123" s="1302"/>
      <c r="AD123" s="1302"/>
      <c r="AE123" s="1302"/>
      <c r="AF123" s="2643">
        <v>2024</v>
      </c>
      <c r="AG123" s="2644" t="s">
        <v>1296</v>
      </c>
      <c r="AH123" s="2644" t="s">
        <v>1297</v>
      </c>
      <c r="AI123" s="2643">
        <v>2024</v>
      </c>
      <c r="AJ123" s="2644" t="s">
        <v>1296</v>
      </c>
      <c r="AK123" s="2644" t="s">
        <v>1297</v>
      </c>
      <c r="AL123" s="2109"/>
      <c r="AM123" s="1946"/>
      <c r="AN123" s="1946"/>
      <c r="AO123" s="1946"/>
      <c r="AP123" s="1946"/>
      <c r="AQ123" s="1946"/>
      <c r="AR123" s="1946"/>
      <c r="AS123" s="1946"/>
      <c r="AT123" s="1946"/>
      <c r="AU123" s="1946"/>
      <c r="AV123" s="1946"/>
      <c r="AW123" s="1946"/>
      <c r="AX123" s="1946"/>
      <c r="AY123" s="1946"/>
      <c r="AZ123" s="1946"/>
      <c r="BA123" s="1946"/>
      <c r="BB123" s="1946"/>
      <c r="BC123" s="1946"/>
      <c r="BD123" s="1946"/>
      <c r="BE123" s="1946"/>
      <c r="BF123" s="1946"/>
      <c r="BG123" s="7213"/>
    </row>
    <row customHeight="1" ht="11.25">
      <c r="A124" s="1290" t="s">
        <v>1179</v>
      </c>
      <c r="B124" s="1290"/>
      <c r="C124" s="1290"/>
      <c r="D124" s="1284"/>
      <c r="E124" s="1294"/>
      <c r="F124" s="1952"/>
      <c r="G124" s="1953"/>
      <c r="H124" s="2652" t="s">
        <v>488</v>
      </c>
      <c r="I124" s="2653"/>
      <c r="J124" s="2622"/>
      <c r="K124" s="2654"/>
      <c r="L124" s="2244"/>
      <c r="M124" s="11138" t="s">
        <v>22</v>
      </c>
      <c r="N124" s="2645"/>
      <c r="O124" s="2646">
        <v>1</v>
      </c>
      <c r="P124" s="2647" t="s">
        <v>62</v>
      </c>
      <c r="Q124" s="11136" t="s">
        <v>1333</v>
      </c>
      <c r="R124" s="11137" t="s">
        <v>1299</v>
      </c>
      <c r="S124" s="11137" t="s">
        <v>147</v>
      </c>
      <c r="T124" s="11137" t="s">
        <v>1334</v>
      </c>
      <c r="U124" s="11137" t="s">
        <v>1335</v>
      </c>
      <c r="V124" s="11137" t="s">
        <v>1336</v>
      </c>
      <c r="W124" s="11137" t="s">
        <v>1337</v>
      </c>
      <c r="X124" s="11137" t="s">
        <v>1338</v>
      </c>
      <c r="Y124" s="11137" t="s">
        <v>1339</v>
      </c>
      <c r="Z124" s="1299"/>
      <c r="AA124" s="1300"/>
      <c r="AB124" s="1300"/>
      <c r="AC124" s="1304"/>
      <c r="AD124" s="1304"/>
      <c r="AE124" s="1305"/>
      <c r="AF124" s="2643"/>
      <c r="AG124" s="2644"/>
      <c r="AH124" s="2644"/>
      <c r="AI124" s="2643"/>
      <c r="AJ124" s="2644"/>
      <c r="AK124" s="2644"/>
      <c r="AL124" s="2109"/>
      <c r="AM124" s="1946"/>
      <c r="AN124" s="1946"/>
      <c r="AO124" s="1946"/>
      <c r="AP124" s="1946"/>
      <c r="AQ124" s="1946"/>
      <c r="AR124" s="1946"/>
      <c r="AS124" s="1946"/>
      <c r="AT124" s="1946"/>
      <c r="AU124" s="1946"/>
      <c r="AV124" s="1946"/>
      <c r="AW124" s="1946"/>
      <c r="AX124" s="1946"/>
      <c r="AY124" s="1946"/>
      <c r="AZ124" s="1946"/>
      <c r="BA124" s="1946"/>
      <c r="BB124" s="1946"/>
      <c r="BC124" s="1946"/>
      <c r="BD124" s="1946"/>
      <c r="BE124" s="1946"/>
      <c r="BF124" s="1946"/>
      <c r="BG124" s="7213"/>
    </row>
    <row customHeight="1" ht="11.25">
      <c r="A125" s="1290" t="s">
        <v>1179</v>
      </c>
      <c r="B125" s="1290"/>
      <c r="C125" s="1290"/>
      <c r="D125" s="1284"/>
      <c r="E125" s="1294"/>
      <c r="F125" s="1952"/>
      <c r="G125" s="1953"/>
      <c r="H125" s="2652" t="s">
        <v>488</v>
      </c>
      <c r="I125" s="2653"/>
      <c r="J125" s="2622"/>
      <c r="K125" s="2654"/>
      <c r="L125" s="2244"/>
      <c r="M125" s="11138" t="s">
        <v>22</v>
      </c>
      <c r="N125" s="2645"/>
      <c r="O125" s="2646"/>
      <c r="P125" s="2648"/>
      <c r="Q125" s="11136"/>
      <c r="R125" s="2650"/>
      <c r="S125" s="2651"/>
      <c r="T125" s="2650"/>
      <c r="U125" s="2650"/>
      <c r="V125" s="2650"/>
      <c r="W125" s="2650"/>
      <c r="X125" s="2650"/>
      <c r="Y125" s="2650"/>
      <c r="Z125" s="1951"/>
      <c r="AA125" s="1917">
        <v>1</v>
      </c>
      <c r="AB125" s="1303" t="s">
        <v>1306</v>
      </c>
      <c r="AC125" s="1293">
        <v>465</v>
      </c>
      <c r="AD125" s="1303" t="str">
        <f>AB125</f>
        <v>  Прибыль направляемая на инвестиции</v>
      </c>
      <c r="AE125" s="1293">
        <v>465</v>
      </c>
      <c r="AF125" s="2643"/>
      <c r="AG125" s="2644"/>
      <c r="AH125" s="2644"/>
      <c r="AI125" s="2643"/>
      <c r="AJ125" s="2644"/>
      <c r="AK125" s="2644"/>
      <c r="AL125" s="2109"/>
      <c r="AM125" s="1946"/>
      <c r="AN125" s="1946"/>
      <c r="AO125" s="1946"/>
      <c r="AP125" s="1946"/>
      <c r="AQ125" s="1946"/>
      <c r="AR125" s="1946"/>
      <c r="AS125" s="1946"/>
      <c r="AT125" s="1946"/>
      <c r="AU125" s="1946"/>
      <c r="AV125" s="1946"/>
      <c r="AW125" s="1946"/>
      <c r="AX125" s="1946"/>
      <c r="AY125" s="1946"/>
      <c r="AZ125" s="1946"/>
      <c r="BA125" s="1946"/>
      <c r="BB125" s="1946"/>
      <c r="BC125" s="1946"/>
      <c r="BD125" s="1946"/>
      <c r="BE125" s="1946"/>
      <c r="BF125" s="1946"/>
      <c r="BG125" s="7213"/>
    </row>
    <row customHeight="1" ht="11.25">
      <c r="A126" s="1290" t="s">
        <v>1179</v>
      </c>
      <c r="B126" s="1290"/>
      <c r="C126" s="1290"/>
      <c r="D126" s="1284"/>
      <c r="E126" s="1294"/>
      <c r="F126" s="1952"/>
      <c r="G126" s="1953"/>
      <c r="H126" s="2652" t="s">
        <v>488</v>
      </c>
      <c r="I126" s="2653"/>
      <c r="J126" s="2622"/>
      <c r="K126" s="2654"/>
      <c r="L126" s="2244"/>
      <c r="M126" s="11138" t="s">
        <v>22</v>
      </c>
      <c r="N126" s="2645"/>
      <c r="O126" s="2646"/>
      <c r="P126" s="2649"/>
      <c r="Q126" s="11136"/>
      <c r="R126" s="2650"/>
      <c r="S126" s="2651"/>
      <c r="T126" s="2650"/>
      <c r="U126" s="2650"/>
      <c r="V126" s="2650"/>
      <c r="W126" s="2650"/>
      <c r="X126" s="2650"/>
      <c r="Y126" s="2650"/>
      <c r="Z126" s="1299"/>
      <c r="AA126" s="1300"/>
      <c r="AB126" s="1365" t="s">
        <v>1309</v>
      </c>
      <c r="AC126" s="1304"/>
      <c r="AD126" s="1304"/>
      <c r="AE126" s="1306"/>
      <c r="AF126" s="2643"/>
      <c r="AG126" s="2644"/>
      <c r="AH126" s="2644"/>
      <c r="AI126" s="2643"/>
      <c r="AJ126" s="2644"/>
      <c r="AK126" s="2644"/>
      <c r="AL126" s="2109"/>
      <c r="AM126" s="1946"/>
      <c r="AN126" s="1946"/>
      <c r="AO126" s="1946"/>
      <c r="AP126" s="1946"/>
      <c r="AQ126" s="1946"/>
      <c r="AR126" s="1946"/>
      <c r="AS126" s="1946"/>
      <c r="AT126" s="1946"/>
      <c r="AU126" s="1946"/>
      <c r="AV126" s="1946"/>
      <c r="AW126" s="1946"/>
      <c r="AX126" s="1946"/>
      <c r="AY126" s="1946"/>
      <c r="AZ126" s="1946"/>
      <c r="BA126" s="1946"/>
      <c r="BB126" s="1946"/>
      <c r="BC126" s="1946"/>
      <c r="BD126" s="1946"/>
      <c r="BE126" s="1946"/>
      <c r="BF126" s="1946"/>
      <c r="BG126" s="7213"/>
    </row>
    <row customHeight="1" ht="11.25">
      <c r="A127" s="1290" t="s">
        <v>1179</v>
      </c>
      <c r="B127" s="1290"/>
      <c r="C127" s="1290"/>
      <c r="D127" s="1284"/>
      <c r="E127" s="1294"/>
      <c r="F127" s="1952"/>
      <c r="G127" s="1953"/>
      <c r="H127" s="2652" t="s">
        <v>488</v>
      </c>
      <c r="I127" s="2653"/>
      <c r="J127" s="2622"/>
      <c r="K127" s="2654"/>
      <c r="L127" s="2244"/>
      <c r="M127" s="11138" t="s">
        <v>22</v>
      </c>
      <c r="N127" s="1299"/>
      <c r="O127" s="1300"/>
      <c r="P127" s="1292" t="s">
        <v>1310</v>
      </c>
      <c r="Q127" s="1300"/>
      <c r="R127" s="1300"/>
      <c r="S127" s="1300"/>
      <c r="T127" s="1300"/>
      <c r="U127" s="1300"/>
      <c r="V127" s="1300"/>
      <c r="W127" s="1300"/>
      <c r="X127" s="1300"/>
      <c r="Y127" s="1300"/>
      <c r="Z127" s="1300"/>
      <c r="AA127" s="1300"/>
      <c r="AB127" s="1300"/>
      <c r="AC127" s="1300"/>
      <c r="AD127" s="1300"/>
      <c r="AE127" s="1307"/>
      <c r="AF127" s="2643"/>
      <c r="AG127" s="2644"/>
      <c r="AH127" s="2644"/>
      <c r="AI127" s="2643"/>
      <c r="AJ127" s="2644"/>
      <c r="AK127" s="2644"/>
      <c r="AL127" s="2109"/>
      <c r="AM127" s="1946"/>
      <c r="AN127" s="1946"/>
      <c r="AO127" s="1946"/>
      <c r="AP127" s="1946"/>
      <c r="AQ127" s="1946"/>
      <c r="AR127" s="1946"/>
      <c r="AS127" s="1946"/>
      <c r="AT127" s="1946"/>
      <c r="AU127" s="1946"/>
      <c r="AV127" s="1946"/>
      <c r="AW127" s="1946"/>
      <c r="AX127" s="1946"/>
      <c r="AY127" s="1946"/>
      <c r="AZ127" s="1946"/>
      <c r="BA127" s="1946"/>
      <c r="BB127" s="1946"/>
      <c r="BC127" s="1946"/>
      <c r="BD127" s="1946"/>
      <c r="BE127" s="1946"/>
      <c r="BF127" s="1946"/>
      <c r="BG127" s="7213"/>
    </row>
    <row customHeight="1" ht="12">
      <c r="A128" s="1290" t="s">
        <v>1179</v>
      </c>
      <c r="B128" s="1290"/>
      <c r="C128" s="1290"/>
      <c r="D128" s="1284"/>
      <c r="E128" s="1294"/>
      <c r="F128" s="2674"/>
      <c r="G128" s="1314"/>
      <c r="H128" s="1314"/>
      <c r="I128" s="2672" t="s">
        <v>1294</v>
      </c>
      <c r="J128" s="2672"/>
      <c r="K128" s="2672"/>
      <c r="L128" s="1297"/>
      <c r="M128" s="1297"/>
      <c r="N128" s="1298"/>
      <c r="O128" s="1298"/>
      <c r="P128" s="1298"/>
      <c r="Q128" s="1298"/>
      <c r="R128" s="1298"/>
      <c r="S128" s="1298"/>
      <c r="T128" s="1298"/>
      <c r="U128" s="1298"/>
      <c r="V128" s="1298"/>
      <c r="W128" s="1298"/>
      <c r="X128" s="1298"/>
      <c r="Y128" s="1298"/>
      <c r="Z128" s="1298"/>
      <c r="AA128" s="1298"/>
      <c r="AB128" s="1298"/>
      <c r="AC128" s="1298"/>
      <c r="AD128" s="1298"/>
      <c r="AE128" s="1298"/>
      <c r="AF128" s="1298"/>
      <c r="AG128" s="1297"/>
      <c r="AH128" s="1297"/>
      <c r="AI128" s="1298"/>
      <c r="AJ128" s="1297"/>
      <c r="AK128" s="1298"/>
      <c r="AL128" s="2109"/>
      <c r="AM128" s="1946"/>
      <c r="AN128" s="1946"/>
      <c r="AO128" s="1946"/>
      <c r="AP128" s="1946"/>
      <c r="AQ128" s="1946"/>
      <c r="AR128" s="1946"/>
      <c r="AS128" s="1946"/>
      <c r="AT128" s="1946"/>
      <c r="AU128" s="1946"/>
      <c r="AV128" s="1946"/>
      <c r="AW128" s="1946"/>
      <c r="AX128" s="1946"/>
      <c r="AY128" s="1946"/>
      <c r="AZ128" s="1946"/>
      <c r="BA128" s="1946"/>
      <c r="BB128" s="1946"/>
      <c r="BC128" s="1946"/>
      <c r="BD128" s="1946"/>
      <c r="BE128" s="1946"/>
      <c r="BF128" s="1946"/>
      <c r="BG128" s="7213"/>
    </row>
    <row customHeight="1" ht="0.75">
      <c r="A129" s="1290" t="s">
        <v>1179</v>
      </c>
      <c r="B129" s="1290"/>
      <c r="C129" s="1290"/>
      <c r="D129" s="1284"/>
      <c r="E129" s="1294"/>
      <c r="F129" s="2673">
        <v>2025</v>
      </c>
      <c r="G129" s="2652"/>
      <c r="H129" s="2677" t="s">
        <v>488</v>
      </c>
      <c r="I129" s="2678"/>
      <c r="J129" s="2679"/>
      <c r="K129" s="2679"/>
      <c r="L129" s="2671"/>
      <c r="M129" s="2405"/>
      <c r="N129" s="2157"/>
      <c r="O129" s="2156"/>
      <c r="P129" s="2157"/>
      <c r="Q129" s="2157"/>
      <c r="R129" s="2157"/>
      <c r="S129" s="2157"/>
      <c r="T129" s="2157"/>
      <c r="U129" s="2157"/>
      <c r="V129" s="2157"/>
      <c r="W129" s="2157"/>
      <c r="X129" s="2157"/>
      <c r="Y129" s="2157"/>
      <c r="Z129" s="2157"/>
      <c r="AA129" s="2157"/>
      <c r="AB129" s="2157"/>
      <c r="AC129" s="2157"/>
      <c r="AD129" s="2157"/>
      <c r="AE129" s="2157"/>
      <c r="AF129" s="2675"/>
      <c r="AG129" s="2671"/>
      <c r="AH129" s="2671"/>
      <c r="AI129" s="2675"/>
      <c r="AJ129" s="2671"/>
      <c r="AK129" s="2671"/>
      <c r="AL129" s="2109"/>
      <c r="AM129" s="1946"/>
      <c r="AN129" s="1946"/>
      <c r="AO129" s="1946"/>
      <c r="AP129" s="1946"/>
      <c r="AQ129" s="1946"/>
      <c r="AR129" s="1946"/>
      <c r="AS129" s="1946"/>
      <c r="AT129" s="1946"/>
      <c r="AU129" s="1946"/>
      <c r="AV129" s="1946"/>
      <c r="AW129" s="1946"/>
      <c r="AX129" s="1946"/>
      <c r="AY129" s="1946"/>
      <c r="AZ129" s="1946"/>
      <c r="BA129" s="1946"/>
      <c r="BB129" s="1946"/>
      <c r="BC129" s="1946"/>
      <c r="BD129" s="1946"/>
      <c r="BE129" s="1946"/>
      <c r="BF129" s="1946"/>
      <c r="BG129" s="7213"/>
    </row>
    <row customHeight="1" ht="0.75">
      <c r="A130" s="1290" t="s">
        <v>1179</v>
      </c>
      <c r="B130" s="1290"/>
      <c r="C130" s="1290"/>
      <c r="D130" s="1284"/>
      <c r="E130" s="1294"/>
      <c r="F130" s="2673"/>
      <c r="G130" s="2652"/>
      <c r="H130" s="2677"/>
      <c r="I130" s="2678"/>
      <c r="J130" s="2679"/>
      <c r="K130" s="2679"/>
      <c r="L130" s="2671"/>
      <c r="M130" s="2405"/>
      <c r="N130" s="2680"/>
      <c r="O130" s="2681"/>
      <c r="P130" s="2725"/>
      <c r="Q130" s="2676"/>
      <c r="R130" s="2676"/>
      <c r="S130" s="2676"/>
      <c r="T130" s="2676"/>
      <c r="U130" s="2676"/>
      <c r="V130" s="2676"/>
      <c r="W130" s="2676"/>
      <c r="X130" s="2676"/>
      <c r="Y130" s="2676"/>
      <c r="Z130" s="2158"/>
      <c r="AA130" s="2159"/>
      <c r="AB130" s="2159"/>
      <c r="AC130" s="2160"/>
      <c r="AD130" s="2160"/>
      <c r="AE130" s="2161"/>
      <c r="AF130" s="2675"/>
      <c r="AG130" s="2671"/>
      <c r="AH130" s="2671"/>
      <c r="AI130" s="2675"/>
      <c r="AJ130" s="2671"/>
      <c r="AK130" s="2671"/>
      <c r="AL130" s="2109"/>
      <c r="AM130" s="1946"/>
      <c r="AN130" s="1946"/>
      <c r="AO130" s="1946"/>
      <c r="AP130" s="1946"/>
      <c r="AQ130" s="1946"/>
      <c r="AR130" s="1946"/>
      <c r="AS130" s="1946"/>
      <c r="AT130" s="1946"/>
      <c r="AU130" s="1946"/>
      <c r="AV130" s="1946"/>
      <c r="AW130" s="1946"/>
      <c r="AX130" s="1946"/>
      <c r="AY130" s="1946"/>
      <c r="AZ130" s="1946"/>
      <c r="BA130" s="1946"/>
      <c r="BB130" s="1946"/>
      <c r="BC130" s="1946"/>
      <c r="BD130" s="1946"/>
      <c r="BE130" s="1946"/>
      <c r="BF130" s="1946"/>
      <c r="BG130" s="7213"/>
    </row>
    <row customHeight="1" ht="0.75">
      <c r="A131" s="1290" t="s">
        <v>1179</v>
      </c>
      <c r="B131" s="1290"/>
      <c r="C131" s="1290"/>
      <c r="D131" s="1284"/>
      <c r="E131" s="1294"/>
      <c r="F131" s="2673"/>
      <c r="G131" s="2652"/>
      <c r="H131" s="2677"/>
      <c r="I131" s="2678"/>
      <c r="J131" s="2679"/>
      <c r="K131" s="2679"/>
      <c r="L131" s="2671"/>
      <c r="M131" s="2405"/>
      <c r="N131" s="2680"/>
      <c r="O131" s="2681"/>
      <c r="P131" s="2726"/>
      <c r="Q131" s="2676"/>
      <c r="R131" s="2676"/>
      <c r="S131" s="2676"/>
      <c r="T131" s="2676"/>
      <c r="U131" s="2676"/>
      <c r="V131" s="2676"/>
      <c r="W131" s="2676"/>
      <c r="X131" s="2676"/>
      <c r="Y131" s="2676"/>
      <c r="Z131" s="2162"/>
      <c r="AA131" s="2163"/>
      <c r="AB131" s="2164"/>
      <c r="AC131" s="2165"/>
      <c r="AD131" s="2164"/>
      <c r="AE131" s="2165"/>
      <c r="AF131" s="2675"/>
      <c r="AG131" s="2671"/>
      <c r="AH131" s="2671"/>
      <c r="AI131" s="2675"/>
      <c r="AJ131" s="2671"/>
      <c r="AK131" s="2671"/>
      <c r="AL131" s="2109"/>
      <c r="AM131" s="1946"/>
      <c r="AN131" s="1946"/>
      <c r="AO131" s="1946"/>
      <c r="AP131" s="1946"/>
      <c r="AQ131" s="1946"/>
      <c r="AR131" s="1946"/>
      <c r="AS131" s="1946"/>
      <c r="AT131" s="1946"/>
      <c r="AU131" s="1946"/>
      <c r="AV131" s="1946"/>
      <c r="AW131" s="1946"/>
      <c r="AX131" s="1946"/>
      <c r="AY131" s="1946"/>
      <c r="AZ131" s="1946"/>
      <c r="BA131" s="1946"/>
      <c r="BB131" s="1946"/>
      <c r="BC131" s="1946"/>
      <c r="BD131" s="1946"/>
      <c r="BE131" s="1946"/>
      <c r="BF131" s="1946"/>
      <c r="BG131" s="7213"/>
    </row>
    <row customHeight="1" ht="0.75">
      <c r="A132" s="1290" t="s">
        <v>1179</v>
      </c>
      <c r="B132" s="1290"/>
      <c r="C132" s="1290"/>
      <c r="D132" s="1284"/>
      <c r="E132" s="1294"/>
      <c r="F132" s="2673"/>
      <c r="G132" s="2652"/>
      <c r="H132" s="2677"/>
      <c r="I132" s="2678"/>
      <c r="J132" s="2679"/>
      <c r="K132" s="2679"/>
      <c r="L132" s="2671"/>
      <c r="M132" s="2405"/>
      <c r="N132" s="2680"/>
      <c r="O132" s="2681"/>
      <c r="P132" s="2727"/>
      <c r="Q132" s="2676"/>
      <c r="R132" s="2676"/>
      <c r="S132" s="2676"/>
      <c r="T132" s="2676"/>
      <c r="U132" s="2676"/>
      <c r="V132" s="2676"/>
      <c r="W132" s="2676"/>
      <c r="X132" s="2676"/>
      <c r="Y132" s="2676"/>
      <c r="Z132" s="2158"/>
      <c r="AA132" s="2159"/>
      <c r="AB132" s="2166"/>
      <c r="AC132" s="2160"/>
      <c r="AD132" s="2160"/>
      <c r="AE132" s="2167"/>
      <c r="AF132" s="2675"/>
      <c r="AG132" s="2671"/>
      <c r="AH132" s="2671"/>
      <c r="AI132" s="2675"/>
      <c r="AJ132" s="2671"/>
      <c r="AK132" s="2671"/>
      <c r="AL132" s="2109"/>
      <c r="AM132" s="1946"/>
      <c r="AN132" s="1946"/>
      <c r="AO132" s="1946"/>
      <c r="AP132" s="1946"/>
      <c r="AQ132" s="1946"/>
      <c r="AR132" s="1946"/>
      <c r="AS132" s="1946"/>
      <c r="AT132" s="1946"/>
      <c r="AU132" s="1946"/>
      <c r="AV132" s="1946"/>
      <c r="AW132" s="1946"/>
      <c r="AX132" s="1946"/>
      <c r="AY132" s="1946"/>
      <c r="AZ132" s="1946"/>
      <c r="BA132" s="1946"/>
      <c r="BB132" s="1946"/>
      <c r="BC132" s="1946"/>
      <c r="BD132" s="1946"/>
      <c r="BE132" s="1946"/>
      <c r="BF132" s="1946"/>
      <c r="BG132" s="7213"/>
    </row>
    <row customHeight="1" ht="0.75">
      <c r="A133" s="1290" t="s">
        <v>1179</v>
      </c>
      <c r="B133" s="1290"/>
      <c r="C133" s="1290"/>
      <c r="D133" s="1284"/>
      <c r="E133" s="1294"/>
      <c r="F133" s="2673"/>
      <c r="G133" s="2652"/>
      <c r="H133" s="2677"/>
      <c r="I133" s="2678"/>
      <c r="J133" s="2679"/>
      <c r="K133" s="2679"/>
      <c r="L133" s="2671"/>
      <c r="M133" s="2405"/>
      <c r="N133" s="2159"/>
      <c r="O133" s="2159"/>
      <c r="P133" s="2166"/>
      <c r="Q133" s="2159"/>
      <c r="R133" s="2159"/>
      <c r="S133" s="2159"/>
      <c r="T133" s="2159"/>
      <c r="U133" s="2159"/>
      <c r="V133" s="2159"/>
      <c r="W133" s="2159"/>
      <c r="X133" s="2159"/>
      <c r="Y133" s="2159"/>
      <c r="Z133" s="2159"/>
      <c r="AA133" s="2159"/>
      <c r="AB133" s="2159"/>
      <c r="AC133" s="2159"/>
      <c r="AD133" s="2159"/>
      <c r="AE133" s="2168"/>
      <c r="AF133" s="2675"/>
      <c r="AG133" s="2671"/>
      <c r="AH133" s="2671"/>
      <c r="AI133" s="2675"/>
      <c r="AJ133" s="2671"/>
      <c r="AK133" s="2671"/>
      <c r="AL133" s="2109"/>
      <c r="AM133" s="1946"/>
      <c r="AN133" s="1946"/>
      <c r="AO133" s="1946"/>
      <c r="AP133" s="1946"/>
      <c r="AQ133" s="1946"/>
      <c r="AR133" s="1946"/>
      <c r="AS133" s="1946"/>
      <c r="AT133" s="1946"/>
      <c r="AU133" s="1946"/>
      <c r="AV133" s="1946"/>
      <c r="AW133" s="1946"/>
      <c r="AX133" s="1946"/>
      <c r="AY133" s="1946"/>
      <c r="AZ133" s="1946"/>
      <c r="BA133" s="1946"/>
      <c r="BB133" s="1946"/>
      <c r="BC133" s="1946"/>
      <c r="BD133" s="1946"/>
      <c r="BE133" s="1946"/>
      <c r="BF133" s="1946"/>
      <c r="BG133" s="7213"/>
    </row>
    <row customHeight="1" ht="12">
      <c r="A134" s="1290" t="s">
        <v>1179</v>
      </c>
      <c r="B134" s="1290"/>
      <c r="C134" s="1290"/>
      <c r="D134" s="1284"/>
      <c r="E134" s="1294"/>
      <c r="F134" s="2674"/>
      <c r="G134" s="1314"/>
      <c r="H134" s="1314"/>
      <c r="I134" s="2672" t="s">
        <v>1294</v>
      </c>
      <c r="J134" s="2672"/>
      <c r="K134" s="2672"/>
      <c r="L134" s="1297"/>
      <c r="M134" s="1297"/>
      <c r="N134" s="1298"/>
      <c r="O134" s="1298"/>
      <c r="P134" s="1298"/>
      <c r="Q134" s="1298"/>
      <c r="R134" s="1298"/>
      <c r="S134" s="1298"/>
      <c r="T134" s="1298"/>
      <c r="U134" s="1298"/>
      <c r="V134" s="1298"/>
      <c r="W134" s="1298"/>
      <c r="X134" s="1298"/>
      <c r="Y134" s="1298"/>
      <c r="Z134" s="1298"/>
      <c r="AA134" s="1298"/>
      <c r="AB134" s="1298"/>
      <c r="AC134" s="1298"/>
      <c r="AD134" s="1298"/>
      <c r="AE134" s="1298"/>
      <c r="AF134" s="1298"/>
      <c r="AG134" s="1297"/>
      <c r="AH134" s="1297"/>
      <c r="AI134" s="1298"/>
      <c r="AJ134" s="1297"/>
      <c r="AK134" s="1298"/>
      <c r="AL134" s="2109"/>
      <c r="AM134" s="1946"/>
      <c r="AN134" s="1946"/>
      <c r="AO134" s="1946"/>
      <c r="AP134" s="1946"/>
      <c r="AQ134" s="1946"/>
      <c r="AR134" s="1946"/>
      <c r="AS134" s="1946"/>
      <c r="AT134" s="1946"/>
      <c r="AU134" s="1946"/>
      <c r="AV134" s="1946"/>
      <c r="AW134" s="1946"/>
      <c r="AX134" s="1946"/>
      <c r="AY134" s="1946"/>
      <c r="AZ134" s="1946"/>
      <c r="BA134" s="1946"/>
      <c r="BB134" s="1946"/>
      <c r="BC134" s="1946"/>
      <c r="BD134" s="1946"/>
      <c r="BE134" s="1946"/>
      <c r="BF134" s="1946"/>
      <c r="BG134" s="7213"/>
    </row>
    <row customHeight="1" ht="0.75">
      <c r="A135" s="1290" t="s">
        <v>1179</v>
      </c>
      <c r="B135" s="1290"/>
      <c r="C135" s="1290"/>
      <c r="D135" s="1284"/>
      <c r="E135" s="1294"/>
      <c r="F135" s="2673">
        <v>2026</v>
      </c>
      <c r="G135" s="2652"/>
      <c r="H135" s="2677" t="s">
        <v>488</v>
      </c>
      <c r="I135" s="2678"/>
      <c r="J135" s="2679"/>
      <c r="K135" s="2679"/>
      <c r="L135" s="2671"/>
      <c r="M135" s="2405"/>
      <c r="N135" s="2157"/>
      <c r="O135" s="2156"/>
      <c r="P135" s="2157"/>
      <c r="Q135" s="2157"/>
      <c r="R135" s="2157"/>
      <c r="S135" s="2157"/>
      <c r="T135" s="2157"/>
      <c r="U135" s="2157"/>
      <c r="V135" s="2157"/>
      <c r="W135" s="2157"/>
      <c r="X135" s="2157"/>
      <c r="Y135" s="2157"/>
      <c r="Z135" s="2157"/>
      <c r="AA135" s="2157"/>
      <c r="AB135" s="2157"/>
      <c r="AC135" s="2157"/>
      <c r="AD135" s="2157"/>
      <c r="AE135" s="2157"/>
      <c r="AF135" s="2675"/>
      <c r="AG135" s="2671"/>
      <c r="AH135" s="2671"/>
      <c r="AI135" s="2675"/>
      <c r="AJ135" s="2671"/>
      <c r="AK135" s="2671"/>
      <c r="AL135" s="2109"/>
      <c r="AM135" s="1946"/>
      <c r="AN135" s="1946"/>
      <c r="AO135" s="1946"/>
      <c r="AP135" s="1946"/>
      <c r="AQ135" s="1946"/>
      <c r="AR135" s="1946"/>
      <c r="AS135" s="1946"/>
      <c r="AT135" s="1946"/>
      <c r="AU135" s="1946"/>
      <c r="AV135" s="1946"/>
      <c r="AW135" s="1946"/>
      <c r="AX135" s="1946"/>
      <c r="AY135" s="1946"/>
      <c r="AZ135" s="1946"/>
      <c r="BA135" s="1946"/>
      <c r="BB135" s="1946"/>
      <c r="BC135" s="1946"/>
      <c r="BD135" s="1946"/>
      <c r="BE135" s="1946"/>
      <c r="BF135" s="1946"/>
      <c r="BG135" s="7213"/>
    </row>
    <row customHeight="1" ht="0.75">
      <c r="A136" s="1290" t="s">
        <v>1179</v>
      </c>
      <c r="B136" s="1290"/>
      <c r="C136" s="1290"/>
      <c r="D136" s="1284"/>
      <c r="E136" s="1294"/>
      <c r="F136" s="2673"/>
      <c r="G136" s="2652"/>
      <c r="H136" s="2677"/>
      <c r="I136" s="2678"/>
      <c r="J136" s="2679"/>
      <c r="K136" s="2679"/>
      <c r="L136" s="2671"/>
      <c r="M136" s="2405"/>
      <c r="N136" s="2680"/>
      <c r="O136" s="2681"/>
      <c r="P136" s="2725"/>
      <c r="Q136" s="2676"/>
      <c r="R136" s="2676"/>
      <c r="S136" s="2676"/>
      <c r="T136" s="2676"/>
      <c r="U136" s="2676"/>
      <c r="V136" s="2676"/>
      <c r="W136" s="2676"/>
      <c r="X136" s="2676"/>
      <c r="Y136" s="2676"/>
      <c r="Z136" s="2158"/>
      <c r="AA136" s="2159"/>
      <c r="AB136" s="2159"/>
      <c r="AC136" s="2160"/>
      <c r="AD136" s="2160"/>
      <c r="AE136" s="2161"/>
      <c r="AF136" s="2675"/>
      <c r="AG136" s="2671"/>
      <c r="AH136" s="2671"/>
      <c r="AI136" s="2675"/>
      <c r="AJ136" s="2671"/>
      <c r="AK136" s="2671"/>
      <c r="AL136" s="2109"/>
      <c r="AM136" s="1946"/>
      <c r="AN136" s="1946"/>
      <c r="AO136" s="1946"/>
      <c r="AP136" s="1946"/>
      <c r="AQ136" s="1946"/>
      <c r="AR136" s="1946"/>
      <c r="AS136" s="1946"/>
      <c r="AT136" s="1946"/>
      <c r="AU136" s="1946"/>
      <c r="AV136" s="1946"/>
      <c r="AW136" s="1946"/>
      <c r="AX136" s="1946"/>
      <c r="AY136" s="1946"/>
      <c r="AZ136" s="1946"/>
      <c r="BA136" s="1946"/>
      <c r="BB136" s="1946"/>
      <c r="BC136" s="1946"/>
      <c r="BD136" s="1946"/>
      <c r="BE136" s="1946"/>
      <c r="BF136" s="1946"/>
      <c r="BG136" s="7213"/>
    </row>
    <row customHeight="1" ht="0.75">
      <c r="A137" s="1290" t="s">
        <v>1179</v>
      </c>
      <c r="B137" s="1290"/>
      <c r="C137" s="1290"/>
      <c r="D137" s="1284"/>
      <c r="E137" s="1294"/>
      <c r="F137" s="2673"/>
      <c r="G137" s="2652"/>
      <c r="H137" s="2677"/>
      <c r="I137" s="2678"/>
      <c r="J137" s="2679"/>
      <c r="K137" s="2679"/>
      <c r="L137" s="2671"/>
      <c r="M137" s="2405"/>
      <c r="N137" s="2680"/>
      <c r="O137" s="2681"/>
      <c r="P137" s="2726"/>
      <c r="Q137" s="2676"/>
      <c r="R137" s="2676"/>
      <c r="S137" s="2676"/>
      <c r="T137" s="2676"/>
      <c r="U137" s="2676"/>
      <c r="V137" s="2676"/>
      <c r="W137" s="2676"/>
      <c r="X137" s="2676"/>
      <c r="Y137" s="2676"/>
      <c r="Z137" s="2162"/>
      <c r="AA137" s="2163"/>
      <c r="AB137" s="2164"/>
      <c r="AC137" s="2165"/>
      <c r="AD137" s="2164"/>
      <c r="AE137" s="2165"/>
      <c r="AF137" s="2675"/>
      <c r="AG137" s="2671"/>
      <c r="AH137" s="2671"/>
      <c r="AI137" s="2675"/>
      <c r="AJ137" s="2671"/>
      <c r="AK137" s="2671"/>
      <c r="AL137" s="2109"/>
      <c r="AM137" s="1946"/>
      <c r="AN137" s="1946"/>
      <c r="AO137" s="1946"/>
      <c r="AP137" s="1946"/>
      <c r="AQ137" s="1946"/>
      <c r="AR137" s="1946"/>
      <c r="AS137" s="1946"/>
      <c r="AT137" s="1946"/>
      <c r="AU137" s="1946"/>
      <c r="AV137" s="1946"/>
      <c r="AW137" s="1946"/>
      <c r="AX137" s="1946"/>
      <c r="AY137" s="1946"/>
      <c r="AZ137" s="1946"/>
      <c r="BA137" s="1946"/>
      <c r="BB137" s="1946"/>
      <c r="BC137" s="1946"/>
      <c r="BD137" s="1946"/>
      <c r="BE137" s="1946"/>
      <c r="BF137" s="1946"/>
      <c r="BG137" s="7213"/>
    </row>
    <row customHeight="1" ht="0.75">
      <c r="A138" s="1290" t="s">
        <v>1179</v>
      </c>
      <c r="B138" s="1290"/>
      <c r="C138" s="1290"/>
      <c r="D138" s="1284"/>
      <c r="E138" s="1294"/>
      <c r="F138" s="2673"/>
      <c r="G138" s="2652"/>
      <c r="H138" s="2677"/>
      <c r="I138" s="2678"/>
      <c r="J138" s="2679"/>
      <c r="K138" s="2679"/>
      <c r="L138" s="2671"/>
      <c r="M138" s="2405"/>
      <c r="N138" s="2680"/>
      <c r="O138" s="2681"/>
      <c r="P138" s="2727"/>
      <c r="Q138" s="2676"/>
      <c r="R138" s="2676"/>
      <c r="S138" s="2676"/>
      <c r="T138" s="2676"/>
      <c r="U138" s="2676"/>
      <c r="V138" s="2676"/>
      <c r="W138" s="2676"/>
      <c r="X138" s="2676"/>
      <c r="Y138" s="2676"/>
      <c r="Z138" s="2158"/>
      <c r="AA138" s="2159"/>
      <c r="AB138" s="2166"/>
      <c r="AC138" s="2160"/>
      <c r="AD138" s="2160"/>
      <c r="AE138" s="2167"/>
      <c r="AF138" s="2675"/>
      <c r="AG138" s="2671"/>
      <c r="AH138" s="2671"/>
      <c r="AI138" s="2675"/>
      <c r="AJ138" s="2671"/>
      <c r="AK138" s="2671"/>
      <c r="AL138" s="2109"/>
      <c r="AM138" s="1946"/>
      <c r="AN138" s="1946"/>
      <c r="AO138" s="1946"/>
      <c r="AP138" s="1946"/>
      <c r="AQ138" s="1946"/>
      <c r="AR138" s="1946"/>
      <c r="AS138" s="1946"/>
      <c r="AT138" s="1946"/>
      <c r="AU138" s="1946"/>
      <c r="AV138" s="1946"/>
      <c r="AW138" s="1946"/>
      <c r="AX138" s="1946"/>
      <c r="AY138" s="1946"/>
      <c r="AZ138" s="1946"/>
      <c r="BA138" s="1946"/>
      <c r="BB138" s="1946"/>
      <c r="BC138" s="1946"/>
      <c r="BD138" s="1946"/>
      <c r="BE138" s="1946"/>
      <c r="BF138" s="1946"/>
      <c r="BG138" s="7213"/>
    </row>
    <row customHeight="1" ht="0.75">
      <c r="A139" s="1290" t="s">
        <v>1179</v>
      </c>
      <c r="B139" s="1290"/>
      <c r="C139" s="1290"/>
      <c r="D139" s="1284"/>
      <c r="E139" s="1294"/>
      <c r="F139" s="2673"/>
      <c r="G139" s="2652"/>
      <c r="H139" s="2677"/>
      <c r="I139" s="2678"/>
      <c r="J139" s="2679"/>
      <c r="K139" s="2679"/>
      <c r="L139" s="2671"/>
      <c r="M139" s="2405"/>
      <c r="N139" s="2159"/>
      <c r="O139" s="2159"/>
      <c r="P139" s="2166"/>
      <c r="Q139" s="2159"/>
      <c r="R139" s="2159"/>
      <c r="S139" s="2159"/>
      <c r="T139" s="2159"/>
      <c r="U139" s="2159"/>
      <c r="V139" s="2159"/>
      <c r="W139" s="2159"/>
      <c r="X139" s="2159"/>
      <c r="Y139" s="2159"/>
      <c r="Z139" s="2159"/>
      <c r="AA139" s="2159"/>
      <c r="AB139" s="2159"/>
      <c r="AC139" s="2159"/>
      <c r="AD139" s="2159"/>
      <c r="AE139" s="2168"/>
      <c r="AF139" s="2675"/>
      <c r="AG139" s="2671"/>
      <c r="AH139" s="2671"/>
      <c r="AI139" s="2675"/>
      <c r="AJ139" s="2671"/>
      <c r="AK139" s="2671"/>
      <c r="AL139" s="2109"/>
      <c r="AM139" s="1946"/>
      <c r="AN139" s="1946"/>
      <c r="AO139" s="1946"/>
      <c r="AP139" s="1946"/>
      <c r="AQ139" s="1946"/>
      <c r="AR139" s="1946"/>
      <c r="AS139" s="1946"/>
      <c r="AT139" s="1946"/>
      <c r="AU139" s="1946"/>
      <c r="AV139" s="1946"/>
      <c r="AW139" s="1946"/>
      <c r="AX139" s="1946"/>
      <c r="AY139" s="1946"/>
      <c r="AZ139" s="1946"/>
      <c r="BA139" s="1946"/>
      <c r="BB139" s="1946"/>
      <c r="BC139" s="1946"/>
      <c r="BD139" s="1946"/>
      <c r="BE139" s="1946"/>
      <c r="BF139" s="1946"/>
      <c r="BG139" s="7213"/>
    </row>
    <row customHeight="1" ht="12">
      <c r="A140" s="1290" t="s">
        <v>1179</v>
      </c>
      <c r="B140" s="1290"/>
      <c r="C140" s="1290"/>
      <c r="D140" s="1284"/>
      <c r="E140" s="1294"/>
      <c r="F140" s="2674"/>
      <c r="G140" s="1314"/>
      <c r="H140" s="1314"/>
      <c r="I140" s="2672" t="s">
        <v>1294</v>
      </c>
      <c r="J140" s="2672"/>
      <c r="K140" s="2672"/>
      <c r="L140" s="1297"/>
      <c r="M140" s="1297"/>
      <c r="N140" s="1298"/>
      <c r="O140" s="1298"/>
      <c r="P140" s="1298"/>
      <c r="Q140" s="1298"/>
      <c r="R140" s="1298"/>
      <c r="S140" s="1298"/>
      <c r="T140" s="1298"/>
      <c r="U140" s="1298"/>
      <c r="V140" s="1298"/>
      <c r="W140" s="1298"/>
      <c r="X140" s="1298"/>
      <c r="Y140" s="1298"/>
      <c r="Z140" s="1298"/>
      <c r="AA140" s="1298"/>
      <c r="AB140" s="1298"/>
      <c r="AC140" s="1298"/>
      <c r="AD140" s="1298"/>
      <c r="AE140" s="1298"/>
      <c r="AF140" s="1298"/>
      <c r="AG140" s="1297"/>
      <c r="AH140" s="1297"/>
      <c r="AI140" s="1298"/>
      <c r="AJ140" s="1297"/>
      <c r="AK140" s="1298"/>
      <c r="AL140" s="2109"/>
      <c r="AM140" s="1946"/>
      <c r="AN140" s="1946"/>
      <c r="AO140" s="1946"/>
      <c r="AP140" s="1946"/>
      <c r="AQ140" s="1946"/>
      <c r="AR140" s="1946"/>
      <c r="AS140" s="1946"/>
      <c r="AT140" s="1946"/>
      <c r="AU140" s="1946"/>
      <c r="AV140" s="1946"/>
      <c r="AW140" s="1946"/>
      <c r="AX140" s="1946"/>
      <c r="AY140" s="1946"/>
      <c r="AZ140" s="1946"/>
      <c r="BA140" s="1946"/>
      <c r="BB140" s="1946"/>
      <c r="BC140" s="1946"/>
      <c r="BD140" s="1946"/>
      <c r="BE140" s="1946"/>
      <c r="BF140" s="1946"/>
      <c r="BG140" s="7213"/>
    </row>
    <row customHeight="1" ht="0.75">
      <c r="A141" s="1290" t="s">
        <v>1179</v>
      </c>
      <c r="B141" s="1290"/>
      <c r="C141" s="1290"/>
      <c r="D141" s="1284"/>
      <c r="E141" s="1294"/>
      <c r="F141" s="2673">
        <v>2027</v>
      </c>
      <c r="G141" s="2652"/>
      <c r="H141" s="2677" t="s">
        <v>488</v>
      </c>
      <c r="I141" s="2678"/>
      <c r="J141" s="2679"/>
      <c r="K141" s="2679"/>
      <c r="L141" s="2671"/>
      <c r="M141" s="2405"/>
      <c r="N141" s="2157"/>
      <c r="O141" s="2156"/>
      <c r="P141" s="2157"/>
      <c r="Q141" s="2157"/>
      <c r="R141" s="2157"/>
      <c r="S141" s="2157"/>
      <c r="T141" s="2157"/>
      <c r="U141" s="2157"/>
      <c r="V141" s="2157"/>
      <c r="W141" s="2157"/>
      <c r="X141" s="2157"/>
      <c r="Y141" s="2157"/>
      <c r="Z141" s="2157"/>
      <c r="AA141" s="2157"/>
      <c r="AB141" s="2157"/>
      <c r="AC141" s="2157"/>
      <c r="AD141" s="2157"/>
      <c r="AE141" s="2157"/>
      <c r="AF141" s="2675"/>
      <c r="AG141" s="2671"/>
      <c r="AH141" s="2671"/>
      <c r="AI141" s="2675"/>
      <c r="AJ141" s="2671"/>
      <c r="AK141" s="2671"/>
      <c r="AL141" s="2109"/>
      <c r="AM141" s="1946"/>
      <c r="AN141" s="1946"/>
      <c r="AO141" s="1946"/>
      <c r="AP141" s="1946"/>
      <c r="AQ141" s="1946"/>
      <c r="AR141" s="1946"/>
      <c r="AS141" s="1946"/>
      <c r="AT141" s="1946"/>
      <c r="AU141" s="1946"/>
      <c r="AV141" s="1946"/>
      <c r="AW141" s="1946"/>
      <c r="AX141" s="1946"/>
      <c r="AY141" s="1946"/>
      <c r="AZ141" s="1946"/>
      <c r="BA141" s="1946"/>
      <c r="BB141" s="1946"/>
      <c r="BC141" s="1946"/>
      <c r="BD141" s="1946"/>
      <c r="BE141" s="1946"/>
      <c r="BF141" s="1946"/>
      <c r="BG141" s="7213"/>
    </row>
    <row customHeight="1" ht="0.75">
      <c r="A142" s="1290" t="s">
        <v>1179</v>
      </c>
      <c r="B142" s="1290"/>
      <c r="C142" s="1290"/>
      <c r="D142" s="1284"/>
      <c r="E142" s="1294"/>
      <c r="F142" s="2673"/>
      <c r="G142" s="2652"/>
      <c r="H142" s="2677"/>
      <c r="I142" s="2678"/>
      <c r="J142" s="2679"/>
      <c r="K142" s="2679"/>
      <c r="L142" s="2671"/>
      <c r="M142" s="2405"/>
      <c r="N142" s="2680"/>
      <c r="O142" s="2681"/>
      <c r="P142" s="2725"/>
      <c r="Q142" s="2676"/>
      <c r="R142" s="2676"/>
      <c r="S142" s="2676"/>
      <c r="T142" s="2676"/>
      <c r="U142" s="2676"/>
      <c r="V142" s="2676"/>
      <c r="W142" s="2676"/>
      <c r="X142" s="2676"/>
      <c r="Y142" s="2676"/>
      <c r="Z142" s="2158"/>
      <c r="AA142" s="2159"/>
      <c r="AB142" s="2159"/>
      <c r="AC142" s="2160"/>
      <c r="AD142" s="2160"/>
      <c r="AE142" s="2161"/>
      <c r="AF142" s="2675"/>
      <c r="AG142" s="2671"/>
      <c r="AH142" s="2671"/>
      <c r="AI142" s="2675"/>
      <c r="AJ142" s="2671"/>
      <c r="AK142" s="2671"/>
      <c r="AL142" s="2109"/>
      <c r="AM142" s="1946"/>
      <c r="AN142" s="1946"/>
      <c r="AO142" s="1946"/>
      <c r="AP142" s="1946"/>
      <c r="AQ142" s="1946"/>
      <c r="AR142" s="1946"/>
      <c r="AS142" s="1946"/>
      <c r="AT142" s="1946"/>
      <c r="AU142" s="1946"/>
      <c r="AV142" s="1946"/>
      <c r="AW142" s="1946"/>
      <c r="AX142" s="1946"/>
      <c r="AY142" s="1946"/>
      <c r="AZ142" s="1946"/>
      <c r="BA142" s="1946"/>
      <c r="BB142" s="1946"/>
      <c r="BC142" s="1946"/>
      <c r="BD142" s="1946"/>
      <c r="BE142" s="1946"/>
      <c r="BF142" s="1946"/>
      <c r="BG142" s="7213"/>
    </row>
    <row customHeight="1" ht="0.75">
      <c r="A143" s="1290" t="s">
        <v>1179</v>
      </c>
      <c r="B143" s="1290"/>
      <c r="C143" s="1290"/>
      <c r="D143" s="1284"/>
      <c r="E143" s="1294"/>
      <c r="F143" s="2673"/>
      <c r="G143" s="2652"/>
      <c r="H143" s="2677"/>
      <c r="I143" s="2678"/>
      <c r="J143" s="2679"/>
      <c r="K143" s="2679"/>
      <c r="L143" s="2671"/>
      <c r="M143" s="2405"/>
      <c r="N143" s="2680"/>
      <c r="O143" s="2681"/>
      <c r="P143" s="2726"/>
      <c r="Q143" s="2676"/>
      <c r="R143" s="2676"/>
      <c r="S143" s="2676"/>
      <c r="T143" s="2676"/>
      <c r="U143" s="2676"/>
      <c r="V143" s="2676"/>
      <c r="W143" s="2676"/>
      <c r="X143" s="2676"/>
      <c r="Y143" s="2676"/>
      <c r="Z143" s="2162"/>
      <c r="AA143" s="2163"/>
      <c r="AB143" s="2164"/>
      <c r="AC143" s="2165"/>
      <c r="AD143" s="2164"/>
      <c r="AE143" s="2165"/>
      <c r="AF143" s="2675"/>
      <c r="AG143" s="2671"/>
      <c r="AH143" s="2671"/>
      <c r="AI143" s="2675"/>
      <c r="AJ143" s="2671"/>
      <c r="AK143" s="2671"/>
      <c r="AL143" s="2109"/>
      <c r="AM143" s="1946"/>
      <c r="AN143" s="1946"/>
      <c r="AO143" s="1946"/>
      <c r="AP143" s="1946"/>
      <c r="AQ143" s="1946"/>
      <c r="AR143" s="1946"/>
      <c r="AS143" s="1946"/>
      <c r="AT143" s="1946"/>
      <c r="AU143" s="1946"/>
      <c r="AV143" s="1946"/>
      <c r="AW143" s="1946"/>
      <c r="AX143" s="1946"/>
      <c r="AY143" s="1946"/>
      <c r="AZ143" s="1946"/>
      <c r="BA143" s="1946"/>
      <c r="BB143" s="1946"/>
      <c r="BC143" s="1946"/>
      <c r="BD143" s="1946"/>
      <c r="BE143" s="1946"/>
      <c r="BF143" s="1946"/>
      <c r="BG143" s="7213"/>
    </row>
    <row customHeight="1" ht="0.75">
      <c r="A144" s="1290" t="s">
        <v>1179</v>
      </c>
      <c r="B144" s="1290"/>
      <c r="C144" s="1290"/>
      <c r="D144" s="1284"/>
      <c r="E144" s="1294"/>
      <c r="F144" s="2673"/>
      <c r="G144" s="2652"/>
      <c r="H144" s="2677"/>
      <c r="I144" s="2678"/>
      <c r="J144" s="2679"/>
      <c r="K144" s="2679"/>
      <c r="L144" s="2671"/>
      <c r="M144" s="2405"/>
      <c r="N144" s="2680"/>
      <c r="O144" s="2681"/>
      <c r="P144" s="2727"/>
      <c r="Q144" s="2676"/>
      <c r="R144" s="2676"/>
      <c r="S144" s="2676"/>
      <c r="T144" s="2676"/>
      <c r="U144" s="2676"/>
      <c r="V144" s="2676"/>
      <c r="W144" s="2676"/>
      <c r="X144" s="2676"/>
      <c r="Y144" s="2676"/>
      <c r="Z144" s="2158"/>
      <c r="AA144" s="2159"/>
      <c r="AB144" s="2166"/>
      <c r="AC144" s="2160"/>
      <c r="AD144" s="2160"/>
      <c r="AE144" s="2167"/>
      <c r="AF144" s="2675"/>
      <c r="AG144" s="2671"/>
      <c r="AH144" s="2671"/>
      <c r="AI144" s="2675"/>
      <c r="AJ144" s="2671"/>
      <c r="AK144" s="2671"/>
      <c r="AL144" s="2109"/>
      <c r="AM144" s="1946"/>
      <c r="AN144" s="1946"/>
      <c r="AO144" s="1946"/>
      <c r="AP144" s="1946"/>
      <c r="AQ144" s="1946"/>
      <c r="AR144" s="1946"/>
      <c r="AS144" s="1946"/>
      <c r="AT144" s="1946"/>
      <c r="AU144" s="1946"/>
      <c r="AV144" s="1946"/>
      <c r="AW144" s="1946"/>
      <c r="AX144" s="1946"/>
      <c r="AY144" s="1946"/>
      <c r="AZ144" s="1946"/>
      <c r="BA144" s="1946"/>
      <c r="BB144" s="1946"/>
      <c r="BC144" s="1946"/>
      <c r="BD144" s="1946"/>
      <c r="BE144" s="1946"/>
      <c r="BF144" s="1946"/>
      <c r="BG144" s="7213"/>
    </row>
    <row customHeight="1" ht="0.75">
      <c r="A145" s="1290" t="s">
        <v>1179</v>
      </c>
      <c r="B145" s="1290"/>
      <c r="C145" s="1290"/>
      <c r="D145" s="1284"/>
      <c r="E145" s="1294"/>
      <c r="F145" s="2673"/>
      <c r="G145" s="2652"/>
      <c r="H145" s="2677"/>
      <c r="I145" s="2678"/>
      <c r="J145" s="2679"/>
      <c r="K145" s="2679"/>
      <c r="L145" s="2671"/>
      <c r="M145" s="2405"/>
      <c r="N145" s="2159"/>
      <c r="O145" s="2159"/>
      <c r="P145" s="2166"/>
      <c r="Q145" s="2159"/>
      <c r="R145" s="2159"/>
      <c r="S145" s="2159"/>
      <c r="T145" s="2159"/>
      <c r="U145" s="2159"/>
      <c r="V145" s="2159"/>
      <c r="W145" s="2159"/>
      <c r="X145" s="2159"/>
      <c r="Y145" s="2159"/>
      <c r="Z145" s="2159"/>
      <c r="AA145" s="2159"/>
      <c r="AB145" s="2159"/>
      <c r="AC145" s="2159"/>
      <c r="AD145" s="2159"/>
      <c r="AE145" s="2168"/>
      <c r="AF145" s="2675"/>
      <c r="AG145" s="2671"/>
      <c r="AH145" s="2671"/>
      <c r="AI145" s="2675"/>
      <c r="AJ145" s="2671"/>
      <c r="AK145" s="2671"/>
      <c r="AL145" s="2109"/>
      <c r="AM145" s="1946"/>
      <c r="AN145" s="1946"/>
      <c r="AO145" s="1946"/>
      <c r="AP145" s="1946"/>
      <c r="AQ145" s="1946"/>
      <c r="AR145" s="1946"/>
      <c r="AS145" s="1946"/>
      <c r="AT145" s="1946"/>
      <c r="AU145" s="1946"/>
      <c r="AV145" s="1946"/>
      <c r="AW145" s="1946"/>
      <c r="AX145" s="1946"/>
      <c r="AY145" s="1946"/>
      <c r="AZ145" s="1946"/>
      <c r="BA145" s="1946"/>
      <c r="BB145" s="1946"/>
      <c r="BC145" s="1946"/>
      <c r="BD145" s="1946"/>
      <c r="BE145" s="1946"/>
      <c r="BF145" s="1946"/>
      <c r="BG145" s="7213"/>
    </row>
    <row customHeight="1" ht="12">
      <c r="A146" s="1290" t="s">
        <v>1179</v>
      </c>
      <c r="B146" s="1290"/>
      <c r="C146" s="1290"/>
      <c r="D146" s="1284"/>
      <c r="E146" s="1294"/>
      <c r="F146" s="2674"/>
      <c r="G146" s="1314"/>
      <c r="H146" s="1314"/>
      <c r="I146" s="2672" t="s">
        <v>1294</v>
      </c>
      <c r="J146" s="2672"/>
      <c r="K146" s="2672"/>
      <c r="L146" s="1297"/>
      <c r="M146" s="1297"/>
      <c r="N146" s="1298"/>
      <c r="O146" s="1298"/>
      <c r="P146" s="1298"/>
      <c r="Q146" s="1298"/>
      <c r="R146" s="1298"/>
      <c r="S146" s="1298"/>
      <c r="T146" s="1298"/>
      <c r="U146" s="1298"/>
      <c r="V146" s="1298"/>
      <c r="W146" s="1298"/>
      <c r="X146" s="1298"/>
      <c r="Y146" s="1298"/>
      <c r="Z146" s="1298"/>
      <c r="AA146" s="1298"/>
      <c r="AB146" s="1298"/>
      <c r="AC146" s="1298"/>
      <c r="AD146" s="1298"/>
      <c r="AE146" s="1298"/>
      <c r="AF146" s="1298"/>
      <c r="AG146" s="1297"/>
      <c r="AH146" s="1297"/>
      <c r="AI146" s="1298"/>
      <c r="AJ146" s="1297"/>
      <c r="AK146" s="1298"/>
      <c r="AL146" s="2109"/>
      <c r="AM146" s="1946"/>
      <c r="AN146" s="1946"/>
      <c r="AO146" s="1946"/>
      <c r="AP146" s="1946"/>
      <c r="AQ146" s="1946"/>
      <c r="AR146" s="1946"/>
      <c r="AS146" s="1946"/>
      <c r="AT146" s="1946"/>
      <c r="AU146" s="1946"/>
      <c r="AV146" s="1946"/>
      <c r="AW146" s="1946"/>
      <c r="AX146" s="1946"/>
      <c r="AY146" s="1946"/>
      <c r="AZ146" s="1946"/>
      <c r="BA146" s="1946"/>
      <c r="BB146" s="1946"/>
      <c r="BC146" s="1946"/>
      <c r="BD146" s="1946"/>
      <c r="BE146" s="1946"/>
      <c r="BF146" s="1946"/>
      <c r="BG146" s="7213"/>
    </row>
    <row customHeight="1" ht="0.75">
      <c r="A147" s="1290" t="s">
        <v>1179</v>
      </c>
      <c r="B147" s="1290"/>
      <c r="C147" s="1290"/>
      <c r="D147" s="1284"/>
      <c r="E147" s="1294"/>
      <c r="F147" s="2673">
        <v>2028</v>
      </c>
      <c r="G147" s="2652"/>
      <c r="H147" s="2677" t="s">
        <v>488</v>
      </c>
      <c r="I147" s="2678"/>
      <c r="J147" s="2679"/>
      <c r="K147" s="2679"/>
      <c r="L147" s="2671"/>
      <c r="M147" s="2405"/>
      <c r="N147" s="2157"/>
      <c r="O147" s="2156"/>
      <c r="P147" s="2157"/>
      <c r="Q147" s="2157"/>
      <c r="R147" s="2157"/>
      <c r="S147" s="2157"/>
      <c r="T147" s="2157"/>
      <c r="U147" s="2157"/>
      <c r="V147" s="2157"/>
      <c r="W147" s="2157"/>
      <c r="X147" s="2157"/>
      <c r="Y147" s="2157"/>
      <c r="Z147" s="2157"/>
      <c r="AA147" s="2157"/>
      <c r="AB147" s="2157"/>
      <c r="AC147" s="2157"/>
      <c r="AD147" s="2157"/>
      <c r="AE147" s="2157"/>
      <c r="AF147" s="2675"/>
      <c r="AG147" s="2671"/>
      <c r="AH147" s="2671"/>
      <c r="AI147" s="2675"/>
      <c r="AJ147" s="2671"/>
      <c r="AK147" s="2671"/>
      <c r="AL147" s="2109"/>
      <c r="AM147" s="1946"/>
      <c r="AN147" s="1946"/>
      <c r="AO147" s="1946"/>
      <c r="AP147" s="1946"/>
      <c r="AQ147" s="1946"/>
      <c r="AR147" s="1946"/>
      <c r="AS147" s="1946"/>
      <c r="AT147" s="1946"/>
      <c r="AU147" s="1946"/>
      <c r="AV147" s="1946"/>
      <c r="AW147" s="1946"/>
      <c r="AX147" s="1946"/>
      <c r="AY147" s="1946"/>
      <c r="AZ147" s="1946"/>
      <c r="BA147" s="1946"/>
      <c r="BB147" s="1946"/>
      <c r="BC147" s="1946"/>
      <c r="BD147" s="1946"/>
      <c r="BE147" s="1946"/>
      <c r="BF147" s="1946"/>
      <c r="BG147" s="7213"/>
    </row>
    <row customHeight="1" ht="0.75">
      <c r="A148" s="1290" t="s">
        <v>1179</v>
      </c>
      <c r="B148" s="1290"/>
      <c r="C148" s="1290"/>
      <c r="D148" s="1284"/>
      <c r="E148" s="1294"/>
      <c r="F148" s="2673"/>
      <c r="G148" s="2652"/>
      <c r="H148" s="2677"/>
      <c r="I148" s="2678"/>
      <c r="J148" s="2679"/>
      <c r="K148" s="2679"/>
      <c r="L148" s="2671"/>
      <c r="M148" s="2405"/>
      <c r="N148" s="2680"/>
      <c r="O148" s="2681"/>
      <c r="P148" s="2725"/>
      <c r="Q148" s="2676"/>
      <c r="R148" s="2676"/>
      <c r="S148" s="2676"/>
      <c r="T148" s="2676"/>
      <c r="U148" s="2676"/>
      <c r="V148" s="2676"/>
      <c r="W148" s="2676"/>
      <c r="X148" s="2676"/>
      <c r="Y148" s="2676"/>
      <c r="Z148" s="2158"/>
      <c r="AA148" s="2159"/>
      <c r="AB148" s="2159"/>
      <c r="AC148" s="2160"/>
      <c r="AD148" s="2160"/>
      <c r="AE148" s="2161"/>
      <c r="AF148" s="2675"/>
      <c r="AG148" s="2671"/>
      <c r="AH148" s="2671"/>
      <c r="AI148" s="2675"/>
      <c r="AJ148" s="2671"/>
      <c r="AK148" s="2671"/>
      <c r="AL148" s="2109"/>
      <c r="AM148" s="1946"/>
      <c r="AN148" s="1946"/>
      <c r="AO148" s="1946"/>
      <c r="AP148" s="1946"/>
      <c r="AQ148" s="1946"/>
      <c r="AR148" s="1946"/>
      <c r="AS148" s="1946"/>
      <c r="AT148" s="1946"/>
      <c r="AU148" s="1946"/>
      <c r="AV148" s="1946"/>
      <c r="AW148" s="1946"/>
      <c r="AX148" s="1946"/>
      <c r="AY148" s="1946"/>
      <c r="AZ148" s="1946"/>
      <c r="BA148" s="1946"/>
      <c r="BB148" s="1946"/>
      <c r="BC148" s="1946"/>
      <c r="BD148" s="1946"/>
      <c r="BE148" s="1946"/>
      <c r="BF148" s="1946"/>
      <c r="BG148" s="7213"/>
    </row>
    <row customHeight="1" ht="0.75">
      <c r="A149" s="1290" t="s">
        <v>1179</v>
      </c>
      <c r="B149" s="1290"/>
      <c r="C149" s="1290"/>
      <c r="D149" s="1284"/>
      <c r="E149" s="1294"/>
      <c r="F149" s="2673"/>
      <c r="G149" s="2652"/>
      <c r="H149" s="2677"/>
      <c r="I149" s="2678"/>
      <c r="J149" s="2679"/>
      <c r="K149" s="2679"/>
      <c r="L149" s="2671"/>
      <c r="M149" s="2405"/>
      <c r="N149" s="2680"/>
      <c r="O149" s="2681"/>
      <c r="P149" s="2726"/>
      <c r="Q149" s="2676"/>
      <c r="R149" s="2676"/>
      <c r="S149" s="2676"/>
      <c r="T149" s="2676"/>
      <c r="U149" s="2676"/>
      <c r="V149" s="2676"/>
      <c r="W149" s="2676"/>
      <c r="X149" s="2676"/>
      <c r="Y149" s="2676"/>
      <c r="Z149" s="2162"/>
      <c r="AA149" s="2163"/>
      <c r="AB149" s="2164"/>
      <c r="AC149" s="2165"/>
      <c r="AD149" s="2164"/>
      <c r="AE149" s="2165"/>
      <c r="AF149" s="2675"/>
      <c r="AG149" s="2671"/>
      <c r="AH149" s="2671"/>
      <c r="AI149" s="2675"/>
      <c r="AJ149" s="2671"/>
      <c r="AK149" s="2671"/>
      <c r="AL149" s="2109"/>
      <c r="AM149" s="1946"/>
      <c r="AN149" s="1946"/>
      <c r="AO149" s="1946"/>
      <c r="AP149" s="1946"/>
      <c r="AQ149" s="1946"/>
      <c r="AR149" s="1946"/>
      <c r="AS149" s="1946"/>
      <c r="AT149" s="1946"/>
      <c r="AU149" s="1946"/>
      <c r="AV149" s="1946"/>
      <c r="AW149" s="1946"/>
      <c r="AX149" s="1946"/>
      <c r="AY149" s="1946"/>
      <c r="AZ149" s="1946"/>
      <c r="BA149" s="1946"/>
      <c r="BB149" s="1946"/>
      <c r="BC149" s="1946"/>
      <c r="BD149" s="1946"/>
      <c r="BE149" s="1946"/>
      <c r="BF149" s="1946"/>
      <c r="BG149" s="7213"/>
    </row>
    <row customHeight="1" ht="0.75">
      <c r="A150" s="1290" t="s">
        <v>1179</v>
      </c>
      <c r="B150" s="1290"/>
      <c r="C150" s="1290"/>
      <c r="D150" s="1284"/>
      <c r="E150" s="1294"/>
      <c r="F150" s="2673"/>
      <c r="G150" s="2652"/>
      <c r="H150" s="2677"/>
      <c r="I150" s="2678"/>
      <c r="J150" s="2679"/>
      <c r="K150" s="2679"/>
      <c r="L150" s="2671"/>
      <c r="M150" s="2405"/>
      <c r="N150" s="2680"/>
      <c r="O150" s="2681"/>
      <c r="P150" s="2727"/>
      <c r="Q150" s="2676"/>
      <c r="R150" s="2676"/>
      <c r="S150" s="2676"/>
      <c r="T150" s="2676"/>
      <c r="U150" s="2676"/>
      <c r="V150" s="2676"/>
      <c r="W150" s="2676"/>
      <c r="X150" s="2676"/>
      <c r="Y150" s="2676"/>
      <c r="Z150" s="2158"/>
      <c r="AA150" s="2159"/>
      <c r="AB150" s="2166"/>
      <c r="AC150" s="2160"/>
      <c r="AD150" s="2160"/>
      <c r="AE150" s="2167"/>
      <c r="AF150" s="2675"/>
      <c r="AG150" s="2671"/>
      <c r="AH150" s="2671"/>
      <c r="AI150" s="2675"/>
      <c r="AJ150" s="2671"/>
      <c r="AK150" s="2671"/>
      <c r="AL150" s="2109"/>
      <c r="AM150" s="1946"/>
      <c r="AN150" s="1946"/>
      <c r="AO150" s="1946"/>
      <c r="AP150" s="1946"/>
      <c r="AQ150" s="1946"/>
      <c r="AR150" s="1946"/>
      <c r="AS150" s="1946"/>
      <c r="AT150" s="1946"/>
      <c r="AU150" s="1946"/>
      <c r="AV150" s="1946"/>
      <c r="AW150" s="1946"/>
      <c r="AX150" s="1946"/>
      <c r="AY150" s="1946"/>
      <c r="AZ150" s="1946"/>
      <c r="BA150" s="1946"/>
      <c r="BB150" s="1946"/>
      <c r="BC150" s="1946"/>
      <c r="BD150" s="1946"/>
      <c r="BE150" s="1946"/>
      <c r="BF150" s="1946"/>
      <c r="BG150" s="7213"/>
    </row>
    <row customHeight="1" ht="0.75">
      <c r="A151" s="1290" t="s">
        <v>1179</v>
      </c>
      <c r="B151" s="1290"/>
      <c r="C151" s="1290"/>
      <c r="D151" s="1284"/>
      <c r="E151" s="1294"/>
      <c r="F151" s="2673"/>
      <c r="G151" s="2652"/>
      <c r="H151" s="2677"/>
      <c r="I151" s="2678"/>
      <c r="J151" s="2679"/>
      <c r="K151" s="2679"/>
      <c r="L151" s="2671"/>
      <c r="M151" s="2405"/>
      <c r="N151" s="2159"/>
      <c r="O151" s="2159"/>
      <c r="P151" s="2166"/>
      <c r="Q151" s="2159"/>
      <c r="R151" s="2159"/>
      <c r="S151" s="2159"/>
      <c r="T151" s="2159"/>
      <c r="U151" s="2159"/>
      <c r="V151" s="2159"/>
      <c r="W151" s="2159"/>
      <c r="X151" s="2159"/>
      <c r="Y151" s="2159"/>
      <c r="Z151" s="2159"/>
      <c r="AA151" s="2159"/>
      <c r="AB151" s="2159"/>
      <c r="AC151" s="2159"/>
      <c r="AD151" s="2159"/>
      <c r="AE151" s="2168"/>
      <c r="AF151" s="2675"/>
      <c r="AG151" s="2671"/>
      <c r="AH151" s="2671"/>
      <c r="AI151" s="2675"/>
      <c r="AJ151" s="2671"/>
      <c r="AK151" s="2671"/>
      <c r="AL151" s="2109"/>
      <c r="AM151" s="1946"/>
      <c r="AN151" s="1946"/>
      <c r="AO151" s="1946"/>
      <c r="AP151" s="1946"/>
      <c r="AQ151" s="1946"/>
      <c r="AR151" s="1946"/>
      <c r="AS151" s="1946"/>
      <c r="AT151" s="1946"/>
      <c r="AU151" s="1946"/>
      <c r="AV151" s="1946"/>
      <c r="AW151" s="1946"/>
      <c r="AX151" s="1946"/>
      <c r="AY151" s="1946"/>
      <c r="AZ151" s="1946"/>
      <c r="BA151" s="1946"/>
      <c r="BB151" s="1946"/>
      <c r="BC151" s="1946"/>
      <c r="BD151" s="1946"/>
      <c r="BE151" s="1946"/>
      <c r="BF151" s="1946"/>
      <c r="BG151" s="7213"/>
    </row>
    <row customHeight="1" ht="12">
      <c r="A152" s="1290" t="s">
        <v>1179</v>
      </c>
      <c r="B152" s="1290"/>
      <c r="C152" s="1290"/>
      <c r="D152" s="1284"/>
      <c r="E152" s="1294"/>
      <c r="F152" s="2674"/>
      <c r="G152" s="1314"/>
      <c r="H152" s="1314"/>
      <c r="I152" s="2672" t="s">
        <v>1294</v>
      </c>
      <c r="J152" s="2672"/>
      <c r="K152" s="2672"/>
      <c r="L152" s="1297"/>
      <c r="M152" s="1297"/>
      <c r="N152" s="1298"/>
      <c r="O152" s="1298"/>
      <c r="P152" s="1298"/>
      <c r="Q152" s="1298"/>
      <c r="R152" s="1298"/>
      <c r="S152" s="1298"/>
      <c r="T152" s="1298"/>
      <c r="U152" s="1298"/>
      <c r="V152" s="1298"/>
      <c r="W152" s="1298"/>
      <c r="X152" s="1298"/>
      <c r="Y152" s="1298"/>
      <c r="Z152" s="1298"/>
      <c r="AA152" s="1298"/>
      <c r="AB152" s="1298"/>
      <c r="AC152" s="1298"/>
      <c r="AD152" s="1298"/>
      <c r="AE152" s="1298"/>
      <c r="AF152" s="1298"/>
      <c r="AG152" s="1297"/>
      <c r="AH152" s="1297"/>
      <c r="AI152" s="1298"/>
      <c r="AJ152" s="1297"/>
      <c r="AK152" s="1298"/>
      <c r="AL152" s="2109"/>
      <c r="AM152" s="1946"/>
      <c r="AN152" s="1946"/>
      <c r="AO152" s="1946"/>
      <c r="AP152" s="1946"/>
      <c r="AQ152" s="1946"/>
      <c r="AR152" s="1946"/>
      <c r="AS152" s="1946"/>
      <c r="AT152" s="1946"/>
      <c r="AU152" s="1946"/>
      <c r="AV152" s="1946"/>
      <c r="AW152" s="1946"/>
      <c r="AX152" s="1946"/>
      <c r="AY152" s="1946"/>
      <c r="AZ152" s="1946"/>
      <c r="BA152" s="1946"/>
      <c r="BB152" s="1946"/>
      <c r="BC152" s="1946"/>
      <c r="BD152" s="1946"/>
      <c r="BE152" s="1946"/>
      <c r="BF152" s="1946"/>
      <c r="BG152" s="7213"/>
    </row>
    <row customHeight="1" ht="21">
      <c r="A153" s="1291" t="s">
        <v>1186</v>
      </c>
      <c r="B153" s="1290"/>
      <c r="C153" s="1290"/>
      <c r="D153" s="1284"/>
      <c r="E153" s="1294" t="s">
        <v>22</v>
      </c>
      <c r="F153" s="1246" t="str">
        <f>INDEX(IP_MAIN_LIST_NAME_IP,MATCH(A153,IP_MAIN_LIST_IP_ID,0))&amp;" ("&amp;INDEX(IP_MAIN_START_DATE,MATCH(A153,IP_MAIN_LIST_IP_ID,0))&amp;"-"&amp;INDEX(IP_MAIN_END_DATE,MATCH(A153,IP_MAIN_LIST_IP_ID,0))&amp;")"</f>
        <v>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 (01.01.2024-31.12.2028)</v>
      </c>
      <c r="G153" s="1247"/>
      <c r="H153" s="1247"/>
      <c r="I153" s="1309"/>
      <c r="J153" s="1309"/>
      <c r="K153" s="1310"/>
      <c r="L153" s="1310"/>
      <c r="M153" s="1310"/>
      <c r="N153" s="1311"/>
      <c r="O153" s="1311"/>
      <c r="P153" s="1311"/>
      <c r="Q153" s="1311"/>
      <c r="R153" s="1311"/>
      <c r="S153" s="1311"/>
      <c r="T153" s="1311"/>
      <c r="U153" s="1311"/>
      <c r="V153" s="1311"/>
      <c r="W153" s="1311"/>
      <c r="X153" s="1311"/>
      <c r="Y153" s="1311"/>
      <c r="Z153" s="1311"/>
      <c r="AA153" s="1311"/>
      <c r="AB153" s="1311"/>
      <c r="AC153" s="1311"/>
      <c r="AD153" s="1311"/>
      <c r="AE153" s="1312"/>
      <c r="AF153" s="1310"/>
      <c r="AG153" s="1310"/>
      <c r="AH153" s="1310"/>
      <c r="AI153" s="1310"/>
      <c r="AJ153" s="1310"/>
      <c r="AK153" s="1310"/>
      <c r="AL153" s="2109"/>
      <c r="AM153" s="1946"/>
      <c r="AN153" s="1946"/>
      <c r="AO153" s="1946"/>
      <c r="AP153" s="1946"/>
      <c r="AQ153" s="1946"/>
      <c r="AR153" s="1946"/>
      <c r="AS153" s="1946"/>
      <c r="AT153" s="1946"/>
      <c r="AU153" s="1946"/>
      <c r="AV153" s="1946"/>
      <c r="AW153" s="1946"/>
      <c r="AX153" s="1946"/>
      <c r="AY153" s="1946"/>
      <c r="AZ153" s="1946"/>
      <c r="BA153" s="1946"/>
      <c r="BB153" s="1946"/>
      <c r="BC153" s="1946"/>
      <c r="BD153" s="1946"/>
      <c r="BE153" s="1946"/>
      <c r="BF153" s="1946"/>
      <c r="BG153" s="7213"/>
    </row>
    <row customHeight="1" ht="0.75">
      <c r="A154" s="1290" t="s">
        <v>1186</v>
      </c>
      <c r="B154" s="1290"/>
      <c r="C154" s="1290"/>
      <c r="D154" s="1284"/>
      <c r="E154" s="1294"/>
      <c r="F154" s="2673">
        <v>2024</v>
      </c>
      <c r="G154" s="2652"/>
      <c r="H154" s="2677" t="s">
        <v>488</v>
      </c>
      <c r="I154" s="2678"/>
      <c r="J154" s="2679"/>
      <c r="K154" s="2679"/>
      <c r="L154" s="2671"/>
      <c r="M154" s="2405"/>
      <c r="N154" s="2157"/>
      <c r="O154" s="2156"/>
      <c r="P154" s="2157"/>
      <c r="Q154" s="2157"/>
      <c r="R154" s="2157"/>
      <c r="S154" s="2157"/>
      <c r="T154" s="2157"/>
      <c r="U154" s="2157"/>
      <c r="V154" s="2157"/>
      <c r="W154" s="2157"/>
      <c r="X154" s="2157"/>
      <c r="Y154" s="2157"/>
      <c r="Z154" s="2157"/>
      <c r="AA154" s="2157"/>
      <c r="AB154" s="2157"/>
      <c r="AC154" s="2157"/>
      <c r="AD154" s="2157"/>
      <c r="AE154" s="2157"/>
      <c r="AF154" s="2675"/>
      <c r="AG154" s="2671"/>
      <c r="AH154" s="2671"/>
      <c r="AI154" s="2675"/>
      <c r="AJ154" s="2671"/>
      <c r="AK154" s="2671"/>
      <c r="AL154" s="2109"/>
      <c r="AM154" s="1946"/>
      <c r="AN154" s="1946"/>
      <c r="AO154" s="1946"/>
      <c r="AP154" s="1946"/>
      <c r="AQ154" s="1946"/>
      <c r="AR154" s="1946"/>
      <c r="AS154" s="1946"/>
      <c r="AT154" s="1946"/>
      <c r="AU154" s="1946"/>
      <c r="AV154" s="1946"/>
      <c r="AW154" s="1946"/>
      <c r="AX154" s="1946"/>
      <c r="AY154" s="1946"/>
      <c r="AZ154" s="1946"/>
      <c r="BA154" s="1946"/>
      <c r="BB154" s="1946"/>
      <c r="BC154" s="1946"/>
      <c r="BD154" s="1946"/>
      <c r="BE154" s="1946"/>
      <c r="BF154" s="1946"/>
      <c r="BG154" s="7213"/>
    </row>
    <row customHeight="1" ht="0.75">
      <c r="A155" s="1290" t="s">
        <v>1186</v>
      </c>
      <c r="B155" s="1290"/>
      <c r="C155" s="1290"/>
      <c r="D155" s="1284"/>
      <c r="E155" s="1294"/>
      <c r="F155" s="2673"/>
      <c r="G155" s="2652"/>
      <c r="H155" s="2677"/>
      <c r="I155" s="2678"/>
      <c r="J155" s="2679"/>
      <c r="K155" s="2679"/>
      <c r="L155" s="2671"/>
      <c r="M155" s="2405"/>
      <c r="N155" s="2680"/>
      <c r="O155" s="2681"/>
      <c r="P155" s="2725"/>
      <c r="Q155" s="2676"/>
      <c r="R155" s="2676"/>
      <c r="S155" s="2676"/>
      <c r="T155" s="2676"/>
      <c r="U155" s="2676"/>
      <c r="V155" s="2676"/>
      <c r="W155" s="2676"/>
      <c r="X155" s="2676"/>
      <c r="Y155" s="2676"/>
      <c r="Z155" s="2158"/>
      <c r="AA155" s="2159"/>
      <c r="AB155" s="2159"/>
      <c r="AC155" s="2160"/>
      <c r="AD155" s="2160"/>
      <c r="AE155" s="2161"/>
      <c r="AF155" s="2675"/>
      <c r="AG155" s="2671"/>
      <c r="AH155" s="2671"/>
      <c r="AI155" s="2675"/>
      <c r="AJ155" s="2671"/>
      <c r="AK155" s="2671"/>
      <c r="AL155" s="2109"/>
      <c r="AM155" s="1946"/>
      <c r="AN155" s="1946"/>
      <c r="AO155" s="1946"/>
      <c r="AP155" s="1946"/>
      <c r="AQ155" s="1946"/>
      <c r="AR155" s="1946"/>
      <c r="AS155" s="1946"/>
      <c r="AT155" s="1946"/>
      <c r="AU155" s="1946"/>
      <c r="AV155" s="1946"/>
      <c r="AW155" s="1946"/>
      <c r="AX155" s="1946"/>
      <c r="AY155" s="1946"/>
      <c r="AZ155" s="1946"/>
      <c r="BA155" s="1946"/>
      <c r="BB155" s="1946"/>
      <c r="BC155" s="1946"/>
      <c r="BD155" s="1946"/>
      <c r="BE155" s="1946"/>
      <c r="BF155" s="1946"/>
      <c r="BG155" s="7213"/>
    </row>
    <row customHeight="1" ht="0.75">
      <c r="A156" s="1290" t="s">
        <v>1186</v>
      </c>
      <c r="B156" s="1290"/>
      <c r="C156" s="1290"/>
      <c r="D156" s="1284"/>
      <c r="E156" s="1294"/>
      <c r="F156" s="2673"/>
      <c r="G156" s="2652"/>
      <c r="H156" s="2677"/>
      <c r="I156" s="2678"/>
      <c r="J156" s="2679"/>
      <c r="K156" s="2679"/>
      <c r="L156" s="2671"/>
      <c r="M156" s="2405"/>
      <c r="N156" s="2680"/>
      <c r="O156" s="2681"/>
      <c r="P156" s="2726"/>
      <c r="Q156" s="2676"/>
      <c r="R156" s="2676"/>
      <c r="S156" s="2676"/>
      <c r="T156" s="2676"/>
      <c r="U156" s="2676"/>
      <c r="V156" s="2676"/>
      <c r="W156" s="2676"/>
      <c r="X156" s="2676"/>
      <c r="Y156" s="2676"/>
      <c r="Z156" s="2162"/>
      <c r="AA156" s="2163"/>
      <c r="AB156" s="2164"/>
      <c r="AC156" s="2165"/>
      <c r="AD156" s="2164"/>
      <c r="AE156" s="2165"/>
      <c r="AF156" s="2675"/>
      <c r="AG156" s="2671"/>
      <c r="AH156" s="2671"/>
      <c r="AI156" s="2675"/>
      <c r="AJ156" s="2671"/>
      <c r="AK156" s="2671"/>
      <c r="AL156" s="2109"/>
      <c r="AM156" s="1946"/>
      <c r="AN156" s="1946"/>
      <c r="AO156" s="1946"/>
      <c r="AP156" s="1946"/>
      <c r="AQ156" s="1946"/>
      <c r="AR156" s="1946"/>
      <c r="AS156" s="1946"/>
      <c r="AT156" s="1946"/>
      <c r="AU156" s="1946"/>
      <c r="AV156" s="1946"/>
      <c r="AW156" s="1946"/>
      <c r="AX156" s="1946"/>
      <c r="AY156" s="1946"/>
      <c r="AZ156" s="1946"/>
      <c r="BA156" s="1946"/>
      <c r="BB156" s="1946"/>
      <c r="BC156" s="1946"/>
      <c r="BD156" s="1946"/>
      <c r="BE156" s="1946"/>
      <c r="BF156" s="1946"/>
      <c r="BG156" s="7213"/>
    </row>
    <row customHeight="1" ht="0.75">
      <c r="A157" s="1290" t="s">
        <v>1186</v>
      </c>
      <c r="B157" s="1290"/>
      <c r="C157" s="1290"/>
      <c r="D157" s="1284"/>
      <c r="E157" s="1294"/>
      <c r="F157" s="2673"/>
      <c r="G157" s="2652"/>
      <c r="H157" s="2677"/>
      <c r="I157" s="2678"/>
      <c r="J157" s="2679"/>
      <c r="K157" s="2679"/>
      <c r="L157" s="2671"/>
      <c r="M157" s="2405"/>
      <c r="N157" s="2680"/>
      <c r="O157" s="2681"/>
      <c r="P157" s="2727"/>
      <c r="Q157" s="2676"/>
      <c r="R157" s="2676"/>
      <c r="S157" s="2676"/>
      <c r="T157" s="2676"/>
      <c r="U157" s="2676"/>
      <c r="V157" s="2676"/>
      <c r="W157" s="2676"/>
      <c r="X157" s="2676"/>
      <c r="Y157" s="2676"/>
      <c r="Z157" s="2158"/>
      <c r="AA157" s="2159"/>
      <c r="AB157" s="2166"/>
      <c r="AC157" s="2160"/>
      <c r="AD157" s="2160"/>
      <c r="AE157" s="2167"/>
      <c r="AF157" s="2675"/>
      <c r="AG157" s="2671"/>
      <c r="AH157" s="2671"/>
      <c r="AI157" s="2675"/>
      <c r="AJ157" s="2671"/>
      <c r="AK157" s="2671"/>
      <c r="AL157" s="2109"/>
      <c r="AM157" s="1946"/>
      <c r="AN157" s="1946"/>
      <c r="AO157" s="1946"/>
      <c r="AP157" s="1946"/>
      <c r="AQ157" s="1946"/>
      <c r="AR157" s="1946"/>
      <c r="AS157" s="1946"/>
      <c r="AT157" s="1946"/>
      <c r="AU157" s="1946"/>
      <c r="AV157" s="1946"/>
      <c r="AW157" s="1946"/>
      <c r="AX157" s="1946"/>
      <c r="AY157" s="1946"/>
      <c r="AZ157" s="1946"/>
      <c r="BA157" s="1946"/>
      <c r="BB157" s="1946"/>
      <c r="BC157" s="1946"/>
      <c r="BD157" s="1946"/>
      <c r="BE157" s="1946"/>
      <c r="BF157" s="1946"/>
      <c r="BG157" s="7213"/>
    </row>
    <row customHeight="1" ht="0.75">
      <c r="A158" s="1290" t="s">
        <v>1186</v>
      </c>
      <c r="B158" s="1290"/>
      <c r="C158" s="1290"/>
      <c r="D158" s="1284"/>
      <c r="E158" s="1294"/>
      <c r="F158" s="2673"/>
      <c r="G158" s="2652"/>
      <c r="H158" s="2677"/>
      <c r="I158" s="2678"/>
      <c r="J158" s="2679"/>
      <c r="K158" s="2679"/>
      <c r="L158" s="2671"/>
      <c r="M158" s="2405"/>
      <c r="N158" s="2159"/>
      <c r="O158" s="2159"/>
      <c r="P158" s="2166"/>
      <c r="Q158" s="2159"/>
      <c r="R158" s="2159"/>
      <c r="S158" s="2159"/>
      <c r="T158" s="2159"/>
      <c r="U158" s="2159"/>
      <c r="V158" s="2159"/>
      <c r="W158" s="2159"/>
      <c r="X158" s="2159"/>
      <c r="Y158" s="2159"/>
      <c r="Z158" s="2159"/>
      <c r="AA158" s="2159"/>
      <c r="AB158" s="2159"/>
      <c r="AC158" s="2159"/>
      <c r="AD158" s="2159"/>
      <c r="AE158" s="2168"/>
      <c r="AF158" s="2675"/>
      <c r="AG158" s="2671"/>
      <c r="AH158" s="2671"/>
      <c r="AI158" s="2675"/>
      <c r="AJ158" s="2671"/>
      <c r="AK158" s="2671"/>
      <c r="AL158" s="2109"/>
      <c r="AM158" s="1946"/>
      <c r="AN158" s="1946"/>
      <c r="AO158" s="1946"/>
      <c r="AP158" s="1946"/>
      <c r="AQ158" s="1946"/>
      <c r="AR158" s="1946"/>
      <c r="AS158" s="1946"/>
      <c r="AT158" s="1946"/>
      <c r="AU158" s="1946"/>
      <c r="AV158" s="1946"/>
      <c r="AW158" s="1946"/>
      <c r="AX158" s="1946"/>
      <c r="AY158" s="1946"/>
      <c r="AZ158" s="1946"/>
      <c r="BA158" s="1946"/>
      <c r="BB158" s="1946"/>
      <c r="BC158" s="1946"/>
      <c r="BD158" s="1946"/>
      <c r="BE158" s="1946"/>
      <c r="BF158" s="1946"/>
      <c r="BG158" s="7213"/>
    </row>
    <row customHeight="1" ht="11.25">
      <c r="A159" s="1290" t="s">
        <v>1186</v>
      </c>
      <c r="B159" s="1290"/>
      <c r="C159" s="1290"/>
      <c r="D159" s="1284"/>
      <c r="E159" s="1294"/>
      <c r="F159" s="1952"/>
      <c r="G159" s="7121" t="s">
        <v>103</v>
      </c>
      <c r="H159" s="2652" t="s">
        <v>210</v>
      </c>
      <c r="I159" s="2653"/>
      <c r="J159" s="2622"/>
      <c r="K159" s="2654" t="s">
        <v>1340</v>
      </c>
      <c r="L159" s="2244" t="s">
        <v>19</v>
      </c>
      <c r="M159" s="2245"/>
      <c r="N159" s="2107"/>
      <c r="O159" s="1301" t="s">
        <v>488</v>
      </c>
      <c r="P159" s="1302"/>
      <c r="Q159" s="1302"/>
      <c r="R159" s="1302"/>
      <c r="S159" s="1302"/>
      <c r="T159" s="1302"/>
      <c r="U159" s="1302"/>
      <c r="V159" s="1302"/>
      <c r="W159" s="1302"/>
      <c r="X159" s="1302"/>
      <c r="Y159" s="1302"/>
      <c r="Z159" s="1302"/>
      <c r="AA159" s="1302"/>
      <c r="AB159" s="1302"/>
      <c r="AC159" s="1302"/>
      <c r="AD159" s="1302"/>
      <c r="AE159" s="1302"/>
      <c r="AF159" s="2643">
        <v>2024</v>
      </c>
      <c r="AG159" s="2644" t="s">
        <v>1296</v>
      </c>
      <c r="AH159" s="2644" t="s">
        <v>1297</v>
      </c>
      <c r="AI159" s="2643">
        <v>2024</v>
      </c>
      <c r="AJ159" s="2644" t="s">
        <v>1296</v>
      </c>
      <c r="AK159" s="2644" t="s">
        <v>1297</v>
      </c>
      <c r="AL159" s="2109"/>
      <c r="AM159" s="1946"/>
      <c r="AN159" s="1946"/>
      <c r="AO159" s="1946"/>
      <c r="AP159" s="1946"/>
      <c r="AQ159" s="1946"/>
      <c r="AR159" s="1946"/>
      <c r="AS159" s="1946"/>
      <c r="AT159" s="1946"/>
      <c r="AU159" s="1946"/>
      <c r="AV159" s="1946"/>
      <c r="AW159" s="1946"/>
      <c r="AX159" s="1946"/>
      <c r="AY159" s="1946"/>
      <c r="AZ159" s="1946"/>
      <c r="BA159" s="1946"/>
      <c r="BB159" s="1946"/>
      <c r="BC159" s="1946"/>
      <c r="BD159" s="1946"/>
      <c r="BE159" s="1946"/>
      <c r="BF159" s="1946"/>
      <c r="BG159" s="7213"/>
    </row>
    <row customHeight="1" ht="11.25">
      <c r="A160" s="1290" t="s">
        <v>1186</v>
      </c>
      <c r="B160" s="1290"/>
      <c r="C160" s="1290"/>
      <c r="D160" s="1284"/>
      <c r="E160" s="1294"/>
      <c r="F160" s="1952"/>
      <c r="G160" s="1953"/>
      <c r="H160" s="2652" t="s">
        <v>488</v>
      </c>
      <c r="I160" s="2653"/>
      <c r="J160" s="2622"/>
      <c r="K160" s="2654"/>
      <c r="L160" s="2244"/>
      <c r="M160" s="2245"/>
      <c r="N160" s="2645"/>
      <c r="O160" s="2646">
        <v>1</v>
      </c>
      <c r="P160" s="2647" t="s">
        <v>62</v>
      </c>
      <c r="Q160" s="11136" t="s">
        <v>1341</v>
      </c>
      <c r="R160" s="11137" t="s">
        <v>1299</v>
      </c>
      <c r="S160" s="11137" t="s">
        <v>142</v>
      </c>
      <c r="T160" s="11137" t="s">
        <v>1342</v>
      </c>
      <c r="U160" s="11137" t="s">
        <v>1343</v>
      </c>
      <c r="V160" s="11137" t="s">
        <v>1344</v>
      </c>
      <c r="W160" s="11137" t="s">
        <v>1345</v>
      </c>
      <c r="X160" s="11137" t="s">
        <v>1346</v>
      </c>
      <c r="Y160" s="11137" t="s">
        <v>1347</v>
      </c>
      <c r="Z160" s="1299"/>
      <c r="AA160" s="1300"/>
      <c r="AB160" s="1300"/>
      <c r="AC160" s="1304"/>
      <c r="AD160" s="1304"/>
      <c r="AE160" s="1305"/>
      <c r="AF160" s="2643"/>
      <c r="AG160" s="2644"/>
      <c r="AH160" s="2644"/>
      <c r="AI160" s="2643"/>
      <c r="AJ160" s="2644"/>
      <c r="AK160" s="2644"/>
      <c r="AL160" s="2109"/>
      <c r="AM160" s="1946"/>
      <c r="AN160" s="1946"/>
      <c r="AO160" s="1946"/>
      <c r="AP160" s="1946"/>
      <c r="AQ160" s="1946"/>
      <c r="AR160" s="1946"/>
      <c r="AS160" s="1946"/>
      <c r="AT160" s="1946"/>
      <c r="AU160" s="1946"/>
      <c r="AV160" s="1946"/>
      <c r="AW160" s="1946"/>
      <c r="AX160" s="1946"/>
      <c r="AY160" s="1946"/>
      <c r="AZ160" s="1946"/>
      <c r="BA160" s="1946"/>
      <c r="BB160" s="1946"/>
      <c r="BC160" s="1946"/>
      <c r="BD160" s="1946"/>
      <c r="BE160" s="1946"/>
      <c r="BF160" s="1946"/>
      <c r="BG160" s="7213"/>
    </row>
    <row customHeight="1" ht="11.25">
      <c r="A161" s="1290" t="s">
        <v>1186</v>
      </c>
      <c r="B161" s="1290"/>
      <c r="C161" s="1290"/>
      <c r="D161" s="1284"/>
      <c r="E161" s="1294"/>
      <c r="F161" s="1952"/>
      <c r="G161" s="1953"/>
      <c r="H161" s="2652" t="s">
        <v>488</v>
      </c>
      <c r="I161" s="2653"/>
      <c r="J161" s="2622"/>
      <c r="K161" s="2654"/>
      <c r="L161" s="2244"/>
      <c r="M161" s="2245"/>
      <c r="N161" s="2645"/>
      <c r="O161" s="2646"/>
      <c r="P161" s="2648"/>
      <c r="Q161" s="11136"/>
      <c r="R161" s="2650"/>
      <c r="S161" s="2651"/>
      <c r="T161" s="2650"/>
      <c r="U161" s="2650"/>
      <c r="V161" s="2650"/>
      <c r="W161" s="2650"/>
      <c r="X161" s="2650"/>
      <c r="Y161" s="2650"/>
      <c r="Z161" s="1951"/>
      <c r="AA161" s="1917">
        <v>1</v>
      </c>
      <c r="AB161" s="1303" t="s">
        <v>1306</v>
      </c>
      <c r="AC161" s="1293">
        <v>560</v>
      </c>
      <c r="AD161" s="1303" t="str">
        <f>AB161</f>
        <v>  Прибыль направляемая на инвестиции</v>
      </c>
      <c r="AE161" s="1293">
        <v>560</v>
      </c>
      <c r="AF161" s="2643"/>
      <c r="AG161" s="2644"/>
      <c r="AH161" s="2644"/>
      <c r="AI161" s="2643"/>
      <c r="AJ161" s="2644"/>
      <c r="AK161" s="2644"/>
      <c r="AL161" s="2109"/>
      <c r="AM161" s="1946"/>
      <c r="AN161" s="1946"/>
      <c r="AO161" s="1946"/>
      <c r="AP161" s="1946"/>
      <c r="AQ161" s="1946"/>
      <c r="AR161" s="1946"/>
      <c r="AS161" s="1946"/>
      <c r="AT161" s="1946"/>
      <c r="AU161" s="1946"/>
      <c r="AV161" s="1946"/>
      <c r="AW161" s="1946"/>
      <c r="AX161" s="1946"/>
      <c r="AY161" s="1946"/>
      <c r="AZ161" s="1946"/>
      <c r="BA161" s="1946"/>
      <c r="BB161" s="1946"/>
      <c r="BC161" s="1946"/>
      <c r="BD161" s="1946"/>
      <c r="BE161" s="1946"/>
      <c r="BF161" s="1946"/>
      <c r="BG161" s="7213"/>
    </row>
    <row customHeight="1" ht="11.25">
      <c r="A162" s="1290" t="s">
        <v>1186</v>
      </c>
      <c r="B162" s="1290"/>
      <c r="C162" s="1290"/>
      <c r="D162" s="1284"/>
      <c r="E162" s="1294"/>
      <c r="F162" s="1952"/>
      <c r="G162" s="1953"/>
      <c r="H162" s="2652" t="s">
        <v>488</v>
      </c>
      <c r="I162" s="2653"/>
      <c r="J162" s="2622"/>
      <c r="K162" s="2654"/>
      <c r="L162" s="2244"/>
      <c r="M162" s="2245"/>
      <c r="N162" s="2645"/>
      <c r="O162" s="2646"/>
      <c r="P162" s="2649"/>
      <c r="Q162" s="11136"/>
      <c r="R162" s="2650"/>
      <c r="S162" s="2651"/>
      <c r="T162" s="2650"/>
      <c r="U162" s="2650"/>
      <c r="V162" s="2650"/>
      <c r="W162" s="2650"/>
      <c r="X162" s="2650"/>
      <c r="Y162" s="2650"/>
      <c r="Z162" s="1299"/>
      <c r="AA162" s="1300"/>
      <c r="AB162" s="1365" t="s">
        <v>1309</v>
      </c>
      <c r="AC162" s="1304"/>
      <c r="AD162" s="1304"/>
      <c r="AE162" s="1306"/>
      <c r="AF162" s="2643"/>
      <c r="AG162" s="2644"/>
      <c r="AH162" s="2644"/>
      <c r="AI162" s="2643"/>
      <c r="AJ162" s="2644"/>
      <c r="AK162" s="2644"/>
      <c r="AL162" s="2109"/>
      <c r="AM162" s="1946"/>
      <c r="AN162" s="1946"/>
      <c r="AO162" s="1946"/>
      <c r="AP162" s="1946"/>
      <c r="AQ162" s="1946"/>
      <c r="AR162" s="1946"/>
      <c r="AS162" s="1946"/>
      <c r="AT162" s="1946"/>
      <c r="AU162" s="1946"/>
      <c r="AV162" s="1946"/>
      <c r="AW162" s="1946"/>
      <c r="AX162" s="1946"/>
      <c r="AY162" s="1946"/>
      <c r="AZ162" s="1946"/>
      <c r="BA162" s="1946"/>
      <c r="BB162" s="1946"/>
      <c r="BC162" s="1946"/>
      <c r="BD162" s="1946"/>
      <c r="BE162" s="1946"/>
      <c r="BF162" s="1946"/>
      <c r="BG162" s="7213"/>
    </row>
    <row customHeight="1" ht="11.25">
      <c r="A163" s="1290" t="s">
        <v>1186</v>
      </c>
      <c r="B163" s="1290"/>
      <c r="C163" s="1290"/>
      <c r="D163" s="1284"/>
      <c r="E163" s="1294"/>
      <c r="F163" s="1952"/>
      <c r="G163" s="1953"/>
      <c r="H163" s="2652" t="s">
        <v>488</v>
      </c>
      <c r="I163" s="2653"/>
      <c r="J163" s="2622"/>
      <c r="K163" s="2654"/>
      <c r="L163" s="2244"/>
      <c r="M163" s="2245"/>
      <c r="N163" s="1299"/>
      <c r="O163" s="1300"/>
      <c r="P163" s="1292" t="s">
        <v>1310</v>
      </c>
      <c r="Q163" s="1300"/>
      <c r="R163" s="1300"/>
      <c r="S163" s="1300"/>
      <c r="T163" s="1300"/>
      <c r="U163" s="1300"/>
      <c r="V163" s="1300"/>
      <c r="W163" s="1300"/>
      <c r="X163" s="1300"/>
      <c r="Y163" s="1300"/>
      <c r="Z163" s="1300"/>
      <c r="AA163" s="1300"/>
      <c r="AB163" s="1300"/>
      <c r="AC163" s="1300"/>
      <c r="AD163" s="1300"/>
      <c r="AE163" s="1307"/>
      <c r="AF163" s="2643"/>
      <c r="AG163" s="2644"/>
      <c r="AH163" s="2644"/>
      <c r="AI163" s="2643"/>
      <c r="AJ163" s="2644"/>
      <c r="AK163" s="2644"/>
      <c r="AL163" s="2109"/>
      <c r="AM163" s="1946"/>
      <c r="AN163" s="1946"/>
      <c r="AO163" s="1946"/>
      <c r="AP163" s="1946"/>
      <c r="AQ163" s="1946"/>
      <c r="AR163" s="1946"/>
      <c r="AS163" s="1946"/>
      <c r="AT163" s="1946"/>
      <c r="AU163" s="1946"/>
      <c r="AV163" s="1946"/>
      <c r="AW163" s="1946"/>
      <c r="AX163" s="1946"/>
      <c r="AY163" s="1946"/>
      <c r="AZ163" s="1946"/>
      <c r="BA163" s="1946"/>
      <c r="BB163" s="1946"/>
      <c r="BC163" s="1946"/>
      <c r="BD163" s="1946"/>
      <c r="BE163" s="1946"/>
      <c r="BF163" s="1946"/>
      <c r="BG163" s="7213"/>
    </row>
    <row customHeight="1" ht="12">
      <c r="A164" s="1290" t="s">
        <v>1186</v>
      </c>
      <c r="B164" s="1290"/>
      <c r="C164" s="1290"/>
      <c r="D164" s="1284"/>
      <c r="E164" s="1294"/>
      <c r="F164" s="2674"/>
      <c r="G164" s="1314"/>
      <c r="H164" s="1314"/>
      <c r="I164" s="2672" t="s">
        <v>1294</v>
      </c>
      <c r="J164" s="2672"/>
      <c r="K164" s="2672"/>
      <c r="L164" s="1297"/>
      <c r="M164" s="1297"/>
      <c r="N164" s="1298"/>
      <c r="O164" s="1298"/>
      <c r="P164" s="1298"/>
      <c r="Q164" s="1298"/>
      <c r="R164" s="1298"/>
      <c r="S164" s="1298"/>
      <c r="T164" s="1298"/>
      <c r="U164" s="1298"/>
      <c r="V164" s="1298"/>
      <c r="W164" s="1298"/>
      <c r="X164" s="1298"/>
      <c r="Y164" s="1298"/>
      <c r="Z164" s="1298"/>
      <c r="AA164" s="1298"/>
      <c r="AB164" s="1298"/>
      <c r="AC164" s="1298"/>
      <c r="AD164" s="1298"/>
      <c r="AE164" s="1298"/>
      <c r="AF164" s="1298"/>
      <c r="AG164" s="1297"/>
      <c r="AH164" s="1297"/>
      <c r="AI164" s="1298"/>
      <c r="AJ164" s="1297"/>
      <c r="AK164" s="1298"/>
      <c r="AL164" s="2109"/>
      <c r="AM164" s="1946"/>
      <c r="AN164" s="1946"/>
      <c r="AO164" s="1946"/>
      <c r="AP164" s="1946"/>
      <c r="AQ164" s="1946"/>
      <c r="AR164" s="1946"/>
      <c r="AS164" s="1946"/>
      <c r="AT164" s="1946"/>
      <c r="AU164" s="1946"/>
      <c r="AV164" s="1946"/>
      <c r="AW164" s="1946"/>
      <c r="AX164" s="1946"/>
      <c r="AY164" s="1946"/>
      <c r="AZ164" s="1946"/>
      <c r="BA164" s="1946"/>
      <c r="BB164" s="1946"/>
      <c r="BC164" s="1946"/>
      <c r="BD164" s="1946"/>
      <c r="BE164" s="1946"/>
      <c r="BF164" s="1946"/>
      <c r="BG164" s="7213"/>
    </row>
    <row customHeight="1" ht="0.75">
      <c r="A165" s="1290" t="s">
        <v>1186</v>
      </c>
      <c r="B165" s="1290"/>
      <c r="C165" s="1290"/>
      <c r="D165" s="1284"/>
      <c r="E165" s="1294"/>
      <c r="F165" s="2673">
        <v>2025</v>
      </c>
      <c r="G165" s="2652"/>
      <c r="H165" s="2677" t="s">
        <v>488</v>
      </c>
      <c r="I165" s="2678"/>
      <c r="J165" s="2679"/>
      <c r="K165" s="2679"/>
      <c r="L165" s="2671"/>
      <c r="M165" s="2405"/>
      <c r="N165" s="2157"/>
      <c r="O165" s="2156"/>
      <c r="P165" s="2157"/>
      <c r="Q165" s="2157"/>
      <c r="R165" s="2157"/>
      <c r="S165" s="2157"/>
      <c r="T165" s="2157"/>
      <c r="U165" s="2157"/>
      <c r="V165" s="2157"/>
      <c r="W165" s="2157"/>
      <c r="X165" s="2157"/>
      <c r="Y165" s="2157"/>
      <c r="Z165" s="2157"/>
      <c r="AA165" s="2157"/>
      <c r="AB165" s="2157"/>
      <c r="AC165" s="2157"/>
      <c r="AD165" s="2157"/>
      <c r="AE165" s="2157"/>
      <c r="AF165" s="2675"/>
      <c r="AG165" s="2671"/>
      <c r="AH165" s="2671"/>
      <c r="AI165" s="2675"/>
      <c r="AJ165" s="2671"/>
      <c r="AK165" s="2671"/>
      <c r="AL165" s="2109"/>
      <c r="AM165" s="1946"/>
      <c r="AN165" s="1946"/>
      <c r="AO165" s="1946"/>
      <c r="AP165" s="1946"/>
      <c r="AQ165" s="1946"/>
      <c r="AR165" s="1946"/>
      <c r="AS165" s="1946"/>
      <c r="AT165" s="1946"/>
      <c r="AU165" s="1946"/>
      <c r="AV165" s="1946"/>
      <c r="AW165" s="1946"/>
      <c r="AX165" s="1946"/>
      <c r="AY165" s="1946"/>
      <c r="AZ165" s="1946"/>
      <c r="BA165" s="1946"/>
      <c r="BB165" s="1946"/>
      <c r="BC165" s="1946"/>
      <c r="BD165" s="1946"/>
      <c r="BE165" s="1946"/>
      <c r="BF165" s="1946"/>
      <c r="BG165" s="7213"/>
    </row>
    <row customHeight="1" ht="0.75">
      <c r="A166" s="1290" t="s">
        <v>1186</v>
      </c>
      <c r="B166" s="1290"/>
      <c r="C166" s="1290"/>
      <c r="D166" s="1284"/>
      <c r="E166" s="1294"/>
      <c r="F166" s="2673"/>
      <c r="G166" s="2652"/>
      <c r="H166" s="2677"/>
      <c r="I166" s="2678"/>
      <c r="J166" s="2679"/>
      <c r="K166" s="2679"/>
      <c r="L166" s="2671"/>
      <c r="M166" s="2405"/>
      <c r="N166" s="2680"/>
      <c r="O166" s="2681"/>
      <c r="P166" s="2725"/>
      <c r="Q166" s="2676"/>
      <c r="R166" s="2676"/>
      <c r="S166" s="2676"/>
      <c r="T166" s="2676"/>
      <c r="U166" s="2676"/>
      <c r="V166" s="2676"/>
      <c r="W166" s="2676"/>
      <c r="X166" s="2676"/>
      <c r="Y166" s="2676"/>
      <c r="Z166" s="2158"/>
      <c r="AA166" s="2159"/>
      <c r="AB166" s="2159"/>
      <c r="AC166" s="2160"/>
      <c r="AD166" s="2160"/>
      <c r="AE166" s="2161"/>
      <c r="AF166" s="2675"/>
      <c r="AG166" s="2671"/>
      <c r="AH166" s="2671"/>
      <c r="AI166" s="2675"/>
      <c r="AJ166" s="2671"/>
      <c r="AK166" s="2671"/>
      <c r="AL166" s="2109"/>
      <c r="AM166" s="1946"/>
      <c r="AN166" s="1946"/>
      <c r="AO166" s="1946"/>
      <c r="AP166" s="1946"/>
      <c r="AQ166" s="1946"/>
      <c r="AR166" s="1946"/>
      <c r="AS166" s="1946"/>
      <c r="AT166" s="1946"/>
      <c r="AU166" s="1946"/>
      <c r="AV166" s="1946"/>
      <c r="AW166" s="1946"/>
      <c r="AX166" s="1946"/>
      <c r="AY166" s="1946"/>
      <c r="AZ166" s="1946"/>
      <c r="BA166" s="1946"/>
      <c r="BB166" s="1946"/>
      <c r="BC166" s="1946"/>
      <c r="BD166" s="1946"/>
      <c r="BE166" s="1946"/>
      <c r="BF166" s="1946"/>
      <c r="BG166" s="7213"/>
    </row>
    <row customHeight="1" ht="0.75">
      <c r="A167" s="1290" t="s">
        <v>1186</v>
      </c>
      <c r="B167" s="1290"/>
      <c r="C167" s="1290"/>
      <c r="D167" s="1284"/>
      <c r="E167" s="1294"/>
      <c r="F167" s="2673"/>
      <c r="G167" s="2652"/>
      <c r="H167" s="2677"/>
      <c r="I167" s="2678"/>
      <c r="J167" s="2679"/>
      <c r="K167" s="2679"/>
      <c r="L167" s="2671"/>
      <c r="M167" s="2405"/>
      <c r="N167" s="2680"/>
      <c r="O167" s="2681"/>
      <c r="P167" s="2726"/>
      <c r="Q167" s="2676"/>
      <c r="R167" s="2676"/>
      <c r="S167" s="2676"/>
      <c r="T167" s="2676"/>
      <c r="U167" s="2676"/>
      <c r="V167" s="2676"/>
      <c r="W167" s="2676"/>
      <c r="X167" s="2676"/>
      <c r="Y167" s="2676"/>
      <c r="Z167" s="2162"/>
      <c r="AA167" s="2163"/>
      <c r="AB167" s="2164"/>
      <c r="AC167" s="2165"/>
      <c r="AD167" s="2164"/>
      <c r="AE167" s="2165"/>
      <c r="AF167" s="2675"/>
      <c r="AG167" s="2671"/>
      <c r="AH167" s="2671"/>
      <c r="AI167" s="2675"/>
      <c r="AJ167" s="2671"/>
      <c r="AK167" s="2671"/>
      <c r="AL167" s="2109"/>
      <c r="AM167" s="1946"/>
      <c r="AN167" s="1946"/>
      <c r="AO167" s="1946"/>
      <c r="AP167" s="1946"/>
      <c r="AQ167" s="1946"/>
      <c r="AR167" s="1946"/>
      <c r="AS167" s="1946"/>
      <c r="AT167" s="1946"/>
      <c r="AU167" s="1946"/>
      <c r="AV167" s="1946"/>
      <c r="AW167" s="1946"/>
      <c r="AX167" s="1946"/>
      <c r="AY167" s="1946"/>
      <c r="AZ167" s="1946"/>
      <c r="BA167" s="1946"/>
      <c r="BB167" s="1946"/>
      <c r="BC167" s="1946"/>
      <c r="BD167" s="1946"/>
      <c r="BE167" s="1946"/>
      <c r="BF167" s="1946"/>
      <c r="BG167" s="7213"/>
    </row>
    <row customHeight="1" ht="0.75">
      <c r="A168" s="1290" t="s">
        <v>1186</v>
      </c>
      <c r="B168" s="1290"/>
      <c r="C168" s="1290"/>
      <c r="D168" s="1284"/>
      <c r="E168" s="1294"/>
      <c r="F168" s="2673"/>
      <c r="G168" s="2652"/>
      <c r="H168" s="2677"/>
      <c r="I168" s="2678"/>
      <c r="J168" s="2679"/>
      <c r="K168" s="2679"/>
      <c r="L168" s="2671"/>
      <c r="M168" s="2405"/>
      <c r="N168" s="2680"/>
      <c r="O168" s="2681"/>
      <c r="P168" s="2727"/>
      <c r="Q168" s="2676"/>
      <c r="R168" s="2676"/>
      <c r="S168" s="2676"/>
      <c r="T168" s="2676"/>
      <c r="U168" s="2676"/>
      <c r="V168" s="2676"/>
      <c r="W168" s="2676"/>
      <c r="X168" s="2676"/>
      <c r="Y168" s="2676"/>
      <c r="Z168" s="2158"/>
      <c r="AA168" s="2159"/>
      <c r="AB168" s="2166"/>
      <c r="AC168" s="2160"/>
      <c r="AD168" s="2160"/>
      <c r="AE168" s="2167"/>
      <c r="AF168" s="2675"/>
      <c r="AG168" s="2671"/>
      <c r="AH168" s="2671"/>
      <c r="AI168" s="2675"/>
      <c r="AJ168" s="2671"/>
      <c r="AK168" s="2671"/>
      <c r="AL168" s="2109"/>
      <c r="AM168" s="1946"/>
      <c r="AN168" s="1946"/>
      <c r="AO168" s="1946"/>
      <c r="AP168" s="1946"/>
      <c r="AQ168" s="1946"/>
      <c r="AR168" s="1946"/>
      <c r="AS168" s="1946"/>
      <c r="AT168" s="1946"/>
      <c r="AU168" s="1946"/>
      <c r="AV168" s="1946"/>
      <c r="AW168" s="1946"/>
      <c r="AX168" s="1946"/>
      <c r="AY168" s="1946"/>
      <c r="AZ168" s="1946"/>
      <c r="BA168" s="1946"/>
      <c r="BB168" s="1946"/>
      <c r="BC168" s="1946"/>
      <c r="BD168" s="1946"/>
      <c r="BE168" s="1946"/>
      <c r="BF168" s="1946"/>
      <c r="BG168" s="7213"/>
    </row>
    <row customHeight="1" ht="0.75">
      <c r="A169" s="1290" t="s">
        <v>1186</v>
      </c>
      <c r="B169" s="1290"/>
      <c r="C169" s="1290"/>
      <c r="D169" s="1284"/>
      <c r="E169" s="1294"/>
      <c r="F169" s="2673"/>
      <c r="G169" s="2652"/>
      <c r="H169" s="2677"/>
      <c r="I169" s="2678"/>
      <c r="J169" s="2679"/>
      <c r="K169" s="2679"/>
      <c r="L169" s="2671"/>
      <c r="M169" s="2405"/>
      <c r="N169" s="2159"/>
      <c r="O169" s="2159"/>
      <c r="P169" s="2166"/>
      <c r="Q169" s="2159"/>
      <c r="R169" s="2159"/>
      <c r="S169" s="2159"/>
      <c r="T169" s="2159"/>
      <c r="U169" s="2159"/>
      <c r="V169" s="2159"/>
      <c r="W169" s="2159"/>
      <c r="X169" s="2159"/>
      <c r="Y169" s="2159"/>
      <c r="Z169" s="2159"/>
      <c r="AA169" s="2159"/>
      <c r="AB169" s="2159"/>
      <c r="AC169" s="2159"/>
      <c r="AD169" s="2159"/>
      <c r="AE169" s="2168"/>
      <c r="AF169" s="2675"/>
      <c r="AG169" s="2671"/>
      <c r="AH169" s="2671"/>
      <c r="AI169" s="2675"/>
      <c r="AJ169" s="2671"/>
      <c r="AK169" s="2671"/>
      <c r="AL169" s="2109"/>
      <c r="AM169" s="1946"/>
      <c r="AN169" s="1946"/>
      <c r="AO169" s="1946"/>
      <c r="AP169" s="1946"/>
      <c r="AQ169" s="1946"/>
      <c r="AR169" s="1946"/>
      <c r="AS169" s="1946"/>
      <c r="AT169" s="1946"/>
      <c r="AU169" s="1946"/>
      <c r="AV169" s="1946"/>
      <c r="AW169" s="1946"/>
      <c r="AX169" s="1946"/>
      <c r="AY169" s="1946"/>
      <c r="AZ169" s="1946"/>
      <c r="BA169" s="1946"/>
      <c r="BB169" s="1946"/>
      <c r="BC169" s="1946"/>
      <c r="BD169" s="1946"/>
      <c r="BE169" s="1946"/>
      <c r="BF169" s="1946"/>
      <c r="BG169" s="7213"/>
    </row>
    <row customHeight="1" ht="12">
      <c r="A170" s="1290" t="s">
        <v>1186</v>
      </c>
      <c r="B170" s="1290"/>
      <c r="C170" s="1290"/>
      <c r="D170" s="1284"/>
      <c r="E170" s="1294"/>
      <c r="F170" s="2674"/>
      <c r="G170" s="1314"/>
      <c r="H170" s="1314"/>
      <c r="I170" s="2672" t="s">
        <v>1294</v>
      </c>
      <c r="J170" s="2672"/>
      <c r="K170" s="2672"/>
      <c r="L170" s="1297"/>
      <c r="M170" s="1297"/>
      <c r="N170" s="1298"/>
      <c r="O170" s="1298"/>
      <c r="P170" s="1298"/>
      <c r="Q170" s="1298"/>
      <c r="R170" s="1298"/>
      <c r="S170" s="1298"/>
      <c r="T170" s="1298"/>
      <c r="U170" s="1298"/>
      <c r="V170" s="1298"/>
      <c r="W170" s="1298"/>
      <c r="X170" s="1298"/>
      <c r="Y170" s="1298"/>
      <c r="Z170" s="1298"/>
      <c r="AA170" s="1298"/>
      <c r="AB170" s="1298"/>
      <c r="AC170" s="1298"/>
      <c r="AD170" s="1298"/>
      <c r="AE170" s="1298"/>
      <c r="AF170" s="1298"/>
      <c r="AG170" s="1297"/>
      <c r="AH170" s="1297"/>
      <c r="AI170" s="1298"/>
      <c r="AJ170" s="1297"/>
      <c r="AK170" s="1298"/>
      <c r="AL170" s="2109"/>
      <c r="AM170" s="1946"/>
      <c r="AN170" s="1946"/>
      <c r="AO170" s="1946"/>
      <c r="AP170" s="1946"/>
      <c r="AQ170" s="1946"/>
      <c r="AR170" s="1946"/>
      <c r="AS170" s="1946"/>
      <c r="AT170" s="1946"/>
      <c r="AU170" s="1946"/>
      <c r="AV170" s="1946"/>
      <c r="AW170" s="1946"/>
      <c r="AX170" s="1946"/>
      <c r="AY170" s="1946"/>
      <c r="AZ170" s="1946"/>
      <c r="BA170" s="1946"/>
      <c r="BB170" s="1946"/>
      <c r="BC170" s="1946"/>
      <c r="BD170" s="1946"/>
      <c r="BE170" s="1946"/>
      <c r="BF170" s="1946"/>
      <c r="BG170" s="7213"/>
    </row>
    <row customHeight="1" ht="0.75">
      <c r="A171" s="1290" t="s">
        <v>1186</v>
      </c>
      <c r="B171" s="1290"/>
      <c r="C171" s="1290"/>
      <c r="D171" s="1284"/>
      <c r="E171" s="1294"/>
      <c r="F171" s="2673">
        <v>2026</v>
      </c>
      <c r="G171" s="2652"/>
      <c r="H171" s="2677" t="s">
        <v>488</v>
      </c>
      <c r="I171" s="2678"/>
      <c r="J171" s="2679"/>
      <c r="K171" s="2679"/>
      <c r="L171" s="2671"/>
      <c r="M171" s="2405"/>
      <c r="N171" s="2157"/>
      <c r="O171" s="2156"/>
      <c r="P171" s="2157"/>
      <c r="Q171" s="2157"/>
      <c r="R171" s="2157"/>
      <c r="S171" s="2157"/>
      <c r="T171" s="2157"/>
      <c r="U171" s="2157"/>
      <c r="V171" s="2157"/>
      <c r="W171" s="2157"/>
      <c r="X171" s="2157"/>
      <c r="Y171" s="2157"/>
      <c r="Z171" s="2157"/>
      <c r="AA171" s="2157"/>
      <c r="AB171" s="2157"/>
      <c r="AC171" s="2157"/>
      <c r="AD171" s="2157"/>
      <c r="AE171" s="2157"/>
      <c r="AF171" s="2675"/>
      <c r="AG171" s="2671"/>
      <c r="AH171" s="2671"/>
      <c r="AI171" s="2675"/>
      <c r="AJ171" s="2671"/>
      <c r="AK171" s="2671"/>
      <c r="AL171" s="2109"/>
      <c r="AM171" s="1946"/>
      <c r="AN171" s="1946"/>
      <c r="AO171" s="1946"/>
      <c r="AP171" s="1946"/>
      <c r="AQ171" s="1946"/>
      <c r="AR171" s="1946"/>
      <c r="AS171" s="1946"/>
      <c r="AT171" s="1946"/>
      <c r="AU171" s="1946"/>
      <c r="AV171" s="1946"/>
      <c r="AW171" s="1946"/>
      <c r="AX171" s="1946"/>
      <c r="AY171" s="1946"/>
      <c r="AZ171" s="1946"/>
      <c r="BA171" s="1946"/>
      <c r="BB171" s="1946"/>
      <c r="BC171" s="1946"/>
      <c r="BD171" s="1946"/>
      <c r="BE171" s="1946"/>
      <c r="BF171" s="1946"/>
      <c r="BG171" s="7213"/>
    </row>
    <row customHeight="1" ht="0.75">
      <c r="A172" s="1290" t="s">
        <v>1186</v>
      </c>
      <c r="B172" s="1290"/>
      <c r="C172" s="1290"/>
      <c r="D172" s="1284"/>
      <c r="E172" s="1294"/>
      <c r="F172" s="2673"/>
      <c r="G172" s="2652"/>
      <c r="H172" s="2677"/>
      <c r="I172" s="2678"/>
      <c r="J172" s="2679"/>
      <c r="K172" s="2679"/>
      <c r="L172" s="2671"/>
      <c r="M172" s="2405"/>
      <c r="N172" s="2680"/>
      <c r="O172" s="2681"/>
      <c r="P172" s="2725"/>
      <c r="Q172" s="2676"/>
      <c r="R172" s="2676"/>
      <c r="S172" s="2676"/>
      <c r="T172" s="2676"/>
      <c r="U172" s="2676"/>
      <c r="V172" s="2676"/>
      <c r="W172" s="2676"/>
      <c r="X172" s="2676"/>
      <c r="Y172" s="2676"/>
      <c r="Z172" s="2158"/>
      <c r="AA172" s="2159"/>
      <c r="AB172" s="2159"/>
      <c r="AC172" s="2160"/>
      <c r="AD172" s="2160"/>
      <c r="AE172" s="2161"/>
      <c r="AF172" s="2675"/>
      <c r="AG172" s="2671"/>
      <c r="AH172" s="2671"/>
      <c r="AI172" s="2675"/>
      <c r="AJ172" s="2671"/>
      <c r="AK172" s="2671"/>
      <c r="AL172" s="2109"/>
      <c r="AM172" s="1946"/>
      <c r="AN172" s="1946"/>
      <c r="AO172" s="1946"/>
      <c r="AP172" s="1946"/>
      <c r="AQ172" s="1946"/>
      <c r="AR172" s="1946"/>
      <c r="AS172" s="1946"/>
      <c r="AT172" s="1946"/>
      <c r="AU172" s="1946"/>
      <c r="AV172" s="1946"/>
      <c r="AW172" s="1946"/>
      <c r="AX172" s="1946"/>
      <c r="AY172" s="1946"/>
      <c r="AZ172" s="1946"/>
      <c r="BA172" s="1946"/>
      <c r="BB172" s="1946"/>
      <c r="BC172" s="1946"/>
      <c r="BD172" s="1946"/>
      <c r="BE172" s="1946"/>
      <c r="BF172" s="1946"/>
      <c r="BG172" s="7213"/>
    </row>
    <row customHeight="1" ht="0.75">
      <c r="A173" s="1290" t="s">
        <v>1186</v>
      </c>
      <c r="B173" s="1290"/>
      <c r="C173" s="1290"/>
      <c r="D173" s="1284"/>
      <c r="E173" s="1294"/>
      <c r="F173" s="2673"/>
      <c r="G173" s="2652"/>
      <c r="H173" s="2677"/>
      <c r="I173" s="2678"/>
      <c r="J173" s="2679"/>
      <c r="K173" s="2679"/>
      <c r="L173" s="2671"/>
      <c r="M173" s="2405"/>
      <c r="N173" s="2680"/>
      <c r="O173" s="2681"/>
      <c r="P173" s="2726"/>
      <c r="Q173" s="2676"/>
      <c r="R173" s="2676"/>
      <c r="S173" s="2676"/>
      <c r="T173" s="2676"/>
      <c r="U173" s="2676"/>
      <c r="V173" s="2676"/>
      <c r="W173" s="2676"/>
      <c r="X173" s="2676"/>
      <c r="Y173" s="2676"/>
      <c r="Z173" s="2162"/>
      <c r="AA173" s="2163"/>
      <c r="AB173" s="2164"/>
      <c r="AC173" s="2165"/>
      <c r="AD173" s="2164"/>
      <c r="AE173" s="2165"/>
      <c r="AF173" s="2675"/>
      <c r="AG173" s="2671"/>
      <c r="AH173" s="2671"/>
      <c r="AI173" s="2675"/>
      <c r="AJ173" s="2671"/>
      <c r="AK173" s="2671"/>
      <c r="AL173" s="2109"/>
      <c r="AM173" s="1946"/>
      <c r="AN173" s="1946"/>
      <c r="AO173" s="1946"/>
      <c r="AP173" s="1946"/>
      <c r="AQ173" s="1946"/>
      <c r="AR173" s="1946"/>
      <c r="AS173" s="1946"/>
      <c r="AT173" s="1946"/>
      <c r="AU173" s="1946"/>
      <c r="AV173" s="1946"/>
      <c r="AW173" s="1946"/>
      <c r="AX173" s="1946"/>
      <c r="AY173" s="1946"/>
      <c r="AZ173" s="1946"/>
      <c r="BA173" s="1946"/>
      <c r="BB173" s="1946"/>
      <c r="BC173" s="1946"/>
      <c r="BD173" s="1946"/>
      <c r="BE173" s="1946"/>
      <c r="BF173" s="1946"/>
      <c r="BG173" s="7213"/>
    </row>
    <row customHeight="1" ht="0.75">
      <c r="A174" s="1290" t="s">
        <v>1186</v>
      </c>
      <c r="B174" s="1290"/>
      <c r="C174" s="1290"/>
      <c r="D174" s="1284"/>
      <c r="E174" s="1294"/>
      <c r="F174" s="2673"/>
      <c r="G174" s="2652"/>
      <c r="H174" s="2677"/>
      <c r="I174" s="2678"/>
      <c r="J174" s="2679"/>
      <c r="K174" s="2679"/>
      <c r="L174" s="2671"/>
      <c r="M174" s="2405"/>
      <c r="N174" s="2680"/>
      <c r="O174" s="2681"/>
      <c r="P174" s="2727"/>
      <c r="Q174" s="2676"/>
      <c r="R174" s="2676"/>
      <c r="S174" s="2676"/>
      <c r="T174" s="2676"/>
      <c r="U174" s="2676"/>
      <c r="V174" s="2676"/>
      <c r="W174" s="2676"/>
      <c r="X174" s="2676"/>
      <c r="Y174" s="2676"/>
      <c r="Z174" s="2158"/>
      <c r="AA174" s="2159"/>
      <c r="AB174" s="2166"/>
      <c r="AC174" s="2160"/>
      <c r="AD174" s="2160"/>
      <c r="AE174" s="2167"/>
      <c r="AF174" s="2675"/>
      <c r="AG174" s="2671"/>
      <c r="AH174" s="2671"/>
      <c r="AI174" s="2675"/>
      <c r="AJ174" s="2671"/>
      <c r="AK174" s="2671"/>
      <c r="AL174" s="2109"/>
      <c r="AM174" s="1946"/>
      <c r="AN174" s="1946"/>
      <c r="AO174" s="1946"/>
      <c r="AP174" s="1946"/>
      <c r="AQ174" s="1946"/>
      <c r="AR174" s="1946"/>
      <c r="AS174" s="1946"/>
      <c r="AT174" s="1946"/>
      <c r="AU174" s="1946"/>
      <c r="AV174" s="1946"/>
      <c r="AW174" s="1946"/>
      <c r="AX174" s="1946"/>
      <c r="AY174" s="1946"/>
      <c r="AZ174" s="1946"/>
      <c r="BA174" s="1946"/>
      <c r="BB174" s="1946"/>
      <c r="BC174" s="1946"/>
      <c r="BD174" s="1946"/>
      <c r="BE174" s="1946"/>
      <c r="BF174" s="1946"/>
      <c r="BG174" s="7213"/>
    </row>
    <row customHeight="1" ht="0.75">
      <c r="A175" s="1290" t="s">
        <v>1186</v>
      </c>
      <c r="B175" s="1290"/>
      <c r="C175" s="1290"/>
      <c r="D175" s="1284"/>
      <c r="E175" s="1294"/>
      <c r="F175" s="2673"/>
      <c r="G175" s="2652"/>
      <c r="H175" s="2677"/>
      <c r="I175" s="2678"/>
      <c r="J175" s="2679"/>
      <c r="K175" s="2679"/>
      <c r="L175" s="2671"/>
      <c r="M175" s="2405"/>
      <c r="N175" s="2159"/>
      <c r="O175" s="2159"/>
      <c r="P175" s="2166"/>
      <c r="Q175" s="2159"/>
      <c r="R175" s="2159"/>
      <c r="S175" s="2159"/>
      <c r="T175" s="2159"/>
      <c r="U175" s="2159"/>
      <c r="V175" s="2159"/>
      <c r="W175" s="2159"/>
      <c r="X175" s="2159"/>
      <c r="Y175" s="2159"/>
      <c r="Z175" s="2159"/>
      <c r="AA175" s="2159"/>
      <c r="AB175" s="2159"/>
      <c r="AC175" s="2159"/>
      <c r="AD175" s="2159"/>
      <c r="AE175" s="2168"/>
      <c r="AF175" s="2675"/>
      <c r="AG175" s="2671"/>
      <c r="AH175" s="2671"/>
      <c r="AI175" s="2675"/>
      <c r="AJ175" s="2671"/>
      <c r="AK175" s="2671"/>
      <c r="AL175" s="2109"/>
      <c r="AM175" s="1946"/>
      <c r="AN175" s="1946"/>
      <c r="AO175" s="1946"/>
      <c r="AP175" s="1946"/>
      <c r="AQ175" s="1946"/>
      <c r="AR175" s="1946"/>
      <c r="AS175" s="1946"/>
      <c r="AT175" s="1946"/>
      <c r="AU175" s="1946"/>
      <c r="AV175" s="1946"/>
      <c r="AW175" s="1946"/>
      <c r="AX175" s="1946"/>
      <c r="AY175" s="1946"/>
      <c r="AZ175" s="1946"/>
      <c r="BA175" s="1946"/>
      <c r="BB175" s="1946"/>
      <c r="BC175" s="1946"/>
      <c r="BD175" s="1946"/>
      <c r="BE175" s="1946"/>
      <c r="BF175" s="1946"/>
      <c r="BG175" s="7213"/>
    </row>
    <row customHeight="1" ht="12">
      <c r="A176" s="1290" t="s">
        <v>1186</v>
      </c>
      <c r="B176" s="1290"/>
      <c r="C176" s="1290"/>
      <c r="D176" s="1284"/>
      <c r="E176" s="1294"/>
      <c r="F176" s="2674"/>
      <c r="G176" s="1314"/>
      <c r="H176" s="1314"/>
      <c r="I176" s="2672" t="s">
        <v>1294</v>
      </c>
      <c r="J176" s="2672"/>
      <c r="K176" s="2672"/>
      <c r="L176" s="1297"/>
      <c r="M176" s="1297"/>
      <c r="N176" s="1298"/>
      <c r="O176" s="1298"/>
      <c r="P176" s="1298"/>
      <c r="Q176" s="1298"/>
      <c r="R176" s="1298"/>
      <c r="S176" s="1298"/>
      <c r="T176" s="1298"/>
      <c r="U176" s="1298"/>
      <c r="V176" s="1298"/>
      <c r="W176" s="1298"/>
      <c r="X176" s="1298"/>
      <c r="Y176" s="1298"/>
      <c r="Z176" s="1298"/>
      <c r="AA176" s="1298"/>
      <c r="AB176" s="1298"/>
      <c r="AC176" s="1298"/>
      <c r="AD176" s="1298"/>
      <c r="AE176" s="1298"/>
      <c r="AF176" s="1298"/>
      <c r="AG176" s="1297"/>
      <c r="AH176" s="1297"/>
      <c r="AI176" s="1298"/>
      <c r="AJ176" s="1297"/>
      <c r="AK176" s="1298"/>
      <c r="AL176" s="2109"/>
      <c r="AM176" s="1946"/>
      <c r="AN176" s="1946"/>
      <c r="AO176" s="1946"/>
      <c r="AP176" s="1946"/>
      <c r="AQ176" s="1946"/>
      <c r="AR176" s="1946"/>
      <c r="AS176" s="1946"/>
      <c r="AT176" s="1946"/>
      <c r="AU176" s="1946"/>
      <c r="AV176" s="1946"/>
      <c r="AW176" s="1946"/>
      <c r="AX176" s="1946"/>
      <c r="AY176" s="1946"/>
      <c r="AZ176" s="1946"/>
      <c r="BA176" s="1946"/>
      <c r="BB176" s="1946"/>
      <c r="BC176" s="1946"/>
      <c r="BD176" s="1946"/>
      <c r="BE176" s="1946"/>
      <c r="BF176" s="1946"/>
      <c r="BG176" s="7213"/>
    </row>
    <row customHeight="1" ht="0.75">
      <c r="A177" s="1290" t="s">
        <v>1186</v>
      </c>
      <c r="B177" s="1290"/>
      <c r="C177" s="1290"/>
      <c r="D177" s="1284"/>
      <c r="E177" s="1294"/>
      <c r="F177" s="2673">
        <v>2027</v>
      </c>
      <c r="G177" s="2652"/>
      <c r="H177" s="2677" t="s">
        <v>488</v>
      </c>
      <c r="I177" s="2678"/>
      <c r="J177" s="2679"/>
      <c r="K177" s="2679"/>
      <c r="L177" s="2671"/>
      <c r="M177" s="2405"/>
      <c r="N177" s="2157"/>
      <c r="O177" s="2156"/>
      <c r="P177" s="2157"/>
      <c r="Q177" s="2157"/>
      <c r="R177" s="2157"/>
      <c r="S177" s="2157"/>
      <c r="T177" s="2157"/>
      <c r="U177" s="2157"/>
      <c r="V177" s="2157"/>
      <c r="W177" s="2157"/>
      <c r="X177" s="2157"/>
      <c r="Y177" s="2157"/>
      <c r="Z177" s="2157"/>
      <c r="AA177" s="2157"/>
      <c r="AB177" s="2157"/>
      <c r="AC177" s="2157"/>
      <c r="AD177" s="2157"/>
      <c r="AE177" s="2157"/>
      <c r="AF177" s="2675"/>
      <c r="AG177" s="2671"/>
      <c r="AH177" s="2671"/>
      <c r="AI177" s="2675"/>
      <c r="AJ177" s="2671"/>
      <c r="AK177" s="2671"/>
      <c r="AL177" s="2109"/>
      <c r="AM177" s="1946"/>
      <c r="AN177" s="1946"/>
      <c r="AO177" s="1946"/>
      <c r="AP177" s="1946"/>
      <c r="AQ177" s="1946"/>
      <c r="AR177" s="1946"/>
      <c r="AS177" s="1946"/>
      <c r="AT177" s="1946"/>
      <c r="AU177" s="1946"/>
      <c r="AV177" s="1946"/>
      <c r="AW177" s="1946"/>
      <c r="AX177" s="1946"/>
      <c r="AY177" s="1946"/>
      <c r="AZ177" s="1946"/>
      <c r="BA177" s="1946"/>
      <c r="BB177" s="1946"/>
      <c r="BC177" s="1946"/>
      <c r="BD177" s="1946"/>
      <c r="BE177" s="1946"/>
      <c r="BF177" s="1946"/>
      <c r="BG177" s="7213"/>
    </row>
    <row customHeight="1" ht="0.75">
      <c r="A178" s="1290" t="s">
        <v>1186</v>
      </c>
      <c r="B178" s="1290"/>
      <c r="C178" s="1290"/>
      <c r="D178" s="1284"/>
      <c r="E178" s="1294"/>
      <c r="F178" s="2673"/>
      <c r="G178" s="2652"/>
      <c r="H178" s="2677"/>
      <c r="I178" s="2678"/>
      <c r="J178" s="2679"/>
      <c r="K178" s="2679"/>
      <c r="L178" s="2671"/>
      <c r="M178" s="2405"/>
      <c r="N178" s="2680"/>
      <c r="O178" s="2681"/>
      <c r="P178" s="2725"/>
      <c r="Q178" s="2676"/>
      <c r="R178" s="2676"/>
      <c r="S178" s="2676"/>
      <c r="T178" s="2676"/>
      <c r="U178" s="2676"/>
      <c r="V178" s="2676"/>
      <c r="W178" s="2676"/>
      <c r="X178" s="2676"/>
      <c r="Y178" s="2676"/>
      <c r="Z178" s="2158"/>
      <c r="AA178" s="2159"/>
      <c r="AB178" s="2159"/>
      <c r="AC178" s="2160"/>
      <c r="AD178" s="2160"/>
      <c r="AE178" s="2161"/>
      <c r="AF178" s="2675"/>
      <c r="AG178" s="2671"/>
      <c r="AH178" s="2671"/>
      <c r="AI178" s="2675"/>
      <c r="AJ178" s="2671"/>
      <c r="AK178" s="2671"/>
      <c r="AL178" s="2109"/>
      <c r="AM178" s="1946"/>
      <c r="AN178" s="1946"/>
      <c r="AO178" s="1946"/>
      <c r="AP178" s="1946"/>
      <c r="AQ178" s="1946"/>
      <c r="AR178" s="1946"/>
      <c r="AS178" s="1946"/>
      <c r="AT178" s="1946"/>
      <c r="AU178" s="1946"/>
      <c r="AV178" s="1946"/>
      <c r="AW178" s="1946"/>
      <c r="AX178" s="1946"/>
      <c r="AY178" s="1946"/>
      <c r="AZ178" s="1946"/>
      <c r="BA178" s="1946"/>
      <c r="BB178" s="1946"/>
      <c r="BC178" s="1946"/>
      <c r="BD178" s="1946"/>
      <c r="BE178" s="1946"/>
      <c r="BF178" s="1946"/>
      <c r="BG178" s="7213"/>
    </row>
    <row customHeight="1" ht="0.75">
      <c r="A179" s="1290" t="s">
        <v>1186</v>
      </c>
      <c r="B179" s="1290"/>
      <c r="C179" s="1290"/>
      <c r="D179" s="1284"/>
      <c r="E179" s="1294"/>
      <c r="F179" s="2673"/>
      <c r="G179" s="2652"/>
      <c r="H179" s="2677"/>
      <c r="I179" s="2678"/>
      <c r="J179" s="2679"/>
      <c r="K179" s="2679"/>
      <c r="L179" s="2671"/>
      <c r="M179" s="2405"/>
      <c r="N179" s="2680"/>
      <c r="O179" s="2681"/>
      <c r="P179" s="2726"/>
      <c r="Q179" s="2676"/>
      <c r="R179" s="2676"/>
      <c r="S179" s="2676"/>
      <c r="T179" s="2676"/>
      <c r="U179" s="2676"/>
      <c r="V179" s="2676"/>
      <c r="W179" s="2676"/>
      <c r="X179" s="2676"/>
      <c r="Y179" s="2676"/>
      <c r="Z179" s="2162"/>
      <c r="AA179" s="2163"/>
      <c r="AB179" s="2164"/>
      <c r="AC179" s="2165"/>
      <c r="AD179" s="2164"/>
      <c r="AE179" s="2165"/>
      <c r="AF179" s="2675"/>
      <c r="AG179" s="2671"/>
      <c r="AH179" s="2671"/>
      <c r="AI179" s="2675"/>
      <c r="AJ179" s="2671"/>
      <c r="AK179" s="2671"/>
      <c r="AL179" s="2109"/>
      <c r="AM179" s="1946"/>
      <c r="AN179" s="1946"/>
      <c r="AO179" s="1946"/>
      <c r="AP179" s="1946"/>
      <c r="AQ179" s="1946"/>
      <c r="AR179" s="1946"/>
      <c r="AS179" s="1946"/>
      <c r="AT179" s="1946"/>
      <c r="AU179" s="1946"/>
      <c r="AV179" s="1946"/>
      <c r="AW179" s="1946"/>
      <c r="AX179" s="1946"/>
      <c r="AY179" s="1946"/>
      <c r="AZ179" s="1946"/>
      <c r="BA179" s="1946"/>
      <c r="BB179" s="1946"/>
      <c r="BC179" s="1946"/>
      <c r="BD179" s="1946"/>
      <c r="BE179" s="1946"/>
      <c r="BF179" s="1946"/>
      <c r="BG179" s="7213"/>
    </row>
    <row customHeight="1" ht="0.75">
      <c r="A180" s="1290" t="s">
        <v>1186</v>
      </c>
      <c r="B180" s="1290"/>
      <c r="C180" s="1290"/>
      <c r="D180" s="1284"/>
      <c r="E180" s="1294"/>
      <c r="F180" s="2673"/>
      <c r="G180" s="2652"/>
      <c r="H180" s="2677"/>
      <c r="I180" s="2678"/>
      <c r="J180" s="2679"/>
      <c r="K180" s="2679"/>
      <c r="L180" s="2671"/>
      <c r="M180" s="2405"/>
      <c r="N180" s="2680"/>
      <c r="O180" s="2681"/>
      <c r="P180" s="2727"/>
      <c r="Q180" s="2676"/>
      <c r="R180" s="2676"/>
      <c r="S180" s="2676"/>
      <c r="T180" s="2676"/>
      <c r="U180" s="2676"/>
      <c r="V180" s="2676"/>
      <c r="W180" s="2676"/>
      <c r="X180" s="2676"/>
      <c r="Y180" s="2676"/>
      <c r="Z180" s="2158"/>
      <c r="AA180" s="2159"/>
      <c r="AB180" s="2166"/>
      <c r="AC180" s="2160"/>
      <c r="AD180" s="2160"/>
      <c r="AE180" s="2167"/>
      <c r="AF180" s="2675"/>
      <c r="AG180" s="2671"/>
      <c r="AH180" s="2671"/>
      <c r="AI180" s="2675"/>
      <c r="AJ180" s="2671"/>
      <c r="AK180" s="2671"/>
      <c r="AL180" s="2109"/>
      <c r="AM180" s="1946"/>
      <c r="AN180" s="1946"/>
      <c r="AO180" s="1946"/>
      <c r="AP180" s="1946"/>
      <c r="AQ180" s="1946"/>
      <c r="AR180" s="1946"/>
      <c r="AS180" s="1946"/>
      <c r="AT180" s="1946"/>
      <c r="AU180" s="1946"/>
      <c r="AV180" s="1946"/>
      <c r="AW180" s="1946"/>
      <c r="AX180" s="1946"/>
      <c r="AY180" s="1946"/>
      <c r="AZ180" s="1946"/>
      <c r="BA180" s="1946"/>
      <c r="BB180" s="1946"/>
      <c r="BC180" s="1946"/>
      <c r="BD180" s="1946"/>
      <c r="BE180" s="1946"/>
      <c r="BF180" s="1946"/>
      <c r="BG180" s="7213"/>
    </row>
    <row customHeight="1" ht="0.75">
      <c r="A181" s="1290" t="s">
        <v>1186</v>
      </c>
      <c r="B181" s="1290"/>
      <c r="C181" s="1290"/>
      <c r="D181" s="1284"/>
      <c r="E181" s="1294"/>
      <c r="F181" s="2673"/>
      <c r="G181" s="2652"/>
      <c r="H181" s="2677"/>
      <c r="I181" s="2678"/>
      <c r="J181" s="2679"/>
      <c r="K181" s="2679"/>
      <c r="L181" s="2671"/>
      <c r="M181" s="2405"/>
      <c r="N181" s="2159"/>
      <c r="O181" s="2159"/>
      <c r="P181" s="2166"/>
      <c r="Q181" s="2159"/>
      <c r="R181" s="2159"/>
      <c r="S181" s="2159"/>
      <c r="T181" s="2159"/>
      <c r="U181" s="2159"/>
      <c r="V181" s="2159"/>
      <c r="W181" s="2159"/>
      <c r="X181" s="2159"/>
      <c r="Y181" s="2159"/>
      <c r="Z181" s="2159"/>
      <c r="AA181" s="2159"/>
      <c r="AB181" s="2159"/>
      <c r="AC181" s="2159"/>
      <c r="AD181" s="2159"/>
      <c r="AE181" s="2168"/>
      <c r="AF181" s="2675"/>
      <c r="AG181" s="2671"/>
      <c r="AH181" s="2671"/>
      <c r="AI181" s="2675"/>
      <c r="AJ181" s="2671"/>
      <c r="AK181" s="2671"/>
      <c r="AL181" s="2109"/>
      <c r="AM181" s="1946"/>
      <c r="AN181" s="1946"/>
      <c r="AO181" s="1946"/>
      <c r="AP181" s="1946"/>
      <c r="AQ181" s="1946"/>
      <c r="AR181" s="1946"/>
      <c r="AS181" s="1946"/>
      <c r="AT181" s="1946"/>
      <c r="AU181" s="1946"/>
      <c r="AV181" s="1946"/>
      <c r="AW181" s="1946"/>
      <c r="AX181" s="1946"/>
      <c r="AY181" s="1946"/>
      <c r="AZ181" s="1946"/>
      <c r="BA181" s="1946"/>
      <c r="BB181" s="1946"/>
      <c r="BC181" s="1946"/>
      <c r="BD181" s="1946"/>
      <c r="BE181" s="1946"/>
      <c r="BF181" s="1946"/>
      <c r="BG181" s="7213"/>
    </row>
    <row customHeight="1" ht="12">
      <c r="A182" s="1290" t="s">
        <v>1186</v>
      </c>
      <c r="B182" s="1290"/>
      <c r="C182" s="1290"/>
      <c r="D182" s="1284"/>
      <c r="E182" s="1294"/>
      <c r="F182" s="2674"/>
      <c r="G182" s="1314"/>
      <c r="H182" s="1314"/>
      <c r="I182" s="2672" t="s">
        <v>1294</v>
      </c>
      <c r="J182" s="2672"/>
      <c r="K182" s="2672"/>
      <c r="L182" s="1297"/>
      <c r="M182" s="1297"/>
      <c r="N182" s="1298"/>
      <c r="O182" s="1298"/>
      <c r="P182" s="1298"/>
      <c r="Q182" s="1298"/>
      <c r="R182" s="1298"/>
      <c r="S182" s="1298"/>
      <c r="T182" s="1298"/>
      <c r="U182" s="1298"/>
      <c r="V182" s="1298"/>
      <c r="W182" s="1298"/>
      <c r="X182" s="1298"/>
      <c r="Y182" s="1298"/>
      <c r="Z182" s="1298"/>
      <c r="AA182" s="1298"/>
      <c r="AB182" s="1298"/>
      <c r="AC182" s="1298"/>
      <c r="AD182" s="1298"/>
      <c r="AE182" s="1298"/>
      <c r="AF182" s="1298"/>
      <c r="AG182" s="1297"/>
      <c r="AH182" s="1297"/>
      <c r="AI182" s="1298"/>
      <c r="AJ182" s="1297"/>
      <c r="AK182" s="1298"/>
      <c r="AL182" s="2109"/>
      <c r="AM182" s="1946"/>
      <c r="AN182" s="1946"/>
      <c r="AO182" s="1946"/>
      <c r="AP182" s="1946"/>
      <c r="AQ182" s="1946"/>
      <c r="AR182" s="1946"/>
      <c r="AS182" s="1946"/>
      <c r="AT182" s="1946"/>
      <c r="AU182" s="1946"/>
      <c r="AV182" s="1946"/>
      <c r="AW182" s="1946"/>
      <c r="AX182" s="1946"/>
      <c r="AY182" s="1946"/>
      <c r="AZ182" s="1946"/>
      <c r="BA182" s="1946"/>
      <c r="BB182" s="1946"/>
      <c r="BC182" s="1946"/>
      <c r="BD182" s="1946"/>
      <c r="BE182" s="1946"/>
      <c r="BF182" s="1946"/>
      <c r="BG182" s="7213"/>
    </row>
    <row customHeight="1" ht="0.75">
      <c r="A183" s="1290" t="s">
        <v>1186</v>
      </c>
      <c r="B183" s="1290"/>
      <c r="C183" s="1290"/>
      <c r="D183" s="1284"/>
      <c r="E183" s="1294"/>
      <c r="F183" s="2673">
        <v>2028</v>
      </c>
      <c r="G183" s="2652"/>
      <c r="H183" s="2677" t="s">
        <v>488</v>
      </c>
      <c r="I183" s="2678"/>
      <c r="J183" s="2679"/>
      <c r="K183" s="2679"/>
      <c r="L183" s="2671"/>
      <c r="M183" s="2405"/>
      <c r="N183" s="2157"/>
      <c r="O183" s="2156"/>
      <c r="P183" s="2157"/>
      <c r="Q183" s="2157"/>
      <c r="R183" s="2157"/>
      <c r="S183" s="2157"/>
      <c r="T183" s="2157"/>
      <c r="U183" s="2157"/>
      <c r="V183" s="2157"/>
      <c r="W183" s="2157"/>
      <c r="X183" s="2157"/>
      <c r="Y183" s="2157"/>
      <c r="Z183" s="2157"/>
      <c r="AA183" s="2157"/>
      <c r="AB183" s="2157"/>
      <c r="AC183" s="2157"/>
      <c r="AD183" s="2157"/>
      <c r="AE183" s="2157"/>
      <c r="AF183" s="2675"/>
      <c r="AG183" s="2671"/>
      <c r="AH183" s="2671"/>
      <c r="AI183" s="2675"/>
      <c r="AJ183" s="2671"/>
      <c r="AK183" s="2671"/>
      <c r="AL183" s="2109"/>
      <c r="AM183" s="1946"/>
      <c r="AN183" s="1946"/>
      <c r="AO183" s="1946"/>
      <c r="AP183" s="1946"/>
      <c r="AQ183" s="1946"/>
      <c r="AR183" s="1946"/>
      <c r="AS183" s="1946"/>
      <c r="AT183" s="1946"/>
      <c r="AU183" s="1946"/>
      <c r="AV183" s="1946"/>
      <c r="AW183" s="1946"/>
      <c r="AX183" s="1946"/>
      <c r="AY183" s="1946"/>
      <c r="AZ183" s="1946"/>
      <c r="BA183" s="1946"/>
      <c r="BB183" s="1946"/>
      <c r="BC183" s="1946"/>
      <c r="BD183" s="1946"/>
      <c r="BE183" s="1946"/>
      <c r="BF183" s="1946"/>
      <c r="BG183" s="7213"/>
    </row>
    <row customHeight="1" ht="0.75">
      <c r="A184" s="1290" t="s">
        <v>1186</v>
      </c>
      <c r="B184" s="1290"/>
      <c r="C184" s="1290"/>
      <c r="D184" s="1284"/>
      <c r="E184" s="1294"/>
      <c r="F184" s="2673"/>
      <c r="G184" s="2652"/>
      <c r="H184" s="2677"/>
      <c r="I184" s="2678"/>
      <c r="J184" s="2679"/>
      <c r="K184" s="2679"/>
      <c r="L184" s="2671"/>
      <c r="M184" s="2405"/>
      <c r="N184" s="2680"/>
      <c r="O184" s="2681"/>
      <c r="P184" s="2725"/>
      <c r="Q184" s="2676"/>
      <c r="R184" s="2676"/>
      <c r="S184" s="2676"/>
      <c r="T184" s="2676"/>
      <c r="U184" s="2676"/>
      <c r="V184" s="2676"/>
      <c r="W184" s="2676"/>
      <c r="X184" s="2676"/>
      <c r="Y184" s="2676"/>
      <c r="Z184" s="2158"/>
      <c r="AA184" s="2159"/>
      <c r="AB184" s="2159"/>
      <c r="AC184" s="2160"/>
      <c r="AD184" s="2160"/>
      <c r="AE184" s="2161"/>
      <c r="AF184" s="2675"/>
      <c r="AG184" s="2671"/>
      <c r="AH184" s="2671"/>
      <c r="AI184" s="2675"/>
      <c r="AJ184" s="2671"/>
      <c r="AK184" s="2671"/>
      <c r="AL184" s="2109"/>
      <c r="AM184" s="1946"/>
      <c r="AN184" s="1946"/>
      <c r="AO184" s="1946"/>
      <c r="AP184" s="1946"/>
      <c r="AQ184" s="1946"/>
      <c r="AR184" s="1946"/>
      <c r="AS184" s="1946"/>
      <c r="AT184" s="1946"/>
      <c r="AU184" s="1946"/>
      <c r="AV184" s="1946"/>
      <c r="AW184" s="1946"/>
      <c r="AX184" s="1946"/>
      <c r="AY184" s="1946"/>
      <c r="AZ184" s="1946"/>
      <c r="BA184" s="1946"/>
      <c r="BB184" s="1946"/>
      <c r="BC184" s="1946"/>
      <c r="BD184" s="1946"/>
      <c r="BE184" s="1946"/>
      <c r="BF184" s="1946"/>
      <c r="BG184" s="7213"/>
    </row>
    <row customHeight="1" ht="0.75">
      <c r="A185" s="1290" t="s">
        <v>1186</v>
      </c>
      <c r="B185" s="1290"/>
      <c r="C185" s="1290"/>
      <c r="D185" s="1284"/>
      <c r="E185" s="1294"/>
      <c r="F185" s="2673"/>
      <c r="G185" s="2652"/>
      <c r="H185" s="2677"/>
      <c r="I185" s="2678"/>
      <c r="J185" s="2679"/>
      <c r="K185" s="2679"/>
      <c r="L185" s="2671"/>
      <c r="M185" s="2405"/>
      <c r="N185" s="2680"/>
      <c r="O185" s="2681"/>
      <c r="P185" s="2726"/>
      <c r="Q185" s="2676"/>
      <c r="R185" s="2676"/>
      <c r="S185" s="2676"/>
      <c r="T185" s="2676"/>
      <c r="U185" s="2676"/>
      <c r="V185" s="2676"/>
      <c r="W185" s="2676"/>
      <c r="X185" s="2676"/>
      <c r="Y185" s="2676"/>
      <c r="Z185" s="2162"/>
      <c r="AA185" s="2163"/>
      <c r="AB185" s="2164"/>
      <c r="AC185" s="2165"/>
      <c r="AD185" s="2164"/>
      <c r="AE185" s="2165"/>
      <c r="AF185" s="2675"/>
      <c r="AG185" s="2671"/>
      <c r="AH185" s="2671"/>
      <c r="AI185" s="2675"/>
      <c r="AJ185" s="2671"/>
      <c r="AK185" s="2671"/>
      <c r="AL185" s="2109"/>
      <c r="AM185" s="1946"/>
      <c r="AN185" s="1946"/>
      <c r="AO185" s="1946"/>
      <c r="AP185" s="1946"/>
      <c r="AQ185" s="1946"/>
      <c r="AR185" s="1946"/>
      <c r="AS185" s="1946"/>
      <c r="AT185" s="1946"/>
      <c r="AU185" s="1946"/>
      <c r="AV185" s="1946"/>
      <c r="AW185" s="1946"/>
      <c r="AX185" s="1946"/>
      <c r="AY185" s="1946"/>
      <c r="AZ185" s="1946"/>
      <c r="BA185" s="1946"/>
      <c r="BB185" s="1946"/>
      <c r="BC185" s="1946"/>
      <c r="BD185" s="1946"/>
      <c r="BE185" s="1946"/>
      <c r="BF185" s="1946"/>
      <c r="BG185" s="7213"/>
    </row>
    <row customHeight="1" ht="0.75">
      <c r="A186" s="1290" t="s">
        <v>1186</v>
      </c>
      <c r="B186" s="1290"/>
      <c r="C186" s="1290"/>
      <c r="D186" s="1284"/>
      <c r="E186" s="1294"/>
      <c r="F186" s="2673"/>
      <c r="G186" s="2652"/>
      <c r="H186" s="2677"/>
      <c r="I186" s="2678"/>
      <c r="J186" s="2679"/>
      <c r="K186" s="2679"/>
      <c r="L186" s="2671"/>
      <c r="M186" s="2405"/>
      <c r="N186" s="2680"/>
      <c r="O186" s="2681"/>
      <c r="P186" s="2727"/>
      <c r="Q186" s="2676"/>
      <c r="R186" s="2676"/>
      <c r="S186" s="2676"/>
      <c r="T186" s="2676"/>
      <c r="U186" s="2676"/>
      <c r="V186" s="2676"/>
      <c r="W186" s="2676"/>
      <c r="X186" s="2676"/>
      <c r="Y186" s="2676"/>
      <c r="Z186" s="2158"/>
      <c r="AA186" s="2159"/>
      <c r="AB186" s="2166"/>
      <c r="AC186" s="2160"/>
      <c r="AD186" s="2160"/>
      <c r="AE186" s="2167"/>
      <c r="AF186" s="2675"/>
      <c r="AG186" s="2671"/>
      <c r="AH186" s="2671"/>
      <c r="AI186" s="2675"/>
      <c r="AJ186" s="2671"/>
      <c r="AK186" s="2671"/>
      <c r="AL186" s="2109"/>
      <c r="AM186" s="1946"/>
      <c r="AN186" s="1946"/>
      <c r="AO186" s="1946"/>
      <c r="AP186" s="1946"/>
      <c r="AQ186" s="1946"/>
      <c r="AR186" s="1946"/>
      <c r="AS186" s="1946"/>
      <c r="AT186" s="1946"/>
      <c r="AU186" s="1946"/>
      <c r="AV186" s="1946"/>
      <c r="AW186" s="1946"/>
      <c r="AX186" s="1946"/>
      <c r="AY186" s="1946"/>
      <c r="AZ186" s="1946"/>
      <c r="BA186" s="1946"/>
      <c r="BB186" s="1946"/>
      <c r="BC186" s="1946"/>
      <c r="BD186" s="1946"/>
      <c r="BE186" s="1946"/>
      <c r="BF186" s="1946"/>
      <c r="BG186" s="7213"/>
    </row>
    <row customHeight="1" ht="0.75">
      <c r="A187" s="1290" t="s">
        <v>1186</v>
      </c>
      <c r="B187" s="1290"/>
      <c r="C187" s="1290"/>
      <c r="D187" s="1284"/>
      <c r="E187" s="1294"/>
      <c r="F187" s="2673"/>
      <c r="G187" s="2652"/>
      <c r="H187" s="2677"/>
      <c r="I187" s="2678"/>
      <c r="J187" s="2679"/>
      <c r="K187" s="2679"/>
      <c r="L187" s="2671"/>
      <c r="M187" s="2405"/>
      <c r="N187" s="2159"/>
      <c r="O187" s="2159"/>
      <c r="P187" s="2166"/>
      <c r="Q187" s="2159"/>
      <c r="R187" s="2159"/>
      <c r="S187" s="2159"/>
      <c r="T187" s="2159"/>
      <c r="U187" s="2159"/>
      <c r="V187" s="2159"/>
      <c r="W187" s="2159"/>
      <c r="X187" s="2159"/>
      <c r="Y187" s="2159"/>
      <c r="Z187" s="2159"/>
      <c r="AA187" s="2159"/>
      <c r="AB187" s="2159"/>
      <c r="AC187" s="2159"/>
      <c r="AD187" s="2159"/>
      <c r="AE187" s="2168"/>
      <c r="AF187" s="2675"/>
      <c r="AG187" s="2671"/>
      <c r="AH187" s="2671"/>
      <c r="AI187" s="2675"/>
      <c r="AJ187" s="2671"/>
      <c r="AK187" s="2671"/>
      <c r="AL187" s="2109"/>
      <c r="AM187" s="1946"/>
      <c r="AN187" s="1946"/>
      <c r="AO187" s="1946"/>
      <c r="AP187" s="1946"/>
      <c r="AQ187" s="1946"/>
      <c r="AR187" s="1946"/>
      <c r="AS187" s="1946"/>
      <c r="AT187" s="1946"/>
      <c r="AU187" s="1946"/>
      <c r="AV187" s="1946"/>
      <c r="AW187" s="1946"/>
      <c r="AX187" s="1946"/>
      <c r="AY187" s="1946"/>
      <c r="AZ187" s="1946"/>
      <c r="BA187" s="1946"/>
      <c r="BB187" s="1946"/>
      <c r="BC187" s="1946"/>
      <c r="BD187" s="1946"/>
      <c r="BE187" s="1946"/>
      <c r="BF187" s="1946"/>
      <c r="BG187" s="7213"/>
    </row>
    <row customHeight="1" ht="12">
      <c r="A188" s="1290" t="s">
        <v>1186</v>
      </c>
      <c r="B188" s="1290"/>
      <c r="C188" s="1290"/>
      <c r="D188" s="1284"/>
      <c r="E188" s="1294"/>
      <c r="F188" s="2674"/>
      <c r="G188" s="1314"/>
      <c r="H188" s="1314"/>
      <c r="I188" s="2672" t="s">
        <v>1294</v>
      </c>
      <c r="J188" s="2672"/>
      <c r="K188" s="2672"/>
      <c r="L188" s="1297"/>
      <c r="M188" s="1297"/>
      <c r="N188" s="1298"/>
      <c r="O188" s="1298"/>
      <c r="P188" s="1298"/>
      <c r="Q188" s="1298"/>
      <c r="R188" s="1298"/>
      <c r="S188" s="1298"/>
      <c r="T188" s="1298"/>
      <c r="U188" s="1298"/>
      <c r="V188" s="1298"/>
      <c r="W188" s="1298"/>
      <c r="X188" s="1298"/>
      <c r="Y188" s="1298"/>
      <c r="Z188" s="1298"/>
      <c r="AA188" s="1298"/>
      <c r="AB188" s="1298"/>
      <c r="AC188" s="1298"/>
      <c r="AD188" s="1298"/>
      <c r="AE188" s="1298"/>
      <c r="AF188" s="1298"/>
      <c r="AG188" s="1297"/>
      <c r="AH188" s="1297"/>
      <c r="AI188" s="1298"/>
      <c r="AJ188" s="1297"/>
      <c r="AK188" s="1298"/>
      <c r="AL188" s="2109"/>
      <c r="AM188" s="1946"/>
      <c r="AN188" s="1946"/>
      <c r="AO188" s="1946"/>
      <c r="AP188" s="1946"/>
      <c r="AQ188" s="1946"/>
      <c r="AR188" s="1946"/>
      <c r="AS188" s="1946"/>
      <c r="AT188" s="1946"/>
      <c r="AU188" s="1946"/>
      <c r="AV188" s="1946"/>
      <c r="AW188" s="1946"/>
      <c r="AX188" s="1946"/>
      <c r="AY188" s="1946"/>
      <c r="AZ188" s="1946"/>
      <c r="BA188" s="1946"/>
      <c r="BB188" s="1946"/>
      <c r="BC188" s="1946"/>
      <c r="BD188" s="1946"/>
      <c r="BE188" s="1946"/>
      <c r="BF188" s="1946"/>
      <c r="BG188" s="7213"/>
    </row>
    <row customHeight="1" ht="21">
      <c r="A189" s="1291" t="s">
        <v>1192</v>
      </c>
      <c r="B189" s="1290"/>
      <c r="C189" s="1290"/>
      <c r="D189" s="1284"/>
      <c r="E189" s="1294" t="s">
        <v>22</v>
      </c>
      <c r="F189" s="1246" t="str">
        <f>INDEX(IP_MAIN_LIST_NAME_IP,MATCH(A189,IP_MAIN_LIST_IP_ID,0))&amp;" ("&amp;INDEX(IP_MAIN_START_DATE,MATCH(A189,IP_MAIN_LIST_IP_ID,0))&amp;"-"&amp;INDEX(IP_MAIN_END_DATE,MATCH(A189,IP_MAIN_LIST_IP_ID,0))&amp;")"</f>
        <v>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 (01.01.2024-31.12.2028)</v>
      </c>
      <c r="G189" s="1247"/>
      <c r="H189" s="1247"/>
      <c r="I189" s="1309"/>
      <c r="J189" s="1309"/>
      <c r="K189" s="1310"/>
      <c r="L189" s="1310"/>
      <c r="M189" s="1310"/>
      <c r="N189" s="1311"/>
      <c r="O189" s="1311"/>
      <c r="P189" s="1311"/>
      <c r="Q189" s="1311"/>
      <c r="R189" s="1311"/>
      <c r="S189" s="1311"/>
      <c r="T189" s="1311"/>
      <c r="U189" s="1311"/>
      <c r="V189" s="1311"/>
      <c r="W189" s="1311"/>
      <c r="X189" s="1311"/>
      <c r="Y189" s="1311"/>
      <c r="Z189" s="1311"/>
      <c r="AA189" s="1311"/>
      <c r="AB189" s="1311"/>
      <c r="AC189" s="1311"/>
      <c r="AD189" s="1311"/>
      <c r="AE189" s="1312"/>
      <c r="AF189" s="1310"/>
      <c r="AG189" s="1310"/>
      <c r="AH189" s="1310"/>
      <c r="AI189" s="1310"/>
      <c r="AJ189" s="1310"/>
      <c r="AK189" s="1310"/>
      <c r="AL189" s="2109"/>
      <c r="AM189" s="1946"/>
      <c r="AN189" s="1946"/>
      <c r="AO189" s="1946"/>
      <c r="AP189" s="1946"/>
      <c r="AQ189" s="1946"/>
      <c r="AR189" s="1946"/>
      <c r="AS189" s="1946"/>
      <c r="AT189" s="1946"/>
      <c r="AU189" s="1946"/>
      <c r="AV189" s="1946"/>
      <c r="AW189" s="1946"/>
      <c r="AX189" s="1946"/>
      <c r="AY189" s="1946"/>
      <c r="AZ189" s="1946"/>
      <c r="BA189" s="1946"/>
      <c r="BB189" s="1946"/>
      <c r="BC189" s="1946"/>
      <c r="BD189" s="1946"/>
      <c r="BE189" s="1946"/>
      <c r="BF189" s="1946"/>
      <c r="BG189" s="7213"/>
    </row>
    <row customHeight="1" ht="0.75">
      <c r="A190" s="1290" t="s">
        <v>1192</v>
      </c>
      <c r="B190" s="1290"/>
      <c r="C190" s="1290"/>
      <c r="D190" s="1284"/>
      <c r="E190" s="1294"/>
      <c r="F190" s="2673">
        <v>2024</v>
      </c>
      <c r="G190" s="2652"/>
      <c r="H190" s="2677" t="s">
        <v>488</v>
      </c>
      <c r="I190" s="2678"/>
      <c r="J190" s="2679"/>
      <c r="K190" s="2679"/>
      <c r="L190" s="2671"/>
      <c r="M190" s="2405"/>
      <c r="N190" s="2157"/>
      <c r="O190" s="2156"/>
      <c r="P190" s="2157"/>
      <c r="Q190" s="2157"/>
      <c r="R190" s="2157"/>
      <c r="S190" s="2157"/>
      <c r="T190" s="2157"/>
      <c r="U190" s="2157"/>
      <c r="V190" s="2157"/>
      <c r="W190" s="2157"/>
      <c r="X190" s="2157"/>
      <c r="Y190" s="2157"/>
      <c r="Z190" s="2157"/>
      <c r="AA190" s="2157"/>
      <c r="AB190" s="2157"/>
      <c r="AC190" s="2157"/>
      <c r="AD190" s="2157"/>
      <c r="AE190" s="2157"/>
      <c r="AF190" s="2675"/>
      <c r="AG190" s="2671"/>
      <c r="AH190" s="2671"/>
      <c r="AI190" s="2675"/>
      <c r="AJ190" s="2671"/>
      <c r="AK190" s="2671"/>
      <c r="AL190" s="2109"/>
      <c r="AM190" s="1946"/>
      <c r="AN190" s="1946"/>
      <c r="AO190" s="1946"/>
      <c r="AP190" s="1946"/>
      <c r="AQ190" s="1946"/>
      <c r="AR190" s="1946"/>
      <c r="AS190" s="1946"/>
      <c r="AT190" s="1946"/>
      <c r="AU190" s="1946"/>
      <c r="AV190" s="1946"/>
      <c r="AW190" s="1946"/>
      <c r="AX190" s="1946"/>
      <c r="AY190" s="1946"/>
      <c r="AZ190" s="1946"/>
      <c r="BA190" s="1946"/>
      <c r="BB190" s="1946"/>
      <c r="BC190" s="1946"/>
      <c r="BD190" s="1946"/>
      <c r="BE190" s="1946"/>
      <c r="BF190" s="1946"/>
      <c r="BG190" s="7213"/>
    </row>
    <row customHeight="1" ht="0.75">
      <c r="A191" s="1290" t="s">
        <v>1192</v>
      </c>
      <c r="B191" s="1290"/>
      <c r="C191" s="1290"/>
      <c r="D191" s="1284"/>
      <c r="E191" s="1294"/>
      <c r="F191" s="2673"/>
      <c r="G191" s="2652"/>
      <c r="H191" s="2677"/>
      <c r="I191" s="2678"/>
      <c r="J191" s="2679"/>
      <c r="K191" s="2679"/>
      <c r="L191" s="2671"/>
      <c r="M191" s="2405"/>
      <c r="N191" s="2680"/>
      <c r="O191" s="2681"/>
      <c r="P191" s="2725"/>
      <c r="Q191" s="2676"/>
      <c r="R191" s="2676"/>
      <c r="S191" s="2676"/>
      <c r="T191" s="2676"/>
      <c r="U191" s="2676"/>
      <c r="V191" s="2676"/>
      <c r="W191" s="2676"/>
      <c r="X191" s="2676"/>
      <c r="Y191" s="2676"/>
      <c r="Z191" s="2158"/>
      <c r="AA191" s="2159"/>
      <c r="AB191" s="2159"/>
      <c r="AC191" s="2160"/>
      <c r="AD191" s="2160"/>
      <c r="AE191" s="2161"/>
      <c r="AF191" s="2675"/>
      <c r="AG191" s="2671"/>
      <c r="AH191" s="2671"/>
      <c r="AI191" s="2675"/>
      <c r="AJ191" s="2671"/>
      <c r="AK191" s="2671"/>
      <c r="AL191" s="2109"/>
      <c r="AM191" s="1946"/>
      <c r="AN191" s="1946"/>
      <c r="AO191" s="1946"/>
      <c r="AP191" s="1946"/>
      <c r="AQ191" s="1946"/>
      <c r="AR191" s="1946"/>
      <c r="AS191" s="1946"/>
      <c r="AT191" s="1946"/>
      <c r="AU191" s="1946"/>
      <c r="AV191" s="1946"/>
      <c r="AW191" s="1946"/>
      <c r="AX191" s="1946"/>
      <c r="AY191" s="1946"/>
      <c r="AZ191" s="1946"/>
      <c r="BA191" s="1946"/>
      <c r="BB191" s="1946"/>
      <c r="BC191" s="1946"/>
      <c r="BD191" s="1946"/>
      <c r="BE191" s="1946"/>
      <c r="BF191" s="1946"/>
      <c r="BG191" s="7213"/>
    </row>
    <row customHeight="1" ht="0.75">
      <c r="A192" s="1290" t="s">
        <v>1192</v>
      </c>
      <c r="B192" s="1290"/>
      <c r="C192" s="1290"/>
      <c r="D192" s="1284"/>
      <c r="E192" s="1294"/>
      <c r="F192" s="2673"/>
      <c r="G192" s="2652"/>
      <c r="H192" s="2677"/>
      <c r="I192" s="2678"/>
      <c r="J192" s="2679"/>
      <c r="K192" s="2679"/>
      <c r="L192" s="2671"/>
      <c r="M192" s="2405"/>
      <c r="N192" s="2680"/>
      <c r="O192" s="2681"/>
      <c r="P192" s="2726"/>
      <c r="Q192" s="2676"/>
      <c r="R192" s="2676"/>
      <c r="S192" s="2676"/>
      <c r="T192" s="2676"/>
      <c r="U192" s="2676"/>
      <c r="V192" s="2676"/>
      <c r="W192" s="2676"/>
      <c r="X192" s="2676"/>
      <c r="Y192" s="2676"/>
      <c r="Z192" s="2162"/>
      <c r="AA192" s="2163"/>
      <c r="AB192" s="2164"/>
      <c r="AC192" s="2165"/>
      <c r="AD192" s="2164"/>
      <c r="AE192" s="2165"/>
      <c r="AF192" s="2675"/>
      <c r="AG192" s="2671"/>
      <c r="AH192" s="2671"/>
      <c r="AI192" s="2675"/>
      <c r="AJ192" s="2671"/>
      <c r="AK192" s="2671"/>
      <c r="AL192" s="2109"/>
      <c r="AM192" s="1946"/>
      <c r="AN192" s="1946"/>
      <c r="AO192" s="1946"/>
      <c r="AP192" s="1946"/>
      <c r="AQ192" s="1946"/>
      <c r="AR192" s="1946"/>
      <c r="AS192" s="1946"/>
      <c r="AT192" s="1946"/>
      <c r="AU192" s="1946"/>
      <c r="AV192" s="1946"/>
      <c r="AW192" s="1946"/>
      <c r="AX192" s="1946"/>
      <c r="AY192" s="1946"/>
      <c r="AZ192" s="1946"/>
      <c r="BA192" s="1946"/>
      <c r="BB192" s="1946"/>
      <c r="BC192" s="1946"/>
      <c r="BD192" s="1946"/>
      <c r="BE192" s="1946"/>
      <c r="BF192" s="1946"/>
      <c r="BG192" s="7213"/>
    </row>
    <row customHeight="1" ht="0.75">
      <c r="A193" s="1290" t="s">
        <v>1192</v>
      </c>
      <c r="B193" s="1290"/>
      <c r="C193" s="1290"/>
      <c r="D193" s="1284"/>
      <c r="E193" s="1294"/>
      <c r="F193" s="2673"/>
      <c r="G193" s="2652"/>
      <c r="H193" s="2677"/>
      <c r="I193" s="2678"/>
      <c r="J193" s="2679"/>
      <c r="K193" s="2679"/>
      <c r="L193" s="2671"/>
      <c r="M193" s="2405"/>
      <c r="N193" s="2680"/>
      <c r="O193" s="2681"/>
      <c r="P193" s="2727"/>
      <c r="Q193" s="2676"/>
      <c r="R193" s="2676"/>
      <c r="S193" s="2676"/>
      <c r="T193" s="2676"/>
      <c r="U193" s="2676"/>
      <c r="V193" s="2676"/>
      <c r="W193" s="2676"/>
      <c r="X193" s="2676"/>
      <c r="Y193" s="2676"/>
      <c r="Z193" s="2158"/>
      <c r="AA193" s="2159"/>
      <c r="AB193" s="2166"/>
      <c r="AC193" s="2160"/>
      <c r="AD193" s="2160"/>
      <c r="AE193" s="2167"/>
      <c r="AF193" s="2675"/>
      <c r="AG193" s="2671"/>
      <c r="AH193" s="2671"/>
      <c r="AI193" s="2675"/>
      <c r="AJ193" s="2671"/>
      <c r="AK193" s="2671"/>
      <c r="AL193" s="2109"/>
      <c r="AM193" s="1946"/>
      <c r="AN193" s="1946"/>
      <c r="AO193" s="1946"/>
      <c r="AP193" s="1946"/>
      <c r="AQ193" s="1946"/>
      <c r="AR193" s="1946"/>
      <c r="AS193" s="1946"/>
      <c r="AT193" s="1946"/>
      <c r="AU193" s="1946"/>
      <c r="AV193" s="1946"/>
      <c r="AW193" s="1946"/>
      <c r="AX193" s="1946"/>
      <c r="AY193" s="1946"/>
      <c r="AZ193" s="1946"/>
      <c r="BA193" s="1946"/>
      <c r="BB193" s="1946"/>
      <c r="BC193" s="1946"/>
      <c r="BD193" s="1946"/>
      <c r="BE193" s="1946"/>
      <c r="BF193" s="1946"/>
      <c r="BG193" s="7213"/>
    </row>
    <row customHeight="1" ht="0.75">
      <c r="A194" s="1290" t="s">
        <v>1192</v>
      </c>
      <c r="B194" s="1290"/>
      <c r="C194" s="1290"/>
      <c r="D194" s="1284"/>
      <c r="E194" s="1294"/>
      <c r="F194" s="2673"/>
      <c r="G194" s="2652"/>
      <c r="H194" s="2677"/>
      <c r="I194" s="2678"/>
      <c r="J194" s="2679"/>
      <c r="K194" s="2679"/>
      <c r="L194" s="2671"/>
      <c r="M194" s="2405"/>
      <c r="N194" s="2159"/>
      <c r="O194" s="2159"/>
      <c r="P194" s="2166"/>
      <c r="Q194" s="2159"/>
      <c r="R194" s="2159"/>
      <c r="S194" s="2159"/>
      <c r="T194" s="2159"/>
      <c r="U194" s="2159"/>
      <c r="V194" s="2159"/>
      <c r="W194" s="2159"/>
      <c r="X194" s="2159"/>
      <c r="Y194" s="2159"/>
      <c r="Z194" s="2159"/>
      <c r="AA194" s="2159"/>
      <c r="AB194" s="2159"/>
      <c r="AC194" s="2159"/>
      <c r="AD194" s="2159"/>
      <c r="AE194" s="2168"/>
      <c r="AF194" s="2675"/>
      <c r="AG194" s="2671"/>
      <c r="AH194" s="2671"/>
      <c r="AI194" s="2675"/>
      <c r="AJ194" s="2671"/>
      <c r="AK194" s="2671"/>
      <c r="AL194" s="2109"/>
      <c r="AM194" s="1946"/>
      <c r="AN194" s="1946"/>
      <c r="AO194" s="1946"/>
      <c r="AP194" s="1946"/>
      <c r="AQ194" s="1946"/>
      <c r="AR194" s="1946"/>
      <c r="AS194" s="1946"/>
      <c r="AT194" s="1946"/>
      <c r="AU194" s="1946"/>
      <c r="AV194" s="1946"/>
      <c r="AW194" s="1946"/>
      <c r="AX194" s="1946"/>
      <c r="AY194" s="1946"/>
      <c r="AZ194" s="1946"/>
      <c r="BA194" s="1946"/>
      <c r="BB194" s="1946"/>
      <c r="BC194" s="1946"/>
      <c r="BD194" s="1946"/>
      <c r="BE194" s="1946"/>
      <c r="BF194" s="1946"/>
      <c r="BG194" s="7213"/>
    </row>
    <row customHeight="1" ht="11.25">
      <c r="A195" s="1290" t="s">
        <v>1192</v>
      </c>
      <c r="B195" s="1290"/>
      <c r="C195" s="1290"/>
      <c r="D195" s="1284"/>
      <c r="E195" s="1294"/>
      <c r="F195" s="1952"/>
      <c r="G195" s="7121" t="s">
        <v>103</v>
      </c>
      <c r="H195" s="2652" t="s">
        <v>210</v>
      </c>
      <c r="I195" s="2653"/>
      <c r="J195" s="2622"/>
      <c r="K195" s="2654" t="s">
        <v>1348</v>
      </c>
      <c r="L195" s="2244" t="s">
        <v>19</v>
      </c>
      <c r="M195" s="2245"/>
      <c r="N195" s="2107"/>
      <c r="O195" s="1301" t="s">
        <v>488</v>
      </c>
      <c r="P195" s="1302"/>
      <c r="Q195" s="1302"/>
      <c r="R195" s="1302"/>
      <c r="S195" s="1302"/>
      <c r="T195" s="1302"/>
      <c r="U195" s="1302"/>
      <c r="V195" s="1302"/>
      <c r="W195" s="1302"/>
      <c r="X195" s="1302"/>
      <c r="Y195" s="1302"/>
      <c r="Z195" s="1302"/>
      <c r="AA195" s="1302"/>
      <c r="AB195" s="1302"/>
      <c r="AC195" s="1302"/>
      <c r="AD195" s="1302"/>
      <c r="AE195" s="1302"/>
      <c r="AF195" s="2643">
        <v>2024</v>
      </c>
      <c r="AG195" s="2644" t="s">
        <v>1296</v>
      </c>
      <c r="AH195" s="2644" t="s">
        <v>1297</v>
      </c>
      <c r="AI195" s="2643">
        <v>2024</v>
      </c>
      <c r="AJ195" s="2644" t="s">
        <v>1296</v>
      </c>
      <c r="AK195" s="2644" t="s">
        <v>1297</v>
      </c>
      <c r="AL195" s="2109"/>
      <c r="AM195" s="1946"/>
      <c r="AN195" s="1946"/>
      <c r="AO195" s="1946"/>
      <c r="AP195" s="1946"/>
      <c r="AQ195" s="1946"/>
      <c r="AR195" s="1946"/>
      <c r="AS195" s="1946"/>
      <c r="AT195" s="1946"/>
      <c r="AU195" s="1946"/>
      <c r="AV195" s="1946"/>
      <c r="AW195" s="1946"/>
      <c r="AX195" s="1946"/>
      <c r="AY195" s="1946"/>
      <c r="AZ195" s="1946"/>
      <c r="BA195" s="1946"/>
      <c r="BB195" s="1946"/>
      <c r="BC195" s="1946"/>
      <c r="BD195" s="1946"/>
      <c r="BE195" s="1946"/>
      <c r="BF195" s="1946"/>
      <c r="BG195" s="7213"/>
    </row>
    <row customHeight="1" ht="11.25">
      <c r="A196" s="1290" t="s">
        <v>1192</v>
      </c>
      <c r="B196" s="1290"/>
      <c r="C196" s="1290"/>
      <c r="D196" s="1284"/>
      <c r="E196" s="1294"/>
      <c r="F196" s="1952"/>
      <c r="G196" s="1953"/>
      <c r="H196" s="2652" t="s">
        <v>488</v>
      </c>
      <c r="I196" s="2653"/>
      <c r="J196" s="2622"/>
      <c r="K196" s="2654"/>
      <c r="L196" s="2244"/>
      <c r="M196" s="2245"/>
      <c r="N196" s="2645"/>
      <c r="O196" s="2646">
        <v>1</v>
      </c>
      <c r="P196" s="2647" t="s">
        <v>62</v>
      </c>
      <c r="Q196" s="11136" t="s">
        <v>1349</v>
      </c>
      <c r="R196" s="11137" t="s">
        <v>1299</v>
      </c>
      <c r="S196" s="11137" t="s">
        <v>137</v>
      </c>
      <c r="T196" s="11137" t="s">
        <v>1350</v>
      </c>
      <c r="U196" s="11137" t="s">
        <v>1351</v>
      </c>
      <c r="V196" s="11137" t="s">
        <v>1352</v>
      </c>
      <c r="W196" s="11137" t="s">
        <v>1353</v>
      </c>
      <c r="X196" s="11137" t="s">
        <v>1354</v>
      </c>
      <c r="Y196" s="11137" t="s">
        <v>1355</v>
      </c>
      <c r="Z196" s="1299"/>
      <c r="AA196" s="1300"/>
      <c r="AB196" s="1300"/>
      <c r="AC196" s="1304"/>
      <c r="AD196" s="1304"/>
      <c r="AE196" s="1305"/>
      <c r="AF196" s="2643"/>
      <c r="AG196" s="2644"/>
      <c r="AH196" s="2644"/>
      <c r="AI196" s="2643"/>
      <c r="AJ196" s="2644"/>
      <c r="AK196" s="2644"/>
      <c r="AL196" s="2109"/>
      <c r="AM196" s="1946"/>
      <c r="AN196" s="1946"/>
      <c r="AO196" s="1946"/>
      <c r="AP196" s="1946"/>
      <c r="AQ196" s="1946"/>
      <c r="AR196" s="1946"/>
      <c r="AS196" s="1946"/>
      <c r="AT196" s="1946"/>
      <c r="AU196" s="1946"/>
      <c r="AV196" s="1946"/>
      <c r="AW196" s="1946"/>
      <c r="AX196" s="1946"/>
      <c r="AY196" s="1946"/>
      <c r="AZ196" s="1946"/>
      <c r="BA196" s="1946"/>
      <c r="BB196" s="1946"/>
      <c r="BC196" s="1946"/>
      <c r="BD196" s="1946"/>
      <c r="BE196" s="1946"/>
      <c r="BF196" s="1946"/>
      <c r="BG196" s="7213"/>
    </row>
    <row customHeight="1" ht="11.25">
      <c r="A197" s="1290" t="s">
        <v>1192</v>
      </c>
      <c r="B197" s="1290"/>
      <c r="C197" s="1290"/>
      <c r="D197" s="1284"/>
      <c r="E197" s="1294"/>
      <c r="F197" s="1952"/>
      <c r="G197" s="1953"/>
      <c r="H197" s="2652" t="s">
        <v>488</v>
      </c>
      <c r="I197" s="2653"/>
      <c r="J197" s="2622"/>
      <c r="K197" s="2654"/>
      <c r="L197" s="2244"/>
      <c r="M197" s="2245"/>
      <c r="N197" s="2645"/>
      <c r="O197" s="2646"/>
      <c r="P197" s="2648"/>
      <c r="Q197" s="11136"/>
      <c r="R197" s="2650"/>
      <c r="S197" s="2651"/>
      <c r="T197" s="2650"/>
      <c r="U197" s="2650"/>
      <c r="V197" s="2650"/>
      <c r="W197" s="2650"/>
      <c r="X197" s="2650"/>
      <c r="Y197" s="2650"/>
      <c r="Z197" s="1951"/>
      <c r="AA197" s="1917">
        <v>1</v>
      </c>
      <c r="AB197" s="1303" t="s">
        <v>1306</v>
      </c>
      <c r="AC197" s="1293">
        <v>155</v>
      </c>
      <c r="AD197" s="1303" t="str">
        <f>AB197</f>
        <v>  Прибыль направляемая на инвестиции</v>
      </c>
      <c r="AE197" s="1293">
        <v>155</v>
      </c>
      <c r="AF197" s="2643"/>
      <c r="AG197" s="2644"/>
      <c r="AH197" s="2644"/>
      <c r="AI197" s="2643"/>
      <c r="AJ197" s="2644"/>
      <c r="AK197" s="2644"/>
      <c r="AL197" s="2109"/>
      <c r="AM197" s="1946"/>
      <c r="AN197" s="1946"/>
      <c r="AO197" s="1946"/>
      <c r="AP197" s="1946"/>
      <c r="AQ197" s="1946"/>
      <c r="AR197" s="1946"/>
      <c r="AS197" s="1946"/>
      <c r="AT197" s="1946"/>
      <c r="AU197" s="1946"/>
      <c r="AV197" s="1946"/>
      <c r="AW197" s="1946"/>
      <c r="AX197" s="1946"/>
      <c r="AY197" s="1946"/>
      <c r="AZ197" s="1946"/>
      <c r="BA197" s="1946"/>
      <c r="BB197" s="1946"/>
      <c r="BC197" s="1946"/>
      <c r="BD197" s="1946"/>
      <c r="BE197" s="1946"/>
      <c r="BF197" s="1946"/>
      <c r="BG197" s="7213"/>
    </row>
    <row customHeight="1" ht="11.25">
      <c r="A198" s="1290" t="s">
        <v>1192</v>
      </c>
      <c r="B198" s="1290"/>
      <c r="C198" s="1290"/>
      <c r="D198" s="1284"/>
      <c r="E198" s="1294"/>
      <c r="F198" s="1952"/>
      <c r="G198" s="1953"/>
      <c r="H198" s="2652" t="s">
        <v>488</v>
      </c>
      <c r="I198" s="2653"/>
      <c r="J198" s="2622"/>
      <c r="K198" s="2654"/>
      <c r="L198" s="2244"/>
      <c r="M198" s="2245"/>
      <c r="N198" s="2645"/>
      <c r="O198" s="2646"/>
      <c r="P198" s="2649"/>
      <c r="Q198" s="11136"/>
      <c r="R198" s="2650"/>
      <c r="S198" s="2651"/>
      <c r="T198" s="2650"/>
      <c r="U198" s="2650"/>
      <c r="V198" s="2650"/>
      <c r="W198" s="2650"/>
      <c r="X198" s="2650"/>
      <c r="Y198" s="2650"/>
      <c r="Z198" s="1299"/>
      <c r="AA198" s="1300"/>
      <c r="AB198" s="1365" t="s">
        <v>1309</v>
      </c>
      <c r="AC198" s="1304"/>
      <c r="AD198" s="1304"/>
      <c r="AE198" s="1306"/>
      <c r="AF198" s="2643"/>
      <c r="AG198" s="2644"/>
      <c r="AH198" s="2644"/>
      <c r="AI198" s="2643"/>
      <c r="AJ198" s="2644"/>
      <c r="AK198" s="2644"/>
      <c r="AL198" s="2109"/>
      <c r="AM198" s="1946"/>
      <c r="AN198" s="1946"/>
      <c r="AO198" s="1946"/>
      <c r="AP198" s="1946"/>
      <c r="AQ198" s="1946"/>
      <c r="AR198" s="1946"/>
      <c r="AS198" s="1946"/>
      <c r="AT198" s="1946"/>
      <c r="AU198" s="1946"/>
      <c r="AV198" s="1946"/>
      <c r="AW198" s="1946"/>
      <c r="AX198" s="1946"/>
      <c r="AY198" s="1946"/>
      <c r="AZ198" s="1946"/>
      <c r="BA198" s="1946"/>
      <c r="BB198" s="1946"/>
      <c r="BC198" s="1946"/>
      <c r="BD198" s="1946"/>
      <c r="BE198" s="1946"/>
      <c r="BF198" s="1946"/>
      <c r="BG198" s="7213"/>
    </row>
    <row customHeight="1" ht="11.25">
      <c r="A199" s="1290" t="s">
        <v>1192</v>
      </c>
      <c r="B199" s="1290"/>
      <c r="C199" s="1290"/>
      <c r="D199" s="1284"/>
      <c r="E199" s="1294"/>
      <c r="F199" s="1952"/>
      <c r="G199" s="1953"/>
      <c r="H199" s="2652" t="s">
        <v>488</v>
      </c>
      <c r="I199" s="2653"/>
      <c r="J199" s="2622"/>
      <c r="K199" s="2654"/>
      <c r="L199" s="2244"/>
      <c r="M199" s="2245"/>
      <c r="N199" s="1299"/>
      <c r="O199" s="1300"/>
      <c r="P199" s="1292" t="s">
        <v>1310</v>
      </c>
      <c r="Q199" s="1300"/>
      <c r="R199" s="1300"/>
      <c r="S199" s="1300"/>
      <c r="T199" s="1300"/>
      <c r="U199" s="1300"/>
      <c r="V199" s="1300"/>
      <c r="W199" s="1300"/>
      <c r="X199" s="1300"/>
      <c r="Y199" s="1300"/>
      <c r="Z199" s="1300"/>
      <c r="AA199" s="1300"/>
      <c r="AB199" s="1300"/>
      <c r="AC199" s="1300"/>
      <c r="AD199" s="1300"/>
      <c r="AE199" s="1307"/>
      <c r="AF199" s="2643"/>
      <c r="AG199" s="2644"/>
      <c r="AH199" s="2644"/>
      <c r="AI199" s="2643"/>
      <c r="AJ199" s="2644"/>
      <c r="AK199" s="2644"/>
      <c r="AL199" s="2109"/>
      <c r="AM199" s="1946"/>
      <c r="AN199" s="1946"/>
      <c r="AO199" s="1946"/>
      <c r="AP199" s="1946"/>
      <c r="AQ199" s="1946"/>
      <c r="AR199" s="1946"/>
      <c r="AS199" s="1946"/>
      <c r="AT199" s="1946"/>
      <c r="AU199" s="1946"/>
      <c r="AV199" s="1946"/>
      <c r="AW199" s="1946"/>
      <c r="AX199" s="1946"/>
      <c r="AY199" s="1946"/>
      <c r="AZ199" s="1946"/>
      <c r="BA199" s="1946"/>
      <c r="BB199" s="1946"/>
      <c r="BC199" s="1946"/>
      <c r="BD199" s="1946"/>
      <c r="BE199" s="1946"/>
      <c r="BF199" s="1946"/>
      <c r="BG199" s="7213"/>
    </row>
    <row customHeight="1" ht="12">
      <c r="A200" s="1290" t="s">
        <v>1192</v>
      </c>
      <c r="B200" s="1290"/>
      <c r="C200" s="1290"/>
      <c r="D200" s="1284"/>
      <c r="E200" s="1294"/>
      <c r="F200" s="2674"/>
      <c r="G200" s="1314"/>
      <c r="H200" s="1314"/>
      <c r="I200" s="2672" t="s">
        <v>1294</v>
      </c>
      <c r="J200" s="2672"/>
      <c r="K200" s="2672"/>
      <c r="L200" s="1297"/>
      <c r="M200" s="1297"/>
      <c r="N200" s="1298"/>
      <c r="O200" s="1298"/>
      <c r="P200" s="1298"/>
      <c r="Q200" s="1298"/>
      <c r="R200" s="1298"/>
      <c r="S200" s="1298"/>
      <c r="T200" s="1298"/>
      <c r="U200" s="1298"/>
      <c r="V200" s="1298"/>
      <c r="W200" s="1298"/>
      <c r="X200" s="1298"/>
      <c r="Y200" s="1298"/>
      <c r="Z200" s="1298"/>
      <c r="AA200" s="1298"/>
      <c r="AB200" s="1298"/>
      <c r="AC200" s="1298"/>
      <c r="AD200" s="1298"/>
      <c r="AE200" s="1298"/>
      <c r="AF200" s="1298"/>
      <c r="AG200" s="1297"/>
      <c r="AH200" s="1297"/>
      <c r="AI200" s="1298"/>
      <c r="AJ200" s="1297"/>
      <c r="AK200" s="1298"/>
      <c r="AL200" s="2109"/>
      <c r="AM200" s="1946"/>
      <c r="AN200" s="1946"/>
      <c r="AO200" s="1946"/>
      <c r="AP200" s="1946"/>
      <c r="AQ200" s="1946"/>
      <c r="AR200" s="1946"/>
      <c r="AS200" s="1946"/>
      <c r="AT200" s="1946"/>
      <c r="AU200" s="1946"/>
      <c r="AV200" s="1946"/>
      <c r="AW200" s="1946"/>
      <c r="AX200" s="1946"/>
      <c r="AY200" s="1946"/>
      <c r="AZ200" s="1946"/>
      <c r="BA200" s="1946"/>
      <c r="BB200" s="1946"/>
      <c r="BC200" s="1946"/>
      <c r="BD200" s="1946"/>
      <c r="BE200" s="1946"/>
      <c r="BF200" s="1946"/>
      <c r="BG200" s="7213"/>
    </row>
    <row customHeight="1" ht="0.75">
      <c r="A201" s="1290" t="s">
        <v>1192</v>
      </c>
      <c r="B201" s="1290"/>
      <c r="C201" s="1290"/>
      <c r="D201" s="1284"/>
      <c r="E201" s="1294"/>
      <c r="F201" s="2673">
        <v>2025</v>
      </c>
      <c r="G201" s="2652"/>
      <c r="H201" s="2677" t="s">
        <v>488</v>
      </c>
      <c r="I201" s="2678"/>
      <c r="J201" s="2679"/>
      <c r="K201" s="2679"/>
      <c r="L201" s="2671"/>
      <c r="M201" s="2405"/>
      <c r="N201" s="2157"/>
      <c r="O201" s="2156"/>
      <c r="P201" s="2157"/>
      <c r="Q201" s="2157"/>
      <c r="R201" s="2157"/>
      <c r="S201" s="2157"/>
      <c r="T201" s="2157"/>
      <c r="U201" s="2157"/>
      <c r="V201" s="2157"/>
      <c r="W201" s="2157"/>
      <c r="X201" s="2157"/>
      <c r="Y201" s="2157"/>
      <c r="Z201" s="2157"/>
      <c r="AA201" s="2157"/>
      <c r="AB201" s="2157"/>
      <c r="AC201" s="2157"/>
      <c r="AD201" s="2157"/>
      <c r="AE201" s="2157"/>
      <c r="AF201" s="2675"/>
      <c r="AG201" s="2671"/>
      <c r="AH201" s="2671"/>
      <c r="AI201" s="2675"/>
      <c r="AJ201" s="2671"/>
      <c r="AK201" s="2671"/>
      <c r="AL201" s="2109"/>
      <c r="AM201" s="1946"/>
      <c r="AN201" s="1946"/>
      <c r="AO201" s="1946"/>
      <c r="AP201" s="1946"/>
      <c r="AQ201" s="1946"/>
      <c r="AR201" s="1946"/>
      <c r="AS201" s="1946"/>
      <c r="AT201" s="1946"/>
      <c r="AU201" s="1946"/>
      <c r="AV201" s="1946"/>
      <c r="AW201" s="1946"/>
      <c r="AX201" s="1946"/>
      <c r="AY201" s="1946"/>
      <c r="AZ201" s="1946"/>
      <c r="BA201" s="1946"/>
      <c r="BB201" s="1946"/>
      <c r="BC201" s="1946"/>
      <c r="BD201" s="1946"/>
      <c r="BE201" s="1946"/>
      <c r="BF201" s="1946"/>
      <c r="BG201" s="7213"/>
    </row>
    <row customHeight="1" ht="0.75">
      <c r="A202" s="1290" t="s">
        <v>1192</v>
      </c>
      <c r="B202" s="1290"/>
      <c r="C202" s="1290"/>
      <c r="D202" s="1284"/>
      <c r="E202" s="1294"/>
      <c r="F202" s="2673"/>
      <c r="G202" s="2652"/>
      <c r="H202" s="2677"/>
      <c r="I202" s="2678"/>
      <c r="J202" s="2679"/>
      <c r="K202" s="2679"/>
      <c r="L202" s="2671"/>
      <c r="M202" s="2405"/>
      <c r="N202" s="2680"/>
      <c r="O202" s="2681"/>
      <c r="P202" s="2725"/>
      <c r="Q202" s="2676"/>
      <c r="R202" s="2676"/>
      <c r="S202" s="2676"/>
      <c r="T202" s="2676"/>
      <c r="U202" s="2676"/>
      <c r="V202" s="2676"/>
      <c r="W202" s="2676"/>
      <c r="X202" s="2676"/>
      <c r="Y202" s="2676"/>
      <c r="Z202" s="2158"/>
      <c r="AA202" s="2159"/>
      <c r="AB202" s="2159"/>
      <c r="AC202" s="2160"/>
      <c r="AD202" s="2160"/>
      <c r="AE202" s="2161"/>
      <c r="AF202" s="2675"/>
      <c r="AG202" s="2671"/>
      <c r="AH202" s="2671"/>
      <c r="AI202" s="2675"/>
      <c r="AJ202" s="2671"/>
      <c r="AK202" s="2671"/>
      <c r="AL202" s="2109"/>
      <c r="AM202" s="1946"/>
      <c r="AN202" s="1946"/>
      <c r="AO202" s="1946"/>
      <c r="AP202" s="1946"/>
      <c r="AQ202" s="1946"/>
      <c r="AR202" s="1946"/>
      <c r="AS202" s="1946"/>
      <c r="AT202" s="1946"/>
      <c r="AU202" s="1946"/>
      <c r="AV202" s="1946"/>
      <c r="AW202" s="1946"/>
      <c r="AX202" s="1946"/>
      <c r="AY202" s="1946"/>
      <c r="AZ202" s="1946"/>
      <c r="BA202" s="1946"/>
      <c r="BB202" s="1946"/>
      <c r="BC202" s="1946"/>
      <c r="BD202" s="1946"/>
      <c r="BE202" s="1946"/>
      <c r="BF202" s="1946"/>
      <c r="BG202" s="7213"/>
    </row>
    <row customHeight="1" ht="0.75">
      <c r="A203" s="1290" t="s">
        <v>1192</v>
      </c>
      <c r="B203" s="1290"/>
      <c r="C203" s="1290"/>
      <c r="D203" s="1284"/>
      <c r="E203" s="1294"/>
      <c r="F203" s="2673"/>
      <c r="G203" s="2652"/>
      <c r="H203" s="2677"/>
      <c r="I203" s="2678"/>
      <c r="J203" s="2679"/>
      <c r="K203" s="2679"/>
      <c r="L203" s="2671"/>
      <c r="M203" s="2405"/>
      <c r="N203" s="2680"/>
      <c r="O203" s="2681"/>
      <c r="P203" s="2726"/>
      <c r="Q203" s="2676"/>
      <c r="R203" s="2676"/>
      <c r="S203" s="2676"/>
      <c r="T203" s="2676"/>
      <c r="U203" s="2676"/>
      <c r="V203" s="2676"/>
      <c r="W203" s="2676"/>
      <c r="X203" s="2676"/>
      <c r="Y203" s="2676"/>
      <c r="Z203" s="2162"/>
      <c r="AA203" s="2163"/>
      <c r="AB203" s="2164"/>
      <c r="AC203" s="2165"/>
      <c r="AD203" s="2164"/>
      <c r="AE203" s="2165"/>
      <c r="AF203" s="2675"/>
      <c r="AG203" s="2671"/>
      <c r="AH203" s="2671"/>
      <c r="AI203" s="2675"/>
      <c r="AJ203" s="2671"/>
      <c r="AK203" s="2671"/>
      <c r="AL203" s="2109"/>
      <c r="AM203" s="1946"/>
      <c r="AN203" s="1946"/>
      <c r="AO203" s="1946"/>
      <c r="AP203" s="1946"/>
      <c r="AQ203" s="1946"/>
      <c r="AR203" s="1946"/>
      <c r="AS203" s="1946"/>
      <c r="AT203" s="1946"/>
      <c r="AU203" s="1946"/>
      <c r="AV203" s="1946"/>
      <c r="AW203" s="1946"/>
      <c r="AX203" s="1946"/>
      <c r="AY203" s="1946"/>
      <c r="AZ203" s="1946"/>
      <c r="BA203" s="1946"/>
      <c r="BB203" s="1946"/>
      <c r="BC203" s="1946"/>
      <c r="BD203" s="1946"/>
      <c r="BE203" s="1946"/>
      <c r="BF203" s="1946"/>
      <c r="BG203" s="7213"/>
    </row>
    <row customHeight="1" ht="0.75">
      <c r="A204" s="1290" t="s">
        <v>1192</v>
      </c>
      <c r="B204" s="1290"/>
      <c r="C204" s="1290"/>
      <c r="D204" s="1284"/>
      <c r="E204" s="1294"/>
      <c r="F204" s="2673"/>
      <c r="G204" s="2652"/>
      <c r="H204" s="2677"/>
      <c r="I204" s="2678"/>
      <c r="J204" s="2679"/>
      <c r="K204" s="2679"/>
      <c r="L204" s="2671"/>
      <c r="M204" s="2405"/>
      <c r="N204" s="2680"/>
      <c r="O204" s="2681"/>
      <c r="P204" s="2727"/>
      <c r="Q204" s="2676"/>
      <c r="R204" s="2676"/>
      <c r="S204" s="2676"/>
      <c r="T204" s="2676"/>
      <c r="U204" s="2676"/>
      <c r="V204" s="2676"/>
      <c r="W204" s="2676"/>
      <c r="X204" s="2676"/>
      <c r="Y204" s="2676"/>
      <c r="Z204" s="2158"/>
      <c r="AA204" s="2159"/>
      <c r="AB204" s="2166"/>
      <c r="AC204" s="2160"/>
      <c r="AD204" s="2160"/>
      <c r="AE204" s="2167"/>
      <c r="AF204" s="2675"/>
      <c r="AG204" s="2671"/>
      <c r="AH204" s="2671"/>
      <c r="AI204" s="2675"/>
      <c r="AJ204" s="2671"/>
      <c r="AK204" s="2671"/>
      <c r="AL204" s="2109"/>
      <c r="AM204" s="1946"/>
      <c r="AN204" s="1946"/>
      <c r="AO204" s="1946"/>
      <c r="AP204" s="1946"/>
      <c r="AQ204" s="1946"/>
      <c r="AR204" s="1946"/>
      <c r="AS204" s="1946"/>
      <c r="AT204" s="1946"/>
      <c r="AU204" s="1946"/>
      <c r="AV204" s="1946"/>
      <c r="AW204" s="1946"/>
      <c r="AX204" s="1946"/>
      <c r="AY204" s="1946"/>
      <c r="AZ204" s="1946"/>
      <c r="BA204" s="1946"/>
      <c r="BB204" s="1946"/>
      <c r="BC204" s="1946"/>
      <c r="BD204" s="1946"/>
      <c r="BE204" s="1946"/>
      <c r="BF204" s="1946"/>
      <c r="BG204" s="7213"/>
    </row>
    <row customHeight="1" ht="0.75">
      <c r="A205" s="1290" t="s">
        <v>1192</v>
      </c>
      <c r="B205" s="1290"/>
      <c r="C205" s="1290"/>
      <c r="D205" s="1284"/>
      <c r="E205" s="1294"/>
      <c r="F205" s="2673"/>
      <c r="G205" s="2652"/>
      <c r="H205" s="2677"/>
      <c r="I205" s="2678"/>
      <c r="J205" s="2679"/>
      <c r="K205" s="2679"/>
      <c r="L205" s="2671"/>
      <c r="M205" s="2405"/>
      <c r="N205" s="2159"/>
      <c r="O205" s="2159"/>
      <c r="P205" s="2166"/>
      <c r="Q205" s="2159"/>
      <c r="R205" s="2159"/>
      <c r="S205" s="2159"/>
      <c r="T205" s="2159"/>
      <c r="U205" s="2159"/>
      <c r="V205" s="2159"/>
      <c r="W205" s="2159"/>
      <c r="X205" s="2159"/>
      <c r="Y205" s="2159"/>
      <c r="Z205" s="2159"/>
      <c r="AA205" s="2159"/>
      <c r="AB205" s="2159"/>
      <c r="AC205" s="2159"/>
      <c r="AD205" s="2159"/>
      <c r="AE205" s="2168"/>
      <c r="AF205" s="2675"/>
      <c r="AG205" s="2671"/>
      <c r="AH205" s="2671"/>
      <c r="AI205" s="2675"/>
      <c r="AJ205" s="2671"/>
      <c r="AK205" s="2671"/>
      <c r="AL205" s="2109"/>
      <c r="AM205" s="1946"/>
      <c r="AN205" s="1946"/>
      <c r="AO205" s="1946"/>
      <c r="AP205" s="1946"/>
      <c r="AQ205" s="1946"/>
      <c r="AR205" s="1946"/>
      <c r="AS205" s="1946"/>
      <c r="AT205" s="1946"/>
      <c r="AU205" s="1946"/>
      <c r="AV205" s="1946"/>
      <c r="AW205" s="1946"/>
      <c r="AX205" s="1946"/>
      <c r="AY205" s="1946"/>
      <c r="AZ205" s="1946"/>
      <c r="BA205" s="1946"/>
      <c r="BB205" s="1946"/>
      <c r="BC205" s="1946"/>
      <c r="BD205" s="1946"/>
      <c r="BE205" s="1946"/>
      <c r="BF205" s="1946"/>
      <c r="BG205" s="7213"/>
    </row>
    <row customHeight="1" ht="12">
      <c r="A206" s="1290" t="s">
        <v>1192</v>
      </c>
      <c r="B206" s="1290"/>
      <c r="C206" s="1290"/>
      <c r="D206" s="1284"/>
      <c r="E206" s="1294"/>
      <c r="F206" s="2674"/>
      <c r="G206" s="1314"/>
      <c r="H206" s="1314"/>
      <c r="I206" s="2672" t="s">
        <v>1294</v>
      </c>
      <c r="J206" s="2672"/>
      <c r="K206" s="2672"/>
      <c r="L206" s="1297"/>
      <c r="M206" s="1297"/>
      <c r="N206" s="1298"/>
      <c r="O206" s="1298"/>
      <c r="P206" s="1298"/>
      <c r="Q206" s="1298"/>
      <c r="R206" s="1298"/>
      <c r="S206" s="1298"/>
      <c r="T206" s="1298"/>
      <c r="U206" s="1298"/>
      <c r="V206" s="1298"/>
      <c r="W206" s="1298"/>
      <c r="X206" s="1298"/>
      <c r="Y206" s="1298"/>
      <c r="Z206" s="1298"/>
      <c r="AA206" s="1298"/>
      <c r="AB206" s="1298"/>
      <c r="AC206" s="1298"/>
      <c r="AD206" s="1298"/>
      <c r="AE206" s="1298"/>
      <c r="AF206" s="1298"/>
      <c r="AG206" s="1297"/>
      <c r="AH206" s="1297"/>
      <c r="AI206" s="1298"/>
      <c r="AJ206" s="1297"/>
      <c r="AK206" s="1298"/>
      <c r="AL206" s="2109"/>
      <c r="AM206" s="1946"/>
      <c r="AN206" s="1946"/>
      <c r="AO206" s="1946"/>
      <c r="AP206" s="1946"/>
      <c r="AQ206" s="1946"/>
      <c r="AR206" s="1946"/>
      <c r="AS206" s="1946"/>
      <c r="AT206" s="1946"/>
      <c r="AU206" s="1946"/>
      <c r="AV206" s="1946"/>
      <c r="AW206" s="1946"/>
      <c r="AX206" s="1946"/>
      <c r="AY206" s="1946"/>
      <c r="AZ206" s="1946"/>
      <c r="BA206" s="1946"/>
      <c r="BB206" s="1946"/>
      <c r="BC206" s="1946"/>
      <c r="BD206" s="1946"/>
      <c r="BE206" s="1946"/>
      <c r="BF206" s="1946"/>
      <c r="BG206" s="7213"/>
    </row>
    <row customHeight="1" ht="0.75">
      <c r="A207" s="1290" t="s">
        <v>1192</v>
      </c>
      <c r="B207" s="1290"/>
      <c r="C207" s="1290"/>
      <c r="D207" s="1284"/>
      <c r="E207" s="1294"/>
      <c r="F207" s="2673">
        <v>2026</v>
      </c>
      <c r="G207" s="2652"/>
      <c r="H207" s="2677" t="s">
        <v>488</v>
      </c>
      <c r="I207" s="2678"/>
      <c r="J207" s="2679"/>
      <c r="K207" s="2679"/>
      <c r="L207" s="2671"/>
      <c r="M207" s="2405"/>
      <c r="N207" s="2157"/>
      <c r="O207" s="2156"/>
      <c r="P207" s="2157"/>
      <c r="Q207" s="2157"/>
      <c r="R207" s="2157"/>
      <c r="S207" s="2157"/>
      <c r="T207" s="2157"/>
      <c r="U207" s="2157"/>
      <c r="V207" s="2157"/>
      <c r="W207" s="2157"/>
      <c r="X207" s="2157"/>
      <c r="Y207" s="2157"/>
      <c r="Z207" s="2157"/>
      <c r="AA207" s="2157"/>
      <c r="AB207" s="2157"/>
      <c r="AC207" s="2157"/>
      <c r="AD207" s="2157"/>
      <c r="AE207" s="2157"/>
      <c r="AF207" s="2675"/>
      <c r="AG207" s="2671"/>
      <c r="AH207" s="2671"/>
      <c r="AI207" s="2675"/>
      <c r="AJ207" s="2671"/>
      <c r="AK207" s="2671"/>
      <c r="AL207" s="2109"/>
      <c r="AM207" s="1946"/>
      <c r="AN207" s="1946"/>
      <c r="AO207" s="1946"/>
      <c r="AP207" s="1946"/>
      <c r="AQ207" s="1946"/>
      <c r="AR207" s="1946"/>
      <c r="AS207" s="1946"/>
      <c r="AT207" s="1946"/>
      <c r="AU207" s="1946"/>
      <c r="AV207" s="1946"/>
      <c r="AW207" s="1946"/>
      <c r="AX207" s="1946"/>
      <c r="AY207" s="1946"/>
      <c r="AZ207" s="1946"/>
      <c r="BA207" s="1946"/>
      <c r="BB207" s="1946"/>
      <c r="BC207" s="1946"/>
      <c r="BD207" s="1946"/>
      <c r="BE207" s="1946"/>
      <c r="BF207" s="1946"/>
      <c r="BG207" s="7213"/>
    </row>
    <row customHeight="1" ht="0.75">
      <c r="A208" s="1290" t="s">
        <v>1192</v>
      </c>
      <c r="B208" s="1290"/>
      <c r="C208" s="1290"/>
      <c r="D208" s="1284"/>
      <c r="E208" s="1294"/>
      <c r="F208" s="2673"/>
      <c r="G208" s="2652"/>
      <c r="H208" s="2677"/>
      <c r="I208" s="2678"/>
      <c r="J208" s="2679"/>
      <c r="K208" s="2679"/>
      <c r="L208" s="2671"/>
      <c r="M208" s="2405"/>
      <c r="N208" s="2680"/>
      <c r="O208" s="2681"/>
      <c r="P208" s="2725"/>
      <c r="Q208" s="2676"/>
      <c r="R208" s="2676"/>
      <c r="S208" s="2676"/>
      <c r="T208" s="2676"/>
      <c r="U208" s="2676"/>
      <c r="V208" s="2676"/>
      <c r="W208" s="2676"/>
      <c r="X208" s="2676"/>
      <c r="Y208" s="2676"/>
      <c r="Z208" s="2158"/>
      <c r="AA208" s="2159"/>
      <c r="AB208" s="2159"/>
      <c r="AC208" s="2160"/>
      <c r="AD208" s="2160"/>
      <c r="AE208" s="2161"/>
      <c r="AF208" s="2675"/>
      <c r="AG208" s="2671"/>
      <c r="AH208" s="2671"/>
      <c r="AI208" s="2675"/>
      <c r="AJ208" s="2671"/>
      <c r="AK208" s="2671"/>
      <c r="AL208" s="2109"/>
      <c r="AM208" s="1946"/>
      <c r="AN208" s="1946"/>
      <c r="AO208" s="1946"/>
      <c r="AP208" s="1946"/>
      <c r="AQ208" s="1946"/>
      <c r="AR208" s="1946"/>
      <c r="AS208" s="1946"/>
      <c r="AT208" s="1946"/>
      <c r="AU208" s="1946"/>
      <c r="AV208" s="1946"/>
      <c r="AW208" s="1946"/>
      <c r="AX208" s="1946"/>
      <c r="AY208" s="1946"/>
      <c r="AZ208" s="1946"/>
      <c r="BA208" s="1946"/>
      <c r="BB208" s="1946"/>
      <c r="BC208" s="1946"/>
      <c r="BD208" s="1946"/>
      <c r="BE208" s="1946"/>
      <c r="BF208" s="1946"/>
      <c r="BG208" s="7213"/>
    </row>
    <row customHeight="1" ht="0.75">
      <c r="A209" s="1290" t="s">
        <v>1192</v>
      </c>
      <c r="B209" s="1290"/>
      <c r="C209" s="1290"/>
      <c r="D209" s="1284"/>
      <c r="E209" s="1294"/>
      <c r="F209" s="2673"/>
      <c r="G209" s="2652"/>
      <c r="H209" s="2677"/>
      <c r="I209" s="2678"/>
      <c r="J209" s="2679"/>
      <c r="K209" s="2679"/>
      <c r="L209" s="2671"/>
      <c r="M209" s="2405"/>
      <c r="N209" s="2680"/>
      <c r="O209" s="2681"/>
      <c r="P209" s="2726"/>
      <c r="Q209" s="2676"/>
      <c r="R209" s="2676"/>
      <c r="S209" s="2676"/>
      <c r="T209" s="2676"/>
      <c r="U209" s="2676"/>
      <c r="V209" s="2676"/>
      <c r="W209" s="2676"/>
      <c r="X209" s="2676"/>
      <c r="Y209" s="2676"/>
      <c r="Z209" s="2162"/>
      <c r="AA209" s="2163"/>
      <c r="AB209" s="2164"/>
      <c r="AC209" s="2165"/>
      <c r="AD209" s="2164"/>
      <c r="AE209" s="2165"/>
      <c r="AF209" s="2675"/>
      <c r="AG209" s="2671"/>
      <c r="AH209" s="2671"/>
      <c r="AI209" s="2675"/>
      <c r="AJ209" s="2671"/>
      <c r="AK209" s="2671"/>
      <c r="AL209" s="2109"/>
      <c r="AM209" s="1946"/>
      <c r="AN209" s="1946"/>
      <c r="AO209" s="1946"/>
      <c r="AP209" s="1946"/>
      <c r="AQ209" s="1946"/>
      <c r="AR209" s="1946"/>
      <c r="AS209" s="1946"/>
      <c r="AT209" s="1946"/>
      <c r="AU209" s="1946"/>
      <c r="AV209" s="1946"/>
      <c r="AW209" s="1946"/>
      <c r="AX209" s="1946"/>
      <c r="AY209" s="1946"/>
      <c r="AZ209" s="1946"/>
      <c r="BA209" s="1946"/>
      <c r="BB209" s="1946"/>
      <c r="BC209" s="1946"/>
      <c r="BD209" s="1946"/>
      <c r="BE209" s="1946"/>
      <c r="BF209" s="1946"/>
      <c r="BG209" s="7213"/>
    </row>
    <row customHeight="1" ht="0.75">
      <c r="A210" s="1290" t="s">
        <v>1192</v>
      </c>
      <c r="B210" s="1290"/>
      <c r="C210" s="1290"/>
      <c r="D210" s="1284"/>
      <c r="E210" s="1294"/>
      <c r="F210" s="2673"/>
      <c r="G210" s="2652"/>
      <c r="H210" s="2677"/>
      <c r="I210" s="2678"/>
      <c r="J210" s="2679"/>
      <c r="K210" s="2679"/>
      <c r="L210" s="2671"/>
      <c r="M210" s="2405"/>
      <c r="N210" s="2680"/>
      <c r="O210" s="2681"/>
      <c r="P210" s="2727"/>
      <c r="Q210" s="2676"/>
      <c r="R210" s="2676"/>
      <c r="S210" s="2676"/>
      <c r="T210" s="2676"/>
      <c r="U210" s="2676"/>
      <c r="V210" s="2676"/>
      <c r="W210" s="2676"/>
      <c r="X210" s="2676"/>
      <c r="Y210" s="2676"/>
      <c r="Z210" s="2158"/>
      <c r="AA210" s="2159"/>
      <c r="AB210" s="2166"/>
      <c r="AC210" s="2160"/>
      <c r="AD210" s="2160"/>
      <c r="AE210" s="2167"/>
      <c r="AF210" s="2675"/>
      <c r="AG210" s="2671"/>
      <c r="AH210" s="2671"/>
      <c r="AI210" s="2675"/>
      <c r="AJ210" s="2671"/>
      <c r="AK210" s="2671"/>
      <c r="AL210" s="2109"/>
      <c r="AM210" s="1946"/>
      <c r="AN210" s="1946"/>
      <c r="AO210" s="1946"/>
      <c r="AP210" s="1946"/>
      <c r="AQ210" s="1946"/>
      <c r="AR210" s="1946"/>
      <c r="AS210" s="1946"/>
      <c r="AT210" s="1946"/>
      <c r="AU210" s="1946"/>
      <c r="AV210" s="1946"/>
      <c r="AW210" s="1946"/>
      <c r="AX210" s="1946"/>
      <c r="AY210" s="1946"/>
      <c r="AZ210" s="1946"/>
      <c r="BA210" s="1946"/>
      <c r="BB210" s="1946"/>
      <c r="BC210" s="1946"/>
      <c r="BD210" s="1946"/>
      <c r="BE210" s="1946"/>
      <c r="BF210" s="1946"/>
      <c r="BG210" s="7213"/>
    </row>
    <row customHeight="1" ht="0.75">
      <c r="A211" s="1290" t="s">
        <v>1192</v>
      </c>
      <c r="B211" s="1290"/>
      <c r="C211" s="1290"/>
      <c r="D211" s="1284"/>
      <c r="E211" s="1294"/>
      <c r="F211" s="2673"/>
      <c r="G211" s="2652"/>
      <c r="H211" s="2677"/>
      <c r="I211" s="2678"/>
      <c r="J211" s="2679"/>
      <c r="K211" s="2679"/>
      <c r="L211" s="2671"/>
      <c r="M211" s="2405"/>
      <c r="N211" s="2159"/>
      <c r="O211" s="2159"/>
      <c r="P211" s="2166"/>
      <c r="Q211" s="2159"/>
      <c r="R211" s="2159"/>
      <c r="S211" s="2159"/>
      <c r="T211" s="2159"/>
      <c r="U211" s="2159"/>
      <c r="V211" s="2159"/>
      <c r="W211" s="2159"/>
      <c r="X211" s="2159"/>
      <c r="Y211" s="2159"/>
      <c r="Z211" s="2159"/>
      <c r="AA211" s="2159"/>
      <c r="AB211" s="2159"/>
      <c r="AC211" s="2159"/>
      <c r="AD211" s="2159"/>
      <c r="AE211" s="2168"/>
      <c r="AF211" s="2675"/>
      <c r="AG211" s="2671"/>
      <c r="AH211" s="2671"/>
      <c r="AI211" s="2675"/>
      <c r="AJ211" s="2671"/>
      <c r="AK211" s="2671"/>
      <c r="AL211" s="2109"/>
      <c r="AM211" s="1946"/>
      <c r="AN211" s="1946"/>
      <c r="AO211" s="1946"/>
      <c r="AP211" s="1946"/>
      <c r="AQ211" s="1946"/>
      <c r="AR211" s="1946"/>
      <c r="AS211" s="1946"/>
      <c r="AT211" s="1946"/>
      <c r="AU211" s="1946"/>
      <c r="AV211" s="1946"/>
      <c r="AW211" s="1946"/>
      <c r="AX211" s="1946"/>
      <c r="AY211" s="1946"/>
      <c r="AZ211" s="1946"/>
      <c r="BA211" s="1946"/>
      <c r="BB211" s="1946"/>
      <c r="BC211" s="1946"/>
      <c r="BD211" s="1946"/>
      <c r="BE211" s="1946"/>
      <c r="BF211" s="1946"/>
      <c r="BG211" s="7213"/>
    </row>
    <row customHeight="1" ht="12">
      <c r="A212" s="1290" t="s">
        <v>1192</v>
      </c>
      <c r="B212" s="1290"/>
      <c r="C212" s="1290"/>
      <c r="D212" s="1284"/>
      <c r="E212" s="1294"/>
      <c r="F212" s="2674"/>
      <c r="G212" s="1314"/>
      <c r="H212" s="1314"/>
      <c r="I212" s="2672" t="s">
        <v>1294</v>
      </c>
      <c r="J212" s="2672"/>
      <c r="K212" s="2672"/>
      <c r="L212" s="1297"/>
      <c r="M212" s="1297"/>
      <c r="N212" s="1298"/>
      <c r="O212" s="1298"/>
      <c r="P212" s="1298"/>
      <c r="Q212" s="1298"/>
      <c r="R212" s="1298"/>
      <c r="S212" s="1298"/>
      <c r="T212" s="1298"/>
      <c r="U212" s="1298"/>
      <c r="V212" s="1298"/>
      <c r="W212" s="1298"/>
      <c r="X212" s="1298"/>
      <c r="Y212" s="1298"/>
      <c r="Z212" s="1298"/>
      <c r="AA212" s="1298"/>
      <c r="AB212" s="1298"/>
      <c r="AC212" s="1298"/>
      <c r="AD212" s="1298"/>
      <c r="AE212" s="1298"/>
      <c r="AF212" s="1298"/>
      <c r="AG212" s="1297"/>
      <c r="AH212" s="1297"/>
      <c r="AI212" s="1298"/>
      <c r="AJ212" s="1297"/>
      <c r="AK212" s="1298"/>
      <c r="AL212" s="2109"/>
      <c r="AM212" s="1946"/>
      <c r="AN212" s="1946"/>
      <c r="AO212" s="1946"/>
      <c r="AP212" s="1946"/>
      <c r="AQ212" s="1946"/>
      <c r="AR212" s="1946"/>
      <c r="AS212" s="1946"/>
      <c r="AT212" s="1946"/>
      <c r="AU212" s="1946"/>
      <c r="AV212" s="1946"/>
      <c r="AW212" s="1946"/>
      <c r="AX212" s="1946"/>
      <c r="AY212" s="1946"/>
      <c r="AZ212" s="1946"/>
      <c r="BA212" s="1946"/>
      <c r="BB212" s="1946"/>
      <c r="BC212" s="1946"/>
      <c r="BD212" s="1946"/>
      <c r="BE212" s="1946"/>
      <c r="BF212" s="1946"/>
      <c r="BG212" s="7213"/>
    </row>
    <row customHeight="1" ht="0.75">
      <c r="A213" s="1290" t="s">
        <v>1192</v>
      </c>
      <c r="B213" s="1290"/>
      <c r="C213" s="1290"/>
      <c r="D213" s="1284"/>
      <c r="E213" s="1294"/>
      <c r="F213" s="2673">
        <v>2027</v>
      </c>
      <c r="G213" s="2652"/>
      <c r="H213" s="2677" t="s">
        <v>488</v>
      </c>
      <c r="I213" s="2678"/>
      <c r="J213" s="2679"/>
      <c r="K213" s="2679"/>
      <c r="L213" s="2671"/>
      <c r="M213" s="2405"/>
      <c r="N213" s="2157"/>
      <c r="O213" s="2156"/>
      <c r="P213" s="2157"/>
      <c r="Q213" s="2157"/>
      <c r="R213" s="2157"/>
      <c r="S213" s="2157"/>
      <c r="T213" s="2157"/>
      <c r="U213" s="2157"/>
      <c r="V213" s="2157"/>
      <c r="W213" s="2157"/>
      <c r="X213" s="2157"/>
      <c r="Y213" s="2157"/>
      <c r="Z213" s="2157"/>
      <c r="AA213" s="2157"/>
      <c r="AB213" s="2157"/>
      <c r="AC213" s="2157"/>
      <c r="AD213" s="2157"/>
      <c r="AE213" s="2157"/>
      <c r="AF213" s="2675"/>
      <c r="AG213" s="2671"/>
      <c r="AH213" s="2671"/>
      <c r="AI213" s="2675"/>
      <c r="AJ213" s="2671"/>
      <c r="AK213" s="2671"/>
      <c r="AL213" s="2109"/>
      <c r="AM213" s="1946"/>
      <c r="AN213" s="1946"/>
      <c r="AO213" s="1946"/>
      <c r="AP213" s="1946"/>
      <c r="AQ213" s="1946"/>
      <c r="AR213" s="1946"/>
      <c r="AS213" s="1946"/>
      <c r="AT213" s="1946"/>
      <c r="AU213" s="1946"/>
      <c r="AV213" s="1946"/>
      <c r="AW213" s="1946"/>
      <c r="AX213" s="1946"/>
      <c r="AY213" s="1946"/>
      <c r="AZ213" s="1946"/>
      <c r="BA213" s="1946"/>
      <c r="BB213" s="1946"/>
      <c r="BC213" s="1946"/>
      <c r="BD213" s="1946"/>
      <c r="BE213" s="1946"/>
      <c r="BF213" s="1946"/>
      <c r="BG213" s="7213"/>
    </row>
    <row customHeight="1" ht="0.75">
      <c r="A214" s="1290" t="s">
        <v>1192</v>
      </c>
      <c r="B214" s="1290"/>
      <c r="C214" s="1290"/>
      <c r="D214" s="1284"/>
      <c r="E214" s="1294"/>
      <c r="F214" s="2673"/>
      <c r="G214" s="2652"/>
      <c r="H214" s="2677"/>
      <c r="I214" s="2678"/>
      <c r="J214" s="2679"/>
      <c r="K214" s="2679"/>
      <c r="L214" s="2671"/>
      <c r="M214" s="2405"/>
      <c r="N214" s="2680"/>
      <c r="O214" s="2681"/>
      <c r="P214" s="2725"/>
      <c r="Q214" s="2676"/>
      <c r="R214" s="2676"/>
      <c r="S214" s="2676"/>
      <c r="T214" s="2676"/>
      <c r="U214" s="2676"/>
      <c r="V214" s="2676"/>
      <c r="W214" s="2676"/>
      <c r="X214" s="2676"/>
      <c r="Y214" s="2676"/>
      <c r="Z214" s="2158"/>
      <c r="AA214" s="2159"/>
      <c r="AB214" s="2159"/>
      <c r="AC214" s="2160"/>
      <c r="AD214" s="2160"/>
      <c r="AE214" s="2161"/>
      <c r="AF214" s="2675"/>
      <c r="AG214" s="2671"/>
      <c r="AH214" s="2671"/>
      <c r="AI214" s="2675"/>
      <c r="AJ214" s="2671"/>
      <c r="AK214" s="2671"/>
      <c r="AL214" s="2109"/>
      <c r="AM214" s="1946"/>
      <c r="AN214" s="1946"/>
      <c r="AO214" s="1946"/>
      <c r="AP214" s="1946"/>
      <c r="AQ214" s="1946"/>
      <c r="AR214" s="1946"/>
      <c r="AS214" s="1946"/>
      <c r="AT214" s="1946"/>
      <c r="AU214" s="1946"/>
      <c r="AV214" s="1946"/>
      <c r="AW214" s="1946"/>
      <c r="AX214" s="1946"/>
      <c r="AY214" s="1946"/>
      <c r="AZ214" s="1946"/>
      <c r="BA214" s="1946"/>
      <c r="BB214" s="1946"/>
      <c r="BC214" s="1946"/>
      <c r="BD214" s="1946"/>
      <c r="BE214" s="1946"/>
      <c r="BF214" s="1946"/>
      <c r="BG214" s="7213"/>
    </row>
    <row customHeight="1" ht="0.75">
      <c r="A215" s="1290" t="s">
        <v>1192</v>
      </c>
      <c r="B215" s="1290"/>
      <c r="C215" s="1290"/>
      <c r="D215" s="1284"/>
      <c r="E215" s="1294"/>
      <c r="F215" s="2673"/>
      <c r="G215" s="2652"/>
      <c r="H215" s="2677"/>
      <c r="I215" s="2678"/>
      <c r="J215" s="2679"/>
      <c r="K215" s="2679"/>
      <c r="L215" s="2671"/>
      <c r="M215" s="2405"/>
      <c r="N215" s="2680"/>
      <c r="O215" s="2681"/>
      <c r="P215" s="2726"/>
      <c r="Q215" s="2676"/>
      <c r="R215" s="2676"/>
      <c r="S215" s="2676"/>
      <c r="T215" s="2676"/>
      <c r="U215" s="2676"/>
      <c r="V215" s="2676"/>
      <c r="W215" s="2676"/>
      <c r="X215" s="2676"/>
      <c r="Y215" s="2676"/>
      <c r="Z215" s="2162"/>
      <c r="AA215" s="2163"/>
      <c r="AB215" s="2164"/>
      <c r="AC215" s="2165"/>
      <c r="AD215" s="2164"/>
      <c r="AE215" s="2165"/>
      <c r="AF215" s="2675"/>
      <c r="AG215" s="2671"/>
      <c r="AH215" s="2671"/>
      <c r="AI215" s="2675"/>
      <c r="AJ215" s="2671"/>
      <c r="AK215" s="2671"/>
      <c r="AL215" s="2109"/>
      <c r="AM215" s="1946"/>
      <c r="AN215" s="1946"/>
      <c r="AO215" s="1946"/>
      <c r="AP215" s="1946"/>
      <c r="AQ215" s="1946"/>
      <c r="AR215" s="1946"/>
      <c r="AS215" s="1946"/>
      <c r="AT215" s="1946"/>
      <c r="AU215" s="1946"/>
      <c r="AV215" s="1946"/>
      <c r="AW215" s="1946"/>
      <c r="AX215" s="1946"/>
      <c r="AY215" s="1946"/>
      <c r="AZ215" s="1946"/>
      <c r="BA215" s="1946"/>
      <c r="BB215" s="1946"/>
      <c r="BC215" s="1946"/>
      <c r="BD215" s="1946"/>
      <c r="BE215" s="1946"/>
      <c r="BF215" s="1946"/>
      <c r="BG215" s="7213"/>
    </row>
    <row customHeight="1" ht="0.75">
      <c r="A216" s="1290" t="s">
        <v>1192</v>
      </c>
      <c r="B216" s="1290"/>
      <c r="C216" s="1290"/>
      <c r="D216" s="1284"/>
      <c r="E216" s="1294"/>
      <c r="F216" s="2673"/>
      <c r="G216" s="2652"/>
      <c r="H216" s="2677"/>
      <c r="I216" s="2678"/>
      <c r="J216" s="2679"/>
      <c r="K216" s="2679"/>
      <c r="L216" s="2671"/>
      <c r="M216" s="2405"/>
      <c r="N216" s="2680"/>
      <c r="O216" s="2681"/>
      <c r="P216" s="2727"/>
      <c r="Q216" s="2676"/>
      <c r="R216" s="2676"/>
      <c r="S216" s="2676"/>
      <c r="T216" s="2676"/>
      <c r="U216" s="2676"/>
      <c r="V216" s="2676"/>
      <c r="W216" s="2676"/>
      <c r="X216" s="2676"/>
      <c r="Y216" s="2676"/>
      <c r="Z216" s="2158"/>
      <c r="AA216" s="2159"/>
      <c r="AB216" s="2166"/>
      <c r="AC216" s="2160"/>
      <c r="AD216" s="2160"/>
      <c r="AE216" s="2167"/>
      <c r="AF216" s="2675"/>
      <c r="AG216" s="2671"/>
      <c r="AH216" s="2671"/>
      <c r="AI216" s="2675"/>
      <c r="AJ216" s="2671"/>
      <c r="AK216" s="2671"/>
      <c r="AL216" s="2109"/>
      <c r="AM216" s="1946"/>
      <c r="AN216" s="1946"/>
      <c r="AO216" s="1946"/>
      <c r="AP216" s="1946"/>
      <c r="AQ216" s="1946"/>
      <c r="AR216" s="1946"/>
      <c r="AS216" s="1946"/>
      <c r="AT216" s="1946"/>
      <c r="AU216" s="1946"/>
      <c r="AV216" s="1946"/>
      <c r="AW216" s="1946"/>
      <c r="AX216" s="1946"/>
      <c r="AY216" s="1946"/>
      <c r="AZ216" s="1946"/>
      <c r="BA216" s="1946"/>
      <c r="BB216" s="1946"/>
      <c r="BC216" s="1946"/>
      <c r="BD216" s="1946"/>
      <c r="BE216" s="1946"/>
      <c r="BF216" s="1946"/>
      <c r="BG216" s="7213"/>
    </row>
    <row customHeight="1" ht="0.75">
      <c r="A217" s="1290" t="s">
        <v>1192</v>
      </c>
      <c r="B217" s="1290"/>
      <c r="C217" s="1290"/>
      <c r="D217" s="1284"/>
      <c r="E217" s="1294"/>
      <c r="F217" s="2673"/>
      <c r="G217" s="2652"/>
      <c r="H217" s="2677"/>
      <c r="I217" s="2678"/>
      <c r="J217" s="2679"/>
      <c r="K217" s="2679"/>
      <c r="L217" s="2671"/>
      <c r="M217" s="2405"/>
      <c r="N217" s="2159"/>
      <c r="O217" s="2159"/>
      <c r="P217" s="2166"/>
      <c r="Q217" s="2159"/>
      <c r="R217" s="2159"/>
      <c r="S217" s="2159"/>
      <c r="T217" s="2159"/>
      <c r="U217" s="2159"/>
      <c r="V217" s="2159"/>
      <c r="W217" s="2159"/>
      <c r="X217" s="2159"/>
      <c r="Y217" s="2159"/>
      <c r="Z217" s="2159"/>
      <c r="AA217" s="2159"/>
      <c r="AB217" s="2159"/>
      <c r="AC217" s="2159"/>
      <c r="AD217" s="2159"/>
      <c r="AE217" s="2168"/>
      <c r="AF217" s="2675"/>
      <c r="AG217" s="2671"/>
      <c r="AH217" s="2671"/>
      <c r="AI217" s="2675"/>
      <c r="AJ217" s="2671"/>
      <c r="AK217" s="2671"/>
      <c r="AL217" s="2109"/>
      <c r="AM217" s="1946"/>
      <c r="AN217" s="1946"/>
      <c r="AO217" s="1946"/>
      <c r="AP217" s="1946"/>
      <c r="AQ217" s="1946"/>
      <c r="AR217" s="1946"/>
      <c r="AS217" s="1946"/>
      <c r="AT217" s="1946"/>
      <c r="AU217" s="1946"/>
      <c r="AV217" s="1946"/>
      <c r="AW217" s="1946"/>
      <c r="AX217" s="1946"/>
      <c r="AY217" s="1946"/>
      <c r="AZ217" s="1946"/>
      <c r="BA217" s="1946"/>
      <c r="BB217" s="1946"/>
      <c r="BC217" s="1946"/>
      <c r="BD217" s="1946"/>
      <c r="BE217" s="1946"/>
      <c r="BF217" s="1946"/>
      <c r="BG217" s="7213"/>
    </row>
    <row customHeight="1" ht="12">
      <c r="A218" s="1290" t="s">
        <v>1192</v>
      </c>
      <c r="B218" s="1290"/>
      <c r="C218" s="1290"/>
      <c r="D218" s="1284"/>
      <c r="E218" s="1294"/>
      <c r="F218" s="2674"/>
      <c r="G218" s="1314"/>
      <c r="H218" s="1314"/>
      <c r="I218" s="2672" t="s">
        <v>1294</v>
      </c>
      <c r="J218" s="2672"/>
      <c r="K218" s="2672"/>
      <c r="L218" s="1297"/>
      <c r="M218" s="1297"/>
      <c r="N218" s="1298"/>
      <c r="O218" s="1298"/>
      <c r="P218" s="1298"/>
      <c r="Q218" s="1298"/>
      <c r="R218" s="1298"/>
      <c r="S218" s="1298"/>
      <c r="T218" s="1298"/>
      <c r="U218" s="1298"/>
      <c r="V218" s="1298"/>
      <c r="W218" s="1298"/>
      <c r="X218" s="1298"/>
      <c r="Y218" s="1298"/>
      <c r="Z218" s="1298"/>
      <c r="AA218" s="1298"/>
      <c r="AB218" s="1298"/>
      <c r="AC218" s="1298"/>
      <c r="AD218" s="1298"/>
      <c r="AE218" s="1298"/>
      <c r="AF218" s="1298"/>
      <c r="AG218" s="1297"/>
      <c r="AH218" s="1297"/>
      <c r="AI218" s="1298"/>
      <c r="AJ218" s="1297"/>
      <c r="AK218" s="1298"/>
      <c r="AL218" s="2109"/>
      <c r="AM218" s="1946"/>
      <c r="AN218" s="1946"/>
      <c r="AO218" s="1946"/>
      <c r="AP218" s="1946"/>
      <c r="AQ218" s="1946"/>
      <c r="AR218" s="1946"/>
      <c r="AS218" s="1946"/>
      <c r="AT218" s="1946"/>
      <c r="AU218" s="1946"/>
      <c r="AV218" s="1946"/>
      <c r="AW218" s="1946"/>
      <c r="AX218" s="1946"/>
      <c r="AY218" s="1946"/>
      <c r="AZ218" s="1946"/>
      <c r="BA218" s="1946"/>
      <c r="BB218" s="1946"/>
      <c r="BC218" s="1946"/>
      <c r="BD218" s="1946"/>
      <c r="BE218" s="1946"/>
      <c r="BF218" s="1946"/>
      <c r="BG218" s="7213"/>
    </row>
    <row customHeight="1" ht="0.75">
      <c r="A219" s="1290" t="s">
        <v>1192</v>
      </c>
      <c r="B219" s="1290"/>
      <c r="C219" s="1290"/>
      <c r="D219" s="1284"/>
      <c r="E219" s="1294"/>
      <c r="F219" s="2673">
        <v>2028</v>
      </c>
      <c r="G219" s="2652"/>
      <c r="H219" s="2677" t="s">
        <v>488</v>
      </c>
      <c r="I219" s="2678"/>
      <c r="J219" s="2679"/>
      <c r="K219" s="2679"/>
      <c r="L219" s="2671"/>
      <c r="M219" s="2405"/>
      <c r="N219" s="2157"/>
      <c r="O219" s="2156"/>
      <c r="P219" s="2157"/>
      <c r="Q219" s="2157"/>
      <c r="R219" s="2157"/>
      <c r="S219" s="2157"/>
      <c r="T219" s="2157"/>
      <c r="U219" s="2157"/>
      <c r="V219" s="2157"/>
      <c r="W219" s="2157"/>
      <c r="X219" s="2157"/>
      <c r="Y219" s="2157"/>
      <c r="Z219" s="2157"/>
      <c r="AA219" s="2157"/>
      <c r="AB219" s="2157"/>
      <c r="AC219" s="2157"/>
      <c r="AD219" s="2157"/>
      <c r="AE219" s="2157"/>
      <c r="AF219" s="2675"/>
      <c r="AG219" s="2671"/>
      <c r="AH219" s="2671"/>
      <c r="AI219" s="2675"/>
      <c r="AJ219" s="2671"/>
      <c r="AK219" s="2671"/>
      <c r="AL219" s="2109"/>
      <c r="AM219" s="1946"/>
      <c r="AN219" s="1946"/>
      <c r="AO219" s="1946"/>
      <c r="AP219" s="1946"/>
      <c r="AQ219" s="1946"/>
      <c r="AR219" s="1946"/>
      <c r="AS219" s="1946"/>
      <c r="AT219" s="1946"/>
      <c r="AU219" s="1946"/>
      <c r="AV219" s="1946"/>
      <c r="AW219" s="1946"/>
      <c r="AX219" s="1946"/>
      <c r="AY219" s="1946"/>
      <c r="AZ219" s="1946"/>
      <c r="BA219" s="1946"/>
      <c r="BB219" s="1946"/>
      <c r="BC219" s="1946"/>
      <c r="BD219" s="1946"/>
      <c r="BE219" s="1946"/>
      <c r="BF219" s="1946"/>
      <c r="BG219" s="7213"/>
    </row>
    <row customHeight="1" ht="0.75">
      <c r="A220" s="1290" t="s">
        <v>1192</v>
      </c>
      <c r="B220" s="1290"/>
      <c r="C220" s="1290"/>
      <c r="D220" s="1284"/>
      <c r="E220" s="1294"/>
      <c r="F220" s="2673"/>
      <c r="G220" s="2652"/>
      <c r="H220" s="2677"/>
      <c r="I220" s="2678"/>
      <c r="J220" s="2679"/>
      <c r="K220" s="2679"/>
      <c r="L220" s="2671"/>
      <c r="M220" s="2405"/>
      <c r="N220" s="2680"/>
      <c r="O220" s="2681"/>
      <c r="P220" s="2725"/>
      <c r="Q220" s="2676"/>
      <c r="R220" s="2676"/>
      <c r="S220" s="2676"/>
      <c r="T220" s="2676"/>
      <c r="U220" s="2676"/>
      <c r="V220" s="2676"/>
      <c r="W220" s="2676"/>
      <c r="X220" s="2676"/>
      <c r="Y220" s="2676"/>
      <c r="Z220" s="2158"/>
      <c r="AA220" s="2159"/>
      <c r="AB220" s="2159"/>
      <c r="AC220" s="2160"/>
      <c r="AD220" s="2160"/>
      <c r="AE220" s="2161"/>
      <c r="AF220" s="2675"/>
      <c r="AG220" s="2671"/>
      <c r="AH220" s="2671"/>
      <c r="AI220" s="2675"/>
      <c r="AJ220" s="2671"/>
      <c r="AK220" s="2671"/>
      <c r="AL220" s="2109"/>
      <c r="AM220" s="1946"/>
      <c r="AN220" s="1946"/>
      <c r="AO220" s="1946"/>
      <c r="AP220" s="1946"/>
      <c r="AQ220" s="1946"/>
      <c r="AR220" s="1946"/>
      <c r="AS220" s="1946"/>
      <c r="AT220" s="1946"/>
      <c r="AU220" s="1946"/>
      <c r="AV220" s="1946"/>
      <c r="AW220" s="1946"/>
      <c r="AX220" s="1946"/>
      <c r="AY220" s="1946"/>
      <c r="AZ220" s="1946"/>
      <c r="BA220" s="1946"/>
      <c r="BB220" s="1946"/>
      <c r="BC220" s="1946"/>
      <c r="BD220" s="1946"/>
      <c r="BE220" s="1946"/>
      <c r="BF220" s="1946"/>
      <c r="BG220" s="7213"/>
    </row>
    <row customHeight="1" ht="0.75">
      <c r="A221" s="1290" t="s">
        <v>1192</v>
      </c>
      <c r="B221" s="1290"/>
      <c r="C221" s="1290"/>
      <c r="D221" s="1284"/>
      <c r="E221" s="1294"/>
      <c r="F221" s="2673"/>
      <c r="G221" s="2652"/>
      <c r="H221" s="2677"/>
      <c r="I221" s="2678"/>
      <c r="J221" s="2679"/>
      <c r="K221" s="2679"/>
      <c r="L221" s="2671"/>
      <c r="M221" s="2405"/>
      <c r="N221" s="2680"/>
      <c r="O221" s="2681"/>
      <c r="P221" s="2726"/>
      <c r="Q221" s="2676"/>
      <c r="R221" s="2676"/>
      <c r="S221" s="2676"/>
      <c r="T221" s="2676"/>
      <c r="U221" s="2676"/>
      <c r="V221" s="2676"/>
      <c r="W221" s="2676"/>
      <c r="X221" s="2676"/>
      <c r="Y221" s="2676"/>
      <c r="Z221" s="2162"/>
      <c r="AA221" s="2163"/>
      <c r="AB221" s="2164"/>
      <c r="AC221" s="2165"/>
      <c r="AD221" s="2164"/>
      <c r="AE221" s="2165"/>
      <c r="AF221" s="2675"/>
      <c r="AG221" s="2671"/>
      <c r="AH221" s="2671"/>
      <c r="AI221" s="2675"/>
      <c r="AJ221" s="2671"/>
      <c r="AK221" s="2671"/>
      <c r="AL221" s="2109"/>
      <c r="AM221" s="1946"/>
      <c r="AN221" s="1946"/>
      <c r="AO221" s="1946"/>
      <c r="AP221" s="1946"/>
      <c r="AQ221" s="1946"/>
      <c r="AR221" s="1946"/>
      <c r="AS221" s="1946"/>
      <c r="AT221" s="1946"/>
      <c r="AU221" s="1946"/>
      <c r="AV221" s="1946"/>
      <c r="AW221" s="1946"/>
      <c r="AX221" s="1946"/>
      <c r="AY221" s="1946"/>
      <c r="AZ221" s="1946"/>
      <c r="BA221" s="1946"/>
      <c r="BB221" s="1946"/>
      <c r="BC221" s="1946"/>
      <c r="BD221" s="1946"/>
      <c r="BE221" s="1946"/>
      <c r="BF221" s="1946"/>
      <c r="BG221" s="7213"/>
    </row>
    <row customHeight="1" ht="0.75">
      <c r="A222" s="1290" t="s">
        <v>1192</v>
      </c>
      <c r="B222" s="1290"/>
      <c r="C222" s="1290"/>
      <c r="D222" s="1284"/>
      <c r="E222" s="1294"/>
      <c r="F222" s="2673"/>
      <c r="G222" s="2652"/>
      <c r="H222" s="2677"/>
      <c r="I222" s="2678"/>
      <c r="J222" s="2679"/>
      <c r="K222" s="2679"/>
      <c r="L222" s="2671"/>
      <c r="M222" s="2405"/>
      <c r="N222" s="2680"/>
      <c r="O222" s="2681"/>
      <c r="P222" s="2727"/>
      <c r="Q222" s="2676"/>
      <c r="R222" s="2676"/>
      <c r="S222" s="2676"/>
      <c r="T222" s="2676"/>
      <c r="U222" s="2676"/>
      <c r="V222" s="2676"/>
      <c r="W222" s="2676"/>
      <c r="X222" s="2676"/>
      <c r="Y222" s="2676"/>
      <c r="Z222" s="2158"/>
      <c r="AA222" s="2159"/>
      <c r="AB222" s="2166"/>
      <c r="AC222" s="2160"/>
      <c r="AD222" s="2160"/>
      <c r="AE222" s="2167"/>
      <c r="AF222" s="2675"/>
      <c r="AG222" s="2671"/>
      <c r="AH222" s="2671"/>
      <c r="AI222" s="2675"/>
      <c r="AJ222" s="2671"/>
      <c r="AK222" s="2671"/>
      <c r="AL222" s="2109"/>
      <c r="AM222" s="1946"/>
      <c r="AN222" s="1946"/>
      <c r="AO222" s="1946"/>
      <c r="AP222" s="1946"/>
      <c r="AQ222" s="1946"/>
      <c r="AR222" s="1946"/>
      <c r="AS222" s="1946"/>
      <c r="AT222" s="1946"/>
      <c r="AU222" s="1946"/>
      <c r="AV222" s="1946"/>
      <c r="AW222" s="1946"/>
      <c r="AX222" s="1946"/>
      <c r="AY222" s="1946"/>
      <c r="AZ222" s="1946"/>
      <c r="BA222" s="1946"/>
      <c r="BB222" s="1946"/>
      <c r="BC222" s="1946"/>
      <c r="BD222" s="1946"/>
      <c r="BE222" s="1946"/>
      <c r="BF222" s="1946"/>
      <c r="BG222" s="7213"/>
    </row>
    <row customHeight="1" ht="0.75">
      <c r="A223" s="1290" t="s">
        <v>1192</v>
      </c>
      <c r="B223" s="1290"/>
      <c r="C223" s="1290"/>
      <c r="D223" s="1284"/>
      <c r="E223" s="1294"/>
      <c r="F223" s="2673"/>
      <c r="G223" s="2652"/>
      <c r="H223" s="2677"/>
      <c r="I223" s="2678"/>
      <c r="J223" s="2679"/>
      <c r="K223" s="2679"/>
      <c r="L223" s="2671"/>
      <c r="M223" s="2405"/>
      <c r="N223" s="2159"/>
      <c r="O223" s="2159"/>
      <c r="P223" s="2166"/>
      <c r="Q223" s="2159"/>
      <c r="R223" s="2159"/>
      <c r="S223" s="2159"/>
      <c r="T223" s="2159"/>
      <c r="U223" s="2159"/>
      <c r="V223" s="2159"/>
      <c r="W223" s="2159"/>
      <c r="X223" s="2159"/>
      <c r="Y223" s="2159"/>
      <c r="Z223" s="2159"/>
      <c r="AA223" s="2159"/>
      <c r="AB223" s="2159"/>
      <c r="AC223" s="2159"/>
      <c r="AD223" s="2159"/>
      <c r="AE223" s="2168"/>
      <c r="AF223" s="2675"/>
      <c r="AG223" s="2671"/>
      <c r="AH223" s="2671"/>
      <c r="AI223" s="2675"/>
      <c r="AJ223" s="2671"/>
      <c r="AK223" s="2671"/>
      <c r="AL223" s="2109"/>
      <c r="AM223" s="1946"/>
      <c r="AN223" s="1946"/>
      <c r="AO223" s="1946"/>
      <c r="AP223" s="1946"/>
      <c r="AQ223" s="1946"/>
      <c r="AR223" s="1946"/>
      <c r="AS223" s="1946"/>
      <c r="AT223" s="1946"/>
      <c r="AU223" s="1946"/>
      <c r="AV223" s="1946"/>
      <c r="AW223" s="1946"/>
      <c r="AX223" s="1946"/>
      <c r="AY223" s="1946"/>
      <c r="AZ223" s="1946"/>
      <c r="BA223" s="1946"/>
      <c r="BB223" s="1946"/>
      <c r="BC223" s="1946"/>
      <c r="BD223" s="1946"/>
      <c r="BE223" s="1946"/>
      <c r="BF223" s="1946"/>
      <c r="BG223" s="7213"/>
    </row>
    <row customHeight="1" ht="12">
      <c r="A224" s="1290" t="s">
        <v>1192</v>
      </c>
      <c r="B224" s="1290"/>
      <c r="C224" s="1290"/>
      <c r="D224" s="1284"/>
      <c r="E224" s="1294"/>
      <c r="F224" s="2674"/>
      <c r="G224" s="1314"/>
      <c r="H224" s="1314"/>
      <c r="I224" s="2672" t="s">
        <v>1294</v>
      </c>
      <c r="J224" s="2672"/>
      <c r="K224" s="2672"/>
      <c r="L224" s="1297"/>
      <c r="M224" s="1297"/>
      <c r="N224" s="1298"/>
      <c r="O224" s="1298"/>
      <c r="P224" s="1298"/>
      <c r="Q224" s="1298"/>
      <c r="R224" s="1298"/>
      <c r="S224" s="1298"/>
      <c r="T224" s="1298"/>
      <c r="U224" s="1298"/>
      <c r="V224" s="1298"/>
      <c r="W224" s="1298"/>
      <c r="X224" s="1298"/>
      <c r="Y224" s="1298"/>
      <c r="Z224" s="1298"/>
      <c r="AA224" s="1298"/>
      <c r="AB224" s="1298"/>
      <c r="AC224" s="1298"/>
      <c r="AD224" s="1298"/>
      <c r="AE224" s="1298"/>
      <c r="AF224" s="1298"/>
      <c r="AG224" s="1297"/>
      <c r="AH224" s="1297"/>
      <c r="AI224" s="1298"/>
      <c r="AJ224" s="1297"/>
      <c r="AK224" s="1298"/>
      <c r="AL224" s="2109"/>
      <c r="AM224" s="1946"/>
      <c r="AN224" s="1946"/>
      <c r="AO224" s="1946"/>
      <c r="AP224" s="1946"/>
      <c r="AQ224" s="1946"/>
      <c r="AR224" s="1946"/>
      <c r="AS224" s="1946"/>
      <c r="AT224" s="1946"/>
      <c r="AU224" s="1946"/>
      <c r="AV224" s="1946"/>
      <c r="AW224" s="1946"/>
      <c r="AX224" s="1946"/>
      <c r="AY224" s="1946"/>
      <c r="AZ224" s="1946"/>
      <c r="BA224" s="1946"/>
      <c r="BB224" s="1946"/>
      <c r="BC224" s="1946"/>
      <c r="BD224" s="1946"/>
      <c r="BE224" s="1946"/>
      <c r="BF224" s="1946"/>
      <c r="BG224" s="7213"/>
    </row>
    <row customHeight="1" ht="21">
      <c r="A225" s="1291" t="s">
        <v>1200</v>
      </c>
      <c r="B225" s="1290"/>
      <c r="C225" s="1290"/>
      <c r="D225" s="1284"/>
      <c r="E225" s="1294" t="s">
        <v>22</v>
      </c>
      <c r="F225" s="1246" t="str">
        <f>INDEX(IP_MAIN_LIST_NAME_IP,MATCH(A225,IP_MAIN_LIST_IP_ID,0))&amp;" ("&amp;INDEX(IP_MAIN_START_DATE,MATCH(A225,IP_MAIN_LIST_IP_ID,0))&amp;"-"&amp;INDEX(IP_MAIN_END_DATE,MATCH(A225,IP_MAIN_LIST_IP_ID,0))&amp;")"</f>
        <v>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 (01.01.2024-31.12.2028)</v>
      </c>
      <c r="G225" s="1247"/>
      <c r="H225" s="1247"/>
      <c r="I225" s="1309"/>
      <c r="J225" s="1309"/>
      <c r="K225" s="1310"/>
      <c r="L225" s="1310"/>
      <c r="M225" s="1310"/>
      <c r="N225" s="1311"/>
      <c r="O225" s="1311"/>
      <c r="P225" s="1311"/>
      <c r="Q225" s="1311"/>
      <c r="R225" s="1311"/>
      <c r="S225" s="1311"/>
      <c r="T225" s="1311"/>
      <c r="U225" s="1311"/>
      <c r="V225" s="1311"/>
      <c r="W225" s="1311"/>
      <c r="X225" s="1311"/>
      <c r="Y225" s="1311"/>
      <c r="Z225" s="1311"/>
      <c r="AA225" s="1311"/>
      <c r="AB225" s="1311"/>
      <c r="AC225" s="1311"/>
      <c r="AD225" s="1311"/>
      <c r="AE225" s="1312"/>
      <c r="AF225" s="1310"/>
      <c r="AG225" s="1310"/>
      <c r="AH225" s="1310"/>
      <c r="AI225" s="1310"/>
      <c r="AJ225" s="1310"/>
      <c r="AK225" s="1310"/>
      <c r="AL225" s="2109"/>
      <c r="AM225" s="1946"/>
      <c r="AN225" s="1946"/>
      <c r="AO225" s="1946"/>
      <c r="AP225" s="1946"/>
      <c r="AQ225" s="1946"/>
      <c r="AR225" s="1946"/>
      <c r="AS225" s="1946"/>
      <c r="AT225" s="1946"/>
      <c r="AU225" s="1946"/>
      <c r="AV225" s="1946"/>
      <c r="AW225" s="1946"/>
      <c r="AX225" s="1946"/>
      <c r="AY225" s="1946"/>
      <c r="AZ225" s="1946"/>
      <c r="BA225" s="1946"/>
      <c r="BB225" s="1946"/>
      <c r="BC225" s="1946"/>
      <c r="BD225" s="1946"/>
      <c r="BE225" s="1946"/>
      <c r="BF225" s="1946"/>
      <c r="BG225" s="7213"/>
    </row>
    <row customHeight="1" ht="0.75">
      <c r="A226" s="1290" t="s">
        <v>1200</v>
      </c>
      <c r="B226" s="1290"/>
      <c r="C226" s="1290"/>
      <c r="D226" s="1284"/>
      <c r="E226" s="1294"/>
      <c r="F226" s="2673">
        <v>2024</v>
      </c>
      <c r="G226" s="2652"/>
      <c r="H226" s="2677" t="s">
        <v>488</v>
      </c>
      <c r="I226" s="2678"/>
      <c r="J226" s="2679"/>
      <c r="K226" s="2679"/>
      <c r="L226" s="2671"/>
      <c r="M226" s="2405"/>
      <c r="N226" s="2157"/>
      <c r="O226" s="2156"/>
      <c r="P226" s="2157"/>
      <c r="Q226" s="2157"/>
      <c r="R226" s="2157"/>
      <c r="S226" s="2157"/>
      <c r="T226" s="2157"/>
      <c r="U226" s="2157"/>
      <c r="V226" s="2157"/>
      <c r="W226" s="2157"/>
      <c r="X226" s="2157"/>
      <c r="Y226" s="2157"/>
      <c r="Z226" s="2157"/>
      <c r="AA226" s="2157"/>
      <c r="AB226" s="2157"/>
      <c r="AC226" s="2157"/>
      <c r="AD226" s="2157"/>
      <c r="AE226" s="2157"/>
      <c r="AF226" s="2675"/>
      <c r="AG226" s="2671"/>
      <c r="AH226" s="2671"/>
      <c r="AI226" s="2675"/>
      <c r="AJ226" s="2671"/>
      <c r="AK226" s="2671"/>
      <c r="AL226" s="2109"/>
      <c r="AM226" s="1946"/>
      <c r="AN226" s="1946"/>
      <c r="AO226" s="1946"/>
      <c r="AP226" s="1946"/>
      <c r="AQ226" s="1946"/>
      <c r="AR226" s="1946"/>
      <c r="AS226" s="1946"/>
      <c r="AT226" s="1946"/>
      <c r="AU226" s="1946"/>
      <c r="AV226" s="1946"/>
      <c r="AW226" s="1946"/>
      <c r="AX226" s="1946"/>
      <c r="AY226" s="1946"/>
      <c r="AZ226" s="1946"/>
      <c r="BA226" s="1946"/>
      <c r="BB226" s="1946"/>
      <c r="BC226" s="1946"/>
      <c r="BD226" s="1946"/>
      <c r="BE226" s="1946"/>
      <c r="BF226" s="1946"/>
      <c r="BG226" s="7213"/>
    </row>
    <row customHeight="1" ht="0.75">
      <c r="A227" s="1290" t="s">
        <v>1200</v>
      </c>
      <c r="B227" s="1290"/>
      <c r="C227" s="1290"/>
      <c r="D227" s="1284"/>
      <c r="E227" s="1294"/>
      <c r="F227" s="2673"/>
      <c r="G227" s="2652"/>
      <c r="H227" s="2677"/>
      <c r="I227" s="2678"/>
      <c r="J227" s="2679"/>
      <c r="K227" s="2679"/>
      <c r="L227" s="2671"/>
      <c r="M227" s="2405"/>
      <c r="N227" s="2680"/>
      <c r="O227" s="2681"/>
      <c r="P227" s="2725"/>
      <c r="Q227" s="2676"/>
      <c r="R227" s="2676"/>
      <c r="S227" s="2676"/>
      <c r="T227" s="2676"/>
      <c r="U227" s="2676"/>
      <c r="V227" s="2676"/>
      <c r="W227" s="2676"/>
      <c r="X227" s="2676"/>
      <c r="Y227" s="2676"/>
      <c r="Z227" s="2158"/>
      <c r="AA227" s="2159"/>
      <c r="AB227" s="2159"/>
      <c r="AC227" s="2160"/>
      <c r="AD227" s="2160"/>
      <c r="AE227" s="2161"/>
      <c r="AF227" s="2675"/>
      <c r="AG227" s="2671"/>
      <c r="AH227" s="2671"/>
      <c r="AI227" s="2675"/>
      <c r="AJ227" s="2671"/>
      <c r="AK227" s="2671"/>
      <c r="AL227" s="2109"/>
      <c r="AM227" s="1946"/>
      <c r="AN227" s="1946"/>
      <c r="AO227" s="1946"/>
      <c r="AP227" s="1946"/>
      <c r="AQ227" s="1946"/>
      <c r="AR227" s="1946"/>
      <c r="AS227" s="1946"/>
      <c r="AT227" s="1946"/>
      <c r="AU227" s="1946"/>
      <c r="AV227" s="1946"/>
      <c r="AW227" s="1946"/>
      <c r="AX227" s="1946"/>
      <c r="AY227" s="1946"/>
      <c r="AZ227" s="1946"/>
      <c r="BA227" s="1946"/>
      <c r="BB227" s="1946"/>
      <c r="BC227" s="1946"/>
      <c r="BD227" s="1946"/>
      <c r="BE227" s="1946"/>
      <c r="BF227" s="1946"/>
      <c r="BG227" s="7213"/>
    </row>
    <row customHeight="1" ht="0.75">
      <c r="A228" s="1290" t="s">
        <v>1200</v>
      </c>
      <c r="B228" s="1290"/>
      <c r="C228" s="1290"/>
      <c r="D228" s="1284"/>
      <c r="E228" s="1294"/>
      <c r="F228" s="2673"/>
      <c r="G228" s="2652"/>
      <c r="H228" s="2677"/>
      <c r="I228" s="2678"/>
      <c r="J228" s="2679"/>
      <c r="K228" s="2679"/>
      <c r="L228" s="2671"/>
      <c r="M228" s="2405"/>
      <c r="N228" s="2680"/>
      <c r="O228" s="2681"/>
      <c r="P228" s="2726"/>
      <c r="Q228" s="2676"/>
      <c r="R228" s="2676"/>
      <c r="S228" s="2676"/>
      <c r="T228" s="2676"/>
      <c r="U228" s="2676"/>
      <c r="V228" s="2676"/>
      <c r="W228" s="2676"/>
      <c r="X228" s="2676"/>
      <c r="Y228" s="2676"/>
      <c r="Z228" s="2162"/>
      <c r="AA228" s="2163"/>
      <c r="AB228" s="2164"/>
      <c r="AC228" s="2165"/>
      <c r="AD228" s="2164"/>
      <c r="AE228" s="2165"/>
      <c r="AF228" s="2675"/>
      <c r="AG228" s="2671"/>
      <c r="AH228" s="2671"/>
      <c r="AI228" s="2675"/>
      <c r="AJ228" s="2671"/>
      <c r="AK228" s="2671"/>
      <c r="AL228" s="2109"/>
      <c r="AM228" s="1946"/>
      <c r="AN228" s="1946"/>
      <c r="AO228" s="1946"/>
      <c r="AP228" s="1946"/>
      <c r="AQ228" s="1946"/>
      <c r="AR228" s="1946"/>
      <c r="AS228" s="1946"/>
      <c r="AT228" s="1946"/>
      <c r="AU228" s="1946"/>
      <c r="AV228" s="1946"/>
      <c r="AW228" s="1946"/>
      <c r="AX228" s="1946"/>
      <c r="AY228" s="1946"/>
      <c r="AZ228" s="1946"/>
      <c r="BA228" s="1946"/>
      <c r="BB228" s="1946"/>
      <c r="BC228" s="1946"/>
      <c r="BD228" s="1946"/>
      <c r="BE228" s="1946"/>
      <c r="BF228" s="1946"/>
      <c r="BG228" s="7213"/>
    </row>
    <row customHeight="1" ht="0.75">
      <c r="A229" s="1290" t="s">
        <v>1200</v>
      </c>
      <c r="B229" s="1290"/>
      <c r="C229" s="1290"/>
      <c r="D229" s="1284"/>
      <c r="E229" s="1294"/>
      <c r="F229" s="2673"/>
      <c r="G229" s="2652"/>
      <c r="H229" s="2677"/>
      <c r="I229" s="2678"/>
      <c r="J229" s="2679"/>
      <c r="K229" s="2679"/>
      <c r="L229" s="2671"/>
      <c r="M229" s="2405"/>
      <c r="N229" s="2680"/>
      <c r="O229" s="2681"/>
      <c r="P229" s="2727"/>
      <c r="Q229" s="2676"/>
      <c r="R229" s="2676"/>
      <c r="S229" s="2676"/>
      <c r="T229" s="2676"/>
      <c r="U229" s="2676"/>
      <c r="V229" s="2676"/>
      <c r="W229" s="2676"/>
      <c r="X229" s="2676"/>
      <c r="Y229" s="2676"/>
      <c r="Z229" s="2158"/>
      <c r="AA229" s="2159"/>
      <c r="AB229" s="2166"/>
      <c r="AC229" s="2160"/>
      <c r="AD229" s="2160"/>
      <c r="AE229" s="2167"/>
      <c r="AF229" s="2675"/>
      <c r="AG229" s="2671"/>
      <c r="AH229" s="2671"/>
      <c r="AI229" s="2675"/>
      <c r="AJ229" s="2671"/>
      <c r="AK229" s="2671"/>
      <c r="AL229" s="2109"/>
      <c r="AM229" s="1946"/>
      <c r="AN229" s="1946"/>
      <c r="AO229" s="1946"/>
      <c r="AP229" s="1946"/>
      <c r="AQ229" s="1946"/>
      <c r="AR229" s="1946"/>
      <c r="AS229" s="1946"/>
      <c r="AT229" s="1946"/>
      <c r="AU229" s="1946"/>
      <c r="AV229" s="1946"/>
      <c r="AW229" s="1946"/>
      <c r="AX229" s="1946"/>
      <c r="AY229" s="1946"/>
      <c r="AZ229" s="1946"/>
      <c r="BA229" s="1946"/>
      <c r="BB229" s="1946"/>
      <c r="BC229" s="1946"/>
      <c r="BD229" s="1946"/>
      <c r="BE229" s="1946"/>
      <c r="BF229" s="1946"/>
      <c r="BG229" s="7213"/>
    </row>
    <row customHeight="1" ht="0.75">
      <c r="A230" s="1290" t="s">
        <v>1200</v>
      </c>
      <c r="B230" s="1290"/>
      <c r="C230" s="1290"/>
      <c r="D230" s="1284"/>
      <c r="E230" s="1294"/>
      <c r="F230" s="2673"/>
      <c r="G230" s="2652"/>
      <c r="H230" s="2677"/>
      <c r="I230" s="2678"/>
      <c r="J230" s="2679"/>
      <c r="K230" s="2679"/>
      <c r="L230" s="2671"/>
      <c r="M230" s="2405"/>
      <c r="N230" s="2159"/>
      <c r="O230" s="2159"/>
      <c r="P230" s="2166"/>
      <c r="Q230" s="2159"/>
      <c r="R230" s="2159"/>
      <c r="S230" s="2159"/>
      <c r="T230" s="2159"/>
      <c r="U230" s="2159"/>
      <c r="V230" s="2159"/>
      <c r="W230" s="2159"/>
      <c r="X230" s="2159"/>
      <c r="Y230" s="2159"/>
      <c r="Z230" s="2159"/>
      <c r="AA230" s="2159"/>
      <c r="AB230" s="2159"/>
      <c r="AC230" s="2159"/>
      <c r="AD230" s="2159"/>
      <c r="AE230" s="2168"/>
      <c r="AF230" s="2675"/>
      <c r="AG230" s="2671"/>
      <c r="AH230" s="2671"/>
      <c r="AI230" s="2675"/>
      <c r="AJ230" s="2671"/>
      <c r="AK230" s="2671"/>
      <c r="AL230" s="2109"/>
      <c r="AM230" s="1946"/>
      <c r="AN230" s="1946"/>
      <c r="AO230" s="1946"/>
      <c r="AP230" s="1946"/>
      <c r="AQ230" s="1946"/>
      <c r="AR230" s="1946"/>
      <c r="AS230" s="1946"/>
      <c r="AT230" s="1946"/>
      <c r="AU230" s="1946"/>
      <c r="AV230" s="1946"/>
      <c r="AW230" s="1946"/>
      <c r="AX230" s="1946"/>
      <c r="AY230" s="1946"/>
      <c r="AZ230" s="1946"/>
      <c r="BA230" s="1946"/>
      <c r="BB230" s="1946"/>
      <c r="BC230" s="1946"/>
      <c r="BD230" s="1946"/>
      <c r="BE230" s="1946"/>
      <c r="BF230" s="1946"/>
      <c r="BG230" s="7213"/>
    </row>
    <row customHeight="1" ht="11.25">
      <c r="A231" s="1290" t="s">
        <v>1200</v>
      </c>
      <c r="B231" s="1290"/>
      <c r="C231" s="1290"/>
      <c r="D231" s="1284"/>
      <c r="E231" s="1294"/>
      <c r="F231" s="1952"/>
      <c r="G231" s="7121" t="s">
        <v>103</v>
      </c>
      <c r="H231" s="2652" t="s">
        <v>210</v>
      </c>
      <c r="I231" s="2653"/>
      <c r="J231" s="2622"/>
      <c r="K231" s="2654" t="s">
        <v>1356</v>
      </c>
      <c r="L231" s="2244" t="s">
        <v>19</v>
      </c>
      <c r="M231" s="2245"/>
      <c r="N231" s="2107"/>
      <c r="O231" s="1301" t="s">
        <v>488</v>
      </c>
      <c r="P231" s="1302"/>
      <c r="Q231" s="1302"/>
      <c r="R231" s="1302"/>
      <c r="S231" s="1302"/>
      <c r="T231" s="1302"/>
      <c r="U231" s="1302"/>
      <c r="V231" s="1302"/>
      <c r="W231" s="1302"/>
      <c r="X231" s="1302"/>
      <c r="Y231" s="1302"/>
      <c r="Z231" s="1302"/>
      <c r="AA231" s="1302"/>
      <c r="AB231" s="1302"/>
      <c r="AC231" s="1302"/>
      <c r="AD231" s="1302"/>
      <c r="AE231" s="1302"/>
      <c r="AF231" s="2643">
        <v>2024</v>
      </c>
      <c r="AG231" s="2644" t="s">
        <v>1296</v>
      </c>
      <c r="AH231" s="2644" t="s">
        <v>1297</v>
      </c>
      <c r="AI231" s="2643">
        <v>2024</v>
      </c>
      <c r="AJ231" s="2644" t="s">
        <v>1296</v>
      </c>
      <c r="AK231" s="2644" t="s">
        <v>1297</v>
      </c>
      <c r="AL231" s="2109"/>
      <c r="AM231" s="1946"/>
      <c r="AN231" s="1946"/>
      <c r="AO231" s="1946"/>
      <c r="AP231" s="1946"/>
      <c r="AQ231" s="1946"/>
      <c r="AR231" s="1946"/>
      <c r="AS231" s="1946"/>
      <c r="AT231" s="1946"/>
      <c r="AU231" s="1946"/>
      <c r="AV231" s="1946"/>
      <c r="AW231" s="1946"/>
      <c r="AX231" s="1946"/>
      <c r="AY231" s="1946"/>
      <c r="AZ231" s="1946"/>
      <c r="BA231" s="1946"/>
      <c r="BB231" s="1946"/>
      <c r="BC231" s="1946"/>
      <c r="BD231" s="1946"/>
      <c r="BE231" s="1946"/>
      <c r="BF231" s="1946"/>
      <c r="BG231" s="7213"/>
    </row>
    <row customHeight="1" ht="11.25">
      <c r="A232" s="1290" t="s">
        <v>1200</v>
      </c>
      <c r="B232" s="1290"/>
      <c r="C232" s="1290"/>
      <c r="D232" s="1284"/>
      <c r="E232" s="1294"/>
      <c r="F232" s="1952"/>
      <c r="G232" s="1953"/>
      <c r="H232" s="2652" t="s">
        <v>488</v>
      </c>
      <c r="I232" s="2653"/>
      <c r="J232" s="2622"/>
      <c r="K232" s="2654"/>
      <c r="L232" s="2244"/>
      <c r="M232" s="2245"/>
      <c r="N232" s="2645"/>
      <c r="O232" s="2646">
        <v>1</v>
      </c>
      <c r="P232" s="2647" t="s">
        <v>19</v>
      </c>
      <c r="Q232" s="11139" t="s">
        <v>22</v>
      </c>
      <c r="R232" s="11139" t="s">
        <v>22</v>
      </c>
      <c r="S232" s="11139" t="s">
        <v>22</v>
      </c>
      <c r="T232" s="11139" t="s">
        <v>22</v>
      </c>
      <c r="U232" s="11139" t="s">
        <v>22</v>
      </c>
      <c r="V232" s="11139" t="s">
        <v>22</v>
      </c>
      <c r="W232" s="11139" t="s">
        <v>22</v>
      </c>
      <c r="X232" s="11139" t="s">
        <v>22</v>
      </c>
      <c r="Y232" s="11139" t="s">
        <v>22</v>
      </c>
      <c r="Z232" s="1299"/>
      <c r="AA232" s="1300"/>
      <c r="AB232" s="1300"/>
      <c r="AC232" s="1304"/>
      <c r="AD232" s="1304"/>
      <c r="AE232" s="1305"/>
      <c r="AF232" s="2643"/>
      <c r="AG232" s="2644"/>
      <c r="AH232" s="2644"/>
      <c r="AI232" s="2643"/>
      <c r="AJ232" s="2644"/>
      <c r="AK232" s="2644"/>
      <c r="AL232" s="2109"/>
      <c r="AM232" s="1946"/>
      <c r="AN232" s="1946"/>
      <c r="AO232" s="1946"/>
      <c r="AP232" s="1946"/>
      <c r="AQ232" s="1946"/>
      <c r="AR232" s="1946"/>
      <c r="AS232" s="1946"/>
      <c r="AT232" s="1946"/>
      <c r="AU232" s="1946"/>
      <c r="AV232" s="1946"/>
      <c r="AW232" s="1946"/>
      <c r="AX232" s="1946"/>
      <c r="AY232" s="1946"/>
      <c r="AZ232" s="1946"/>
      <c r="BA232" s="1946"/>
      <c r="BB232" s="1946"/>
      <c r="BC232" s="1946"/>
      <c r="BD232" s="1946"/>
      <c r="BE232" s="1946"/>
      <c r="BF232" s="1946"/>
      <c r="BG232" s="7213"/>
    </row>
    <row customHeight="1" ht="11.25">
      <c r="A233" s="1290" t="s">
        <v>1200</v>
      </c>
      <c r="B233" s="1290"/>
      <c r="C233" s="1290"/>
      <c r="D233" s="1284"/>
      <c r="E233" s="1294"/>
      <c r="F233" s="1952"/>
      <c r="G233" s="1953"/>
      <c r="H233" s="2652" t="s">
        <v>488</v>
      </c>
      <c r="I233" s="2653"/>
      <c r="J233" s="2622"/>
      <c r="K233" s="2654"/>
      <c r="L233" s="2244"/>
      <c r="M233" s="2245"/>
      <c r="N233" s="2645"/>
      <c r="O233" s="2646"/>
      <c r="P233" s="2648"/>
      <c r="Q233" s="11136"/>
      <c r="R233" s="2650"/>
      <c r="S233" s="2651"/>
      <c r="T233" s="2650"/>
      <c r="U233" s="2650"/>
      <c r="V233" s="2650"/>
      <c r="W233" s="2650"/>
      <c r="X233" s="2650"/>
      <c r="Y233" s="2650"/>
      <c r="Z233" s="1951"/>
      <c r="AA233" s="1917">
        <v>1</v>
      </c>
      <c r="AB233" s="1303" t="s">
        <v>1306</v>
      </c>
      <c r="AC233" s="1293">
        <v>266.666666666667</v>
      </c>
      <c r="AD233" s="1303" t="str">
        <f>AB233</f>
        <v>  Прибыль направляемая на инвестиции</v>
      </c>
      <c r="AE233" s="1293">
        <v>266.666666666667</v>
      </c>
      <c r="AF233" s="2643"/>
      <c r="AG233" s="2644"/>
      <c r="AH233" s="2644"/>
      <c r="AI233" s="2643"/>
      <c r="AJ233" s="2644"/>
      <c r="AK233" s="2644"/>
      <c r="AL233" s="2109"/>
      <c r="AM233" s="1946"/>
      <c r="AN233" s="1946"/>
      <c r="AO233" s="1946"/>
      <c r="AP233" s="1946"/>
      <c r="AQ233" s="1946"/>
      <c r="AR233" s="1946"/>
      <c r="AS233" s="1946"/>
      <c r="AT233" s="1946"/>
      <c r="AU233" s="1946"/>
      <c r="AV233" s="1946"/>
      <c r="AW233" s="1946"/>
      <c r="AX233" s="1946"/>
      <c r="AY233" s="1946"/>
      <c r="AZ233" s="1946"/>
      <c r="BA233" s="1946"/>
      <c r="BB233" s="1946"/>
      <c r="BC233" s="1946"/>
      <c r="BD233" s="1946"/>
      <c r="BE233" s="1946"/>
      <c r="BF233" s="1946"/>
      <c r="BG233" s="7213"/>
    </row>
    <row customHeight="1" ht="11.25">
      <c r="A234" s="1290" t="s">
        <v>1200</v>
      </c>
      <c r="B234" s="1290"/>
      <c r="C234" s="1290"/>
      <c r="D234" s="1284"/>
      <c r="E234" s="1294"/>
      <c r="F234" s="1952"/>
      <c r="G234" s="1953"/>
      <c r="H234" s="2652" t="s">
        <v>488</v>
      </c>
      <c r="I234" s="2653"/>
      <c r="J234" s="2622"/>
      <c r="K234" s="2654"/>
      <c r="L234" s="2244"/>
      <c r="M234" s="2245"/>
      <c r="N234" s="2645"/>
      <c r="O234" s="2646"/>
      <c r="P234" s="2649"/>
      <c r="Q234" s="11136"/>
      <c r="R234" s="2650"/>
      <c r="S234" s="2651"/>
      <c r="T234" s="2650"/>
      <c r="U234" s="2650"/>
      <c r="V234" s="2650"/>
      <c r="W234" s="2650"/>
      <c r="X234" s="2650"/>
      <c r="Y234" s="2650"/>
      <c r="Z234" s="1299"/>
      <c r="AA234" s="1300"/>
      <c r="AB234" s="1365" t="s">
        <v>1309</v>
      </c>
      <c r="AC234" s="1304"/>
      <c r="AD234" s="1304"/>
      <c r="AE234" s="1306"/>
      <c r="AF234" s="2643"/>
      <c r="AG234" s="2644"/>
      <c r="AH234" s="2644"/>
      <c r="AI234" s="2643"/>
      <c r="AJ234" s="2644"/>
      <c r="AK234" s="2644"/>
      <c r="AL234" s="2109"/>
      <c r="AM234" s="1946"/>
      <c r="AN234" s="1946"/>
      <c r="AO234" s="1946"/>
      <c r="AP234" s="1946"/>
      <c r="AQ234" s="1946"/>
      <c r="AR234" s="1946"/>
      <c r="AS234" s="1946"/>
      <c r="AT234" s="1946"/>
      <c r="AU234" s="1946"/>
      <c r="AV234" s="1946"/>
      <c r="AW234" s="1946"/>
      <c r="AX234" s="1946"/>
      <c r="AY234" s="1946"/>
      <c r="AZ234" s="1946"/>
      <c r="BA234" s="1946"/>
      <c r="BB234" s="1946"/>
      <c r="BC234" s="1946"/>
      <c r="BD234" s="1946"/>
      <c r="BE234" s="1946"/>
      <c r="BF234" s="1946"/>
      <c r="BG234" s="7213"/>
    </row>
    <row customHeight="1" ht="11.25">
      <c r="A235" s="1290" t="s">
        <v>1200</v>
      </c>
      <c r="B235" s="1290"/>
      <c r="C235" s="1290"/>
      <c r="D235" s="1284"/>
      <c r="E235" s="1294"/>
      <c r="F235" s="1952"/>
      <c r="G235" s="1953"/>
      <c r="H235" s="2652" t="s">
        <v>488</v>
      </c>
      <c r="I235" s="2653"/>
      <c r="J235" s="2622"/>
      <c r="K235" s="2654"/>
      <c r="L235" s="2244"/>
      <c r="M235" s="2245"/>
      <c r="N235" s="1299"/>
      <c r="O235" s="1300"/>
      <c r="P235" s="1292" t="s">
        <v>1310</v>
      </c>
      <c r="Q235" s="1300"/>
      <c r="R235" s="1300"/>
      <c r="S235" s="1300"/>
      <c r="T235" s="1300"/>
      <c r="U235" s="1300"/>
      <c r="V235" s="1300"/>
      <c r="W235" s="1300"/>
      <c r="X235" s="1300"/>
      <c r="Y235" s="1300"/>
      <c r="Z235" s="1300"/>
      <c r="AA235" s="1300"/>
      <c r="AB235" s="1300"/>
      <c r="AC235" s="1300"/>
      <c r="AD235" s="1300"/>
      <c r="AE235" s="1307"/>
      <c r="AF235" s="2643"/>
      <c r="AG235" s="2644"/>
      <c r="AH235" s="2644"/>
      <c r="AI235" s="2643"/>
      <c r="AJ235" s="2644"/>
      <c r="AK235" s="2644"/>
      <c r="AL235" s="2109"/>
      <c r="AM235" s="1946"/>
      <c r="AN235" s="1946"/>
      <c r="AO235" s="1946"/>
      <c r="AP235" s="1946"/>
      <c r="AQ235" s="1946"/>
      <c r="AR235" s="1946"/>
      <c r="AS235" s="1946"/>
      <c r="AT235" s="1946"/>
      <c r="AU235" s="1946"/>
      <c r="AV235" s="1946"/>
      <c r="AW235" s="1946"/>
      <c r="AX235" s="1946"/>
      <c r="AY235" s="1946"/>
      <c r="AZ235" s="1946"/>
      <c r="BA235" s="1946"/>
      <c r="BB235" s="1946"/>
      <c r="BC235" s="1946"/>
      <c r="BD235" s="1946"/>
      <c r="BE235" s="1946"/>
      <c r="BF235" s="1946"/>
      <c r="BG235" s="7213"/>
    </row>
    <row customHeight="1" ht="12">
      <c r="A236" s="1290" t="s">
        <v>1200</v>
      </c>
      <c r="B236" s="1290"/>
      <c r="C236" s="1290"/>
      <c r="D236" s="1284"/>
      <c r="E236" s="1294"/>
      <c r="F236" s="2674"/>
      <c r="G236" s="1314"/>
      <c r="H236" s="1314"/>
      <c r="I236" s="2672" t="s">
        <v>1294</v>
      </c>
      <c r="J236" s="2672"/>
      <c r="K236" s="2672"/>
      <c r="L236" s="1297"/>
      <c r="M236" s="1297"/>
      <c r="N236" s="1298"/>
      <c r="O236" s="1298"/>
      <c r="P236" s="1298"/>
      <c r="Q236" s="1298"/>
      <c r="R236" s="1298"/>
      <c r="S236" s="1298"/>
      <c r="T236" s="1298"/>
      <c r="U236" s="1298"/>
      <c r="V236" s="1298"/>
      <c r="W236" s="1298"/>
      <c r="X236" s="1298"/>
      <c r="Y236" s="1298"/>
      <c r="Z236" s="1298"/>
      <c r="AA236" s="1298"/>
      <c r="AB236" s="1298"/>
      <c r="AC236" s="1298"/>
      <c r="AD236" s="1298"/>
      <c r="AE236" s="1298"/>
      <c r="AF236" s="1298"/>
      <c r="AG236" s="1297"/>
      <c r="AH236" s="1297"/>
      <c r="AI236" s="1298"/>
      <c r="AJ236" s="1297"/>
      <c r="AK236" s="1298"/>
      <c r="AL236" s="2109"/>
      <c r="AM236" s="1946"/>
      <c r="AN236" s="1946"/>
      <c r="AO236" s="1946"/>
      <c r="AP236" s="1946"/>
      <c r="AQ236" s="1946"/>
      <c r="AR236" s="1946"/>
      <c r="AS236" s="1946"/>
      <c r="AT236" s="1946"/>
      <c r="AU236" s="1946"/>
      <c r="AV236" s="1946"/>
      <c r="AW236" s="1946"/>
      <c r="AX236" s="1946"/>
      <c r="AY236" s="1946"/>
      <c r="AZ236" s="1946"/>
      <c r="BA236" s="1946"/>
      <c r="BB236" s="1946"/>
      <c r="BC236" s="1946"/>
      <c r="BD236" s="1946"/>
      <c r="BE236" s="1946"/>
      <c r="BF236" s="1946"/>
      <c r="BG236" s="7213"/>
    </row>
    <row customHeight="1" ht="0.75">
      <c r="A237" s="1290" t="s">
        <v>1200</v>
      </c>
      <c r="B237" s="1290"/>
      <c r="C237" s="1290"/>
      <c r="D237" s="1284"/>
      <c r="E237" s="1294"/>
      <c r="F237" s="2673">
        <v>2025</v>
      </c>
      <c r="G237" s="2652"/>
      <c r="H237" s="2677" t="s">
        <v>488</v>
      </c>
      <c r="I237" s="2678"/>
      <c r="J237" s="2679"/>
      <c r="K237" s="2679"/>
      <c r="L237" s="2671"/>
      <c r="M237" s="2405"/>
      <c r="N237" s="2157"/>
      <c r="O237" s="2156"/>
      <c r="P237" s="2157"/>
      <c r="Q237" s="2157"/>
      <c r="R237" s="2157"/>
      <c r="S237" s="2157"/>
      <c r="T237" s="2157"/>
      <c r="U237" s="2157"/>
      <c r="V237" s="2157"/>
      <c r="W237" s="2157"/>
      <c r="X237" s="2157"/>
      <c r="Y237" s="2157"/>
      <c r="Z237" s="2157"/>
      <c r="AA237" s="2157"/>
      <c r="AB237" s="2157"/>
      <c r="AC237" s="2157"/>
      <c r="AD237" s="2157"/>
      <c r="AE237" s="2157"/>
      <c r="AF237" s="2675"/>
      <c r="AG237" s="2671"/>
      <c r="AH237" s="2671"/>
      <c r="AI237" s="2675"/>
      <c r="AJ237" s="2671"/>
      <c r="AK237" s="2671"/>
      <c r="AL237" s="2109"/>
      <c r="AM237" s="1946"/>
      <c r="AN237" s="1946"/>
      <c r="AO237" s="1946"/>
      <c r="AP237" s="1946"/>
      <c r="AQ237" s="1946"/>
      <c r="AR237" s="1946"/>
      <c r="AS237" s="1946"/>
      <c r="AT237" s="1946"/>
      <c r="AU237" s="1946"/>
      <c r="AV237" s="1946"/>
      <c r="AW237" s="1946"/>
      <c r="AX237" s="1946"/>
      <c r="AY237" s="1946"/>
      <c r="AZ237" s="1946"/>
      <c r="BA237" s="1946"/>
      <c r="BB237" s="1946"/>
      <c r="BC237" s="1946"/>
      <c r="BD237" s="1946"/>
      <c r="BE237" s="1946"/>
      <c r="BF237" s="1946"/>
      <c r="BG237" s="7213"/>
    </row>
    <row customHeight="1" ht="0.75">
      <c r="A238" s="1290" t="s">
        <v>1200</v>
      </c>
      <c r="B238" s="1290"/>
      <c r="C238" s="1290"/>
      <c r="D238" s="1284"/>
      <c r="E238" s="1294"/>
      <c r="F238" s="2673"/>
      <c r="G238" s="2652"/>
      <c r="H238" s="2677"/>
      <c r="I238" s="2678"/>
      <c r="J238" s="2679"/>
      <c r="K238" s="2679"/>
      <c r="L238" s="2671"/>
      <c r="M238" s="2405"/>
      <c r="N238" s="2680"/>
      <c r="O238" s="2681"/>
      <c r="P238" s="2725"/>
      <c r="Q238" s="2676"/>
      <c r="R238" s="2676"/>
      <c r="S238" s="2676"/>
      <c r="T238" s="2676"/>
      <c r="U238" s="2676"/>
      <c r="V238" s="2676"/>
      <c r="W238" s="2676"/>
      <c r="X238" s="2676"/>
      <c r="Y238" s="2676"/>
      <c r="Z238" s="2158"/>
      <c r="AA238" s="2159"/>
      <c r="AB238" s="2159"/>
      <c r="AC238" s="2160"/>
      <c r="AD238" s="2160"/>
      <c r="AE238" s="2161"/>
      <c r="AF238" s="2675"/>
      <c r="AG238" s="2671"/>
      <c r="AH238" s="2671"/>
      <c r="AI238" s="2675"/>
      <c r="AJ238" s="2671"/>
      <c r="AK238" s="2671"/>
      <c r="AL238" s="2109"/>
      <c r="AM238" s="1946"/>
      <c r="AN238" s="1946"/>
      <c r="AO238" s="1946"/>
      <c r="AP238" s="1946"/>
      <c r="AQ238" s="1946"/>
      <c r="AR238" s="1946"/>
      <c r="AS238" s="1946"/>
      <c r="AT238" s="1946"/>
      <c r="AU238" s="1946"/>
      <c r="AV238" s="1946"/>
      <c r="AW238" s="1946"/>
      <c r="AX238" s="1946"/>
      <c r="AY238" s="1946"/>
      <c r="AZ238" s="1946"/>
      <c r="BA238" s="1946"/>
      <c r="BB238" s="1946"/>
      <c r="BC238" s="1946"/>
      <c r="BD238" s="1946"/>
      <c r="BE238" s="1946"/>
      <c r="BF238" s="1946"/>
      <c r="BG238" s="7213"/>
    </row>
    <row customHeight="1" ht="0.75">
      <c r="A239" s="1290" t="s">
        <v>1200</v>
      </c>
      <c r="B239" s="1290"/>
      <c r="C239" s="1290"/>
      <c r="D239" s="1284"/>
      <c r="E239" s="1294"/>
      <c r="F239" s="2673"/>
      <c r="G239" s="2652"/>
      <c r="H239" s="2677"/>
      <c r="I239" s="2678"/>
      <c r="J239" s="2679"/>
      <c r="K239" s="2679"/>
      <c r="L239" s="2671"/>
      <c r="M239" s="2405"/>
      <c r="N239" s="2680"/>
      <c r="O239" s="2681"/>
      <c r="P239" s="2726"/>
      <c r="Q239" s="2676"/>
      <c r="R239" s="2676"/>
      <c r="S239" s="2676"/>
      <c r="T239" s="2676"/>
      <c r="U239" s="2676"/>
      <c r="V239" s="2676"/>
      <c r="W239" s="2676"/>
      <c r="X239" s="2676"/>
      <c r="Y239" s="2676"/>
      <c r="Z239" s="2162"/>
      <c r="AA239" s="2163"/>
      <c r="AB239" s="2164"/>
      <c r="AC239" s="2165"/>
      <c r="AD239" s="2164"/>
      <c r="AE239" s="2165"/>
      <c r="AF239" s="2675"/>
      <c r="AG239" s="2671"/>
      <c r="AH239" s="2671"/>
      <c r="AI239" s="2675"/>
      <c r="AJ239" s="2671"/>
      <c r="AK239" s="2671"/>
      <c r="AL239" s="2109"/>
      <c r="AM239" s="1946"/>
      <c r="AN239" s="1946"/>
      <c r="AO239" s="1946"/>
      <c r="AP239" s="1946"/>
      <c r="AQ239" s="1946"/>
      <c r="AR239" s="1946"/>
      <c r="AS239" s="1946"/>
      <c r="AT239" s="1946"/>
      <c r="AU239" s="1946"/>
      <c r="AV239" s="1946"/>
      <c r="AW239" s="1946"/>
      <c r="AX239" s="1946"/>
      <c r="AY239" s="1946"/>
      <c r="AZ239" s="1946"/>
      <c r="BA239" s="1946"/>
      <c r="BB239" s="1946"/>
      <c r="BC239" s="1946"/>
      <c r="BD239" s="1946"/>
      <c r="BE239" s="1946"/>
      <c r="BF239" s="1946"/>
      <c r="BG239" s="7213"/>
    </row>
    <row customHeight="1" ht="0.75">
      <c r="A240" s="1290" t="s">
        <v>1200</v>
      </c>
      <c r="B240" s="1290"/>
      <c r="C240" s="1290"/>
      <c r="D240" s="1284"/>
      <c r="E240" s="1294"/>
      <c r="F240" s="2673"/>
      <c r="G240" s="2652"/>
      <c r="H240" s="2677"/>
      <c r="I240" s="2678"/>
      <c r="J240" s="2679"/>
      <c r="K240" s="2679"/>
      <c r="L240" s="2671"/>
      <c r="M240" s="2405"/>
      <c r="N240" s="2680"/>
      <c r="O240" s="2681"/>
      <c r="P240" s="2727"/>
      <c r="Q240" s="2676"/>
      <c r="R240" s="2676"/>
      <c r="S240" s="2676"/>
      <c r="T240" s="2676"/>
      <c r="U240" s="2676"/>
      <c r="V240" s="2676"/>
      <c r="W240" s="2676"/>
      <c r="X240" s="2676"/>
      <c r="Y240" s="2676"/>
      <c r="Z240" s="2158"/>
      <c r="AA240" s="2159"/>
      <c r="AB240" s="2166"/>
      <c r="AC240" s="2160"/>
      <c r="AD240" s="2160"/>
      <c r="AE240" s="2167"/>
      <c r="AF240" s="2675"/>
      <c r="AG240" s="2671"/>
      <c r="AH240" s="2671"/>
      <c r="AI240" s="2675"/>
      <c r="AJ240" s="2671"/>
      <c r="AK240" s="2671"/>
      <c r="AL240" s="2109"/>
      <c r="AM240" s="1946"/>
      <c r="AN240" s="1946"/>
      <c r="AO240" s="1946"/>
      <c r="AP240" s="1946"/>
      <c r="AQ240" s="1946"/>
      <c r="AR240" s="1946"/>
      <c r="AS240" s="1946"/>
      <c r="AT240" s="1946"/>
      <c r="AU240" s="1946"/>
      <c r="AV240" s="1946"/>
      <c r="AW240" s="1946"/>
      <c r="AX240" s="1946"/>
      <c r="AY240" s="1946"/>
      <c r="AZ240" s="1946"/>
      <c r="BA240" s="1946"/>
      <c r="BB240" s="1946"/>
      <c r="BC240" s="1946"/>
      <c r="BD240" s="1946"/>
      <c r="BE240" s="1946"/>
      <c r="BF240" s="1946"/>
      <c r="BG240" s="7213"/>
    </row>
    <row customHeight="1" ht="0.75">
      <c r="A241" s="1290" t="s">
        <v>1200</v>
      </c>
      <c r="B241" s="1290"/>
      <c r="C241" s="1290"/>
      <c r="D241" s="1284"/>
      <c r="E241" s="1294"/>
      <c r="F241" s="2673"/>
      <c r="G241" s="2652"/>
      <c r="H241" s="2677"/>
      <c r="I241" s="2678"/>
      <c r="J241" s="2679"/>
      <c r="K241" s="2679"/>
      <c r="L241" s="2671"/>
      <c r="M241" s="2405"/>
      <c r="N241" s="2159"/>
      <c r="O241" s="2159"/>
      <c r="P241" s="2166"/>
      <c r="Q241" s="2159"/>
      <c r="R241" s="2159"/>
      <c r="S241" s="2159"/>
      <c r="T241" s="2159"/>
      <c r="U241" s="2159"/>
      <c r="V241" s="2159"/>
      <c r="W241" s="2159"/>
      <c r="X241" s="2159"/>
      <c r="Y241" s="2159"/>
      <c r="Z241" s="2159"/>
      <c r="AA241" s="2159"/>
      <c r="AB241" s="2159"/>
      <c r="AC241" s="2159"/>
      <c r="AD241" s="2159"/>
      <c r="AE241" s="2168"/>
      <c r="AF241" s="2675"/>
      <c r="AG241" s="2671"/>
      <c r="AH241" s="2671"/>
      <c r="AI241" s="2675"/>
      <c r="AJ241" s="2671"/>
      <c r="AK241" s="2671"/>
      <c r="AL241" s="2109"/>
      <c r="AM241" s="1946"/>
      <c r="AN241" s="1946"/>
      <c r="AO241" s="1946"/>
      <c r="AP241" s="1946"/>
      <c r="AQ241" s="1946"/>
      <c r="AR241" s="1946"/>
      <c r="AS241" s="1946"/>
      <c r="AT241" s="1946"/>
      <c r="AU241" s="1946"/>
      <c r="AV241" s="1946"/>
      <c r="AW241" s="1946"/>
      <c r="AX241" s="1946"/>
      <c r="AY241" s="1946"/>
      <c r="AZ241" s="1946"/>
      <c r="BA241" s="1946"/>
      <c r="BB241" s="1946"/>
      <c r="BC241" s="1946"/>
      <c r="BD241" s="1946"/>
      <c r="BE241" s="1946"/>
      <c r="BF241" s="1946"/>
      <c r="BG241" s="7213"/>
    </row>
    <row customHeight="1" ht="12">
      <c r="A242" s="1290" t="s">
        <v>1200</v>
      </c>
      <c r="B242" s="1290"/>
      <c r="C242" s="1290"/>
      <c r="D242" s="1284"/>
      <c r="E242" s="1294"/>
      <c r="F242" s="2674"/>
      <c r="G242" s="1314"/>
      <c r="H242" s="1314"/>
      <c r="I242" s="2672" t="s">
        <v>1294</v>
      </c>
      <c r="J242" s="2672"/>
      <c r="K242" s="2672"/>
      <c r="L242" s="1297"/>
      <c r="M242" s="1297"/>
      <c r="N242" s="1298"/>
      <c r="O242" s="1298"/>
      <c r="P242" s="1298"/>
      <c r="Q242" s="1298"/>
      <c r="R242" s="1298"/>
      <c r="S242" s="1298"/>
      <c r="T242" s="1298"/>
      <c r="U242" s="1298"/>
      <c r="V242" s="1298"/>
      <c r="W242" s="1298"/>
      <c r="X242" s="1298"/>
      <c r="Y242" s="1298"/>
      <c r="Z242" s="1298"/>
      <c r="AA242" s="1298"/>
      <c r="AB242" s="1298"/>
      <c r="AC242" s="1298"/>
      <c r="AD242" s="1298"/>
      <c r="AE242" s="1298"/>
      <c r="AF242" s="1298"/>
      <c r="AG242" s="1297"/>
      <c r="AH242" s="1297"/>
      <c r="AI242" s="1298"/>
      <c r="AJ242" s="1297"/>
      <c r="AK242" s="1298"/>
      <c r="AL242" s="2109"/>
      <c r="AM242" s="1946"/>
      <c r="AN242" s="1946"/>
      <c r="AO242" s="1946"/>
      <c r="AP242" s="1946"/>
      <c r="AQ242" s="1946"/>
      <c r="AR242" s="1946"/>
      <c r="AS242" s="1946"/>
      <c r="AT242" s="1946"/>
      <c r="AU242" s="1946"/>
      <c r="AV242" s="1946"/>
      <c r="AW242" s="1946"/>
      <c r="AX242" s="1946"/>
      <c r="AY242" s="1946"/>
      <c r="AZ242" s="1946"/>
      <c r="BA242" s="1946"/>
      <c r="BB242" s="1946"/>
      <c r="BC242" s="1946"/>
      <c r="BD242" s="1946"/>
      <c r="BE242" s="1946"/>
      <c r="BF242" s="1946"/>
      <c r="BG242" s="7213"/>
    </row>
    <row customHeight="1" ht="0.75">
      <c r="A243" s="1290" t="s">
        <v>1200</v>
      </c>
      <c r="B243" s="1290"/>
      <c r="C243" s="1290"/>
      <c r="D243" s="1284"/>
      <c r="E243" s="1294"/>
      <c r="F243" s="2673">
        <v>2026</v>
      </c>
      <c r="G243" s="2652"/>
      <c r="H243" s="2677" t="s">
        <v>488</v>
      </c>
      <c r="I243" s="2678"/>
      <c r="J243" s="2679"/>
      <c r="K243" s="2679"/>
      <c r="L243" s="2671"/>
      <c r="M243" s="2405"/>
      <c r="N243" s="2157"/>
      <c r="O243" s="2156"/>
      <c r="P243" s="2157"/>
      <c r="Q243" s="2157"/>
      <c r="R243" s="2157"/>
      <c r="S243" s="2157"/>
      <c r="T243" s="2157"/>
      <c r="U243" s="2157"/>
      <c r="V243" s="2157"/>
      <c r="W243" s="2157"/>
      <c r="X243" s="2157"/>
      <c r="Y243" s="2157"/>
      <c r="Z243" s="2157"/>
      <c r="AA243" s="2157"/>
      <c r="AB243" s="2157"/>
      <c r="AC243" s="2157"/>
      <c r="AD243" s="2157"/>
      <c r="AE243" s="2157"/>
      <c r="AF243" s="2675"/>
      <c r="AG243" s="2671"/>
      <c r="AH243" s="2671"/>
      <c r="AI243" s="2675"/>
      <c r="AJ243" s="2671"/>
      <c r="AK243" s="2671"/>
      <c r="AL243" s="2109"/>
      <c r="AM243" s="1946"/>
      <c r="AN243" s="1946"/>
      <c r="AO243" s="1946"/>
      <c r="AP243" s="1946"/>
      <c r="AQ243" s="1946"/>
      <c r="AR243" s="1946"/>
      <c r="AS243" s="1946"/>
      <c r="AT243" s="1946"/>
      <c r="AU243" s="1946"/>
      <c r="AV243" s="1946"/>
      <c r="AW243" s="1946"/>
      <c r="AX243" s="1946"/>
      <c r="AY243" s="1946"/>
      <c r="AZ243" s="1946"/>
      <c r="BA243" s="1946"/>
      <c r="BB243" s="1946"/>
      <c r="BC243" s="1946"/>
      <c r="BD243" s="1946"/>
      <c r="BE243" s="1946"/>
      <c r="BF243" s="1946"/>
      <c r="BG243" s="7213"/>
    </row>
    <row customHeight="1" ht="0.75">
      <c r="A244" s="1290" t="s">
        <v>1200</v>
      </c>
      <c r="B244" s="1290"/>
      <c r="C244" s="1290"/>
      <c r="D244" s="1284"/>
      <c r="E244" s="1294"/>
      <c r="F244" s="2673"/>
      <c r="G244" s="2652"/>
      <c r="H244" s="2677"/>
      <c r="I244" s="2678"/>
      <c r="J244" s="2679"/>
      <c r="K244" s="2679"/>
      <c r="L244" s="2671"/>
      <c r="M244" s="2405"/>
      <c r="N244" s="2680"/>
      <c r="O244" s="2681"/>
      <c r="P244" s="2725"/>
      <c r="Q244" s="2676"/>
      <c r="R244" s="2676"/>
      <c r="S244" s="2676"/>
      <c r="T244" s="2676"/>
      <c r="U244" s="2676"/>
      <c r="V244" s="2676"/>
      <c r="W244" s="2676"/>
      <c r="X244" s="2676"/>
      <c r="Y244" s="2676"/>
      <c r="Z244" s="2158"/>
      <c r="AA244" s="2159"/>
      <c r="AB244" s="2159"/>
      <c r="AC244" s="2160"/>
      <c r="AD244" s="2160"/>
      <c r="AE244" s="2161"/>
      <c r="AF244" s="2675"/>
      <c r="AG244" s="2671"/>
      <c r="AH244" s="2671"/>
      <c r="AI244" s="2675"/>
      <c r="AJ244" s="2671"/>
      <c r="AK244" s="2671"/>
      <c r="AL244" s="2109"/>
      <c r="AM244" s="1946"/>
      <c r="AN244" s="1946"/>
      <c r="AO244" s="1946"/>
      <c r="AP244" s="1946"/>
      <c r="AQ244" s="1946"/>
      <c r="AR244" s="1946"/>
      <c r="AS244" s="1946"/>
      <c r="AT244" s="1946"/>
      <c r="AU244" s="1946"/>
      <c r="AV244" s="1946"/>
      <c r="AW244" s="1946"/>
      <c r="AX244" s="1946"/>
      <c r="AY244" s="1946"/>
      <c r="AZ244" s="1946"/>
      <c r="BA244" s="1946"/>
      <c r="BB244" s="1946"/>
      <c r="BC244" s="1946"/>
      <c r="BD244" s="1946"/>
      <c r="BE244" s="1946"/>
      <c r="BF244" s="1946"/>
      <c r="BG244" s="7213"/>
    </row>
    <row customHeight="1" ht="0.75">
      <c r="A245" s="1290" t="s">
        <v>1200</v>
      </c>
      <c r="B245" s="1290"/>
      <c r="C245" s="1290"/>
      <c r="D245" s="1284"/>
      <c r="E245" s="1294"/>
      <c r="F245" s="2673"/>
      <c r="G245" s="2652"/>
      <c r="H245" s="2677"/>
      <c r="I245" s="2678"/>
      <c r="J245" s="2679"/>
      <c r="K245" s="2679"/>
      <c r="L245" s="2671"/>
      <c r="M245" s="2405"/>
      <c r="N245" s="2680"/>
      <c r="O245" s="2681"/>
      <c r="P245" s="2726"/>
      <c r="Q245" s="2676"/>
      <c r="R245" s="2676"/>
      <c r="S245" s="2676"/>
      <c r="T245" s="2676"/>
      <c r="U245" s="2676"/>
      <c r="V245" s="2676"/>
      <c r="W245" s="2676"/>
      <c r="X245" s="2676"/>
      <c r="Y245" s="2676"/>
      <c r="Z245" s="2162"/>
      <c r="AA245" s="2163"/>
      <c r="AB245" s="2164"/>
      <c r="AC245" s="2165"/>
      <c r="AD245" s="2164"/>
      <c r="AE245" s="2165"/>
      <c r="AF245" s="2675"/>
      <c r="AG245" s="2671"/>
      <c r="AH245" s="2671"/>
      <c r="AI245" s="2675"/>
      <c r="AJ245" s="2671"/>
      <c r="AK245" s="2671"/>
      <c r="AL245" s="2109"/>
      <c r="AM245" s="1946"/>
      <c r="AN245" s="1946"/>
      <c r="AO245" s="1946"/>
      <c r="AP245" s="1946"/>
      <c r="AQ245" s="1946"/>
      <c r="AR245" s="1946"/>
      <c r="AS245" s="1946"/>
      <c r="AT245" s="1946"/>
      <c r="AU245" s="1946"/>
      <c r="AV245" s="1946"/>
      <c r="AW245" s="1946"/>
      <c r="AX245" s="1946"/>
      <c r="AY245" s="1946"/>
      <c r="AZ245" s="1946"/>
      <c r="BA245" s="1946"/>
      <c r="BB245" s="1946"/>
      <c r="BC245" s="1946"/>
      <c r="BD245" s="1946"/>
      <c r="BE245" s="1946"/>
      <c r="BF245" s="1946"/>
      <c r="BG245" s="7213"/>
    </row>
    <row customHeight="1" ht="0.75">
      <c r="A246" s="1290" t="s">
        <v>1200</v>
      </c>
      <c r="B246" s="1290"/>
      <c r="C246" s="1290"/>
      <c r="D246" s="1284"/>
      <c r="E246" s="1294"/>
      <c r="F246" s="2673"/>
      <c r="G246" s="2652"/>
      <c r="H246" s="2677"/>
      <c r="I246" s="2678"/>
      <c r="J246" s="2679"/>
      <c r="K246" s="2679"/>
      <c r="L246" s="2671"/>
      <c r="M246" s="2405"/>
      <c r="N246" s="2680"/>
      <c r="O246" s="2681"/>
      <c r="P246" s="2727"/>
      <c r="Q246" s="2676"/>
      <c r="R246" s="2676"/>
      <c r="S246" s="2676"/>
      <c r="T246" s="2676"/>
      <c r="U246" s="2676"/>
      <c r="V246" s="2676"/>
      <c r="W246" s="2676"/>
      <c r="X246" s="2676"/>
      <c r="Y246" s="2676"/>
      <c r="Z246" s="2158"/>
      <c r="AA246" s="2159"/>
      <c r="AB246" s="2166"/>
      <c r="AC246" s="2160"/>
      <c r="AD246" s="2160"/>
      <c r="AE246" s="2167"/>
      <c r="AF246" s="2675"/>
      <c r="AG246" s="2671"/>
      <c r="AH246" s="2671"/>
      <c r="AI246" s="2675"/>
      <c r="AJ246" s="2671"/>
      <c r="AK246" s="2671"/>
      <c r="AL246" s="2109"/>
      <c r="AM246" s="1946"/>
      <c r="AN246" s="1946"/>
      <c r="AO246" s="1946"/>
      <c r="AP246" s="1946"/>
      <c r="AQ246" s="1946"/>
      <c r="AR246" s="1946"/>
      <c r="AS246" s="1946"/>
      <c r="AT246" s="1946"/>
      <c r="AU246" s="1946"/>
      <c r="AV246" s="1946"/>
      <c r="AW246" s="1946"/>
      <c r="AX246" s="1946"/>
      <c r="AY246" s="1946"/>
      <c r="AZ246" s="1946"/>
      <c r="BA246" s="1946"/>
      <c r="BB246" s="1946"/>
      <c r="BC246" s="1946"/>
      <c r="BD246" s="1946"/>
      <c r="BE246" s="1946"/>
      <c r="BF246" s="1946"/>
      <c r="BG246" s="7213"/>
    </row>
    <row customHeight="1" ht="0.75">
      <c r="A247" s="1290" t="s">
        <v>1200</v>
      </c>
      <c r="B247" s="1290"/>
      <c r="C247" s="1290"/>
      <c r="D247" s="1284"/>
      <c r="E247" s="1294"/>
      <c r="F247" s="2673"/>
      <c r="G247" s="2652"/>
      <c r="H247" s="2677"/>
      <c r="I247" s="2678"/>
      <c r="J247" s="2679"/>
      <c r="K247" s="2679"/>
      <c r="L247" s="2671"/>
      <c r="M247" s="2405"/>
      <c r="N247" s="2159"/>
      <c r="O247" s="2159"/>
      <c r="P247" s="2166"/>
      <c r="Q247" s="2159"/>
      <c r="R247" s="2159"/>
      <c r="S247" s="2159"/>
      <c r="T247" s="2159"/>
      <c r="U247" s="2159"/>
      <c r="V247" s="2159"/>
      <c r="W247" s="2159"/>
      <c r="X247" s="2159"/>
      <c r="Y247" s="2159"/>
      <c r="Z247" s="2159"/>
      <c r="AA247" s="2159"/>
      <c r="AB247" s="2159"/>
      <c r="AC247" s="2159"/>
      <c r="AD247" s="2159"/>
      <c r="AE247" s="2168"/>
      <c r="AF247" s="2675"/>
      <c r="AG247" s="2671"/>
      <c r="AH247" s="2671"/>
      <c r="AI247" s="2675"/>
      <c r="AJ247" s="2671"/>
      <c r="AK247" s="2671"/>
      <c r="AL247" s="2109"/>
      <c r="AM247" s="1946"/>
      <c r="AN247" s="1946"/>
      <c r="AO247" s="1946"/>
      <c r="AP247" s="1946"/>
      <c r="AQ247" s="1946"/>
      <c r="AR247" s="1946"/>
      <c r="AS247" s="1946"/>
      <c r="AT247" s="1946"/>
      <c r="AU247" s="1946"/>
      <c r="AV247" s="1946"/>
      <c r="AW247" s="1946"/>
      <c r="AX247" s="1946"/>
      <c r="AY247" s="1946"/>
      <c r="AZ247" s="1946"/>
      <c r="BA247" s="1946"/>
      <c r="BB247" s="1946"/>
      <c r="BC247" s="1946"/>
      <c r="BD247" s="1946"/>
      <c r="BE247" s="1946"/>
      <c r="BF247" s="1946"/>
      <c r="BG247" s="7213"/>
    </row>
    <row customHeight="1" ht="12">
      <c r="A248" s="1290" t="s">
        <v>1200</v>
      </c>
      <c r="B248" s="1290"/>
      <c r="C248" s="1290"/>
      <c r="D248" s="1284"/>
      <c r="E248" s="1294"/>
      <c r="F248" s="2674"/>
      <c r="G248" s="1314"/>
      <c r="H248" s="1314"/>
      <c r="I248" s="2672" t="s">
        <v>1294</v>
      </c>
      <c r="J248" s="2672"/>
      <c r="K248" s="2672"/>
      <c r="L248" s="1297"/>
      <c r="M248" s="1297"/>
      <c r="N248" s="1298"/>
      <c r="O248" s="1298"/>
      <c r="P248" s="1298"/>
      <c r="Q248" s="1298"/>
      <c r="R248" s="1298"/>
      <c r="S248" s="1298"/>
      <c r="T248" s="1298"/>
      <c r="U248" s="1298"/>
      <c r="V248" s="1298"/>
      <c r="W248" s="1298"/>
      <c r="X248" s="1298"/>
      <c r="Y248" s="1298"/>
      <c r="Z248" s="1298"/>
      <c r="AA248" s="1298"/>
      <c r="AB248" s="1298"/>
      <c r="AC248" s="1298"/>
      <c r="AD248" s="1298"/>
      <c r="AE248" s="1298"/>
      <c r="AF248" s="1298"/>
      <c r="AG248" s="1297"/>
      <c r="AH248" s="1297"/>
      <c r="AI248" s="1298"/>
      <c r="AJ248" s="1297"/>
      <c r="AK248" s="1298"/>
      <c r="AL248" s="2109"/>
      <c r="AM248" s="1946"/>
      <c r="AN248" s="1946"/>
      <c r="AO248" s="1946"/>
      <c r="AP248" s="1946"/>
      <c r="AQ248" s="1946"/>
      <c r="AR248" s="1946"/>
      <c r="AS248" s="1946"/>
      <c r="AT248" s="1946"/>
      <c r="AU248" s="1946"/>
      <c r="AV248" s="1946"/>
      <c r="AW248" s="1946"/>
      <c r="AX248" s="1946"/>
      <c r="AY248" s="1946"/>
      <c r="AZ248" s="1946"/>
      <c r="BA248" s="1946"/>
      <c r="BB248" s="1946"/>
      <c r="BC248" s="1946"/>
      <c r="BD248" s="1946"/>
      <c r="BE248" s="1946"/>
      <c r="BF248" s="1946"/>
      <c r="BG248" s="7213"/>
    </row>
    <row customHeight="1" ht="0.75">
      <c r="A249" s="1290" t="s">
        <v>1200</v>
      </c>
      <c r="B249" s="1290"/>
      <c r="C249" s="1290"/>
      <c r="D249" s="1284"/>
      <c r="E249" s="1294"/>
      <c r="F249" s="2673">
        <v>2027</v>
      </c>
      <c r="G249" s="2652"/>
      <c r="H249" s="2677" t="s">
        <v>488</v>
      </c>
      <c r="I249" s="2678"/>
      <c r="J249" s="2679"/>
      <c r="K249" s="2679"/>
      <c r="L249" s="2671"/>
      <c r="M249" s="2405"/>
      <c r="N249" s="2157"/>
      <c r="O249" s="2156"/>
      <c r="P249" s="2157"/>
      <c r="Q249" s="2157"/>
      <c r="R249" s="2157"/>
      <c r="S249" s="2157"/>
      <c r="T249" s="2157"/>
      <c r="U249" s="2157"/>
      <c r="V249" s="2157"/>
      <c r="W249" s="2157"/>
      <c r="X249" s="2157"/>
      <c r="Y249" s="2157"/>
      <c r="Z249" s="2157"/>
      <c r="AA249" s="2157"/>
      <c r="AB249" s="2157"/>
      <c r="AC249" s="2157"/>
      <c r="AD249" s="2157"/>
      <c r="AE249" s="2157"/>
      <c r="AF249" s="2675"/>
      <c r="AG249" s="2671"/>
      <c r="AH249" s="2671"/>
      <c r="AI249" s="2675"/>
      <c r="AJ249" s="2671"/>
      <c r="AK249" s="2671"/>
      <c r="AL249" s="2109"/>
      <c r="AM249" s="1946"/>
      <c r="AN249" s="1946"/>
      <c r="AO249" s="1946"/>
      <c r="AP249" s="1946"/>
      <c r="AQ249" s="1946"/>
      <c r="AR249" s="1946"/>
      <c r="AS249" s="1946"/>
      <c r="AT249" s="1946"/>
      <c r="AU249" s="1946"/>
      <c r="AV249" s="1946"/>
      <c r="AW249" s="1946"/>
      <c r="AX249" s="1946"/>
      <c r="AY249" s="1946"/>
      <c r="AZ249" s="1946"/>
      <c r="BA249" s="1946"/>
      <c r="BB249" s="1946"/>
      <c r="BC249" s="1946"/>
      <c r="BD249" s="1946"/>
      <c r="BE249" s="1946"/>
      <c r="BF249" s="1946"/>
      <c r="BG249" s="7213"/>
    </row>
    <row customHeight="1" ht="0.75">
      <c r="A250" s="1290" t="s">
        <v>1200</v>
      </c>
      <c r="B250" s="1290"/>
      <c r="C250" s="1290"/>
      <c r="D250" s="1284"/>
      <c r="E250" s="1294"/>
      <c r="F250" s="2673"/>
      <c r="G250" s="2652"/>
      <c r="H250" s="2677"/>
      <c r="I250" s="2678"/>
      <c r="J250" s="2679"/>
      <c r="K250" s="2679"/>
      <c r="L250" s="2671"/>
      <c r="M250" s="2405"/>
      <c r="N250" s="2680"/>
      <c r="O250" s="2681"/>
      <c r="P250" s="2725"/>
      <c r="Q250" s="2676"/>
      <c r="R250" s="2676"/>
      <c r="S250" s="2676"/>
      <c r="T250" s="2676"/>
      <c r="U250" s="2676"/>
      <c r="V250" s="2676"/>
      <c r="W250" s="2676"/>
      <c r="X250" s="2676"/>
      <c r="Y250" s="2676"/>
      <c r="Z250" s="2158"/>
      <c r="AA250" s="2159"/>
      <c r="AB250" s="2159"/>
      <c r="AC250" s="2160"/>
      <c r="AD250" s="2160"/>
      <c r="AE250" s="2161"/>
      <c r="AF250" s="2675"/>
      <c r="AG250" s="2671"/>
      <c r="AH250" s="2671"/>
      <c r="AI250" s="2675"/>
      <c r="AJ250" s="2671"/>
      <c r="AK250" s="2671"/>
      <c r="AL250" s="2109"/>
      <c r="AM250" s="1946"/>
      <c r="AN250" s="1946"/>
      <c r="AO250" s="1946"/>
      <c r="AP250" s="1946"/>
      <c r="AQ250" s="1946"/>
      <c r="AR250" s="1946"/>
      <c r="AS250" s="1946"/>
      <c r="AT250" s="1946"/>
      <c r="AU250" s="1946"/>
      <c r="AV250" s="1946"/>
      <c r="AW250" s="1946"/>
      <c r="AX250" s="1946"/>
      <c r="AY250" s="1946"/>
      <c r="AZ250" s="1946"/>
      <c r="BA250" s="1946"/>
      <c r="BB250" s="1946"/>
      <c r="BC250" s="1946"/>
      <c r="BD250" s="1946"/>
      <c r="BE250" s="1946"/>
      <c r="BF250" s="1946"/>
      <c r="BG250" s="7213"/>
    </row>
    <row customHeight="1" ht="0.75">
      <c r="A251" s="1290" t="s">
        <v>1200</v>
      </c>
      <c r="B251" s="1290"/>
      <c r="C251" s="1290"/>
      <c r="D251" s="1284"/>
      <c r="E251" s="1294"/>
      <c r="F251" s="2673"/>
      <c r="G251" s="2652"/>
      <c r="H251" s="2677"/>
      <c r="I251" s="2678"/>
      <c r="J251" s="2679"/>
      <c r="K251" s="2679"/>
      <c r="L251" s="2671"/>
      <c r="M251" s="2405"/>
      <c r="N251" s="2680"/>
      <c r="O251" s="2681"/>
      <c r="P251" s="2726"/>
      <c r="Q251" s="2676"/>
      <c r="R251" s="2676"/>
      <c r="S251" s="2676"/>
      <c r="T251" s="2676"/>
      <c r="U251" s="2676"/>
      <c r="V251" s="2676"/>
      <c r="W251" s="2676"/>
      <c r="X251" s="2676"/>
      <c r="Y251" s="2676"/>
      <c r="Z251" s="2162"/>
      <c r="AA251" s="2163"/>
      <c r="AB251" s="2164"/>
      <c r="AC251" s="2165"/>
      <c r="AD251" s="2164"/>
      <c r="AE251" s="2165"/>
      <c r="AF251" s="2675"/>
      <c r="AG251" s="2671"/>
      <c r="AH251" s="2671"/>
      <c r="AI251" s="2675"/>
      <c r="AJ251" s="2671"/>
      <c r="AK251" s="2671"/>
      <c r="AL251" s="2109"/>
      <c r="AM251" s="1946"/>
      <c r="AN251" s="1946"/>
      <c r="AO251" s="1946"/>
      <c r="AP251" s="1946"/>
      <c r="AQ251" s="1946"/>
      <c r="AR251" s="1946"/>
      <c r="AS251" s="1946"/>
      <c r="AT251" s="1946"/>
      <c r="AU251" s="1946"/>
      <c r="AV251" s="1946"/>
      <c r="AW251" s="1946"/>
      <c r="AX251" s="1946"/>
      <c r="AY251" s="1946"/>
      <c r="AZ251" s="1946"/>
      <c r="BA251" s="1946"/>
      <c r="BB251" s="1946"/>
      <c r="BC251" s="1946"/>
      <c r="BD251" s="1946"/>
      <c r="BE251" s="1946"/>
      <c r="BF251" s="1946"/>
      <c r="BG251" s="7213"/>
    </row>
    <row customHeight="1" ht="0.75">
      <c r="A252" s="1290" t="s">
        <v>1200</v>
      </c>
      <c r="B252" s="1290"/>
      <c r="C252" s="1290"/>
      <c r="D252" s="1284"/>
      <c r="E252" s="1294"/>
      <c r="F252" s="2673"/>
      <c r="G252" s="2652"/>
      <c r="H252" s="2677"/>
      <c r="I252" s="2678"/>
      <c r="J252" s="2679"/>
      <c r="K252" s="2679"/>
      <c r="L252" s="2671"/>
      <c r="M252" s="2405"/>
      <c r="N252" s="2680"/>
      <c r="O252" s="2681"/>
      <c r="P252" s="2727"/>
      <c r="Q252" s="2676"/>
      <c r="R252" s="2676"/>
      <c r="S252" s="2676"/>
      <c r="T252" s="2676"/>
      <c r="U252" s="2676"/>
      <c r="V252" s="2676"/>
      <c r="W252" s="2676"/>
      <c r="X252" s="2676"/>
      <c r="Y252" s="2676"/>
      <c r="Z252" s="2158"/>
      <c r="AA252" s="2159"/>
      <c r="AB252" s="2166"/>
      <c r="AC252" s="2160"/>
      <c r="AD252" s="2160"/>
      <c r="AE252" s="2167"/>
      <c r="AF252" s="2675"/>
      <c r="AG252" s="2671"/>
      <c r="AH252" s="2671"/>
      <c r="AI252" s="2675"/>
      <c r="AJ252" s="2671"/>
      <c r="AK252" s="2671"/>
      <c r="AL252" s="2109"/>
      <c r="AM252" s="1946"/>
      <c r="AN252" s="1946"/>
      <c r="AO252" s="1946"/>
      <c r="AP252" s="1946"/>
      <c r="AQ252" s="1946"/>
      <c r="AR252" s="1946"/>
      <c r="AS252" s="1946"/>
      <c r="AT252" s="1946"/>
      <c r="AU252" s="1946"/>
      <c r="AV252" s="1946"/>
      <c r="AW252" s="1946"/>
      <c r="AX252" s="1946"/>
      <c r="AY252" s="1946"/>
      <c r="AZ252" s="1946"/>
      <c r="BA252" s="1946"/>
      <c r="BB252" s="1946"/>
      <c r="BC252" s="1946"/>
      <c r="BD252" s="1946"/>
      <c r="BE252" s="1946"/>
      <c r="BF252" s="1946"/>
      <c r="BG252" s="7213"/>
    </row>
    <row customHeight="1" ht="0.75">
      <c r="A253" s="1290" t="s">
        <v>1200</v>
      </c>
      <c r="B253" s="1290"/>
      <c r="C253" s="1290"/>
      <c r="D253" s="1284"/>
      <c r="E253" s="1294"/>
      <c r="F253" s="2673"/>
      <c r="G253" s="2652"/>
      <c r="H253" s="2677"/>
      <c r="I253" s="2678"/>
      <c r="J253" s="2679"/>
      <c r="K253" s="2679"/>
      <c r="L253" s="2671"/>
      <c r="M253" s="2405"/>
      <c r="N253" s="2159"/>
      <c r="O253" s="2159"/>
      <c r="P253" s="2166"/>
      <c r="Q253" s="2159"/>
      <c r="R253" s="2159"/>
      <c r="S253" s="2159"/>
      <c r="T253" s="2159"/>
      <c r="U253" s="2159"/>
      <c r="V253" s="2159"/>
      <c r="W253" s="2159"/>
      <c r="X253" s="2159"/>
      <c r="Y253" s="2159"/>
      <c r="Z253" s="2159"/>
      <c r="AA253" s="2159"/>
      <c r="AB253" s="2159"/>
      <c r="AC253" s="2159"/>
      <c r="AD253" s="2159"/>
      <c r="AE253" s="2168"/>
      <c r="AF253" s="2675"/>
      <c r="AG253" s="2671"/>
      <c r="AH253" s="2671"/>
      <c r="AI253" s="2675"/>
      <c r="AJ253" s="2671"/>
      <c r="AK253" s="2671"/>
      <c r="AL253" s="2109"/>
      <c r="AM253" s="1946"/>
      <c r="AN253" s="1946"/>
      <c r="AO253" s="1946"/>
      <c r="AP253" s="1946"/>
      <c r="AQ253" s="1946"/>
      <c r="AR253" s="1946"/>
      <c r="AS253" s="1946"/>
      <c r="AT253" s="1946"/>
      <c r="AU253" s="1946"/>
      <c r="AV253" s="1946"/>
      <c r="AW253" s="1946"/>
      <c r="AX253" s="1946"/>
      <c r="AY253" s="1946"/>
      <c r="AZ253" s="1946"/>
      <c r="BA253" s="1946"/>
      <c r="BB253" s="1946"/>
      <c r="BC253" s="1946"/>
      <c r="BD253" s="1946"/>
      <c r="BE253" s="1946"/>
      <c r="BF253" s="1946"/>
      <c r="BG253" s="7213"/>
    </row>
    <row customHeight="1" ht="12">
      <c r="A254" s="1290" t="s">
        <v>1200</v>
      </c>
      <c r="B254" s="1290"/>
      <c r="C254" s="1290"/>
      <c r="D254" s="1284"/>
      <c r="E254" s="1294"/>
      <c r="F254" s="2674"/>
      <c r="G254" s="1314"/>
      <c r="H254" s="1314"/>
      <c r="I254" s="2672" t="s">
        <v>1294</v>
      </c>
      <c r="J254" s="2672"/>
      <c r="K254" s="2672"/>
      <c r="L254" s="1297"/>
      <c r="M254" s="1297"/>
      <c r="N254" s="1298"/>
      <c r="O254" s="1298"/>
      <c r="P254" s="1298"/>
      <c r="Q254" s="1298"/>
      <c r="R254" s="1298"/>
      <c r="S254" s="1298"/>
      <c r="T254" s="1298"/>
      <c r="U254" s="1298"/>
      <c r="V254" s="1298"/>
      <c r="W254" s="1298"/>
      <c r="X254" s="1298"/>
      <c r="Y254" s="1298"/>
      <c r="Z254" s="1298"/>
      <c r="AA254" s="1298"/>
      <c r="AB254" s="1298"/>
      <c r="AC254" s="1298"/>
      <c r="AD254" s="1298"/>
      <c r="AE254" s="1298"/>
      <c r="AF254" s="1298"/>
      <c r="AG254" s="1297"/>
      <c r="AH254" s="1297"/>
      <c r="AI254" s="1298"/>
      <c r="AJ254" s="1297"/>
      <c r="AK254" s="1298"/>
      <c r="AL254" s="2109"/>
      <c r="AM254" s="1946"/>
      <c r="AN254" s="1946"/>
      <c r="AO254" s="1946"/>
      <c r="AP254" s="1946"/>
      <c r="AQ254" s="1946"/>
      <c r="AR254" s="1946"/>
      <c r="AS254" s="1946"/>
      <c r="AT254" s="1946"/>
      <c r="AU254" s="1946"/>
      <c r="AV254" s="1946"/>
      <c r="AW254" s="1946"/>
      <c r="AX254" s="1946"/>
      <c r="AY254" s="1946"/>
      <c r="AZ254" s="1946"/>
      <c r="BA254" s="1946"/>
      <c r="BB254" s="1946"/>
      <c r="BC254" s="1946"/>
      <c r="BD254" s="1946"/>
      <c r="BE254" s="1946"/>
      <c r="BF254" s="1946"/>
      <c r="BG254" s="7213"/>
    </row>
    <row customHeight="1" ht="0.75">
      <c r="A255" s="1290" t="s">
        <v>1200</v>
      </c>
      <c r="B255" s="1290"/>
      <c r="C255" s="1290"/>
      <c r="D255" s="1284"/>
      <c r="E255" s="1294"/>
      <c r="F255" s="2673">
        <v>2028</v>
      </c>
      <c r="G255" s="2652"/>
      <c r="H255" s="2677" t="s">
        <v>488</v>
      </c>
      <c r="I255" s="2678"/>
      <c r="J255" s="2679"/>
      <c r="K255" s="2679"/>
      <c r="L255" s="2671"/>
      <c r="M255" s="2405"/>
      <c r="N255" s="2157"/>
      <c r="O255" s="2156"/>
      <c r="P255" s="2157"/>
      <c r="Q255" s="2157"/>
      <c r="R255" s="2157"/>
      <c r="S255" s="2157"/>
      <c r="T255" s="2157"/>
      <c r="U255" s="2157"/>
      <c r="V255" s="2157"/>
      <c r="W255" s="2157"/>
      <c r="X255" s="2157"/>
      <c r="Y255" s="2157"/>
      <c r="Z255" s="2157"/>
      <c r="AA255" s="2157"/>
      <c r="AB255" s="2157"/>
      <c r="AC255" s="2157"/>
      <c r="AD255" s="2157"/>
      <c r="AE255" s="2157"/>
      <c r="AF255" s="2675"/>
      <c r="AG255" s="2671"/>
      <c r="AH255" s="2671"/>
      <c r="AI255" s="2675"/>
      <c r="AJ255" s="2671"/>
      <c r="AK255" s="2671"/>
      <c r="AL255" s="2109"/>
      <c r="AM255" s="1946"/>
      <c r="AN255" s="1946"/>
      <c r="AO255" s="1946"/>
      <c r="AP255" s="1946"/>
      <c r="AQ255" s="1946"/>
      <c r="AR255" s="1946"/>
      <c r="AS255" s="1946"/>
      <c r="AT255" s="1946"/>
      <c r="AU255" s="1946"/>
      <c r="AV255" s="1946"/>
      <c r="AW255" s="1946"/>
      <c r="AX255" s="1946"/>
      <c r="AY255" s="1946"/>
      <c r="AZ255" s="1946"/>
      <c r="BA255" s="1946"/>
      <c r="BB255" s="1946"/>
      <c r="BC255" s="1946"/>
      <c r="BD255" s="1946"/>
      <c r="BE255" s="1946"/>
      <c r="BF255" s="1946"/>
      <c r="BG255" s="7213"/>
    </row>
    <row customHeight="1" ht="0.75">
      <c r="A256" s="1290" t="s">
        <v>1200</v>
      </c>
      <c r="B256" s="1290"/>
      <c r="C256" s="1290"/>
      <c r="D256" s="1284"/>
      <c r="E256" s="1294"/>
      <c r="F256" s="2673"/>
      <c r="G256" s="2652"/>
      <c r="H256" s="2677"/>
      <c r="I256" s="2678"/>
      <c r="J256" s="2679"/>
      <c r="K256" s="2679"/>
      <c r="L256" s="2671"/>
      <c r="M256" s="2405"/>
      <c r="N256" s="2680"/>
      <c r="O256" s="2681"/>
      <c r="P256" s="2725"/>
      <c r="Q256" s="2676"/>
      <c r="R256" s="2676"/>
      <c r="S256" s="2676"/>
      <c r="T256" s="2676"/>
      <c r="U256" s="2676"/>
      <c r="V256" s="2676"/>
      <c r="W256" s="2676"/>
      <c r="X256" s="2676"/>
      <c r="Y256" s="2676"/>
      <c r="Z256" s="2158"/>
      <c r="AA256" s="2159"/>
      <c r="AB256" s="2159"/>
      <c r="AC256" s="2160"/>
      <c r="AD256" s="2160"/>
      <c r="AE256" s="2161"/>
      <c r="AF256" s="2675"/>
      <c r="AG256" s="2671"/>
      <c r="AH256" s="2671"/>
      <c r="AI256" s="2675"/>
      <c r="AJ256" s="2671"/>
      <c r="AK256" s="2671"/>
      <c r="AL256" s="2109"/>
      <c r="AM256" s="1946"/>
      <c r="AN256" s="1946"/>
      <c r="AO256" s="1946"/>
      <c r="AP256" s="1946"/>
      <c r="AQ256" s="1946"/>
      <c r="AR256" s="1946"/>
      <c r="AS256" s="1946"/>
      <c r="AT256" s="1946"/>
      <c r="AU256" s="1946"/>
      <c r="AV256" s="1946"/>
      <c r="AW256" s="1946"/>
      <c r="AX256" s="1946"/>
      <c r="AY256" s="1946"/>
      <c r="AZ256" s="1946"/>
      <c r="BA256" s="1946"/>
      <c r="BB256" s="1946"/>
      <c r="BC256" s="1946"/>
      <c r="BD256" s="1946"/>
      <c r="BE256" s="1946"/>
      <c r="BF256" s="1946"/>
      <c r="BG256" s="7213"/>
    </row>
    <row customHeight="1" ht="0.75">
      <c r="A257" s="1290" t="s">
        <v>1200</v>
      </c>
      <c r="B257" s="1290"/>
      <c r="C257" s="1290"/>
      <c r="D257" s="1284"/>
      <c r="E257" s="1294"/>
      <c r="F257" s="2673"/>
      <c r="G257" s="2652"/>
      <c r="H257" s="2677"/>
      <c r="I257" s="2678"/>
      <c r="J257" s="2679"/>
      <c r="K257" s="2679"/>
      <c r="L257" s="2671"/>
      <c r="M257" s="2405"/>
      <c r="N257" s="2680"/>
      <c r="O257" s="2681"/>
      <c r="P257" s="2726"/>
      <c r="Q257" s="2676"/>
      <c r="R257" s="2676"/>
      <c r="S257" s="2676"/>
      <c r="T257" s="2676"/>
      <c r="U257" s="2676"/>
      <c r="V257" s="2676"/>
      <c r="W257" s="2676"/>
      <c r="X257" s="2676"/>
      <c r="Y257" s="2676"/>
      <c r="Z257" s="2162"/>
      <c r="AA257" s="2163"/>
      <c r="AB257" s="2164"/>
      <c r="AC257" s="2165"/>
      <c r="AD257" s="2164"/>
      <c r="AE257" s="2165"/>
      <c r="AF257" s="2675"/>
      <c r="AG257" s="2671"/>
      <c r="AH257" s="2671"/>
      <c r="AI257" s="2675"/>
      <c r="AJ257" s="2671"/>
      <c r="AK257" s="2671"/>
      <c r="AL257" s="2109"/>
      <c r="AM257" s="1946"/>
      <c r="AN257" s="1946"/>
      <c r="AO257" s="1946"/>
      <c r="AP257" s="1946"/>
      <c r="AQ257" s="1946"/>
      <c r="AR257" s="1946"/>
      <c r="AS257" s="1946"/>
      <c r="AT257" s="1946"/>
      <c r="AU257" s="1946"/>
      <c r="AV257" s="1946"/>
      <c r="AW257" s="1946"/>
      <c r="AX257" s="1946"/>
      <c r="AY257" s="1946"/>
      <c r="AZ257" s="1946"/>
      <c r="BA257" s="1946"/>
      <c r="BB257" s="1946"/>
      <c r="BC257" s="1946"/>
      <c r="BD257" s="1946"/>
      <c r="BE257" s="1946"/>
      <c r="BF257" s="1946"/>
      <c r="BG257" s="7213"/>
    </row>
    <row customHeight="1" ht="0.75">
      <c r="A258" s="1290" t="s">
        <v>1200</v>
      </c>
      <c r="B258" s="1290"/>
      <c r="C258" s="1290"/>
      <c r="D258" s="1284"/>
      <c r="E258" s="1294"/>
      <c r="F258" s="2673"/>
      <c r="G258" s="2652"/>
      <c r="H258" s="2677"/>
      <c r="I258" s="2678"/>
      <c r="J258" s="2679"/>
      <c r="K258" s="2679"/>
      <c r="L258" s="2671"/>
      <c r="M258" s="2405"/>
      <c r="N258" s="2680"/>
      <c r="O258" s="2681"/>
      <c r="P258" s="2727"/>
      <c r="Q258" s="2676"/>
      <c r="R258" s="2676"/>
      <c r="S258" s="2676"/>
      <c r="T258" s="2676"/>
      <c r="U258" s="2676"/>
      <c r="V258" s="2676"/>
      <c r="W258" s="2676"/>
      <c r="X258" s="2676"/>
      <c r="Y258" s="2676"/>
      <c r="Z258" s="2158"/>
      <c r="AA258" s="2159"/>
      <c r="AB258" s="2166"/>
      <c r="AC258" s="2160"/>
      <c r="AD258" s="2160"/>
      <c r="AE258" s="2167"/>
      <c r="AF258" s="2675"/>
      <c r="AG258" s="2671"/>
      <c r="AH258" s="2671"/>
      <c r="AI258" s="2675"/>
      <c r="AJ258" s="2671"/>
      <c r="AK258" s="2671"/>
      <c r="AL258" s="2109"/>
      <c r="AM258" s="1946"/>
      <c r="AN258" s="1946"/>
      <c r="AO258" s="1946"/>
      <c r="AP258" s="1946"/>
      <c r="AQ258" s="1946"/>
      <c r="AR258" s="1946"/>
      <c r="AS258" s="1946"/>
      <c r="AT258" s="1946"/>
      <c r="AU258" s="1946"/>
      <c r="AV258" s="1946"/>
      <c r="AW258" s="1946"/>
      <c r="AX258" s="1946"/>
      <c r="AY258" s="1946"/>
      <c r="AZ258" s="1946"/>
      <c r="BA258" s="1946"/>
      <c r="BB258" s="1946"/>
      <c r="BC258" s="1946"/>
      <c r="BD258" s="1946"/>
      <c r="BE258" s="1946"/>
      <c r="BF258" s="1946"/>
      <c r="BG258" s="7213"/>
    </row>
    <row customHeight="1" ht="0.75">
      <c r="A259" s="1290" t="s">
        <v>1200</v>
      </c>
      <c r="B259" s="1290"/>
      <c r="C259" s="1290"/>
      <c r="D259" s="1284"/>
      <c r="E259" s="1294"/>
      <c r="F259" s="2673"/>
      <c r="G259" s="2652"/>
      <c r="H259" s="2677"/>
      <c r="I259" s="2678"/>
      <c r="J259" s="2679"/>
      <c r="K259" s="2679"/>
      <c r="L259" s="2671"/>
      <c r="M259" s="2405"/>
      <c r="N259" s="2159"/>
      <c r="O259" s="2159"/>
      <c r="P259" s="2166"/>
      <c r="Q259" s="2159"/>
      <c r="R259" s="2159"/>
      <c r="S259" s="2159"/>
      <c r="T259" s="2159"/>
      <c r="U259" s="2159"/>
      <c r="V259" s="2159"/>
      <c r="W259" s="2159"/>
      <c r="X259" s="2159"/>
      <c r="Y259" s="2159"/>
      <c r="Z259" s="2159"/>
      <c r="AA259" s="2159"/>
      <c r="AB259" s="2159"/>
      <c r="AC259" s="2159"/>
      <c r="AD259" s="2159"/>
      <c r="AE259" s="2168"/>
      <c r="AF259" s="2675"/>
      <c r="AG259" s="2671"/>
      <c r="AH259" s="2671"/>
      <c r="AI259" s="2675"/>
      <c r="AJ259" s="2671"/>
      <c r="AK259" s="2671"/>
      <c r="AL259" s="2109"/>
      <c r="AM259" s="1946"/>
      <c r="AN259" s="1946"/>
      <c r="AO259" s="1946"/>
      <c r="AP259" s="1946"/>
      <c r="AQ259" s="1946"/>
      <c r="AR259" s="1946"/>
      <c r="AS259" s="1946"/>
      <c r="AT259" s="1946"/>
      <c r="AU259" s="1946"/>
      <c r="AV259" s="1946"/>
      <c r="AW259" s="1946"/>
      <c r="AX259" s="1946"/>
      <c r="AY259" s="1946"/>
      <c r="AZ259" s="1946"/>
      <c r="BA259" s="1946"/>
      <c r="BB259" s="1946"/>
      <c r="BC259" s="1946"/>
      <c r="BD259" s="1946"/>
      <c r="BE259" s="1946"/>
      <c r="BF259" s="1946"/>
      <c r="BG259" s="7213"/>
    </row>
    <row customHeight="1" ht="12">
      <c r="A260" s="1290" t="s">
        <v>1200</v>
      </c>
      <c r="B260" s="1290"/>
      <c r="C260" s="1290"/>
      <c r="D260" s="1284"/>
      <c r="E260" s="1294"/>
      <c r="F260" s="2674"/>
      <c r="G260" s="1314"/>
      <c r="H260" s="1314"/>
      <c r="I260" s="2672" t="s">
        <v>1294</v>
      </c>
      <c r="J260" s="2672"/>
      <c r="K260" s="2672"/>
      <c r="L260" s="1297"/>
      <c r="M260" s="1297"/>
      <c r="N260" s="1298"/>
      <c r="O260" s="1298"/>
      <c r="P260" s="1298"/>
      <c r="Q260" s="1298"/>
      <c r="R260" s="1298"/>
      <c r="S260" s="1298"/>
      <c r="T260" s="1298"/>
      <c r="U260" s="1298"/>
      <c r="V260" s="1298"/>
      <c r="W260" s="1298"/>
      <c r="X260" s="1298"/>
      <c r="Y260" s="1298"/>
      <c r="Z260" s="1298"/>
      <c r="AA260" s="1298"/>
      <c r="AB260" s="1298"/>
      <c r="AC260" s="1298"/>
      <c r="AD260" s="1298"/>
      <c r="AE260" s="1298"/>
      <c r="AF260" s="1298"/>
      <c r="AG260" s="1297"/>
      <c r="AH260" s="1297"/>
      <c r="AI260" s="1298"/>
      <c r="AJ260" s="1297"/>
      <c r="AK260" s="1298"/>
      <c r="AL260" s="2109"/>
      <c r="AM260" s="1946"/>
      <c r="AN260" s="1946"/>
      <c r="AO260" s="1946"/>
      <c r="AP260" s="1946"/>
      <c r="AQ260" s="1946"/>
      <c r="AR260" s="1946"/>
      <c r="AS260" s="1946"/>
      <c r="AT260" s="1946"/>
      <c r="AU260" s="1946"/>
      <c r="AV260" s="1946"/>
      <c r="AW260" s="1946"/>
      <c r="AX260" s="1946"/>
      <c r="AY260" s="1946"/>
      <c r="AZ260" s="1946"/>
      <c r="BA260" s="1946"/>
      <c r="BB260" s="1946"/>
      <c r="BC260" s="1946"/>
      <c r="BD260" s="1946"/>
      <c r="BE260" s="1946"/>
      <c r="BF260" s="1946"/>
      <c r="BG260" s="7213"/>
    </row>
    <row customHeight="1" ht="21">
      <c r="A261" s="1291" t="s">
        <v>1206</v>
      </c>
      <c r="B261" s="1290"/>
      <c r="C261" s="1290"/>
      <c r="D261" s="1284"/>
      <c r="E261" s="1294" t="s">
        <v>22</v>
      </c>
      <c r="F261" s="1246" t="str">
        <f>INDEX(IP_MAIN_LIST_NAME_IP,MATCH(A261,IP_MAIN_LIST_IP_ID,0))&amp;" ("&amp;INDEX(IP_MAIN_START_DATE,MATCH(A261,IP_MAIN_LIST_IP_ID,0))&amp;"-"&amp;INDEX(IP_MAIN_END_DATE,MATCH(A261,IP_MAIN_LIST_IP_ID,0))&amp;")"</f>
        <v>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 (01.01.2024-31.12.2028)</v>
      </c>
      <c r="G261" s="1247"/>
      <c r="H261" s="1247"/>
      <c r="I261" s="1309"/>
      <c r="J261" s="1309"/>
      <c r="K261" s="1310"/>
      <c r="L261" s="1310"/>
      <c r="M261" s="1310"/>
      <c r="N261" s="1311"/>
      <c r="O261" s="1311"/>
      <c r="P261" s="1311"/>
      <c r="Q261" s="1311"/>
      <c r="R261" s="1311"/>
      <c r="S261" s="1311"/>
      <c r="T261" s="1311"/>
      <c r="U261" s="1311"/>
      <c r="V261" s="1311"/>
      <c r="W261" s="1311"/>
      <c r="X261" s="1311"/>
      <c r="Y261" s="1311"/>
      <c r="Z261" s="1311"/>
      <c r="AA261" s="1311"/>
      <c r="AB261" s="1311"/>
      <c r="AC261" s="1311"/>
      <c r="AD261" s="1311"/>
      <c r="AE261" s="1312"/>
      <c r="AF261" s="1310"/>
      <c r="AG261" s="1310"/>
      <c r="AH261" s="1310"/>
      <c r="AI261" s="1310"/>
      <c r="AJ261" s="1310"/>
      <c r="AK261" s="1310"/>
      <c r="AL261" s="2109"/>
      <c r="AM261" s="1946"/>
      <c r="AN261" s="1946"/>
      <c r="AO261" s="1946"/>
      <c r="AP261" s="1946"/>
      <c r="AQ261" s="1946"/>
      <c r="AR261" s="1946"/>
      <c r="AS261" s="1946"/>
      <c r="AT261" s="1946"/>
      <c r="AU261" s="1946"/>
      <c r="AV261" s="1946"/>
      <c r="AW261" s="1946"/>
      <c r="AX261" s="1946"/>
      <c r="AY261" s="1946"/>
      <c r="AZ261" s="1946"/>
      <c r="BA261" s="1946"/>
      <c r="BB261" s="1946"/>
      <c r="BC261" s="1946"/>
      <c r="BD261" s="1946"/>
      <c r="BE261" s="1946"/>
      <c r="BF261" s="1946"/>
      <c r="BG261" s="7213"/>
    </row>
    <row customHeight="1" ht="0.75">
      <c r="A262" s="1290" t="s">
        <v>1206</v>
      </c>
      <c r="B262" s="1290"/>
      <c r="C262" s="1290"/>
      <c r="D262" s="1284"/>
      <c r="E262" s="1294"/>
      <c r="F262" s="2673">
        <v>2024</v>
      </c>
      <c r="G262" s="2652"/>
      <c r="H262" s="2677" t="s">
        <v>488</v>
      </c>
      <c r="I262" s="2678"/>
      <c r="J262" s="2679"/>
      <c r="K262" s="2679"/>
      <c r="L262" s="2671"/>
      <c r="M262" s="2405"/>
      <c r="N262" s="2157"/>
      <c r="O262" s="2156"/>
      <c r="P262" s="2157"/>
      <c r="Q262" s="2157"/>
      <c r="R262" s="2157"/>
      <c r="S262" s="2157"/>
      <c r="T262" s="2157"/>
      <c r="U262" s="2157"/>
      <c r="V262" s="2157"/>
      <c r="W262" s="2157"/>
      <c r="X262" s="2157"/>
      <c r="Y262" s="2157"/>
      <c r="Z262" s="2157"/>
      <c r="AA262" s="2157"/>
      <c r="AB262" s="2157"/>
      <c r="AC262" s="2157"/>
      <c r="AD262" s="2157"/>
      <c r="AE262" s="2157"/>
      <c r="AF262" s="2675"/>
      <c r="AG262" s="2671"/>
      <c r="AH262" s="2671"/>
      <c r="AI262" s="2675"/>
      <c r="AJ262" s="2671"/>
      <c r="AK262" s="2671"/>
      <c r="AL262" s="2109"/>
      <c r="AM262" s="1946"/>
      <c r="AN262" s="1946"/>
      <c r="AO262" s="1946"/>
      <c r="AP262" s="1946"/>
      <c r="AQ262" s="1946"/>
      <c r="AR262" s="1946"/>
      <c r="AS262" s="1946"/>
      <c r="AT262" s="1946"/>
      <c r="AU262" s="1946"/>
      <c r="AV262" s="1946"/>
      <c r="AW262" s="1946"/>
      <c r="AX262" s="1946"/>
      <c r="AY262" s="1946"/>
      <c r="AZ262" s="1946"/>
      <c r="BA262" s="1946"/>
      <c r="BB262" s="1946"/>
      <c r="BC262" s="1946"/>
      <c r="BD262" s="1946"/>
      <c r="BE262" s="1946"/>
      <c r="BF262" s="1946"/>
      <c r="BG262" s="7213"/>
    </row>
    <row customHeight="1" ht="0.75">
      <c r="A263" s="1290" t="s">
        <v>1206</v>
      </c>
      <c r="B263" s="1290"/>
      <c r="C263" s="1290"/>
      <c r="D263" s="1284"/>
      <c r="E263" s="1294"/>
      <c r="F263" s="2673"/>
      <c r="G263" s="2652"/>
      <c r="H263" s="2677"/>
      <c r="I263" s="2678"/>
      <c r="J263" s="2679"/>
      <c r="K263" s="2679"/>
      <c r="L263" s="2671"/>
      <c r="M263" s="2405"/>
      <c r="N263" s="2680"/>
      <c r="O263" s="2681"/>
      <c r="P263" s="2725"/>
      <c r="Q263" s="2676"/>
      <c r="R263" s="2676"/>
      <c r="S263" s="2676"/>
      <c r="T263" s="2676"/>
      <c r="U263" s="2676"/>
      <c r="V263" s="2676"/>
      <c r="W263" s="2676"/>
      <c r="X263" s="2676"/>
      <c r="Y263" s="2676"/>
      <c r="Z263" s="2158"/>
      <c r="AA263" s="2159"/>
      <c r="AB263" s="2159"/>
      <c r="AC263" s="2160"/>
      <c r="AD263" s="2160"/>
      <c r="AE263" s="2161"/>
      <c r="AF263" s="2675"/>
      <c r="AG263" s="2671"/>
      <c r="AH263" s="2671"/>
      <c r="AI263" s="2675"/>
      <c r="AJ263" s="2671"/>
      <c r="AK263" s="2671"/>
      <c r="AL263" s="2109"/>
      <c r="AM263" s="1946"/>
      <c r="AN263" s="1946"/>
      <c r="AO263" s="1946"/>
      <c r="AP263" s="1946"/>
      <c r="AQ263" s="1946"/>
      <c r="AR263" s="1946"/>
      <c r="AS263" s="1946"/>
      <c r="AT263" s="1946"/>
      <c r="AU263" s="1946"/>
      <c r="AV263" s="1946"/>
      <c r="AW263" s="1946"/>
      <c r="AX263" s="1946"/>
      <c r="AY263" s="1946"/>
      <c r="AZ263" s="1946"/>
      <c r="BA263" s="1946"/>
      <c r="BB263" s="1946"/>
      <c r="BC263" s="1946"/>
      <c r="BD263" s="1946"/>
      <c r="BE263" s="1946"/>
      <c r="BF263" s="1946"/>
      <c r="BG263" s="7213"/>
    </row>
    <row customHeight="1" ht="0.75">
      <c r="A264" s="1290" t="s">
        <v>1206</v>
      </c>
      <c r="B264" s="1290"/>
      <c r="C264" s="1290"/>
      <c r="D264" s="1284"/>
      <c r="E264" s="1294"/>
      <c r="F264" s="2673"/>
      <c r="G264" s="2652"/>
      <c r="H264" s="2677"/>
      <c r="I264" s="2678"/>
      <c r="J264" s="2679"/>
      <c r="K264" s="2679"/>
      <c r="L264" s="2671"/>
      <c r="M264" s="2405"/>
      <c r="N264" s="2680"/>
      <c r="O264" s="2681"/>
      <c r="P264" s="2726"/>
      <c r="Q264" s="2676"/>
      <c r="R264" s="2676"/>
      <c r="S264" s="2676"/>
      <c r="T264" s="2676"/>
      <c r="U264" s="2676"/>
      <c r="V264" s="2676"/>
      <c r="W264" s="2676"/>
      <c r="X264" s="2676"/>
      <c r="Y264" s="2676"/>
      <c r="Z264" s="2162"/>
      <c r="AA264" s="2163"/>
      <c r="AB264" s="2164"/>
      <c r="AC264" s="2165"/>
      <c r="AD264" s="2164"/>
      <c r="AE264" s="2165"/>
      <c r="AF264" s="2675"/>
      <c r="AG264" s="2671"/>
      <c r="AH264" s="2671"/>
      <c r="AI264" s="2675"/>
      <c r="AJ264" s="2671"/>
      <c r="AK264" s="2671"/>
      <c r="AL264" s="2109"/>
      <c r="AM264" s="1946"/>
      <c r="AN264" s="1946"/>
      <c r="AO264" s="1946"/>
      <c r="AP264" s="1946"/>
      <c r="AQ264" s="1946"/>
      <c r="AR264" s="1946"/>
      <c r="AS264" s="1946"/>
      <c r="AT264" s="1946"/>
      <c r="AU264" s="1946"/>
      <c r="AV264" s="1946"/>
      <c r="AW264" s="1946"/>
      <c r="AX264" s="1946"/>
      <c r="AY264" s="1946"/>
      <c r="AZ264" s="1946"/>
      <c r="BA264" s="1946"/>
      <c r="BB264" s="1946"/>
      <c r="BC264" s="1946"/>
      <c r="BD264" s="1946"/>
      <c r="BE264" s="1946"/>
      <c r="BF264" s="1946"/>
      <c r="BG264" s="7213"/>
    </row>
    <row customHeight="1" ht="0.75">
      <c r="A265" s="1290" t="s">
        <v>1206</v>
      </c>
      <c r="B265" s="1290"/>
      <c r="C265" s="1290"/>
      <c r="D265" s="1284"/>
      <c r="E265" s="1294"/>
      <c r="F265" s="2673"/>
      <c r="G265" s="2652"/>
      <c r="H265" s="2677"/>
      <c r="I265" s="2678"/>
      <c r="J265" s="2679"/>
      <c r="K265" s="2679"/>
      <c r="L265" s="2671"/>
      <c r="M265" s="2405"/>
      <c r="N265" s="2680"/>
      <c r="O265" s="2681"/>
      <c r="P265" s="2727"/>
      <c r="Q265" s="2676"/>
      <c r="R265" s="2676"/>
      <c r="S265" s="2676"/>
      <c r="T265" s="2676"/>
      <c r="U265" s="2676"/>
      <c r="V265" s="2676"/>
      <c r="W265" s="2676"/>
      <c r="X265" s="2676"/>
      <c r="Y265" s="2676"/>
      <c r="Z265" s="2158"/>
      <c r="AA265" s="2159"/>
      <c r="AB265" s="2166"/>
      <c r="AC265" s="2160"/>
      <c r="AD265" s="2160"/>
      <c r="AE265" s="2167"/>
      <c r="AF265" s="2675"/>
      <c r="AG265" s="2671"/>
      <c r="AH265" s="2671"/>
      <c r="AI265" s="2675"/>
      <c r="AJ265" s="2671"/>
      <c r="AK265" s="2671"/>
      <c r="AL265" s="2109"/>
      <c r="AM265" s="1946"/>
      <c r="AN265" s="1946"/>
      <c r="AO265" s="1946"/>
      <c r="AP265" s="1946"/>
      <c r="AQ265" s="1946"/>
      <c r="AR265" s="1946"/>
      <c r="AS265" s="1946"/>
      <c r="AT265" s="1946"/>
      <c r="AU265" s="1946"/>
      <c r="AV265" s="1946"/>
      <c r="AW265" s="1946"/>
      <c r="AX265" s="1946"/>
      <c r="AY265" s="1946"/>
      <c r="AZ265" s="1946"/>
      <c r="BA265" s="1946"/>
      <c r="BB265" s="1946"/>
      <c r="BC265" s="1946"/>
      <c r="BD265" s="1946"/>
      <c r="BE265" s="1946"/>
      <c r="BF265" s="1946"/>
      <c r="BG265" s="7213"/>
    </row>
    <row customHeight="1" ht="0.75">
      <c r="A266" s="1290" t="s">
        <v>1206</v>
      </c>
      <c r="B266" s="1290"/>
      <c r="C266" s="1290"/>
      <c r="D266" s="1284"/>
      <c r="E266" s="1294"/>
      <c r="F266" s="2673"/>
      <c r="G266" s="2652"/>
      <c r="H266" s="2677"/>
      <c r="I266" s="2678"/>
      <c r="J266" s="2679"/>
      <c r="K266" s="2679"/>
      <c r="L266" s="2671"/>
      <c r="M266" s="2405"/>
      <c r="N266" s="2159"/>
      <c r="O266" s="2159"/>
      <c r="P266" s="2166"/>
      <c r="Q266" s="2159"/>
      <c r="R266" s="2159"/>
      <c r="S266" s="2159"/>
      <c r="T266" s="2159"/>
      <c r="U266" s="2159"/>
      <c r="V266" s="2159"/>
      <c r="W266" s="2159"/>
      <c r="X266" s="2159"/>
      <c r="Y266" s="2159"/>
      <c r="Z266" s="2159"/>
      <c r="AA266" s="2159"/>
      <c r="AB266" s="2159"/>
      <c r="AC266" s="2159"/>
      <c r="AD266" s="2159"/>
      <c r="AE266" s="2168"/>
      <c r="AF266" s="2675"/>
      <c r="AG266" s="2671"/>
      <c r="AH266" s="2671"/>
      <c r="AI266" s="2675"/>
      <c r="AJ266" s="2671"/>
      <c r="AK266" s="2671"/>
      <c r="AL266" s="2109"/>
      <c r="AM266" s="1946"/>
      <c r="AN266" s="1946"/>
      <c r="AO266" s="1946"/>
      <c r="AP266" s="1946"/>
      <c r="AQ266" s="1946"/>
      <c r="AR266" s="1946"/>
      <c r="AS266" s="1946"/>
      <c r="AT266" s="1946"/>
      <c r="AU266" s="1946"/>
      <c r="AV266" s="1946"/>
      <c r="AW266" s="1946"/>
      <c r="AX266" s="1946"/>
      <c r="AY266" s="1946"/>
      <c r="AZ266" s="1946"/>
      <c r="BA266" s="1946"/>
      <c r="BB266" s="1946"/>
      <c r="BC266" s="1946"/>
      <c r="BD266" s="1946"/>
      <c r="BE266" s="1946"/>
      <c r="BF266" s="1946"/>
      <c r="BG266" s="7213"/>
    </row>
    <row customHeight="1" ht="11.25">
      <c r="A267" s="1290" t="s">
        <v>1206</v>
      </c>
      <c r="B267" s="1290"/>
      <c r="C267" s="1290"/>
      <c r="D267" s="1284"/>
      <c r="E267" s="1294"/>
      <c r="F267" s="1952"/>
      <c r="G267" s="7121" t="s">
        <v>103</v>
      </c>
      <c r="H267" s="2652" t="s">
        <v>210</v>
      </c>
      <c r="I267" s="2653"/>
      <c r="J267" s="2622"/>
      <c r="K267" s="2654" t="s">
        <v>1357</v>
      </c>
      <c r="L267" s="2244" t="s">
        <v>19</v>
      </c>
      <c r="M267" s="2245"/>
      <c r="N267" s="2107"/>
      <c r="O267" s="1301" t="s">
        <v>488</v>
      </c>
      <c r="P267" s="1302"/>
      <c r="Q267" s="1302"/>
      <c r="R267" s="1302"/>
      <c r="S267" s="1302"/>
      <c r="T267" s="1302"/>
      <c r="U267" s="1302"/>
      <c r="V267" s="1302"/>
      <c r="W267" s="1302"/>
      <c r="X267" s="1302"/>
      <c r="Y267" s="1302"/>
      <c r="Z267" s="1302"/>
      <c r="AA267" s="1302"/>
      <c r="AB267" s="1302"/>
      <c r="AC267" s="1302"/>
      <c r="AD267" s="1302"/>
      <c r="AE267" s="1302"/>
      <c r="AF267" s="2643">
        <v>2024</v>
      </c>
      <c r="AG267" s="2644" t="s">
        <v>1296</v>
      </c>
      <c r="AH267" s="2644" t="s">
        <v>1297</v>
      </c>
      <c r="AI267" s="2643">
        <v>2024</v>
      </c>
      <c r="AJ267" s="2644" t="s">
        <v>1296</v>
      </c>
      <c r="AK267" s="2644" t="s">
        <v>1297</v>
      </c>
      <c r="AL267" s="2109"/>
      <c r="AM267" s="1946"/>
      <c r="AN267" s="1946"/>
      <c r="AO267" s="1946"/>
      <c r="AP267" s="1946"/>
      <c r="AQ267" s="1946"/>
      <c r="AR267" s="1946"/>
      <c r="AS267" s="1946"/>
      <c r="AT267" s="1946"/>
      <c r="AU267" s="1946"/>
      <c r="AV267" s="1946"/>
      <c r="AW267" s="1946"/>
      <c r="AX267" s="1946"/>
      <c r="AY267" s="1946"/>
      <c r="AZ267" s="1946"/>
      <c r="BA267" s="1946"/>
      <c r="BB267" s="1946"/>
      <c r="BC267" s="1946"/>
      <c r="BD267" s="1946"/>
      <c r="BE267" s="1946"/>
      <c r="BF267" s="1946"/>
      <c r="BG267" s="7213"/>
    </row>
    <row customHeight="1" ht="11.25">
      <c r="A268" s="1290" t="s">
        <v>1206</v>
      </c>
      <c r="B268" s="1290"/>
      <c r="C268" s="1290"/>
      <c r="D268" s="1284"/>
      <c r="E268" s="1294"/>
      <c r="F268" s="1952"/>
      <c r="G268" s="1953"/>
      <c r="H268" s="2652" t="s">
        <v>488</v>
      </c>
      <c r="I268" s="2653"/>
      <c r="J268" s="2622"/>
      <c r="K268" s="2654"/>
      <c r="L268" s="2244"/>
      <c r="M268" s="2245"/>
      <c r="N268" s="2645"/>
      <c r="O268" s="2646">
        <v>1</v>
      </c>
      <c r="P268" s="2647" t="s">
        <v>62</v>
      </c>
      <c r="Q268" s="11136" t="s">
        <v>1358</v>
      </c>
      <c r="R268" s="11137" t="s">
        <v>1299</v>
      </c>
      <c r="S268" s="11137" t="s">
        <v>132</v>
      </c>
      <c r="T268" s="11137" t="s">
        <v>1359</v>
      </c>
      <c r="U268" s="11137" t="s">
        <v>1360</v>
      </c>
      <c r="V268" s="11137" t="s">
        <v>1361</v>
      </c>
      <c r="W268" s="11137" t="s">
        <v>1362</v>
      </c>
      <c r="X268" s="11137" t="s">
        <v>1363</v>
      </c>
      <c r="Y268" s="11137" t="s">
        <v>1364</v>
      </c>
      <c r="Z268" s="1299"/>
      <c r="AA268" s="1300"/>
      <c r="AB268" s="1300"/>
      <c r="AC268" s="1304"/>
      <c r="AD268" s="1304"/>
      <c r="AE268" s="1305"/>
      <c r="AF268" s="2643"/>
      <c r="AG268" s="2644"/>
      <c r="AH268" s="2644"/>
      <c r="AI268" s="2643"/>
      <c r="AJ268" s="2644"/>
      <c r="AK268" s="2644"/>
      <c r="AL268" s="2109"/>
      <c r="AM268" s="1946"/>
      <c r="AN268" s="1946"/>
      <c r="AO268" s="1946"/>
      <c r="AP268" s="1946"/>
      <c r="AQ268" s="1946"/>
      <c r="AR268" s="1946"/>
      <c r="AS268" s="1946"/>
      <c r="AT268" s="1946"/>
      <c r="AU268" s="1946"/>
      <c r="AV268" s="1946"/>
      <c r="AW268" s="1946"/>
      <c r="AX268" s="1946"/>
      <c r="AY268" s="1946"/>
      <c r="AZ268" s="1946"/>
      <c r="BA268" s="1946"/>
      <c r="BB268" s="1946"/>
      <c r="BC268" s="1946"/>
      <c r="BD268" s="1946"/>
      <c r="BE268" s="1946"/>
      <c r="BF268" s="1946"/>
      <c r="BG268" s="7213"/>
    </row>
    <row customHeight="1" ht="11.25">
      <c r="A269" s="1290" t="s">
        <v>1206</v>
      </c>
      <c r="B269" s="1290"/>
      <c r="C269" s="1290"/>
      <c r="D269" s="1284"/>
      <c r="E269" s="1294"/>
      <c r="F269" s="1952"/>
      <c r="G269" s="1953"/>
      <c r="H269" s="2652" t="s">
        <v>488</v>
      </c>
      <c r="I269" s="2653"/>
      <c r="J269" s="2622"/>
      <c r="K269" s="2654"/>
      <c r="L269" s="2244"/>
      <c r="M269" s="2245"/>
      <c r="N269" s="2645"/>
      <c r="O269" s="2646"/>
      <c r="P269" s="2648"/>
      <c r="Q269" s="11136"/>
      <c r="R269" s="2650"/>
      <c r="S269" s="2651"/>
      <c r="T269" s="2650"/>
      <c r="U269" s="2650"/>
      <c r="V269" s="2650"/>
      <c r="W269" s="2650"/>
      <c r="X269" s="2650"/>
      <c r="Y269" s="2650"/>
      <c r="Z269" s="1951"/>
      <c r="AA269" s="1917">
        <v>1</v>
      </c>
      <c r="AB269" s="1303" t="s">
        <v>1306</v>
      </c>
      <c r="AC269" s="1293">
        <v>1033.33333333333</v>
      </c>
      <c r="AD269" s="1303" t="str">
        <f>AB269</f>
        <v>  Прибыль направляемая на инвестиции</v>
      </c>
      <c r="AE269" s="1293">
        <v>1033.33333333333</v>
      </c>
      <c r="AF269" s="2643"/>
      <c r="AG269" s="2644"/>
      <c r="AH269" s="2644"/>
      <c r="AI269" s="2643"/>
      <c r="AJ269" s="2644"/>
      <c r="AK269" s="2644"/>
      <c r="AL269" s="2109"/>
      <c r="AM269" s="1946"/>
      <c r="AN269" s="1946"/>
      <c r="AO269" s="1946"/>
      <c r="AP269" s="1946"/>
      <c r="AQ269" s="1946"/>
      <c r="AR269" s="1946"/>
      <c r="AS269" s="1946"/>
      <c r="AT269" s="1946"/>
      <c r="AU269" s="1946"/>
      <c r="AV269" s="1946"/>
      <c r="AW269" s="1946"/>
      <c r="AX269" s="1946"/>
      <c r="AY269" s="1946"/>
      <c r="AZ269" s="1946"/>
      <c r="BA269" s="1946"/>
      <c r="BB269" s="1946"/>
      <c r="BC269" s="1946"/>
      <c r="BD269" s="1946"/>
      <c r="BE269" s="1946"/>
      <c r="BF269" s="1946"/>
      <c r="BG269" s="7213"/>
    </row>
    <row customHeight="1" ht="11.25">
      <c r="A270" s="1290" t="s">
        <v>1206</v>
      </c>
      <c r="B270" s="1290"/>
      <c r="C270" s="1290"/>
      <c r="D270" s="1284"/>
      <c r="E270" s="1294"/>
      <c r="F270" s="1952"/>
      <c r="G270" s="1953"/>
      <c r="H270" s="2652" t="s">
        <v>488</v>
      </c>
      <c r="I270" s="2653"/>
      <c r="J270" s="2622"/>
      <c r="K270" s="2654"/>
      <c r="L270" s="2244"/>
      <c r="M270" s="2245"/>
      <c r="N270" s="2645"/>
      <c r="O270" s="2646"/>
      <c r="P270" s="2649"/>
      <c r="Q270" s="11136"/>
      <c r="R270" s="2650"/>
      <c r="S270" s="2651"/>
      <c r="T270" s="2650"/>
      <c r="U270" s="2650"/>
      <c r="V270" s="2650"/>
      <c r="W270" s="2650"/>
      <c r="X270" s="2650"/>
      <c r="Y270" s="2650"/>
      <c r="Z270" s="1299"/>
      <c r="AA270" s="1300"/>
      <c r="AB270" s="1365" t="s">
        <v>1309</v>
      </c>
      <c r="AC270" s="1304"/>
      <c r="AD270" s="1304"/>
      <c r="AE270" s="1306"/>
      <c r="AF270" s="2643"/>
      <c r="AG270" s="2644"/>
      <c r="AH270" s="2644"/>
      <c r="AI270" s="2643"/>
      <c r="AJ270" s="2644"/>
      <c r="AK270" s="2644"/>
      <c r="AL270" s="2109"/>
      <c r="AM270" s="1946"/>
      <c r="AN270" s="1946"/>
      <c r="AO270" s="1946"/>
      <c r="AP270" s="1946"/>
      <c r="AQ270" s="1946"/>
      <c r="AR270" s="1946"/>
      <c r="AS270" s="1946"/>
      <c r="AT270" s="1946"/>
      <c r="AU270" s="1946"/>
      <c r="AV270" s="1946"/>
      <c r="AW270" s="1946"/>
      <c r="AX270" s="1946"/>
      <c r="AY270" s="1946"/>
      <c r="AZ270" s="1946"/>
      <c r="BA270" s="1946"/>
      <c r="BB270" s="1946"/>
      <c r="BC270" s="1946"/>
      <c r="BD270" s="1946"/>
      <c r="BE270" s="1946"/>
      <c r="BF270" s="1946"/>
      <c r="BG270" s="7213"/>
    </row>
    <row customHeight="1" ht="11.25">
      <c r="A271" s="1290" t="s">
        <v>1206</v>
      </c>
      <c r="B271" s="1290"/>
      <c r="C271" s="1290"/>
      <c r="D271" s="1284"/>
      <c r="E271" s="1294"/>
      <c r="F271" s="1952"/>
      <c r="G271" s="1953"/>
      <c r="H271" s="2652" t="s">
        <v>488</v>
      </c>
      <c r="I271" s="2653"/>
      <c r="J271" s="2622"/>
      <c r="K271" s="2654"/>
      <c r="L271" s="2244"/>
      <c r="M271" s="2245"/>
      <c r="N271" s="1299"/>
      <c r="O271" s="1300"/>
      <c r="P271" s="1292" t="s">
        <v>1310</v>
      </c>
      <c r="Q271" s="1300"/>
      <c r="R271" s="1300"/>
      <c r="S271" s="1300"/>
      <c r="T271" s="1300"/>
      <c r="U271" s="1300"/>
      <c r="V271" s="1300"/>
      <c r="W271" s="1300"/>
      <c r="X271" s="1300"/>
      <c r="Y271" s="1300"/>
      <c r="Z271" s="1300"/>
      <c r="AA271" s="1300"/>
      <c r="AB271" s="1300"/>
      <c r="AC271" s="1300"/>
      <c r="AD271" s="1300"/>
      <c r="AE271" s="1307"/>
      <c r="AF271" s="2643"/>
      <c r="AG271" s="2644"/>
      <c r="AH271" s="2644"/>
      <c r="AI271" s="2643"/>
      <c r="AJ271" s="2644"/>
      <c r="AK271" s="2644"/>
      <c r="AL271" s="2109"/>
      <c r="AM271" s="1946"/>
      <c r="AN271" s="1946"/>
      <c r="AO271" s="1946"/>
      <c r="AP271" s="1946"/>
      <c r="AQ271" s="1946"/>
      <c r="AR271" s="1946"/>
      <c r="AS271" s="1946"/>
      <c r="AT271" s="1946"/>
      <c r="AU271" s="1946"/>
      <c r="AV271" s="1946"/>
      <c r="AW271" s="1946"/>
      <c r="AX271" s="1946"/>
      <c r="AY271" s="1946"/>
      <c r="AZ271" s="1946"/>
      <c r="BA271" s="1946"/>
      <c r="BB271" s="1946"/>
      <c r="BC271" s="1946"/>
      <c r="BD271" s="1946"/>
      <c r="BE271" s="1946"/>
      <c r="BF271" s="1946"/>
      <c r="BG271" s="7213"/>
    </row>
    <row customHeight="1" ht="11.25">
      <c r="A272" s="1290" t="s">
        <v>1206</v>
      </c>
      <c r="B272" s="1290"/>
      <c r="C272" s="1290"/>
      <c r="D272" s="1284"/>
      <c r="E272" s="1294"/>
      <c r="F272" s="1952"/>
      <c r="G272" s="7121" t="s">
        <v>103</v>
      </c>
      <c r="H272" s="2652" t="s">
        <v>102</v>
      </c>
      <c r="I272" s="2653"/>
      <c r="J272" s="2622"/>
      <c r="K272" s="2654" t="s">
        <v>1365</v>
      </c>
      <c r="L272" s="2244" t="s">
        <v>19</v>
      </c>
      <c r="M272" s="2245"/>
      <c r="N272" s="2107"/>
      <c r="O272" s="1301" t="s">
        <v>488</v>
      </c>
      <c r="P272" s="1302"/>
      <c r="Q272" s="1302"/>
      <c r="R272" s="1302"/>
      <c r="S272" s="1302"/>
      <c r="T272" s="1302"/>
      <c r="U272" s="1302"/>
      <c r="V272" s="1302"/>
      <c r="W272" s="1302"/>
      <c r="X272" s="1302"/>
      <c r="Y272" s="1302"/>
      <c r="Z272" s="1302"/>
      <c r="AA272" s="1302"/>
      <c r="AB272" s="1302"/>
      <c r="AC272" s="1302"/>
      <c r="AD272" s="1302"/>
      <c r="AE272" s="1302"/>
      <c r="AF272" s="2643">
        <v>2024</v>
      </c>
      <c r="AG272" s="2644" t="s">
        <v>1296</v>
      </c>
      <c r="AH272" s="2644" t="s">
        <v>1297</v>
      </c>
      <c r="AI272" s="2643">
        <v>2024</v>
      </c>
      <c r="AJ272" s="2644" t="s">
        <v>1296</v>
      </c>
      <c r="AK272" s="2644" t="s">
        <v>1297</v>
      </c>
      <c r="AL272" s="2109"/>
      <c r="AM272" s="1946"/>
      <c r="AN272" s="1946"/>
      <c r="AO272" s="1946"/>
      <c r="AP272" s="1946"/>
      <c r="AQ272" s="1946"/>
      <c r="AR272" s="1946"/>
      <c r="AS272" s="1946"/>
      <c r="AT272" s="1946"/>
      <c r="AU272" s="1946"/>
      <c r="AV272" s="1946"/>
      <c r="AW272" s="1946"/>
      <c r="AX272" s="1946"/>
      <c r="AY272" s="1946"/>
      <c r="AZ272" s="1946"/>
      <c r="BA272" s="1946"/>
      <c r="BB272" s="1946"/>
      <c r="BC272" s="1946"/>
      <c r="BD272" s="1946"/>
      <c r="BE272" s="1946"/>
      <c r="BF272" s="1946"/>
      <c r="BG272" s="7213"/>
    </row>
    <row customHeight="1" ht="11.25">
      <c r="A273" s="1290" t="s">
        <v>1206</v>
      </c>
      <c r="B273" s="1290"/>
      <c r="C273" s="1290"/>
      <c r="D273" s="1284"/>
      <c r="E273" s="1294"/>
      <c r="F273" s="1952"/>
      <c r="G273" s="1953"/>
      <c r="H273" s="2652" t="s">
        <v>210</v>
      </c>
      <c r="I273" s="2653"/>
      <c r="J273" s="2622"/>
      <c r="K273" s="2654"/>
      <c r="L273" s="2244"/>
      <c r="M273" s="2245"/>
      <c r="N273" s="2645"/>
      <c r="O273" s="2646">
        <v>1</v>
      </c>
      <c r="P273" s="2647" t="s">
        <v>62</v>
      </c>
      <c r="Q273" s="11136" t="s">
        <v>1358</v>
      </c>
      <c r="R273" s="11137" t="s">
        <v>1299</v>
      </c>
      <c r="S273" s="11137" t="s">
        <v>132</v>
      </c>
      <c r="T273" s="11137" t="s">
        <v>1359</v>
      </c>
      <c r="U273" s="11137" t="s">
        <v>1360</v>
      </c>
      <c r="V273" s="11137" t="s">
        <v>1361</v>
      </c>
      <c r="W273" s="11137" t="s">
        <v>1362</v>
      </c>
      <c r="X273" s="11137" t="s">
        <v>1363</v>
      </c>
      <c r="Y273" s="11137" t="s">
        <v>1364</v>
      </c>
      <c r="Z273" s="1299"/>
      <c r="AA273" s="1300"/>
      <c r="AB273" s="1300"/>
      <c r="AC273" s="1304"/>
      <c r="AD273" s="1304"/>
      <c r="AE273" s="1305"/>
      <c r="AF273" s="2643"/>
      <c r="AG273" s="2644"/>
      <c r="AH273" s="2644"/>
      <c r="AI273" s="2643"/>
      <c r="AJ273" s="2644"/>
      <c r="AK273" s="2644"/>
      <c r="AL273" s="2109"/>
      <c r="AM273" s="1946"/>
      <c r="AN273" s="1946"/>
      <c r="AO273" s="1946"/>
      <c r="AP273" s="1946"/>
      <c r="AQ273" s="1946"/>
      <c r="AR273" s="1946"/>
      <c r="AS273" s="1946"/>
      <c r="AT273" s="1946"/>
      <c r="AU273" s="1946"/>
      <c r="AV273" s="1946"/>
      <c r="AW273" s="1946"/>
      <c r="AX273" s="1946"/>
      <c r="AY273" s="1946"/>
      <c r="AZ273" s="1946"/>
      <c r="BA273" s="1946"/>
      <c r="BB273" s="1946"/>
      <c r="BC273" s="1946"/>
      <c r="BD273" s="1946"/>
      <c r="BE273" s="1946"/>
      <c r="BF273" s="1946"/>
      <c r="BG273" s="7213"/>
    </row>
    <row customHeight="1" ht="11.25">
      <c r="A274" s="1290" t="s">
        <v>1206</v>
      </c>
      <c r="B274" s="1290"/>
      <c r="C274" s="1290"/>
      <c r="D274" s="1284"/>
      <c r="E274" s="1294"/>
      <c r="F274" s="1952"/>
      <c r="G274" s="1953"/>
      <c r="H274" s="2652" t="s">
        <v>210</v>
      </c>
      <c r="I274" s="2653"/>
      <c r="J274" s="2622"/>
      <c r="K274" s="2654"/>
      <c r="L274" s="2244"/>
      <c r="M274" s="2245"/>
      <c r="N274" s="2645"/>
      <c r="O274" s="2646"/>
      <c r="P274" s="2648"/>
      <c r="Q274" s="11136"/>
      <c r="R274" s="2650"/>
      <c r="S274" s="2651"/>
      <c r="T274" s="2650"/>
      <c r="U274" s="2650"/>
      <c r="V274" s="2650"/>
      <c r="W274" s="2650"/>
      <c r="X274" s="2650"/>
      <c r="Y274" s="2650"/>
      <c r="Z274" s="1951"/>
      <c r="AA274" s="1917">
        <v>1</v>
      </c>
      <c r="AB274" s="1303" t="s">
        <v>1306</v>
      </c>
      <c r="AC274" s="1293">
        <v>416.666666666667</v>
      </c>
      <c r="AD274" s="1303" t="str">
        <f>AB274</f>
        <v>  Прибыль направляемая на инвестиции</v>
      </c>
      <c r="AE274" s="1293">
        <v>416.666666666667</v>
      </c>
      <c r="AF274" s="2643"/>
      <c r="AG274" s="2644"/>
      <c r="AH274" s="2644"/>
      <c r="AI274" s="2643"/>
      <c r="AJ274" s="2644"/>
      <c r="AK274" s="2644"/>
      <c r="AL274" s="2109"/>
      <c r="AM274" s="1946"/>
      <c r="AN274" s="1946"/>
      <c r="AO274" s="1946"/>
      <c r="AP274" s="1946"/>
      <c r="AQ274" s="1946"/>
      <c r="AR274" s="1946"/>
      <c r="AS274" s="1946"/>
      <c r="AT274" s="1946"/>
      <c r="AU274" s="1946"/>
      <c r="AV274" s="1946"/>
      <c r="AW274" s="1946"/>
      <c r="AX274" s="1946"/>
      <c r="AY274" s="1946"/>
      <c r="AZ274" s="1946"/>
      <c r="BA274" s="1946"/>
      <c r="BB274" s="1946"/>
      <c r="BC274" s="1946"/>
      <c r="BD274" s="1946"/>
      <c r="BE274" s="1946"/>
      <c r="BF274" s="1946"/>
      <c r="BG274" s="7213"/>
    </row>
    <row customHeight="1" ht="11.25">
      <c r="A275" s="1290" t="s">
        <v>1206</v>
      </c>
      <c r="B275" s="1290"/>
      <c r="C275" s="1290"/>
      <c r="D275" s="1284"/>
      <c r="E275" s="1294"/>
      <c r="F275" s="1952"/>
      <c r="G275" s="1953"/>
      <c r="H275" s="2652" t="s">
        <v>210</v>
      </c>
      <c r="I275" s="2653"/>
      <c r="J275" s="2622"/>
      <c r="K275" s="2654"/>
      <c r="L275" s="2244"/>
      <c r="M275" s="2245"/>
      <c r="N275" s="2645"/>
      <c r="O275" s="2646"/>
      <c r="P275" s="2649"/>
      <c r="Q275" s="11136"/>
      <c r="R275" s="2650"/>
      <c r="S275" s="2651"/>
      <c r="T275" s="2650"/>
      <c r="U275" s="2650"/>
      <c r="V275" s="2650"/>
      <c r="W275" s="2650"/>
      <c r="X275" s="2650"/>
      <c r="Y275" s="2650"/>
      <c r="Z275" s="1299"/>
      <c r="AA275" s="1300"/>
      <c r="AB275" s="1365" t="s">
        <v>1309</v>
      </c>
      <c r="AC275" s="1304"/>
      <c r="AD275" s="1304"/>
      <c r="AE275" s="1306"/>
      <c r="AF275" s="2643"/>
      <c r="AG275" s="2644"/>
      <c r="AH275" s="2644"/>
      <c r="AI275" s="2643"/>
      <c r="AJ275" s="2644"/>
      <c r="AK275" s="2644"/>
      <c r="AL275" s="2109"/>
      <c r="AM275" s="1946"/>
      <c r="AN275" s="1946"/>
      <c r="AO275" s="1946"/>
      <c r="AP275" s="1946"/>
      <c r="AQ275" s="1946"/>
      <c r="AR275" s="1946"/>
      <c r="AS275" s="1946"/>
      <c r="AT275" s="1946"/>
      <c r="AU275" s="1946"/>
      <c r="AV275" s="1946"/>
      <c r="AW275" s="1946"/>
      <c r="AX275" s="1946"/>
      <c r="AY275" s="1946"/>
      <c r="AZ275" s="1946"/>
      <c r="BA275" s="1946"/>
      <c r="BB275" s="1946"/>
      <c r="BC275" s="1946"/>
      <c r="BD275" s="1946"/>
      <c r="BE275" s="1946"/>
      <c r="BF275" s="1946"/>
      <c r="BG275" s="7213"/>
    </row>
    <row customHeight="1" ht="11.25">
      <c r="A276" s="1290" t="s">
        <v>1206</v>
      </c>
      <c r="B276" s="1290"/>
      <c r="C276" s="1290"/>
      <c r="D276" s="1284"/>
      <c r="E276" s="1294"/>
      <c r="F276" s="1952"/>
      <c r="G276" s="1953"/>
      <c r="H276" s="2652" t="s">
        <v>210</v>
      </c>
      <c r="I276" s="2653"/>
      <c r="J276" s="2622"/>
      <c r="K276" s="2654"/>
      <c r="L276" s="2244"/>
      <c r="M276" s="2245"/>
      <c r="N276" s="1299"/>
      <c r="O276" s="1300"/>
      <c r="P276" s="1292" t="s">
        <v>1310</v>
      </c>
      <c r="Q276" s="1300"/>
      <c r="R276" s="1300"/>
      <c r="S276" s="1300"/>
      <c r="T276" s="1300"/>
      <c r="U276" s="1300"/>
      <c r="V276" s="1300"/>
      <c r="W276" s="1300"/>
      <c r="X276" s="1300"/>
      <c r="Y276" s="1300"/>
      <c r="Z276" s="1300"/>
      <c r="AA276" s="1300"/>
      <c r="AB276" s="1300"/>
      <c r="AC276" s="1300"/>
      <c r="AD276" s="1300"/>
      <c r="AE276" s="1307"/>
      <c r="AF276" s="2643"/>
      <c r="AG276" s="2644"/>
      <c r="AH276" s="2644"/>
      <c r="AI276" s="2643"/>
      <c r="AJ276" s="2644"/>
      <c r="AK276" s="2644"/>
      <c r="AL276" s="2109"/>
      <c r="AM276" s="1946"/>
      <c r="AN276" s="1946"/>
      <c r="AO276" s="1946"/>
      <c r="AP276" s="1946"/>
      <c r="AQ276" s="1946"/>
      <c r="AR276" s="1946"/>
      <c r="AS276" s="1946"/>
      <c r="AT276" s="1946"/>
      <c r="AU276" s="1946"/>
      <c r="AV276" s="1946"/>
      <c r="AW276" s="1946"/>
      <c r="AX276" s="1946"/>
      <c r="AY276" s="1946"/>
      <c r="AZ276" s="1946"/>
      <c r="BA276" s="1946"/>
      <c r="BB276" s="1946"/>
      <c r="BC276" s="1946"/>
      <c r="BD276" s="1946"/>
      <c r="BE276" s="1946"/>
      <c r="BF276" s="1946"/>
      <c r="BG276" s="7213"/>
    </row>
    <row customHeight="1" ht="12">
      <c r="A277" s="1290" t="s">
        <v>1206</v>
      </c>
      <c r="B277" s="1290"/>
      <c r="C277" s="1290"/>
      <c r="D277" s="1284"/>
      <c r="E277" s="1294"/>
      <c r="F277" s="2674"/>
      <c r="G277" s="1314"/>
      <c r="H277" s="1314"/>
      <c r="I277" s="2672" t="s">
        <v>1294</v>
      </c>
      <c r="J277" s="2672"/>
      <c r="K277" s="2672"/>
      <c r="L277" s="1297"/>
      <c r="M277" s="1297"/>
      <c r="N277" s="1298"/>
      <c r="O277" s="1298"/>
      <c r="P277" s="1298"/>
      <c r="Q277" s="1298"/>
      <c r="R277" s="1298"/>
      <c r="S277" s="1298"/>
      <c r="T277" s="1298"/>
      <c r="U277" s="1298"/>
      <c r="V277" s="1298"/>
      <c r="W277" s="1298"/>
      <c r="X277" s="1298"/>
      <c r="Y277" s="1298"/>
      <c r="Z277" s="1298"/>
      <c r="AA277" s="1298"/>
      <c r="AB277" s="1298"/>
      <c r="AC277" s="1298"/>
      <c r="AD277" s="1298"/>
      <c r="AE277" s="1298"/>
      <c r="AF277" s="1298"/>
      <c r="AG277" s="1297"/>
      <c r="AH277" s="1297"/>
      <c r="AI277" s="1298"/>
      <c r="AJ277" s="1297"/>
      <c r="AK277" s="1298"/>
      <c r="AL277" s="2109"/>
      <c r="AM277" s="1946"/>
      <c r="AN277" s="1946"/>
      <c r="AO277" s="1946"/>
      <c r="AP277" s="1946"/>
      <c r="AQ277" s="1946"/>
      <c r="AR277" s="1946"/>
      <c r="AS277" s="1946"/>
      <c r="AT277" s="1946"/>
      <c r="AU277" s="1946"/>
      <c r="AV277" s="1946"/>
      <c r="AW277" s="1946"/>
      <c r="AX277" s="1946"/>
      <c r="AY277" s="1946"/>
      <c r="AZ277" s="1946"/>
      <c r="BA277" s="1946"/>
      <c r="BB277" s="1946"/>
      <c r="BC277" s="1946"/>
      <c r="BD277" s="1946"/>
      <c r="BE277" s="1946"/>
      <c r="BF277" s="1946"/>
      <c r="BG277" s="7213"/>
    </row>
    <row customHeight="1" ht="0.75">
      <c r="A278" s="1290" t="s">
        <v>1206</v>
      </c>
      <c r="B278" s="1290"/>
      <c r="C278" s="1290"/>
      <c r="D278" s="1284"/>
      <c r="E278" s="1294"/>
      <c r="F278" s="2673">
        <v>2025</v>
      </c>
      <c r="G278" s="2652"/>
      <c r="H278" s="2677" t="s">
        <v>488</v>
      </c>
      <c r="I278" s="2678"/>
      <c r="J278" s="2679"/>
      <c r="K278" s="2679"/>
      <c r="L278" s="2671"/>
      <c r="M278" s="2405"/>
      <c r="N278" s="2157"/>
      <c r="O278" s="2156"/>
      <c r="P278" s="2157"/>
      <c r="Q278" s="2157"/>
      <c r="R278" s="2157"/>
      <c r="S278" s="2157"/>
      <c r="T278" s="2157"/>
      <c r="U278" s="2157"/>
      <c r="V278" s="2157"/>
      <c r="W278" s="2157"/>
      <c r="X278" s="2157"/>
      <c r="Y278" s="2157"/>
      <c r="Z278" s="2157"/>
      <c r="AA278" s="2157"/>
      <c r="AB278" s="2157"/>
      <c r="AC278" s="2157"/>
      <c r="AD278" s="2157"/>
      <c r="AE278" s="2157"/>
      <c r="AF278" s="2675"/>
      <c r="AG278" s="2671"/>
      <c r="AH278" s="2671"/>
      <c r="AI278" s="2675"/>
      <c r="AJ278" s="2671"/>
      <c r="AK278" s="2671"/>
      <c r="AL278" s="2109"/>
      <c r="AM278" s="1946"/>
      <c r="AN278" s="1946"/>
      <c r="AO278" s="1946"/>
      <c r="AP278" s="1946"/>
      <c r="AQ278" s="1946"/>
      <c r="AR278" s="1946"/>
      <c r="AS278" s="1946"/>
      <c r="AT278" s="1946"/>
      <c r="AU278" s="1946"/>
      <c r="AV278" s="1946"/>
      <c r="AW278" s="1946"/>
      <c r="AX278" s="1946"/>
      <c r="AY278" s="1946"/>
      <c r="AZ278" s="1946"/>
      <c r="BA278" s="1946"/>
      <c r="BB278" s="1946"/>
      <c r="BC278" s="1946"/>
      <c r="BD278" s="1946"/>
      <c r="BE278" s="1946"/>
      <c r="BF278" s="1946"/>
      <c r="BG278" s="7213"/>
    </row>
    <row customHeight="1" ht="0.75">
      <c r="A279" s="1290" t="s">
        <v>1206</v>
      </c>
      <c r="B279" s="1290"/>
      <c r="C279" s="1290"/>
      <c r="D279" s="1284"/>
      <c r="E279" s="1294"/>
      <c r="F279" s="2673"/>
      <c r="G279" s="2652"/>
      <c r="H279" s="2677"/>
      <c r="I279" s="2678"/>
      <c r="J279" s="2679"/>
      <c r="K279" s="2679"/>
      <c r="L279" s="2671"/>
      <c r="M279" s="2405"/>
      <c r="N279" s="2680"/>
      <c r="O279" s="2681"/>
      <c r="P279" s="2725"/>
      <c r="Q279" s="2676"/>
      <c r="R279" s="2676"/>
      <c r="S279" s="2676"/>
      <c r="T279" s="2676"/>
      <c r="U279" s="2676"/>
      <c r="V279" s="2676"/>
      <c r="W279" s="2676"/>
      <c r="X279" s="2676"/>
      <c r="Y279" s="2676"/>
      <c r="Z279" s="2158"/>
      <c r="AA279" s="2159"/>
      <c r="AB279" s="2159"/>
      <c r="AC279" s="2160"/>
      <c r="AD279" s="2160"/>
      <c r="AE279" s="2161"/>
      <c r="AF279" s="2675"/>
      <c r="AG279" s="2671"/>
      <c r="AH279" s="2671"/>
      <c r="AI279" s="2675"/>
      <c r="AJ279" s="2671"/>
      <c r="AK279" s="2671"/>
      <c r="AL279" s="2109"/>
      <c r="AM279" s="1946"/>
      <c r="AN279" s="1946"/>
      <c r="AO279" s="1946"/>
      <c r="AP279" s="1946"/>
      <c r="AQ279" s="1946"/>
      <c r="AR279" s="1946"/>
      <c r="AS279" s="1946"/>
      <c r="AT279" s="1946"/>
      <c r="AU279" s="1946"/>
      <c r="AV279" s="1946"/>
      <c r="AW279" s="1946"/>
      <c r="AX279" s="1946"/>
      <c r="AY279" s="1946"/>
      <c r="AZ279" s="1946"/>
      <c r="BA279" s="1946"/>
      <c r="BB279" s="1946"/>
      <c r="BC279" s="1946"/>
      <c r="BD279" s="1946"/>
      <c r="BE279" s="1946"/>
      <c r="BF279" s="1946"/>
      <c r="BG279" s="7213"/>
    </row>
    <row customHeight="1" ht="0.75">
      <c r="A280" s="1290" t="s">
        <v>1206</v>
      </c>
      <c r="B280" s="1290"/>
      <c r="C280" s="1290"/>
      <c r="D280" s="1284"/>
      <c r="E280" s="1294"/>
      <c r="F280" s="2673"/>
      <c r="G280" s="2652"/>
      <c r="H280" s="2677"/>
      <c r="I280" s="2678"/>
      <c r="J280" s="2679"/>
      <c r="K280" s="2679"/>
      <c r="L280" s="2671"/>
      <c r="M280" s="2405"/>
      <c r="N280" s="2680"/>
      <c r="O280" s="2681"/>
      <c r="P280" s="2726"/>
      <c r="Q280" s="2676"/>
      <c r="R280" s="2676"/>
      <c r="S280" s="2676"/>
      <c r="T280" s="2676"/>
      <c r="U280" s="2676"/>
      <c r="V280" s="2676"/>
      <c r="W280" s="2676"/>
      <c r="X280" s="2676"/>
      <c r="Y280" s="2676"/>
      <c r="Z280" s="2162"/>
      <c r="AA280" s="2163"/>
      <c r="AB280" s="2164"/>
      <c r="AC280" s="2165"/>
      <c r="AD280" s="2164"/>
      <c r="AE280" s="2165"/>
      <c r="AF280" s="2675"/>
      <c r="AG280" s="2671"/>
      <c r="AH280" s="2671"/>
      <c r="AI280" s="2675"/>
      <c r="AJ280" s="2671"/>
      <c r="AK280" s="2671"/>
      <c r="AL280" s="2109"/>
      <c r="AM280" s="1946"/>
      <c r="AN280" s="1946"/>
      <c r="AO280" s="1946"/>
      <c r="AP280" s="1946"/>
      <c r="AQ280" s="1946"/>
      <c r="AR280" s="1946"/>
      <c r="AS280" s="1946"/>
      <c r="AT280" s="1946"/>
      <c r="AU280" s="1946"/>
      <c r="AV280" s="1946"/>
      <c r="AW280" s="1946"/>
      <c r="AX280" s="1946"/>
      <c r="AY280" s="1946"/>
      <c r="AZ280" s="1946"/>
      <c r="BA280" s="1946"/>
      <c r="BB280" s="1946"/>
      <c r="BC280" s="1946"/>
      <c r="BD280" s="1946"/>
      <c r="BE280" s="1946"/>
      <c r="BF280" s="1946"/>
      <c r="BG280" s="7213"/>
    </row>
    <row customHeight="1" ht="0.75">
      <c r="A281" s="1290" t="s">
        <v>1206</v>
      </c>
      <c r="B281" s="1290"/>
      <c r="C281" s="1290"/>
      <c r="D281" s="1284"/>
      <c r="E281" s="1294"/>
      <c r="F281" s="2673"/>
      <c r="G281" s="2652"/>
      <c r="H281" s="2677"/>
      <c r="I281" s="2678"/>
      <c r="J281" s="2679"/>
      <c r="K281" s="2679"/>
      <c r="L281" s="2671"/>
      <c r="M281" s="2405"/>
      <c r="N281" s="2680"/>
      <c r="O281" s="2681"/>
      <c r="P281" s="2727"/>
      <c r="Q281" s="2676"/>
      <c r="R281" s="2676"/>
      <c r="S281" s="2676"/>
      <c r="T281" s="2676"/>
      <c r="U281" s="2676"/>
      <c r="V281" s="2676"/>
      <c r="W281" s="2676"/>
      <c r="X281" s="2676"/>
      <c r="Y281" s="2676"/>
      <c r="Z281" s="2158"/>
      <c r="AA281" s="2159"/>
      <c r="AB281" s="2166"/>
      <c r="AC281" s="2160"/>
      <c r="AD281" s="2160"/>
      <c r="AE281" s="2167"/>
      <c r="AF281" s="2675"/>
      <c r="AG281" s="2671"/>
      <c r="AH281" s="2671"/>
      <c r="AI281" s="2675"/>
      <c r="AJ281" s="2671"/>
      <c r="AK281" s="2671"/>
      <c r="AL281" s="2109"/>
      <c r="AM281" s="1946"/>
      <c r="AN281" s="1946"/>
      <c r="AO281" s="1946"/>
      <c r="AP281" s="1946"/>
      <c r="AQ281" s="1946"/>
      <c r="AR281" s="1946"/>
      <c r="AS281" s="1946"/>
      <c r="AT281" s="1946"/>
      <c r="AU281" s="1946"/>
      <c r="AV281" s="1946"/>
      <c r="AW281" s="1946"/>
      <c r="AX281" s="1946"/>
      <c r="AY281" s="1946"/>
      <c r="AZ281" s="1946"/>
      <c r="BA281" s="1946"/>
      <c r="BB281" s="1946"/>
      <c r="BC281" s="1946"/>
      <c r="BD281" s="1946"/>
      <c r="BE281" s="1946"/>
      <c r="BF281" s="1946"/>
      <c r="BG281" s="7213"/>
    </row>
    <row customHeight="1" ht="0.75">
      <c r="A282" s="1290" t="s">
        <v>1206</v>
      </c>
      <c r="B282" s="1290"/>
      <c r="C282" s="1290"/>
      <c r="D282" s="1284"/>
      <c r="E282" s="1294"/>
      <c r="F282" s="2673"/>
      <c r="G282" s="2652"/>
      <c r="H282" s="2677"/>
      <c r="I282" s="2678"/>
      <c r="J282" s="2679"/>
      <c r="K282" s="2679"/>
      <c r="L282" s="2671"/>
      <c r="M282" s="2405"/>
      <c r="N282" s="2159"/>
      <c r="O282" s="2159"/>
      <c r="P282" s="2166"/>
      <c r="Q282" s="2159"/>
      <c r="R282" s="2159"/>
      <c r="S282" s="2159"/>
      <c r="T282" s="2159"/>
      <c r="U282" s="2159"/>
      <c r="V282" s="2159"/>
      <c r="W282" s="2159"/>
      <c r="X282" s="2159"/>
      <c r="Y282" s="2159"/>
      <c r="Z282" s="2159"/>
      <c r="AA282" s="2159"/>
      <c r="AB282" s="2159"/>
      <c r="AC282" s="2159"/>
      <c r="AD282" s="2159"/>
      <c r="AE282" s="2168"/>
      <c r="AF282" s="2675"/>
      <c r="AG282" s="2671"/>
      <c r="AH282" s="2671"/>
      <c r="AI282" s="2675"/>
      <c r="AJ282" s="2671"/>
      <c r="AK282" s="2671"/>
      <c r="AL282" s="2109"/>
      <c r="AM282" s="1946"/>
      <c r="AN282" s="1946"/>
      <c r="AO282" s="1946"/>
      <c r="AP282" s="1946"/>
      <c r="AQ282" s="1946"/>
      <c r="AR282" s="1946"/>
      <c r="AS282" s="1946"/>
      <c r="AT282" s="1946"/>
      <c r="AU282" s="1946"/>
      <c r="AV282" s="1946"/>
      <c r="AW282" s="1946"/>
      <c r="AX282" s="1946"/>
      <c r="AY282" s="1946"/>
      <c r="AZ282" s="1946"/>
      <c r="BA282" s="1946"/>
      <c r="BB282" s="1946"/>
      <c r="BC282" s="1946"/>
      <c r="BD282" s="1946"/>
      <c r="BE282" s="1946"/>
      <c r="BF282" s="1946"/>
      <c r="BG282" s="7213"/>
    </row>
    <row customHeight="1" ht="12">
      <c r="A283" s="1290" t="s">
        <v>1206</v>
      </c>
      <c r="B283" s="1290"/>
      <c r="C283" s="1290"/>
      <c r="D283" s="1284"/>
      <c r="E283" s="1294"/>
      <c r="F283" s="2674"/>
      <c r="G283" s="1314"/>
      <c r="H283" s="1314"/>
      <c r="I283" s="2672" t="s">
        <v>1294</v>
      </c>
      <c r="J283" s="2672"/>
      <c r="K283" s="2672"/>
      <c r="L283" s="1297"/>
      <c r="M283" s="1297"/>
      <c r="N283" s="1298"/>
      <c r="O283" s="1298"/>
      <c r="P283" s="1298"/>
      <c r="Q283" s="1298"/>
      <c r="R283" s="1298"/>
      <c r="S283" s="1298"/>
      <c r="T283" s="1298"/>
      <c r="U283" s="1298"/>
      <c r="V283" s="1298"/>
      <c r="W283" s="1298"/>
      <c r="X283" s="1298"/>
      <c r="Y283" s="1298"/>
      <c r="Z283" s="1298"/>
      <c r="AA283" s="1298"/>
      <c r="AB283" s="1298"/>
      <c r="AC283" s="1298"/>
      <c r="AD283" s="1298"/>
      <c r="AE283" s="1298"/>
      <c r="AF283" s="1298"/>
      <c r="AG283" s="1297"/>
      <c r="AH283" s="1297"/>
      <c r="AI283" s="1298"/>
      <c r="AJ283" s="1297"/>
      <c r="AK283" s="1298"/>
      <c r="AL283" s="2109"/>
      <c r="AM283" s="1946"/>
      <c r="AN283" s="1946"/>
      <c r="AO283" s="1946"/>
      <c r="AP283" s="1946"/>
      <c r="AQ283" s="1946"/>
      <c r="AR283" s="1946"/>
      <c r="AS283" s="1946"/>
      <c r="AT283" s="1946"/>
      <c r="AU283" s="1946"/>
      <c r="AV283" s="1946"/>
      <c r="AW283" s="1946"/>
      <c r="AX283" s="1946"/>
      <c r="AY283" s="1946"/>
      <c r="AZ283" s="1946"/>
      <c r="BA283" s="1946"/>
      <c r="BB283" s="1946"/>
      <c r="BC283" s="1946"/>
      <c r="BD283" s="1946"/>
      <c r="BE283" s="1946"/>
      <c r="BF283" s="1946"/>
      <c r="BG283" s="7213"/>
    </row>
    <row customHeight="1" ht="0.75">
      <c r="A284" s="1290" t="s">
        <v>1206</v>
      </c>
      <c r="B284" s="1290"/>
      <c r="C284" s="1290"/>
      <c r="D284" s="1284"/>
      <c r="E284" s="1294"/>
      <c r="F284" s="2673">
        <v>2026</v>
      </c>
      <c r="G284" s="2652"/>
      <c r="H284" s="2677" t="s">
        <v>488</v>
      </c>
      <c r="I284" s="2678"/>
      <c r="J284" s="2679"/>
      <c r="K284" s="2679"/>
      <c r="L284" s="2671"/>
      <c r="M284" s="2405"/>
      <c r="N284" s="2157"/>
      <c r="O284" s="2156"/>
      <c r="P284" s="2157"/>
      <c r="Q284" s="2157"/>
      <c r="R284" s="2157"/>
      <c r="S284" s="2157"/>
      <c r="T284" s="2157"/>
      <c r="U284" s="2157"/>
      <c r="V284" s="2157"/>
      <c r="W284" s="2157"/>
      <c r="X284" s="2157"/>
      <c r="Y284" s="2157"/>
      <c r="Z284" s="2157"/>
      <c r="AA284" s="2157"/>
      <c r="AB284" s="2157"/>
      <c r="AC284" s="2157"/>
      <c r="AD284" s="2157"/>
      <c r="AE284" s="2157"/>
      <c r="AF284" s="2675"/>
      <c r="AG284" s="2671"/>
      <c r="AH284" s="2671"/>
      <c r="AI284" s="2675"/>
      <c r="AJ284" s="2671"/>
      <c r="AK284" s="2671"/>
      <c r="AL284" s="2109"/>
      <c r="AM284" s="1946"/>
      <c r="AN284" s="1946"/>
      <c r="AO284" s="1946"/>
      <c r="AP284" s="1946"/>
      <c r="AQ284" s="1946"/>
      <c r="AR284" s="1946"/>
      <c r="AS284" s="1946"/>
      <c r="AT284" s="1946"/>
      <c r="AU284" s="1946"/>
      <c r="AV284" s="1946"/>
      <c r="AW284" s="1946"/>
      <c r="AX284" s="1946"/>
      <c r="AY284" s="1946"/>
      <c r="AZ284" s="1946"/>
      <c r="BA284" s="1946"/>
      <c r="BB284" s="1946"/>
      <c r="BC284" s="1946"/>
      <c r="BD284" s="1946"/>
      <c r="BE284" s="1946"/>
      <c r="BF284" s="1946"/>
      <c r="BG284" s="7213"/>
    </row>
    <row customHeight="1" ht="0.75">
      <c r="A285" s="1290" t="s">
        <v>1206</v>
      </c>
      <c r="B285" s="1290"/>
      <c r="C285" s="1290"/>
      <c r="D285" s="1284"/>
      <c r="E285" s="1294"/>
      <c r="F285" s="2673"/>
      <c r="G285" s="2652"/>
      <c r="H285" s="2677"/>
      <c r="I285" s="2678"/>
      <c r="J285" s="2679"/>
      <c r="K285" s="2679"/>
      <c r="L285" s="2671"/>
      <c r="M285" s="2405"/>
      <c r="N285" s="2680"/>
      <c r="O285" s="2681"/>
      <c r="P285" s="2725"/>
      <c r="Q285" s="2676"/>
      <c r="R285" s="2676"/>
      <c r="S285" s="2676"/>
      <c r="T285" s="2676"/>
      <c r="U285" s="2676"/>
      <c r="V285" s="2676"/>
      <c r="W285" s="2676"/>
      <c r="X285" s="2676"/>
      <c r="Y285" s="2676"/>
      <c r="Z285" s="2158"/>
      <c r="AA285" s="2159"/>
      <c r="AB285" s="2159"/>
      <c r="AC285" s="2160"/>
      <c r="AD285" s="2160"/>
      <c r="AE285" s="2161"/>
      <c r="AF285" s="2675"/>
      <c r="AG285" s="2671"/>
      <c r="AH285" s="2671"/>
      <c r="AI285" s="2675"/>
      <c r="AJ285" s="2671"/>
      <c r="AK285" s="2671"/>
      <c r="AL285" s="2109"/>
      <c r="AM285" s="1946"/>
      <c r="AN285" s="1946"/>
      <c r="AO285" s="1946"/>
      <c r="AP285" s="1946"/>
      <c r="AQ285" s="1946"/>
      <c r="AR285" s="1946"/>
      <c r="AS285" s="1946"/>
      <c r="AT285" s="1946"/>
      <c r="AU285" s="1946"/>
      <c r="AV285" s="1946"/>
      <c r="AW285" s="1946"/>
      <c r="AX285" s="1946"/>
      <c r="AY285" s="1946"/>
      <c r="AZ285" s="1946"/>
      <c r="BA285" s="1946"/>
      <c r="BB285" s="1946"/>
      <c r="BC285" s="1946"/>
      <c r="BD285" s="1946"/>
      <c r="BE285" s="1946"/>
      <c r="BF285" s="1946"/>
      <c r="BG285" s="7213"/>
    </row>
    <row customHeight="1" ht="0.75">
      <c r="A286" s="1290" t="s">
        <v>1206</v>
      </c>
      <c r="B286" s="1290"/>
      <c r="C286" s="1290"/>
      <c r="D286" s="1284"/>
      <c r="E286" s="1294"/>
      <c r="F286" s="2673"/>
      <c r="G286" s="2652"/>
      <c r="H286" s="2677"/>
      <c r="I286" s="2678"/>
      <c r="J286" s="2679"/>
      <c r="K286" s="2679"/>
      <c r="L286" s="2671"/>
      <c r="M286" s="2405"/>
      <c r="N286" s="2680"/>
      <c r="O286" s="2681"/>
      <c r="P286" s="2726"/>
      <c r="Q286" s="2676"/>
      <c r="R286" s="2676"/>
      <c r="S286" s="2676"/>
      <c r="T286" s="2676"/>
      <c r="U286" s="2676"/>
      <c r="V286" s="2676"/>
      <c r="W286" s="2676"/>
      <c r="X286" s="2676"/>
      <c r="Y286" s="2676"/>
      <c r="Z286" s="2162"/>
      <c r="AA286" s="2163"/>
      <c r="AB286" s="2164"/>
      <c r="AC286" s="2165"/>
      <c r="AD286" s="2164"/>
      <c r="AE286" s="2165"/>
      <c r="AF286" s="2675"/>
      <c r="AG286" s="2671"/>
      <c r="AH286" s="2671"/>
      <c r="AI286" s="2675"/>
      <c r="AJ286" s="2671"/>
      <c r="AK286" s="2671"/>
      <c r="AL286" s="2109"/>
      <c r="AM286" s="1946"/>
      <c r="AN286" s="1946"/>
      <c r="AO286" s="1946"/>
      <c r="AP286" s="1946"/>
      <c r="AQ286" s="1946"/>
      <c r="AR286" s="1946"/>
      <c r="AS286" s="1946"/>
      <c r="AT286" s="1946"/>
      <c r="AU286" s="1946"/>
      <c r="AV286" s="1946"/>
      <c r="AW286" s="1946"/>
      <c r="AX286" s="1946"/>
      <c r="AY286" s="1946"/>
      <c r="AZ286" s="1946"/>
      <c r="BA286" s="1946"/>
      <c r="BB286" s="1946"/>
      <c r="BC286" s="1946"/>
      <c r="BD286" s="1946"/>
      <c r="BE286" s="1946"/>
      <c r="BF286" s="1946"/>
      <c r="BG286" s="7213"/>
    </row>
    <row customHeight="1" ht="0.75">
      <c r="A287" s="1290" t="s">
        <v>1206</v>
      </c>
      <c r="B287" s="1290"/>
      <c r="C287" s="1290"/>
      <c r="D287" s="1284"/>
      <c r="E287" s="1294"/>
      <c r="F287" s="2673"/>
      <c r="G287" s="2652"/>
      <c r="H287" s="2677"/>
      <c r="I287" s="2678"/>
      <c r="J287" s="2679"/>
      <c r="K287" s="2679"/>
      <c r="L287" s="2671"/>
      <c r="M287" s="2405"/>
      <c r="N287" s="2680"/>
      <c r="O287" s="2681"/>
      <c r="P287" s="2727"/>
      <c r="Q287" s="2676"/>
      <c r="R287" s="2676"/>
      <c r="S287" s="2676"/>
      <c r="T287" s="2676"/>
      <c r="U287" s="2676"/>
      <c r="V287" s="2676"/>
      <c r="W287" s="2676"/>
      <c r="X287" s="2676"/>
      <c r="Y287" s="2676"/>
      <c r="Z287" s="2158"/>
      <c r="AA287" s="2159"/>
      <c r="AB287" s="2166"/>
      <c r="AC287" s="2160"/>
      <c r="AD287" s="2160"/>
      <c r="AE287" s="2167"/>
      <c r="AF287" s="2675"/>
      <c r="AG287" s="2671"/>
      <c r="AH287" s="2671"/>
      <c r="AI287" s="2675"/>
      <c r="AJ287" s="2671"/>
      <c r="AK287" s="2671"/>
      <c r="AL287" s="2109"/>
      <c r="AM287" s="1946"/>
      <c r="AN287" s="1946"/>
      <c r="AO287" s="1946"/>
      <c r="AP287" s="1946"/>
      <c r="AQ287" s="1946"/>
      <c r="AR287" s="1946"/>
      <c r="AS287" s="1946"/>
      <c r="AT287" s="1946"/>
      <c r="AU287" s="1946"/>
      <c r="AV287" s="1946"/>
      <c r="AW287" s="1946"/>
      <c r="AX287" s="1946"/>
      <c r="AY287" s="1946"/>
      <c r="AZ287" s="1946"/>
      <c r="BA287" s="1946"/>
      <c r="BB287" s="1946"/>
      <c r="BC287" s="1946"/>
      <c r="BD287" s="1946"/>
      <c r="BE287" s="1946"/>
      <c r="BF287" s="1946"/>
      <c r="BG287" s="7213"/>
    </row>
    <row customHeight="1" ht="0.75">
      <c r="A288" s="1290" t="s">
        <v>1206</v>
      </c>
      <c r="B288" s="1290"/>
      <c r="C288" s="1290"/>
      <c r="D288" s="1284"/>
      <c r="E288" s="1294"/>
      <c r="F288" s="2673"/>
      <c r="G288" s="2652"/>
      <c r="H288" s="2677"/>
      <c r="I288" s="2678"/>
      <c r="J288" s="2679"/>
      <c r="K288" s="2679"/>
      <c r="L288" s="2671"/>
      <c r="M288" s="2405"/>
      <c r="N288" s="2159"/>
      <c r="O288" s="2159"/>
      <c r="P288" s="2166"/>
      <c r="Q288" s="2159"/>
      <c r="R288" s="2159"/>
      <c r="S288" s="2159"/>
      <c r="T288" s="2159"/>
      <c r="U288" s="2159"/>
      <c r="V288" s="2159"/>
      <c r="W288" s="2159"/>
      <c r="X288" s="2159"/>
      <c r="Y288" s="2159"/>
      <c r="Z288" s="2159"/>
      <c r="AA288" s="2159"/>
      <c r="AB288" s="2159"/>
      <c r="AC288" s="2159"/>
      <c r="AD288" s="2159"/>
      <c r="AE288" s="2168"/>
      <c r="AF288" s="2675"/>
      <c r="AG288" s="2671"/>
      <c r="AH288" s="2671"/>
      <c r="AI288" s="2675"/>
      <c r="AJ288" s="2671"/>
      <c r="AK288" s="2671"/>
      <c r="AL288" s="2109"/>
      <c r="AM288" s="1946"/>
      <c r="AN288" s="1946"/>
      <c r="AO288" s="1946"/>
      <c r="AP288" s="1946"/>
      <c r="AQ288" s="1946"/>
      <c r="AR288" s="1946"/>
      <c r="AS288" s="1946"/>
      <c r="AT288" s="1946"/>
      <c r="AU288" s="1946"/>
      <c r="AV288" s="1946"/>
      <c r="AW288" s="1946"/>
      <c r="AX288" s="1946"/>
      <c r="AY288" s="1946"/>
      <c r="AZ288" s="1946"/>
      <c r="BA288" s="1946"/>
      <c r="BB288" s="1946"/>
      <c r="BC288" s="1946"/>
      <c r="BD288" s="1946"/>
      <c r="BE288" s="1946"/>
      <c r="BF288" s="1946"/>
      <c r="BG288" s="7213"/>
    </row>
    <row customHeight="1" ht="12">
      <c r="A289" s="1290" t="s">
        <v>1206</v>
      </c>
      <c r="B289" s="1290"/>
      <c r="C289" s="1290"/>
      <c r="D289" s="1284"/>
      <c r="E289" s="1294"/>
      <c r="F289" s="2674"/>
      <c r="G289" s="1314"/>
      <c r="H289" s="1314"/>
      <c r="I289" s="2672" t="s">
        <v>1294</v>
      </c>
      <c r="J289" s="2672"/>
      <c r="K289" s="2672"/>
      <c r="L289" s="1297"/>
      <c r="M289" s="1297"/>
      <c r="N289" s="1298"/>
      <c r="O289" s="1298"/>
      <c r="P289" s="1298"/>
      <c r="Q289" s="1298"/>
      <c r="R289" s="1298"/>
      <c r="S289" s="1298"/>
      <c r="T289" s="1298"/>
      <c r="U289" s="1298"/>
      <c r="V289" s="1298"/>
      <c r="W289" s="1298"/>
      <c r="X289" s="1298"/>
      <c r="Y289" s="1298"/>
      <c r="Z289" s="1298"/>
      <c r="AA289" s="1298"/>
      <c r="AB289" s="1298"/>
      <c r="AC289" s="1298"/>
      <c r="AD289" s="1298"/>
      <c r="AE289" s="1298"/>
      <c r="AF289" s="1298"/>
      <c r="AG289" s="1297"/>
      <c r="AH289" s="1297"/>
      <c r="AI289" s="1298"/>
      <c r="AJ289" s="1297"/>
      <c r="AK289" s="1298"/>
      <c r="AL289" s="2109"/>
      <c r="AM289" s="1946"/>
      <c r="AN289" s="1946"/>
      <c r="AO289" s="1946"/>
      <c r="AP289" s="1946"/>
      <c r="AQ289" s="1946"/>
      <c r="AR289" s="1946"/>
      <c r="AS289" s="1946"/>
      <c r="AT289" s="1946"/>
      <c r="AU289" s="1946"/>
      <c r="AV289" s="1946"/>
      <c r="AW289" s="1946"/>
      <c r="AX289" s="1946"/>
      <c r="AY289" s="1946"/>
      <c r="AZ289" s="1946"/>
      <c r="BA289" s="1946"/>
      <c r="BB289" s="1946"/>
      <c r="BC289" s="1946"/>
      <c r="BD289" s="1946"/>
      <c r="BE289" s="1946"/>
      <c r="BF289" s="1946"/>
      <c r="BG289" s="7213"/>
    </row>
    <row customHeight="1" ht="0.75">
      <c r="A290" s="1290" t="s">
        <v>1206</v>
      </c>
      <c r="B290" s="1290"/>
      <c r="C290" s="1290"/>
      <c r="D290" s="1284"/>
      <c r="E290" s="1294"/>
      <c r="F290" s="2673">
        <v>2027</v>
      </c>
      <c r="G290" s="2652"/>
      <c r="H290" s="2677" t="s">
        <v>488</v>
      </c>
      <c r="I290" s="2678"/>
      <c r="J290" s="2679"/>
      <c r="K290" s="2679"/>
      <c r="L290" s="2671"/>
      <c r="M290" s="2405"/>
      <c r="N290" s="2157"/>
      <c r="O290" s="2156"/>
      <c r="P290" s="2157"/>
      <c r="Q290" s="2157"/>
      <c r="R290" s="2157"/>
      <c r="S290" s="2157"/>
      <c r="T290" s="2157"/>
      <c r="U290" s="2157"/>
      <c r="V290" s="2157"/>
      <c r="W290" s="2157"/>
      <c r="X290" s="2157"/>
      <c r="Y290" s="2157"/>
      <c r="Z290" s="2157"/>
      <c r="AA290" s="2157"/>
      <c r="AB290" s="2157"/>
      <c r="AC290" s="2157"/>
      <c r="AD290" s="2157"/>
      <c r="AE290" s="2157"/>
      <c r="AF290" s="2675"/>
      <c r="AG290" s="2671"/>
      <c r="AH290" s="2671"/>
      <c r="AI290" s="2675"/>
      <c r="AJ290" s="2671"/>
      <c r="AK290" s="2671"/>
      <c r="AL290" s="2109"/>
      <c r="AM290" s="1946"/>
      <c r="AN290" s="1946"/>
      <c r="AO290" s="1946"/>
      <c r="AP290" s="1946"/>
      <c r="AQ290" s="1946"/>
      <c r="AR290" s="1946"/>
      <c r="AS290" s="1946"/>
      <c r="AT290" s="1946"/>
      <c r="AU290" s="1946"/>
      <c r="AV290" s="1946"/>
      <c r="AW290" s="1946"/>
      <c r="AX290" s="1946"/>
      <c r="AY290" s="1946"/>
      <c r="AZ290" s="1946"/>
      <c r="BA290" s="1946"/>
      <c r="BB290" s="1946"/>
      <c r="BC290" s="1946"/>
      <c r="BD290" s="1946"/>
      <c r="BE290" s="1946"/>
      <c r="BF290" s="1946"/>
      <c r="BG290" s="7213"/>
    </row>
    <row customHeight="1" ht="0.75">
      <c r="A291" s="1290" t="s">
        <v>1206</v>
      </c>
      <c r="B291" s="1290"/>
      <c r="C291" s="1290"/>
      <c r="D291" s="1284"/>
      <c r="E291" s="1294"/>
      <c r="F291" s="2673"/>
      <c r="G291" s="2652"/>
      <c r="H291" s="2677"/>
      <c r="I291" s="2678"/>
      <c r="J291" s="2679"/>
      <c r="K291" s="2679"/>
      <c r="L291" s="2671"/>
      <c r="M291" s="2405"/>
      <c r="N291" s="2680"/>
      <c r="O291" s="2681"/>
      <c r="P291" s="2725"/>
      <c r="Q291" s="2676"/>
      <c r="R291" s="2676"/>
      <c r="S291" s="2676"/>
      <c r="T291" s="2676"/>
      <c r="U291" s="2676"/>
      <c r="V291" s="2676"/>
      <c r="W291" s="2676"/>
      <c r="X291" s="2676"/>
      <c r="Y291" s="2676"/>
      <c r="Z291" s="2158"/>
      <c r="AA291" s="2159"/>
      <c r="AB291" s="2159"/>
      <c r="AC291" s="2160"/>
      <c r="AD291" s="2160"/>
      <c r="AE291" s="2161"/>
      <c r="AF291" s="2675"/>
      <c r="AG291" s="2671"/>
      <c r="AH291" s="2671"/>
      <c r="AI291" s="2675"/>
      <c r="AJ291" s="2671"/>
      <c r="AK291" s="2671"/>
      <c r="AL291" s="2109"/>
      <c r="AM291" s="1946"/>
      <c r="AN291" s="1946"/>
      <c r="AO291" s="1946"/>
      <c r="AP291" s="1946"/>
      <c r="AQ291" s="1946"/>
      <c r="AR291" s="1946"/>
      <c r="AS291" s="1946"/>
      <c r="AT291" s="1946"/>
      <c r="AU291" s="1946"/>
      <c r="AV291" s="1946"/>
      <c r="AW291" s="1946"/>
      <c r="AX291" s="1946"/>
      <c r="AY291" s="1946"/>
      <c r="AZ291" s="1946"/>
      <c r="BA291" s="1946"/>
      <c r="BB291" s="1946"/>
      <c r="BC291" s="1946"/>
      <c r="BD291" s="1946"/>
      <c r="BE291" s="1946"/>
      <c r="BF291" s="1946"/>
      <c r="BG291" s="7213"/>
    </row>
    <row customHeight="1" ht="0.75">
      <c r="A292" s="1290" t="s">
        <v>1206</v>
      </c>
      <c r="B292" s="1290"/>
      <c r="C292" s="1290"/>
      <c r="D292" s="1284"/>
      <c r="E292" s="1294"/>
      <c r="F292" s="2673"/>
      <c r="G292" s="2652"/>
      <c r="H292" s="2677"/>
      <c r="I292" s="2678"/>
      <c r="J292" s="2679"/>
      <c r="K292" s="2679"/>
      <c r="L292" s="2671"/>
      <c r="M292" s="2405"/>
      <c r="N292" s="2680"/>
      <c r="O292" s="2681"/>
      <c r="P292" s="2726"/>
      <c r="Q292" s="2676"/>
      <c r="R292" s="2676"/>
      <c r="S292" s="2676"/>
      <c r="T292" s="2676"/>
      <c r="U292" s="2676"/>
      <c r="V292" s="2676"/>
      <c r="W292" s="2676"/>
      <c r="X292" s="2676"/>
      <c r="Y292" s="2676"/>
      <c r="Z292" s="2162"/>
      <c r="AA292" s="2163"/>
      <c r="AB292" s="2164"/>
      <c r="AC292" s="2165"/>
      <c r="AD292" s="2164"/>
      <c r="AE292" s="2165"/>
      <c r="AF292" s="2675"/>
      <c r="AG292" s="2671"/>
      <c r="AH292" s="2671"/>
      <c r="AI292" s="2675"/>
      <c r="AJ292" s="2671"/>
      <c r="AK292" s="2671"/>
      <c r="AL292" s="2109"/>
      <c r="AM292" s="1946"/>
      <c r="AN292" s="1946"/>
      <c r="AO292" s="1946"/>
      <c r="AP292" s="1946"/>
      <c r="AQ292" s="1946"/>
      <c r="AR292" s="1946"/>
      <c r="AS292" s="1946"/>
      <c r="AT292" s="1946"/>
      <c r="AU292" s="1946"/>
      <c r="AV292" s="1946"/>
      <c r="AW292" s="1946"/>
      <c r="AX292" s="1946"/>
      <c r="AY292" s="1946"/>
      <c r="AZ292" s="1946"/>
      <c r="BA292" s="1946"/>
      <c r="BB292" s="1946"/>
      <c r="BC292" s="1946"/>
      <c r="BD292" s="1946"/>
      <c r="BE292" s="1946"/>
      <c r="BF292" s="1946"/>
      <c r="BG292" s="7213"/>
    </row>
    <row customHeight="1" ht="0.75">
      <c r="A293" s="1290" t="s">
        <v>1206</v>
      </c>
      <c r="B293" s="1290"/>
      <c r="C293" s="1290"/>
      <c r="D293" s="1284"/>
      <c r="E293" s="1294"/>
      <c r="F293" s="2673"/>
      <c r="G293" s="2652"/>
      <c r="H293" s="2677"/>
      <c r="I293" s="2678"/>
      <c r="J293" s="2679"/>
      <c r="K293" s="2679"/>
      <c r="L293" s="2671"/>
      <c r="M293" s="2405"/>
      <c r="N293" s="2680"/>
      <c r="O293" s="2681"/>
      <c r="P293" s="2727"/>
      <c r="Q293" s="2676"/>
      <c r="R293" s="2676"/>
      <c r="S293" s="2676"/>
      <c r="T293" s="2676"/>
      <c r="U293" s="2676"/>
      <c r="V293" s="2676"/>
      <c r="W293" s="2676"/>
      <c r="X293" s="2676"/>
      <c r="Y293" s="2676"/>
      <c r="Z293" s="2158"/>
      <c r="AA293" s="2159"/>
      <c r="AB293" s="2166"/>
      <c r="AC293" s="2160"/>
      <c r="AD293" s="2160"/>
      <c r="AE293" s="2167"/>
      <c r="AF293" s="2675"/>
      <c r="AG293" s="2671"/>
      <c r="AH293" s="2671"/>
      <c r="AI293" s="2675"/>
      <c r="AJ293" s="2671"/>
      <c r="AK293" s="2671"/>
      <c r="AL293" s="2109"/>
      <c r="AM293" s="1946"/>
      <c r="AN293" s="1946"/>
      <c r="AO293" s="1946"/>
      <c r="AP293" s="1946"/>
      <c r="AQ293" s="1946"/>
      <c r="AR293" s="1946"/>
      <c r="AS293" s="1946"/>
      <c r="AT293" s="1946"/>
      <c r="AU293" s="1946"/>
      <c r="AV293" s="1946"/>
      <c r="AW293" s="1946"/>
      <c r="AX293" s="1946"/>
      <c r="AY293" s="1946"/>
      <c r="AZ293" s="1946"/>
      <c r="BA293" s="1946"/>
      <c r="BB293" s="1946"/>
      <c r="BC293" s="1946"/>
      <c r="BD293" s="1946"/>
      <c r="BE293" s="1946"/>
      <c r="BF293" s="1946"/>
      <c r="BG293" s="7213"/>
    </row>
    <row customHeight="1" ht="0.75">
      <c r="A294" s="1290" t="s">
        <v>1206</v>
      </c>
      <c r="B294" s="1290"/>
      <c r="C294" s="1290"/>
      <c r="D294" s="1284"/>
      <c r="E294" s="1294"/>
      <c r="F294" s="2673"/>
      <c r="G294" s="2652"/>
      <c r="H294" s="2677"/>
      <c r="I294" s="2678"/>
      <c r="J294" s="2679"/>
      <c r="K294" s="2679"/>
      <c r="L294" s="2671"/>
      <c r="M294" s="2405"/>
      <c r="N294" s="2159"/>
      <c r="O294" s="2159"/>
      <c r="P294" s="2166"/>
      <c r="Q294" s="2159"/>
      <c r="R294" s="2159"/>
      <c r="S294" s="2159"/>
      <c r="T294" s="2159"/>
      <c r="U294" s="2159"/>
      <c r="V294" s="2159"/>
      <c r="W294" s="2159"/>
      <c r="X294" s="2159"/>
      <c r="Y294" s="2159"/>
      <c r="Z294" s="2159"/>
      <c r="AA294" s="2159"/>
      <c r="AB294" s="2159"/>
      <c r="AC294" s="2159"/>
      <c r="AD294" s="2159"/>
      <c r="AE294" s="2168"/>
      <c r="AF294" s="2675"/>
      <c r="AG294" s="2671"/>
      <c r="AH294" s="2671"/>
      <c r="AI294" s="2675"/>
      <c r="AJ294" s="2671"/>
      <c r="AK294" s="2671"/>
      <c r="AL294" s="2109"/>
      <c r="AM294" s="1946"/>
      <c r="AN294" s="1946"/>
      <c r="AO294" s="1946"/>
      <c r="AP294" s="1946"/>
      <c r="AQ294" s="1946"/>
      <c r="AR294" s="1946"/>
      <c r="AS294" s="1946"/>
      <c r="AT294" s="1946"/>
      <c r="AU294" s="1946"/>
      <c r="AV294" s="1946"/>
      <c r="AW294" s="1946"/>
      <c r="AX294" s="1946"/>
      <c r="AY294" s="1946"/>
      <c r="AZ294" s="1946"/>
      <c r="BA294" s="1946"/>
      <c r="BB294" s="1946"/>
      <c r="BC294" s="1946"/>
      <c r="BD294" s="1946"/>
      <c r="BE294" s="1946"/>
      <c r="BF294" s="1946"/>
      <c r="BG294" s="7213"/>
    </row>
    <row customHeight="1" ht="12">
      <c r="A295" s="1290" t="s">
        <v>1206</v>
      </c>
      <c r="B295" s="1290"/>
      <c r="C295" s="1290"/>
      <c r="D295" s="1284"/>
      <c r="E295" s="1294"/>
      <c r="F295" s="2674"/>
      <c r="G295" s="1314"/>
      <c r="H295" s="1314"/>
      <c r="I295" s="2672" t="s">
        <v>1294</v>
      </c>
      <c r="J295" s="2672"/>
      <c r="K295" s="2672"/>
      <c r="L295" s="1297"/>
      <c r="M295" s="1297"/>
      <c r="N295" s="1298"/>
      <c r="O295" s="1298"/>
      <c r="P295" s="1298"/>
      <c r="Q295" s="1298"/>
      <c r="R295" s="1298"/>
      <c r="S295" s="1298"/>
      <c r="T295" s="1298"/>
      <c r="U295" s="1298"/>
      <c r="V295" s="1298"/>
      <c r="W295" s="1298"/>
      <c r="X295" s="1298"/>
      <c r="Y295" s="1298"/>
      <c r="Z295" s="1298"/>
      <c r="AA295" s="1298"/>
      <c r="AB295" s="1298"/>
      <c r="AC295" s="1298"/>
      <c r="AD295" s="1298"/>
      <c r="AE295" s="1298"/>
      <c r="AF295" s="1298"/>
      <c r="AG295" s="1297"/>
      <c r="AH295" s="1297"/>
      <c r="AI295" s="1298"/>
      <c r="AJ295" s="1297"/>
      <c r="AK295" s="1298"/>
      <c r="AL295" s="2109"/>
      <c r="AM295" s="1946"/>
      <c r="AN295" s="1946"/>
      <c r="AO295" s="1946"/>
      <c r="AP295" s="1946"/>
      <c r="AQ295" s="1946"/>
      <c r="AR295" s="1946"/>
      <c r="AS295" s="1946"/>
      <c r="AT295" s="1946"/>
      <c r="AU295" s="1946"/>
      <c r="AV295" s="1946"/>
      <c r="AW295" s="1946"/>
      <c r="AX295" s="1946"/>
      <c r="AY295" s="1946"/>
      <c r="AZ295" s="1946"/>
      <c r="BA295" s="1946"/>
      <c r="BB295" s="1946"/>
      <c r="BC295" s="1946"/>
      <c r="BD295" s="1946"/>
      <c r="BE295" s="1946"/>
      <c r="BF295" s="1946"/>
      <c r="BG295" s="7213"/>
    </row>
    <row customHeight="1" ht="0.75">
      <c r="A296" s="1290" t="s">
        <v>1206</v>
      </c>
      <c r="B296" s="1290"/>
      <c r="C296" s="1290"/>
      <c r="D296" s="1284"/>
      <c r="E296" s="1294"/>
      <c r="F296" s="2673">
        <v>2028</v>
      </c>
      <c r="G296" s="2652"/>
      <c r="H296" s="2677" t="s">
        <v>488</v>
      </c>
      <c r="I296" s="2678"/>
      <c r="J296" s="2679"/>
      <c r="K296" s="2679"/>
      <c r="L296" s="2671"/>
      <c r="M296" s="2405"/>
      <c r="N296" s="2157"/>
      <c r="O296" s="2156"/>
      <c r="P296" s="2157"/>
      <c r="Q296" s="2157"/>
      <c r="R296" s="2157"/>
      <c r="S296" s="2157"/>
      <c r="T296" s="2157"/>
      <c r="U296" s="2157"/>
      <c r="V296" s="2157"/>
      <c r="W296" s="2157"/>
      <c r="X296" s="2157"/>
      <c r="Y296" s="2157"/>
      <c r="Z296" s="2157"/>
      <c r="AA296" s="2157"/>
      <c r="AB296" s="2157"/>
      <c r="AC296" s="2157"/>
      <c r="AD296" s="2157"/>
      <c r="AE296" s="2157"/>
      <c r="AF296" s="2675"/>
      <c r="AG296" s="2671"/>
      <c r="AH296" s="2671"/>
      <c r="AI296" s="2675"/>
      <c r="AJ296" s="2671"/>
      <c r="AK296" s="2671"/>
      <c r="AL296" s="2109"/>
      <c r="AM296" s="1946"/>
      <c r="AN296" s="1946"/>
      <c r="AO296" s="1946"/>
      <c r="AP296" s="1946"/>
      <c r="AQ296" s="1946"/>
      <c r="AR296" s="1946"/>
      <c r="AS296" s="1946"/>
      <c r="AT296" s="1946"/>
      <c r="AU296" s="1946"/>
      <c r="AV296" s="1946"/>
      <c r="AW296" s="1946"/>
      <c r="AX296" s="1946"/>
      <c r="AY296" s="1946"/>
      <c r="AZ296" s="1946"/>
      <c r="BA296" s="1946"/>
      <c r="BB296" s="1946"/>
      <c r="BC296" s="1946"/>
      <c r="BD296" s="1946"/>
      <c r="BE296" s="1946"/>
      <c r="BF296" s="1946"/>
      <c r="BG296" s="7213"/>
    </row>
    <row customHeight="1" ht="0.75">
      <c r="A297" s="1290" t="s">
        <v>1206</v>
      </c>
      <c r="B297" s="1290"/>
      <c r="C297" s="1290"/>
      <c r="D297" s="1284"/>
      <c r="E297" s="1294"/>
      <c r="F297" s="2673"/>
      <c r="G297" s="2652"/>
      <c r="H297" s="2677"/>
      <c r="I297" s="2678"/>
      <c r="J297" s="2679"/>
      <c r="K297" s="2679"/>
      <c r="L297" s="2671"/>
      <c r="M297" s="2405"/>
      <c r="N297" s="2680"/>
      <c r="O297" s="2681"/>
      <c r="P297" s="2725"/>
      <c r="Q297" s="2676"/>
      <c r="R297" s="2676"/>
      <c r="S297" s="2676"/>
      <c r="T297" s="2676"/>
      <c r="U297" s="2676"/>
      <c r="V297" s="2676"/>
      <c r="W297" s="2676"/>
      <c r="X297" s="2676"/>
      <c r="Y297" s="2676"/>
      <c r="Z297" s="2158"/>
      <c r="AA297" s="2159"/>
      <c r="AB297" s="2159"/>
      <c r="AC297" s="2160"/>
      <c r="AD297" s="2160"/>
      <c r="AE297" s="2161"/>
      <c r="AF297" s="2675"/>
      <c r="AG297" s="2671"/>
      <c r="AH297" s="2671"/>
      <c r="AI297" s="2675"/>
      <c r="AJ297" s="2671"/>
      <c r="AK297" s="2671"/>
      <c r="AL297" s="2109"/>
      <c r="AM297" s="1946"/>
      <c r="AN297" s="1946"/>
      <c r="AO297" s="1946"/>
      <c r="AP297" s="1946"/>
      <c r="AQ297" s="1946"/>
      <c r="AR297" s="1946"/>
      <c r="AS297" s="1946"/>
      <c r="AT297" s="1946"/>
      <c r="AU297" s="1946"/>
      <c r="AV297" s="1946"/>
      <c r="AW297" s="1946"/>
      <c r="AX297" s="1946"/>
      <c r="AY297" s="1946"/>
      <c r="AZ297" s="1946"/>
      <c r="BA297" s="1946"/>
      <c r="BB297" s="1946"/>
      <c r="BC297" s="1946"/>
      <c r="BD297" s="1946"/>
      <c r="BE297" s="1946"/>
      <c r="BF297" s="1946"/>
      <c r="BG297" s="7213"/>
    </row>
    <row customHeight="1" ht="0.75">
      <c r="A298" s="1290" t="s">
        <v>1206</v>
      </c>
      <c r="B298" s="1290"/>
      <c r="C298" s="1290"/>
      <c r="D298" s="1284"/>
      <c r="E298" s="1294"/>
      <c r="F298" s="2673"/>
      <c r="G298" s="2652"/>
      <c r="H298" s="2677"/>
      <c r="I298" s="2678"/>
      <c r="J298" s="2679"/>
      <c r="K298" s="2679"/>
      <c r="L298" s="2671"/>
      <c r="M298" s="2405"/>
      <c r="N298" s="2680"/>
      <c r="O298" s="2681"/>
      <c r="P298" s="2726"/>
      <c r="Q298" s="2676"/>
      <c r="R298" s="2676"/>
      <c r="S298" s="2676"/>
      <c r="T298" s="2676"/>
      <c r="U298" s="2676"/>
      <c r="V298" s="2676"/>
      <c r="W298" s="2676"/>
      <c r="X298" s="2676"/>
      <c r="Y298" s="2676"/>
      <c r="Z298" s="2162"/>
      <c r="AA298" s="2163"/>
      <c r="AB298" s="2164"/>
      <c r="AC298" s="2165"/>
      <c r="AD298" s="2164"/>
      <c r="AE298" s="2165"/>
      <c r="AF298" s="2675"/>
      <c r="AG298" s="2671"/>
      <c r="AH298" s="2671"/>
      <c r="AI298" s="2675"/>
      <c r="AJ298" s="2671"/>
      <c r="AK298" s="2671"/>
      <c r="AL298" s="2109"/>
      <c r="AM298" s="1946"/>
      <c r="AN298" s="1946"/>
      <c r="AO298" s="1946"/>
      <c r="AP298" s="1946"/>
      <c r="AQ298" s="1946"/>
      <c r="AR298" s="1946"/>
      <c r="AS298" s="1946"/>
      <c r="AT298" s="1946"/>
      <c r="AU298" s="1946"/>
      <c r="AV298" s="1946"/>
      <c r="AW298" s="1946"/>
      <c r="AX298" s="1946"/>
      <c r="AY298" s="1946"/>
      <c r="AZ298" s="1946"/>
      <c r="BA298" s="1946"/>
      <c r="BB298" s="1946"/>
      <c r="BC298" s="1946"/>
      <c r="BD298" s="1946"/>
      <c r="BE298" s="1946"/>
      <c r="BF298" s="1946"/>
      <c r="BG298" s="7213"/>
    </row>
    <row customHeight="1" ht="0.75">
      <c r="A299" s="1290" t="s">
        <v>1206</v>
      </c>
      <c r="B299" s="1290"/>
      <c r="C299" s="1290"/>
      <c r="D299" s="1284"/>
      <c r="E299" s="1294"/>
      <c r="F299" s="2673"/>
      <c r="G299" s="2652"/>
      <c r="H299" s="2677"/>
      <c r="I299" s="2678"/>
      <c r="J299" s="2679"/>
      <c r="K299" s="2679"/>
      <c r="L299" s="2671"/>
      <c r="M299" s="2405"/>
      <c r="N299" s="2680"/>
      <c r="O299" s="2681"/>
      <c r="P299" s="2727"/>
      <c r="Q299" s="2676"/>
      <c r="R299" s="2676"/>
      <c r="S299" s="2676"/>
      <c r="T299" s="2676"/>
      <c r="U299" s="2676"/>
      <c r="V299" s="2676"/>
      <c r="W299" s="2676"/>
      <c r="X299" s="2676"/>
      <c r="Y299" s="2676"/>
      <c r="Z299" s="2158"/>
      <c r="AA299" s="2159"/>
      <c r="AB299" s="2166"/>
      <c r="AC299" s="2160"/>
      <c r="AD299" s="2160"/>
      <c r="AE299" s="2167"/>
      <c r="AF299" s="2675"/>
      <c r="AG299" s="2671"/>
      <c r="AH299" s="2671"/>
      <c r="AI299" s="2675"/>
      <c r="AJ299" s="2671"/>
      <c r="AK299" s="2671"/>
      <c r="AL299" s="2109"/>
      <c r="AM299" s="1946"/>
      <c r="AN299" s="1946"/>
      <c r="AO299" s="1946"/>
      <c r="AP299" s="1946"/>
      <c r="AQ299" s="1946"/>
      <c r="AR299" s="1946"/>
      <c r="AS299" s="1946"/>
      <c r="AT299" s="1946"/>
      <c r="AU299" s="1946"/>
      <c r="AV299" s="1946"/>
      <c r="AW299" s="1946"/>
      <c r="AX299" s="1946"/>
      <c r="AY299" s="1946"/>
      <c r="AZ299" s="1946"/>
      <c r="BA299" s="1946"/>
      <c r="BB299" s="1946"/>
      <c r="BC299" s="1946"/>
      <c r="BD299" s="1946"/>
      <c r="BE299" s="1946"/>
      <c r="BF299" s="1946"/>
      <c r="BG299" s="7213"/>
    </row>
    <row customHeight="1" ht="0.75">
      <c r="A300" s="1290" t="s">
        <v>1206</v>
      </c>
      <c r="B300" s="1290"/>
      <c r="C300" s="1290"/>
      <c r="D300" s="1284"/>
      <c r="E300" s="1294"/>
      <c r="F300" s="2673"/>
      <c r="G300" s="2652"/>
      <c r="H300" s="2677"/>
      <c r="I300" s="2678"/>
      <c r="J300" s="2679"/>
      <c r="K300" s="2679"/>
      <c r="L300" s="2671"/>
      <c r="M300" s="2405"/>
      <c r="N300" s="2159"/>
      <c r="O300" s="2159"/>
      <c r="P300" s="2166"/>
      <c r="Q300" s="2159"/>
      <c r="R300" s="2159"/>
      <c r="S300" s="2159"/>
      <c r="T300" s="2159"/>
      <c r="U300" s="2159"/>
      <c r="V300" s="2159"/>
      <c r="W300" s="2159"/>
      <c r="X300" s="2159"/>
      <c r="Y300" s="2159"/>
      <c r="Z300" s="2159"/>
      <c r="AA300" s="2159"/>
      <c r="AB300" s="2159"/>
      <c r="AC300" s="2159"/>
      <c r="AD300" s="2159"/>
      <c r="AE300" s="2168"/>
      <c r="AF300" s="2675"/>
      <c r="AG300" s="2671"/>
      <c r="AH300" s="2671"/>
      <c r="AI300" s="2675"/>
      <c r="AJ300" s="2671"/>
      <c r="AK300" s="2671"/>
      <c r="AL300" s="2109"/>
      <c r="AM300" s="1946"/>
      <c r="AN300" s="1946"/>
      <c r="AO300" s="1946"/>
      <c r="AP300" s="1946"/>
      <c r="AQ300" s="1946"/>
      <c r="AR300" s="1946"/>
      <c r="AS300" s="1946"/>
      <c r="AT300" s="1946"/>
      <c r="AU300" s="1946"/>
      <c r="AV300" s="1946"/>
      <c r="AW300" s="1946"/>
      <c r="AX300" s="1946"/>
      <c r="AY300" s="1946"/>
      <c r="AZ300" s="1946"/>
      <c r="BA300" s="1946"/>
      <c r="BB300" s="1946"/>
      <c r="BC300" s="1946"/>
      <c r="BD300" s="1946"/>
      <c r="BE300" s="1946"/>
      <c r="BF300" s="1946"/>
      <c r="BG300" s="7213"/>
    </row>
    <row customHeight="1" ht="12">
      <c r="A301" s="1290" t="s">
        <v>1206</v>
      </c>
      <c r="B301" s="1290"/>
      <c r="C301" s="1290"/>
      <c r="D301" s="1284"/>
      <c r="E301" s="1294"/>
      <c r="F301" s="2674"/>
      <c r="G301" s="1314"/>
      <c r="H301" s="1314"/>
      <c r="I301" s="2672" t="s">
        <v>1294</v>
      </c>
      <c r="J301" s="2672"/>
      <c r="K301" s="2672"/>
      <c r="L301" s="1297"/>
      <c r="M301" s="1297"/>
      <c r="N301" s="1298"/>
      <c r="O301" s="1298"/>
      <c r="P301" s="1298"/>
      <c r="Q301" s="1298"/>
      <c r="R301" s="1298"/>
      <c r="S301" s="1298"/>
      <c r="T301" s="1298"/>
      <c r="U301" s="1298"/>
      <c r="V301" s="1298"/>
      <c r="W301" s="1298"/>
      <c r="X301" s="1298"/>
      <c r="Y301" s="1298"/>
      <c r="Z301" s="1298"/>
      <c r="AA301" s="1298"/>
      <c r="AB301" s="1298"/>
      <c r="AC301" s="1298"/>
      <c r="AD301" s="1298"/>
      <c r="AE301" s="1298"/>
      <c r="AF301" s="1298"/>
      <c r="AG301" s="1297"/>
      <c r="AH301" s="1297"/>
      <c r="AI301" s="1298"/>
      <c r="AJ301" s="1297"/>
      <c r="AK301" s="1298"/>
      <c r="AL301" s="2109"/>
      <c r="AM301" s="1946"/>
      <c r="AN301" s="1946"/>
      <c r="AO301" s="1946"/>
      <c r="AP301" s="1946"/>
      <c r="AQ301" s="1946"/>
      <c r="AR301" s="1946"/>
      <c r="AS301" s="1946"/>
      <c r="AT301" s="1946"/>
      <c r="AU301" s="1946"/>
      <c r="AV301" s="1946"/>
      <c r="AW301" s="1946"/>
      <c r="AX301" s="1946"/>
      <c r="AY301" s="1946"/>
      <c r="AZ301" s="1946"/>
      <c r="BA301" s="1946"/>
      <c r="BB301" s="1946"/>
      <c r="BC301" s="1946"/>
      <c r="BD301" s="1946"/>
      <c r="BE301" s="1946"/>
      <c r="BF301" s="1946"/>
      <c r="BG301" s="7213"/>
    </row>
    <row customHeight="1" ht="21">
      <c r="A302" s="1291" t="s">
        <v>1212</v>
      </c>
      <c r="B302" s="1290"/>
      <c r="C302" s="1290"/>
      <c r="D302" s="1284"/>
      <c r="E302" s="1294" t="s">
        <v>22</v>
      </c>
      <c r="F302" s="1246" t="str">
        <f>INDEX(IP_MAIN_LIST_NAME_IP,MATCH(A302,IP_MAIN_LIST_IP_ID,0))&amp;" ("&amp;INDEX(IP_MAIN_START_DATE,MATCH(A302,IP_MAIN_LIST_IP_ID,0))&amp;"-"&amp;INDEX(IP_MAIN_END_DATE,MATCH(A302,IP_MAIN_LIST_IP_ID,0))&amp;")"</f>
        <v>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 (01.01.2024-31.12.2028)</v>
      </c>
      <c r="G302" s="1247"/>
      <c r="H302" s="1247"/>
      <c r="I302" s="1309"/>
      <c r="J302" s="1309"/>
      <c r="K302" s="1310"/>
      <c r="L302" s="1310"/>
      <c r="M302" s="1310"/>
      <c r="N302" s="1311"/>
      <c r="O302" s="1311"/>
      <c r="P302" s="1311"/>
      <c r="Q302" s="1311"/>
      <c r="R302" s="1311"/>
      <c r="S302" s="1311"/>
      <c r="T302" s="1311"/>
      <c r="U302" s="1311"/>
      <c r="V302" s="1311"/>
      <c r="W302" s="1311"/>
      <c r="X302" s="1311"/>
      <c r="Y302" s="1311"/>
      <c r="Z302" s="1311"/>
      <c r="AA302" s="1311"/>
      <c r="AB302" s="1311"/>
      <c r="AC302" s="1311"/>
      <c r="AD302" s="1311"/>
      <c r="AE302" s="1312"/>
      <c r="AF302" s="1310"/>
      <c r="AG302" s="1310"/>
      <c r="AH302" s="1310"/>
      <c r="AI302" s="1310"/>
      <c r="AJ302" s="1310"/>
      <c r="AK302" s="1310"/>
      <c r="AL302" s="2109"/>
      <c r="AM302" s="1946"/>
      <c r="AN302" s="1946"/>
      <c r="AO302" s="1946"/>
      <c r="AP302" s="1946"/>
      <c r="AQ302" s="1946"/>
      <c r="AR302" s="1946"/>
      <c r="AS302" s="1946"/>
      <c r="AT302" s="1946"/>
      <c r="AU302" s="1946"/>
      <c r="AV302" s="1946"/>
      <c r="AW302" s="1946"/>
      <c r="AX302" s="1946"/>
      <c r="AY302" s="1946"/>
      <c r="AZ302" s="1946"/>
      <c r="BA302" s="1946"/>
      <c r="BB302" s="1946"/>
      <c r="BC302" s="1946"/>
      <c r="BD302" s="1946"/>
      <c r="BE302" s="1946"/>
      <c r="BF302" s="1946"/>
      <c r="BG302" s="7213"/>
    </row>
    <row customHeight="1" ht="0.75">
      <c r="A303" s="1290" t="s">
        <v>1212</v>
      </c>
      <c r="B303" s="1290"/>
      <c r="C303" s="1290"/>
      <c r="D303" s="1284"/>
      <c r="E303" s="1294"/>
      <c r="F303" s="2673">
        <v>2024</v>
      </c>
      <c r="G303" s="2652"/>
      <c r="H303" s="2677" t="s">
        <v>488</v>
      </c>
      <c r="I303" s="2678"/>
      <c r="J303" s="2679"/>
      <c r="K303" s="2679"/>
      <c r="L303" s="2671"/>
      <c r="M303" s="2405"/>
      <c r="N303" s="2157"/>
      <c r="O303" s="2156"/>
      <c r="P303" s="2157"/>
      <c r="Q303" s="2157"/>
      <c r="R303" s="2157"/>
      <c r="S303" s="2157"/>
      <c r="T303" s="2157"/>
      <c r="U303" s="2157"/>
      <c r="V303" s="2157"/>
      <c r="W303" s="2157"/>
      <c r="X303" s="2157"/>
      <c r="Y303" s="2157"/>
      <c r="Z303" s="2157"/>
      <c r="AA303" s="2157"/>
      <c r="AB303" s="2157"/>
      <c r="AC303" s="2157"/>
      <c r="AD303" s="2157"/>
      <c r="AE303" s="2157"/>
      <c r="AF303" s="2675"/>
      <c r="AG303" s="2671"/>
      <c r="AH303" s="2671"/>
      <c r="AI303" s="2675"/>
      <c r="AJ303" s="2671"/>
      <c r="AK303" s="2671"/>
      <c r="AL303" s="2109"/>
      <c r="AM303" s="1946"/>
      <c r="AN303" s="1946"/>
      <c r="AO303" s="1946"/>
      <c r="AP303" s="1946"/>
      <c r="AQ303" s="1946"/>
      <c r="AR303" s="1946"/>
      <c r="AS303" s="1946"/>
      <c r="AT303" s="1946"/>
      <c r="AU303" s="1946"/>
      <c r="AV303" s="1946"/>
      <c r="AW303" s="1946"/>
      <c r="AX303" s="1946"/>
      <c r="AY303" s="1946"/>
      <c r="AZ303" s="1946"/>
      <c r="BA303" s="1946"/>
      <c r="BB303" s="1946"/>
      <c r="BC303" s="1946"/>
      <c r="BD303" s="1946"/>
      <c r="BE303" s="1946"/>
      <c r="BF303" s="1946"/>
      <c r="BG303" s="7213"/>
    </row>
    <row customHeight="1" ht="0.75">
      <c r="A304" s="1290" t="s">
        <v>1212</v>
      </c>
      <c r="B304" s="1290"/>
      <c r="C304" s="1290"/>
      <c r="D304" s="1284"/>
      <c r="E304" s="1294"/>
      <c r="F304" s="2673"/>
      <c r="G304" s="2652"/>
      <c r="H304" s="2677"/>
      <c r="I304" s="2678"/>
      <c r="J304" s="2679"/>
      <c r="K304" s="2679"/>
      <c r="L304" s="2671"/>
      <c r="M304" s="2405"/>
      <c r="N304" s="2680"/>
      <c r="O304" s="2681"/>
      <c r="P304" s="2725"/>
      <c r="Q304" s="2676"/>
      <c r="R304" s="2676"/>
      <c r="S304" s="2676"/>
      <c r="T304" s="2676"/>
      <c r="U304" s="2676"/>
      <c r="V304" s="2676"/>
      <c r="W304" s="2676"/>
      <c r="X304" s="2676"/>
      <c r="Y304" s="2676"/>
      <c r="Z304" s="2158"/>
      <c r="AA304" s="2159"/>
      <c r="AB304" s="2159"/>
      <c r="AC304" s="2160"/>
      <c r="AD304" s="2160"/>
      <c r="AE304" s="2161"/>
      <c r="AF304" s="2675"/>
      <c r="AG304" s="2671"/>
      <c r="AH304" s="2671"/>
      <c r="AI304" s="2675"/>
      <c r="AJ304" s="2671"/>
      <c r="AK304" s="2671"/>
      <c r="AL304" s="2109"/>
      <c r="AM304" s="1946"/>
      <c r="AN304" s="1946"/>
      <c r="AO304" s="1946"/>
      <c r="AP304" s="1946"/>
      <c r="AQ304" s="1946"/>
      <c r="AR304" s="1946"/>
      <c r="AS304" s="1946"/>
      <c r="AT304" s="1946"/>
      <c r="AU304" s="1946"/>
      <c r="AV304" s="1946"/>
      <c r="AW304" s="1946"/>
      <c r="AX304" s="1946"/>
      <c r="AY304" s="1946"/>
      <c r="AZ304" s="1946"/>
      <c r="BA304" s="1946"/>
      <c r="BB304" s="1946"/>
      <c r="BC304" s="1946"/>
      <c r="BD304" s="1946"/>
      <c r="BE304" s="1946"/>
      <c r="BF304" s="1946"/>
      <c r="BG304" s="7213"/>
    </row>
    <row customHeight="1" ht="0.75">
      <c r="A305" s="1290" t="s">
        <v>1212</v>
      </c>
      <c r="B305" s="1290"/>
      <c r="C305" s="1290"/>
      <c r="D305" s="1284"/>
      <c r="E305" s="1294"/>
      <c r="F305" s="2673"/>
      <c r="G305" s="2652"/>
      <c r="H305" s="2677"/>
      <c r="I305" s="2678"/>
      <c r="J305" s="2679"/>
      <c r="K305" s="2679"/>
      <c r="L305" s="2671"/>
      <c r="M305" s="2405"/>
      <c r="N305" s="2680"/>
      <c r="O305" s="2681"/>
      <c r="P305" s="2726"/>
      <c r="Q305" s="2676"/>
      <c r="R305" s="2676"/>
      <c r="S305" s="2676"/>
      <c r="T305" s="2676"/>
      <c r="U305" s="2676"/>
      <c r="V305" s="2676"/>
      <c r="W305" s="2676"/>
      <c r="X305" s="2676"/>
      <c r="Y305" s="2676"/>
      <c r="Z305" s="2162"/>
      <c r="AA305" s="2163"/>
      <c r="AB305" s="2164"/>
      <c r="AC305" s="2165"/>
      <c r="AD305" s="2164"/>
      <c r="AE305" s="2165"/>
      <c r="AF305" s="2675"/>
      <c r="AG305" s="2671"/>
      <c r="AH305" s="2671"/>
      <c r="AI305" s="2675"/>
      <c r="AJ305" s="2671"/>
      <c r="AK305" s="2671"/>
      <c r="AL305" s="2109"/>
      <c r="AM305" s="1946"/>
      <c r="AN305" s="1946"/>
      <c r="AO305" s="1946"/>
      <c r="AP305" s="1946"/>
      <c r="AQ305" s="1946"/>
      <c r="AR305" s="1946"/>
      <c r="AS305" s="1946"/>
      <c r="AT305" s="1946"/>
      <c r="AU305" s="1946"/>
      <c r="AV305" s="1946"/>
      <c r="AW305" s="1946"/>
      <c r="AX305" s="1946"/>
      <c r="AY305" s="1946"/>
      <c r="AZ305" s="1946"/>
      <c r="BA305" s="1946"/>
      <c r="BB305" s="1946"/>
      <c r="BC305" s="1946"/>
      <c r="BD305" s="1946"/>
      <c r="BE305" s="1946"/>
      <c r="BF305" s="1946"/>
      <c r="BG305" s="7213"/>
    </row>
    <row customHeight="1" ht="0.75">
      <c r="A306" s="1290" t="s">
        <v>1212</v>
      </c>
      <c r="B306" s="1290"/>
      <c r="C306" s="1290"/>
      <c r="D306" s="1284"/>
      <c r="E306" s="1294"/>
      <c r="F306" s="2673"/>
      <c r="G306" s="2652"/>
      <c r="H306" s="2677"/>
      <c r="I306" s="2678"/>
      <c r="J306" s="2679"/>
      <c r="K306" s="2679"/>
      <c r="L306" s="2671"/>
      <c r="M306" s="2405"/>
      <c r="N306" s="2680"/>
      <c r="O306" s="2681"/>
      <c r="P306" s="2727"/>
      <c r="Q306" s="2676"/>
      <c r="R306" s="2676"/>
      <c r="S306" s="2676"/>
      <c r="T306" s="2676"/>
      <c r="U306" s="2676"/>
      <c r="V306" s="2676"/>
      <c r="W306" s="2676"/>
      <c r="X306" s="2676"/>
      <c r="Y306" s="2676"/>
      <c r="Z306" s="2158"/>
      <c r="AA306" s="2159"/>
      <c r="AB306" s="2166"/>
      <c r="AC306" s="2160"/>
      <c r="AD306" s="2160"/>
      <c r="AE306" s="2167"/>
      <c r="AF306" s="2675"/>
      <c r="AG306" s="2671"/>
      <c r="AH306" s="2671"/>
      <c r="AI306" s="2675"/>
      <c r="AJ306" s="2671"/>
      <c r="AK306" s="2671"/>
      <c r="AL306" s="2109"/>
      <c r="AM306" s="1946"/>
      <c r="AN306" s="1946"/>
      <c r="AO306" s="1946"/>
      <c r="AP306" s="1946"/>
      <c r="AQ306" s="1946"/>
      <c r="AR306" s="1946"/>
      <c r="AS306" s="1946"/>
      <c r="AT306" s="1946"/>
      <c r="AU306" s="1946"/>
      <c r="AV306" s="1946"/>
      <c r="AW306" s="1946"/>
      <c r="AX306" s="1946"/>
      <c r="AY306" s="1946"/>
      <c r="AZ306" s="1946"/>
      <c r="BA306" s="1946"/>
      <c r="BB306" s="1946"/>
      <c r="BC306" s="1946"/>
      <c r="BD306" s="1946"/>
      <c r="BE306" s="1946"/>
      <c r="BF306" s="1946"/>
      <c r="BG306" s="7213"/>
    </row>
    <row customHeight="1" ht="0.75">
      <c r="A307" s="1290" t="s">
        <v>1212</v>
      </c>
      <c r="B307" s="1290"/>
      <c r="C307" s="1290"/>
      <c r="D307" s="1284"/>
      <c r="E307" s="1294"/>
      <c r="F307" s="2673"/>
      <c r="G307" s="2652"/>
      <c r="H307" s="2677"/>
      <c r="I307" s="2678"/>
      <c r="J307" s="2679"/>
      <c r="K307" s="2679"/>
      <c r="L307" s="2671"/>
      <c r="M307" s="2405"/>
      <c r="N307" s="2159"/>
      <c r="O307" s="2159"/>
      <c r="P307" s="2166"/>
      <c r="Q307" s="2159"/>
      <c r="R307" s="2159"/>
      <c r="S307" s="2159"/>
      <c r="T307" s="2159"/>
      <c r="U307" s="2159"/>
      <c r="V307" s="2159"/>
      <c r="W307" s="2159"/>
      <c r="X307" s="2159"/>
      <c r="Y307" s="2159"/>
      <c r="Z307" s="2159"/>
      <c r="AA307" s="2159"/>
      <c r="AB307" s="2159"/>
      <c r="AC307" s="2159"/>
      <c r="AD307" s="2159"/>
      <c r="AE307" s="2168"/>
      <c r="AF307" s="2675"/>
      <c r="AG307" s="2671"/>
      <c r="AH307" s="2671"/>
      <c r="AI307" s="2675"/>
      <c r="AJ307" s="2671"/>
      <c r="AK307" s="2671"/>
      <c r="AL307" s="2109"/>
      <c r="AM307" s="1946"/>
      <c r="AN307" s="1946"/>
      <c r="AO307" s="1946"/>
      <c r="AP307" s="1946"/>
      <c r="AQ307" s="1946"/>
      <c r="AR307" s="1946"/>
      <c r="AS307" s="1946"/>
      <c r="AT307" s="1946"/>
      <c r="AU307" s="1946"/>
      <c r="AV307" s="1946"/>
      <c r="AW307" s="1946"/>
      <c r="AX307" s="1946"/>
      <c r="AY307" s="1946"/>
      <c r="AZ307" s="1946"/>
      <c r="BA307" s="1946"/>
      <c r="BB307" s="1946"/>
      <c r="BC307" s="1946"/>
      <c r="BD307" s="1946"/>
      <c r="BE307" s="1946"/>
      <c r="BF307" s="1946"/>
      <c r="BG307" s="7213"/>
    </row>
    <row customHeight="1" ht="11.25">
      <c r="A308" s="1290" t="s">
        <v>1212</v>
      </c>
      <c r="B308" s="1290"/>
      <c r="C308" s="1290"/>
      <c r="D308" s="1284"/>
      <c r="E308" s="1294"/>
      <c r="F308" s="1952"/>
      <c r="G308" s="7121" t="s">
        <v>103</v>
      </c>
      <c r="H308" s="2652" t="s">
        <v>210</v>
      </c>
      <c r="I308" s="2653"/>
      <c r="J308" s="2622"/>
      <c r="K308" s="2654" t="s">
        <v>1366</v>
      </c>
      <c r="L308" s="2244" t="s">
        <v>19</v>
      </c>
      <c r="M308" s="2245"/>
      <c r="N308" s="2107"/>
      <c r="O308" s="1301" t="s">
        <v>488</v>
      </c>
      <c r="P308" s="1302"/>
      <c r="Q308" s="1302"/>
      <c r="R308" s="1302"/>
      <c r="S308" s="1302"/>
      <c r="T308" s="1302"/>
      <c r="U308" s="1302"/>
      <c r="V308" s="1302"/>
      <c r="W308" s="1302"/>
      <c r="X308" s="1302"/>
      <c r="Y308" s="1302"/>
      <c r="Z308" s="1302"/>
      <c r="AA308" s="1302"/>
      <c r="AB308" s="1302"/>
      <c r="AC308" s="1302"/>
      <c r="AD308" s="1302"/>
      <c r="AE308" s="1302"/>
      <c r="AF308" s="2643">
        <v>2024</v>
      </c>
      <c r="AG308" s="2644" t="s">
        <v>1296</v>
      </c>
      <c r="AH308" s="2644" t="s">
        <v>1297</v>
      </c>
      <c r="AI308" s="2643">
        <v>2024</v>
      </c>
      <c r="AJ308" s="2644" t="s">
        <v>1296</v>
      </c>
      <c r="AK308" s="2644" t="s">
        <v>1297</v>
      </c>
      <c r="AL308" s="2109"/>
      <c r="AM308" s="1946"/>
      <c r="AN308" s="1946"/>
      <c r="AO308" s="1946"/>
      <c r="AP308" s="1946"/>
      <c r="AQ308" s="1946"/>
      <c r="AR308" s="1946"/>
      <c r="AS308" s="1946"/>
      <c r="AT308" s="1946"/>
      <c r="AU308" s="1946"/>
      <c r="AV308" s="1946"/>
      <c r="AW308" s="1946"/>
      <c r="AX308" s="1946"/>
      <c r="AY308" s="1946"/>
      <c r="AZ308" s="1946"/>
      <c r="BA308" s="1946"/>
      <c r="BB308" s="1946"/>
      <c r="BC308" s="1946"/>
      <c r="BD308" s="1946"/>
      <c r="BE308" s="1946"/>
      <c r="BF308" s="1946"/>
      <c r="BG308" s="7213"/>
    </row>
    <row customHeight="1" ht="11.25">
      <c r="A309" s="1290" t="s">
        <v>1212</v>
      </c>
      <c r="B309" s="1290"/>
      <c r="C309" s="1290"/>
      <c r="D309" s="1284"/>
      <c r="E309" s="1294"/>
      <c r="F309" s="1952"/>
      <c r="G309" s="1953"/>
      <c r="H309" s="2652" t="s">
        <v>488</v>
      </c>
      <c r="I309" s="2653"/>
      <c r="J309" s="2622"/>
      <c r="K309" s="2654"/>
      <c r="L309" s="2244"/>
      <c r="M309" s="2245"/>
      <c r="N309" s="2645"/>
      <c r="O309" s="2646">
        <v>1</v>
      </c>
      <c r="P309" s="2647" t="s">
        <v>62</v>
      </c>
      <c r="Q309" s="11136" t="s">
        <v>1367</v>
      </c>
      <c r="R309" s="11137" t="s">
        <v>1299</v>
      </c>
      <c r="S309" s="11137" t="s">
        <v>110</v>
      </c>
      <c r="T309" s="11137" t="s">
        <v>1368</v>
      </c>
      <c r="U309" s="11137" t="s">
        <v>1369</v>
      </c>
      <c r="V309" s="11137" t="s">
        <v>1370</v>
      </c>
      <c r="W309" s="11137" t="s">
        <v>1371</v>
      </c>
      <c r="X309" s="11137" t="s">
        <v>1338</v>
      </c>
      <c r="Y309" s="11137" t="s">
        <v>1355</v>
      </c>
      <c r="Z309" s="1299"/>
      <c r="AA309" s="1300"/>
      <c r="AB309" s="1300"/>
      <c r="AC309" s="1304"/>
      <c r="AD309" s="1304"/>
      <c r="AE309" s="1305"/>
      <c r="AF309" s="2643"/>
      <c r="AG309" s="2644"/>
      <c r="AH309" s="2644"/>
      <c r="AI309" s="2643"/>
      <c r="AJ309" s="2644"/>
      <c r="AK309" s="2644"/>
      <c r="AL309" s="2109"/>
      <c r="AM309" s="1946"/>
      <c r="AN309" s="1946"/>
      <c r="AO309" s="1946"/>
      <c r="AP309" s="1946"/>
      <c r="AQ309" s="1946"/>
      <c r="AR309" s="1946"/>
      <c r="AS309" s="1946"/>
      <c r="AT309" s="1946"/>
      <c r="AU309" s="1946"/>
      <c r="AV309" s="1946"/>
      <c r="AW309" s="1946"/>
      <c r="AX309" s="1946"/>
      <c r="AY309" s="1946"/>
      <c r="AZ309" s="1946"/>
      <c r="BA309" s="1946"/>
      <c r="BB309" s="1946"/>
      <c r="BC309" s="1946"/>
      <c r="BD309" s="1946"/>
      <c r="BE309" s="1946"/>
      <c r="BF309" s="1946"/>
      <c r="BG309" s="7213"/>
    </row>
    <row customHeight="1" ht="11.25">
      <c r="A310" s="1290" t="s">
        <v>1212</v>
      </c>
      <c r="B310" s="1290"/>
      <c r="C310" s="1290"/>
      <c r="D310" s="1284"/>
      <c r="E310" s="1294"/>
      <c r="F310" s="1952"/>
      <c r="G310" s="1953"/>
      <c r="H310" s="2652" t="s">
        <v>488</v>
      </c>
      <c r="I310" s="2653"/>
      <c r="J310" s="2622"/>
      <c r="K310" s="2654"/>
      <c r="L310" s="2244"/>
      <c r="M310" s="2245"/>
      <c r="N310" s="2645"/>
      <c r="O310" s="2646"/>
      <c r="P310" s="2648"/>
      <c r="Q310" s="11136"/>
      <c r="R310" s="2650"/>
      <c r="S310" s="2651"/>
      <c r="T310" s="2650"/>
      <c r="U310" s="2650"/>
      <c r="V310" s="2650"/>
      <c r="W310" s="2650"/>
      <c r="X310" s="2650"/>
      <c r="Y310" s="2650"/>
      <c r="Z310" s="1951"/>
      <c r="AA310" s="1917">
        <v>1</v>
      </c>
      <c r="AB310" s="1303" t="s">
        <v>1306</v>
      </c>
      <c r="AC310" s="1293">
        <v>1100</v>
      </c>
      <c r="AD310" s="1303" t="str">
        <f>AB310</f>
        <v>  Прибыль направляемая на инвестиции</v>
      </c>
      <c r="AE310" s="1293">
        <v>1100</v>
      </c>
      <c r="AF310" s="2643"/>
      <c r="AG310" s="2644"/>
      <c r="AH310" s="2644"/>
      <c r="AI310" s="2643"/>
      <c r="AJ310" s="2644"/>
      <c r="AK310" s="2644"/>
      <c r="AL310" s="2109"/>
      <c r="AM310" s="1946"/>
      <c r="AN310" s="1946"/>
      <c r="AO310" s="1946"/>
      <c r="AP310" s="1946"/>
      <c r="AQ310" s="1946"/>
      <c r="AR310" s="1946"/>
      <c r="AS310" s="1946"/>
      <c r="AT310" s="1946"/>
      <c r="AU310" s="1946"/>
      <c r="AV310" s="1946"/>
      <c r="AW310" s="1946"/>
      <c r="AX310" s="1946"/>
      <c r="AY310" s="1946"/>
      <c r="AZ310" s="1946"/>
      <c r="BA310" s="1946"/>
      <c r="BB310" s="1946"/>
      <c r="BC310" s="1946"/>
      <c r="BD310" s="1946"/>
      <c r="BE310" s="1946"/>
      <c r="BF310" s="1946"/>
      <c r="BG310" s="7213"/>
    </row>
    <row customHeight="1" ht="11.25">
      <c r="A311" s="1290" t="s">
        <v>1212</v>
      </c>
      <c r="B311" s="1290"/>
      <c r="C311" s="1290"/>
      <c r="D311" s="1284"/>
      <c r="E311" s="1294"/>
      <c r="F311" s="1952"/>
      <c r="G311" s="1953"/>
      <c r="H311" s="2652" t="s">
        <v>488</v>
      </c>
      <c r="I311" s="2653"/>
      <c r="J311" s="2622"/>
      <c r="K311" s="2654"/>
      <c r="L311" s="2244"/>
      <c r="M311" s="2245"/>
      <c r="N311" s="2645"/>
      <c r="O311" s="2646"/>
      <c r="P311" s="2649"/>
      <c r="Q311" s="11136"/>
      <c r="R311" s="2650"/>
      <c r="S311" s="2651"/>
      <c r="T311" s="2650"/>
      <c r="U311" s="2650"/>
      <c r="V311" s="2650"/>
      <c r="W311" s="2650"/>
      <c r="X311" s="2650"/>
      <c r="Y311" s="2650"/>
      <c r="Z311" s="1299"/>
      <c r="AA311" s="1300"/>
      <c r="AB311" s="1365" t="s">
        <v>1309</v>
      </c>
      <c r="AC311" s="1304"/>
      <c r="AD311" s="1304"/>
      <c r="AE311" s="1306"/>
      <c r="AF311" s="2643"/>
      <c r="AG311" s="2644"/>
      <c r="AH311" s="2644"/>
      <c r="AI311" s="2643"/>
      <c r="AJ311" s="2644"/>
      <c r="AK311" s="2644"/>
      <c r="AL311" s="2109"/>
      <c r="AM311" s="1946"/>
      <c r="AN311" s="1946"/>
      <c r="AO311" s="1946"/>
      <c r="AP311" s="1946"/>
      <c r="AQ311" s="1946"/>
      <c r="AR311" s="1946"/>
      <c r="AS311" s="1946"/>
      <c r="AT311" s="1946"/>
      <c r="AU311" s="1946"/>
      <c r="AV311" s="1946"/>
      <c r="AW311" s="1946"/>
      <c r="AX311" s="1946"/>
      <c r="AY311" s="1946"/>
      <c r="AZ311" s="1946"/>
      <c r="BA311" s="1946"/>
      <c r="BB311" s="1946"/>
      <c r="BC311" s="1946"/>
      <c r="BD311" s="1946"/>
      <c r="BE311" s="1946"/>
      <c r="BF311" s="1946"/>
      <c r="BG311" s="7213"/>
    </row>
    <row customHeight="1" ht="11.25">
      <c r="A312" s="1290" t="s">
        <v>1212</v>
      </c>
      <c r="B312" s="1290"/>
      <c r="C312" s="1290"/>
      <c r="D312" s="1284"/>
      <c r="E312" s="1294"/>
      <c r="F312" s="1952"/>
      <c r="G312" s="1953"/>
      <c r="H312" s="2652" t="s">
        <v>488</v>
      </c>
      <c r="I312" s="2653"/>
      <c r="J312" s="2622"/>
      <c r="K312" s="2654"/>
      <c r="L312" s="2244"/>
      <c r="M312" s="2245"/>
      <c r="N312" s="1299"/>
      <c r="O312" s="1300"/>
      <c r="P312" s="1292" t="s">
        <v>1310</v>
      </c>
      <c r="Q312" s="1300"/>
      <c r="R312" s="1300"/>
      <c r="S312" s="1300"/>
      <c r="T312" s="1300"/>
      <c r="U312" s="1300"/>
      <c r="V312" s="1300"/>
      <c r="W312" s="1300"/>
      <c r="X312" s="1300"/>
      <c r="Y312" s="1300"/>
      <c r="Z312" s="1300"/>
      <c r="AA312" s="1300"/>
      <c r="AB312" s="1300"/>
      <c r="AC312" s="1300"/>
      <c r="AD312" s="1300"/>
      <c r="AE312" s="1307"/>
      <c r="AF312" s="2643"/>
      <c r="AG312" s="2644"/>
      <c r="AH312" s="2644"/>
      <c r="AI312" s="2643"/>
      <c r="AJ312" s="2644"/>
      <c r="AK312" s="2644"/>
      <c r="AL312" s="2109"/>
      <c r="AM312" s="1946"/>
      <c r="AN312" s="1946"/>
      <c r="AO312" s="1946"/>
      <c r="AP312" s="1946"/>
      <c r="AQ312" s="1946"/>
      <c r="AR312" s="1946"/>
      <c r="AS312" s="1946"/>
      <c r="AT312" s="1946"/>
      <c r="AU312" s="1946"/>
      <c r="AV312" s="1946"/>
      <c r="AW312" s="1946"/>
      <c r="AX312" s="1946"/>
      <c r="AY312" s="1946"/>
      <c r="AZ312" s="1946"/>
      <c r="BA312" s="1946"/>
      <c r="BB312" s="1946"/>
      <c r="BC312" s="1946"/>
      <c r="BD312" s="1946"/>
      <c r="BE312" s="1946"/>
      <c r="BF312" s="1946"/>
      <c r="BG312" s="7213"/>
    </row>
    <row customHeight="1" ht="12">
      <c r="A313" s="1290" t="s">
        <v>1212</v>
      </c>
      <c r="B313" s="1290"/>
      <c r="C313" s="1290"/>
      <c r="D313" s="1284"/>
      <c r="E313" s="1294"/>
      <c r="F313" s="2674"/>
      <c r="G313" s="1314"/>
      <c r="H313" s="1314"/>
      <c r="I313" s="2672" t="s">
        <v>1294</v>
      </c>
      <c r="J313" s="2672"/>
      <c r="K313" s="2672"/>
      <c r="L313" s="1297"/>
      <c r="M313" s="1297"/>
      <c r="N313" s="1298"/>
      <c r="O313" s="1298"/>
      <c r="P313" s="1298"/>
      <c r="Q313" s="1298"/>
      <c r="R313" s="1298"/>
      <c r="S313" s="1298"/>
      <c r="T313" s="1298"/>
      <c r="U313" s="1298"/>
      <c r="V313" s="1298"/>
      <c r="W313" s="1298"/>
      <c r="X313" s="1298"/>
      <c r="Y313" s="1298"/>
      <c r="Z313" s="1298"/>
      <c r="AA313" s="1298"/>
      <c r="AB313" s="1298"/>
      <c r="AC313" s="1298"/>
      <c r="AD313" s="1298"/>
      <c r="AE313" s="1298"/>
      <c r="AF313" s="1298"/>
      <c r="AG313" s="1297"/>
      <c r="AH313" s="1297"/>
      <c r="AI313" s="1298"/>
      <c r="AJ313" s="1297"/>
      <c r="AK313" s="1298"/>
      <c r="AL313" s="2109"/>
      <c r="AM313" s="1946"/>
      <c r="AN313" s="1946"/>
      <c r="AO313" s="1946"/>
      <c r="AP313" s="1946"/>
      <c r="AQ313" s="1946"/>
      <c r="AR313" s="1946"/>
      <c r="AS313" s="1946"/>
      <c r="AT313" s="1946"/>
      <c r="AU313" s="1946"/>
      <c r="AV313" s="1946"/>
      <c r="AW313" s="1946"/>
      <c r="AX313" s="1946"/>
      <c r="AY313" s="1946"/>
      <c r="AZ313" s="1946"/>
      <c r="BA313" s="1946"/>
      <c r="BB313" s="1946"/>
      <c r="BC313" s="1946"/>
      <c r="BD313" s="1946"/>
      <c r="BE313" s="1946"/>
      <c r="BF313" s="1946"/>
      <c r="BG313" s="7213"/>
    </row>
    <row customHeight="1" ht="0.75">
      <c r="A314" s="1290" t="s">
        <v>1212</v>
      </c>
      <c r="B314" s="1290"/>
      <c r="C314" s="1290"/>
      <c r="D314" s="1284"/>
      <c r="E314" s="1294"/>
      <c r="F314" s="2673">
        <v>2025</v>
      </c>
      <c r="G314" s="2652"/>
      <c r="H314" s="2677" t="s">
        <v>488</v>
      </c>
      <c r="I314" s="2678"/>
      <c r="J314" s="2679"/>
      <c r="K314" s="2679"/>
      <c r="L314" s="2671"/>
      <c r="M314" s="2405"/>
      <c r="N314" s="2157"/>
      <c r="O314" s="2156"/>
      <c r="P314" s="2157"/>
      <c r="Q314" s="2157"/>
      <c r="R314" s="2157"/>
      <c r="S314" s="2157"/>
      <c r="T314" s="2157"/>
      <c r="U314" s="2157"/>
      <c r="V314" s="2157"/>
      <c r="W314" s="2157"/>
      <c r="X314" s="2157"/>
      <c r="Y314" s="2157"/>
      <c r="Z314" s="2157"/>
      <c r="AA314" s="2157"/>
      <c r="AB314" s="2157"/>
      <c r="AC314" s="2157"/>
      <c r="AD314" s="2157"/>
      <c r="AE314" s="2157"/>
      <c r="AF314" s="2675"/>
      <c r="AG314" s="2671"/>
      <c r="AH314" s="2671"/>
      <c r="AI314" s="2675"/>
      <c r="AJ314" s="2671"/>
      <c r="AK314" s="2671"/>
      <c r="AL314" s="2109"/>
      <c r="AM314" s="1946"/>
      <c r="AN314" s="1946"/>
      <c r="AO314" s="1946"/>
      <c r="AP314" s="1946"/>
      <c r="AQ314" s="1946"/>
      <c r="AR314" s="1946"/>
      <c r="AS314" s="1946"/>
      <c r="AT314" s="1946"/>
      <c r="AU314" s="1946"/>
      <c r="AV314" s="1946"/>
      <c r="AW314" s="1946"/>
      <c r="AX314" s="1946"/>
      <c r="AY314" s="1946"/>
      <c r="AZ314" s="1946"/>
      <c r="BA314" s="1946"/>
      <c r="BB314" s="1946"/>
      <c r="BC314" s="1946"/>
      <c r="BD314" s="1946"/>
      <c r="BE314" s="1946"/>
      <c r="BF314" s="1946"/>
      <c r="BG314" s="7213"/>
    </row>
    <row customHeight="1" ht="0.75">
      <c r="A315" s="1290" t="s">
        <v>1212</v>
      </c>
      <c r="B315" s="1290"/>
      <c r="C315" s="1290"/>
      <c r="D315" s="1284"/>
      <c r="E315" s="1294"/>
      <c r="F315" s="2673"/>
      <c r="G315" s="2652"/>
      <c r="H315" s="2677"/>
      <c r="I315" s="2678"/>
      <c r="J315" s="2679"/>
      <c r="K315" s="2679"/>
      <c r="L315" s="2671"/>
      <c r="M315" s="2405"/>
      <c r="N315" s="2680"/>
      <c r="O315" s="2681"/>
      <c r="P315" s="2725"/>
      <c r="Q315" s="2676"/>
      <c r="R315" s="2676"/>
      <c r="S315" s="2676"/>
      <c r="T315" s="2676"/>
      <c r="U315" s="2676"/>
      <c r="V315" s="2676"/>
      <c r="W315" s="2676"/>
      <c r="X315" s="2676"/>
      <c r="Y315" s="2676"/>
      <c r="Z315" s="2158"/>
      <c r="AA315" s="2159"/>
      <c r="AB315" s="2159"/>
      <c r="AC315" s="2160"/>
      <c r="AD315" s="2160"/>
      <c r="AE315" s="2161"/>
      <c r="AF315" s="2675"/>
      <c r="AG315" s="2671"/>
      <c r="AH315" s="2671"/>
      <c r="AI315" s="2675"/>
      <c r="AJ315" s="2671"/>
      <c r="AK315" s="2671"/>
      <c r="AL315" s="2109"/>
      <c r="AM315" s="1946"/>
      <c r="AN315" s="1946"/>
      <c r="AO315" s="1946"/>
      <c r="AP315" s="1946"/>
      <c r="AQ315" s="1946"/>
      <c r="AR315" s="1946"/>
      <c r="AS315" s="1946"/>
      <c r="AT315" s="1946"/>
      <c r="AU315" s="1946"/>
      <c r="AV315" s="1946"/>
      <c r="AW315" s="1946"/>
      <c r="AX315" s="1946"/>
      <c r="AY315" s="1946"/>
      <c r="AZ315" s="1946"/>
      <c r="BA315" s="1946"/>
      <c r="BB315" s="1946"/>
      <c r="BC315" s="1946"/>
      <c r="BD315" s="1946"/>
      <c r="BE315" s="1946"/>
      <c r="BF315" s="1946"/>
      <c r="BG315" s="7213"/>
    </row>
    <row customHeight="1" ht="0.75">
      <c r="A316" s="1290" t="s">
        <v>1212</v>
      </c>
      <c r="B316" s="1290"/>
      <c r="C316" s="1290"/>
      <c r="D316" s="1284"/>
      <c r="E316" s="1294"/>
      <c r="F316" s="2673"/>
      <c r="G316" s="2652"/>
      <c r="H316" s="2677"/>
      <c r="I316" s="2678"/>
      <c r="J316" s="2679"/>
      <c r="K316" s="2679"/>
      <c r="L316" s="2671"/>
      <c r="M316" s="2405"/>
      <c r="N316" s="2680"/>
      <c r="O316" s="2681"/>
      <c r="P316" s="2726"/>
      <c r="Q316" s="2676"/>
      <c r="R316" s="2676"/>
      <c r="S316" s="2676"/>
      <c r="T316" s="2676"/>
      <c r="U316" s="2676"/>
      <c r="V316" s="2676"/>
      <c r="W316" s="2676"/>
      <c r="X316" s="2676"/>
      <c r="Y316" s="2676"/>
      <c r="Z316" s="2162"/>
      <c r="AA316" s="2163"/>
      <c r="AB316" s="2164"/>
      <c r="AC316" s="2165"/>
      <c r="AD316" s="2164"/>
      <c r="AE316" s="2165"/>
      <c r="AF316" s="2675"/>
      <c r="AG316" s="2671"/>
      <c r="AH316" s="2671"/>
      <c r="AI316" s="2675"/>
      <c r="AJ316" s="2671"/>
      <c r="AK316" s="2671"/>
      <c r="AL316" s="2109"/>
      <c r="AM316" s="1946"/>
      <c r="AN316" s="1946"/>
      <c r="AO316" s="1946"/>
      <c r="AP316" s="1946"/>
      <c r="AQ316" s="1946"/>
      <c r="AR316" s="1946"/>
      <c r="AS316" s="1946"/>
      <c r="AT316" s="1946"/>
      <c r="AU316" s="1946"/>
      <c r="AV316" s="1946"/>
      <c r="AW316" s="1946"/>
      <c r="AX316" s="1946"/>
      <c r="AY316" s="1946"/>
      <c r="AZ316" s="1946"/>
      <c r="BA316" s="1946"/>
      <c r="BB316" s="1946"/>
      <c r="BC316" s="1946"/>
      <c r="BD316" s="1946"/>
      <c r="BE316" s="1946"/>
      <c r="BF316" s="1946"/>
      <c r="BG316" s="7213"/>
    </row>
    <row customHeight="1" ht="0.75">
      <c r="A317" s="1290" t="s">
        <v>1212</v>
      </c>
      <c r="B317" s="1290"/>
      <c r="C317" s="1290"/>
      <c r="D317" s="1284"/>
      <c r="E317" s="1294"/>
      <c r="F317" s="2673"/>
      <c r="G317" s="2652"/>
      <c r="H317" s="2677"/>
      <c r="I317" s="2678"/>
      <c r="J317" s="2679"/>
      <c r="K317" s="2679"/>
      <c r="L317" s="2671"/>
      <c r="M317" s="2405"/>
      <c r="N317" s="2680"/>
      <c r="O317" s="2681"/>
      <c r="P317" s="2727"/>
      <c r="Q317" s="2676"/>
      <c r="R317" s="2676"/>
      <c r="S317" s="2676"/>
      <c r="T317" s="2676"/>
      <c r="U317" s="2676"/>
      <c r="V317" s="2676"/>
      <c r="W317" s="2676"/>
      <c r="X317" s="2676"/>
      <c r="Y317" s="2676"/>
      <c r="Z317" s="2158"/>
      <c r="AA317" s="2159"/>
      <c r="AB317" s="2166"/>
      <c r="AC317" s="2160"/>
      <c r="AD317" s="2160"/>
      <c r="AE317" s="2167"/>
      <c r="AF317" s="2675"/>
      <c r="AG317" s="2671"/>
      <c r="AH317" s="2671"/>
      <c r="AI317" s="2675"/>
      <c r="AJ317" s="2671"/>
      <c r="AK317" s="2671"/>
      <c r="AL317" s="2109"/>
      <c r="AM317" s="1946"/>
      <c r="AN317" s="1946"/>
      <c r="AO317" s="1946"/>
      <c r="AP317" s="1946"/>
      <c r="AQ317" s="1946"/>
      <c r="AR317" s="1946"/>
      <c r="AS317" s="1946"/>
      <c r="AT317" s="1946"/>
      <c r="AU317" s="1946"/>
      <c r="AV317" s="1946"/>
      <c r="AW317" s="1946"/>
      <c r="AX317" s="1946"/>
      <c r="AY317" s="1946"/>
      <c r="AZ317" s="1946"/>
      <c r="BA317" s="1946"/>
      <c r="BB317" s="1946"/>
      <c r="BC317" s="1946"/>
      <c r="BD317" s="1946"/>
      <c r="BE317" s="1946"/>
      <c r="BF317" s="1946"/>
      <c r="BG317" s="7213"/>
    </row>
    <row customHeight="1" ht="0.75">
      <c r="A318" s="1290" t="s">
        <v>1212</v>
      </c>
      <c r="B318" s="1290"/>
      <c r="C318" s="1290"/>
      <c r="D318" s="1284"/>
      <c r="E318" s="1294"/>
      <c r="F318" s="2673"/>
      <c r="G318" s="2652"/>
      <c r="H318" s="2677"/>
      <c r="I318" s="2678"/>
      <c r="J318" s="2679"/>
      <c r="K318" s="2679"/>
      <c r="L318" s="2671"/>
      <c r="M318" s="2405"/>
      <c r="N318" s="2159"/>
      <c r="O318" s="2159"/>
      <c r="P318" s="2166"/>
      <c r="Q318" s="2159"/>
      <c r="R318" s="2159"/>
      <c r="S318" s="2159"/>
      <c r="T318" s="2159"/>
      <c r="U318" s="2159"/>
      <c r="V318" s="2159"/>
      <c r="W318" s="2159"/>
      <c r="X318" s="2159"/>
      <c r="Y318" s="2159"/>
      <c r="Z318" s="2159"/>
      <c r="AA318" s="2159"/>
      <c r="AB318" s="2159"/>
      <c r="AC318" s="2159"/>
      <c r="AD318" s="2159"/>
      <c r="AE318" s="2168"/>
      <c r="AF318" s="2675"/>
      <c r="AG318" s="2671"/>
      <c r="AH318" s="2671"/>
      <c r="AI318" s="2675"/>
      <c r="AJ318" s="2671"/>
      <c r="AK318" s="2671"/>
      <c r="AL318" s="2109"/>
      <c r="AM318" s="1946"/>
      <c r="AN318" s="1946"/>
      <c r="AO318" s="1946"/>
      <c r="AP318" s="1946"/>
      <c r="AQ318" s="1946"/>
      <c r="AR318" s="1946"/>
      <c r="AS318" s="1946"/>
      <c r="AT318" s="1946"/>
      <c r="AU318" s="1946"/>
      <c r="AV318" s="1946"/>
      <c r="AW318" s="1946"/>
      <c r="AX318" s="1946"/>
      <c r="AY318" s="1946"/>
      <c r="AZ318" s="1946"/>
      <c r="BA318" s="1946"/>
      <c r="BB318" s="1946"/>
      <c r="BC318" s="1946"/>
      <c r="BD318" s="1946"/>
      <c r="BE318" s="1946"/>
      <c r="BF318" s="1946"/>
      <c r="BG318" s="7213"/>
    </row>
    <row customHeight="1" ht="12">
      <c r="A319" s="1290" t="s">
        <v>1212</v>
      </c>
      <c r="B319" s="1290"/>
      <c r="C319" s="1290"/>
      <c r="D319" s="1284"/>
      <c r="E319" s="1294"/>
      <c r="F319" s="2674"/>
      <c r="G319" s="1314"/>
      <c r="H319" s="1314"/>
      <c r="I319" s="2672" t="s">
        <v>1294</v>
      </c>
      <c r="J319" s="2672"/>
      <c r="K319" s="2672"/>
      <c r="L319" s="1297"/>
      <c r="M319" s="1297"/>
      <c r="N319" s="1298"/>
      <c r="O319" s="1298"/>
      <c r="P319" s="1298"/>
      <c r="Q319" s="1298"/>
      <c r="R319" s="1298"/>
      <c r="S319" s="1298"/>
      <c r="T319" s="1298"/>
      <c r="U319" s="1298"/>
      <c r="V319" s="1298"/>
      <c r="W319" s="1298"/>
      <c r="X319" s="1298"/>
      <c r="Y319" s="1298"/>
      <c r="Z319" s="1298"/>
      <c r="AA319" s="1298"/>
      <c r="AB319" s="1298"/>
      <c r="AC319" s="1298"/>
      <c r="AD319" s="1298"/>
      <c r="AE319" s="1298"/>
      <c r="AF319" s="1298"/>
      <c r="AG319" s="1297"/>
      <c r="AH319" s="1297"/>
      <c r="AI319" s="1298"/>
      <c r="AJ319" s="1297"/>
      <c r="AK319" s="1298"/>
      <c r="AL319" s="2109"/>
      <c r="AM319" s="1946"/>
      <c r="AN319" s="1946"/>
      <c r="AO319" s="1946"/>
      <c r="AP319" s="1946"/>
      <c r="AQ319" s="1946"/>
      <c r="AR319" s="1946"/>
      <c r="AS319" s="1946"/>
      <c r="AT319" s="1946"/>
      <c r="AU319" s="1946"/>
      <c r="AV319" s="1946"/>
      <c r="AW319" s="1946"/>
      <c r="AX319" s="1946"/>
      <c r="AY319" s="1946"/>
      <c r="AZ319" s="1946"/>
      <c r="BA319" s="1946"/>
      <c r="BB319" s="1946"/>
      <c r="BC319" s="1946"/>
      <c r="BD319" s="1946"/>
      <c r="BE319" s="1946"/>
      <c r="BF319" s="1946"/>
      <c r="BG319" s="7213"/>
    </row>
    <row customHeight="1" ht="0.75">
      <c r="A320" s="1290" t="s">
        <v>1212</v>
      </c>
      <c r="B320" s="1290"/>
      <c r="C320" s="1290"/>
      <c r="D320" s="1284"/>
      <c r="E320" s="1294"/>
      <c r="F320" s="2673">
        <v>2026</v>
      </c>
      <c r="G320" s="2652"/>
      <c r="H320" s="2677" t="s">
        <v>488</v>
      </c>
      <c r="I320" s="2678"/>
      <c r="J320" s="2679"/>
      <c r="K320" s="2679"/>
      <c r="L320" s="2671"/>
      <c r="M320" s="2405"/>
      <c r="N320" s="2157"/>
      <c r="O320" s="2156"/>
      <c r="P320" s="2157"/>
      <c r="Q320" s="2157"/>
      <c r="R320" s="2157"/>
      <c r="S320" s="2157"/>
      <c r="T320" s="2157"/>
      <c r="U320" s="2157"/>
      <c r="V320" s="2157"/>
      <c r="W320" s="2157"/>
      <c r="X320" s="2157"/>
      <c r="Y320" s="2157"/>
      <c r="Z320" s="2157"/>
      <c r="AA320" s="2157"/>
      <c r="AB320" s="2157"/>
      <c r="AC320" s="2157"/>
      <c r="AD320" s="2157"/>
      <c r="AE320" s="2157"/>
      <c r="AF320" s="2675"/>
      <c r="AG320" s="2671"/>
      <c r="AH320" s="2671"/>
      <c r="AI320" s="2675"/>
      <c r="AJ320" s="2671"/>
      <c r="AK320" s="2671"/>
      <c r="AL320" s="2109"/>
      <c r="AM320" s="1946"/>
      <c r="AN320" s="1946"/>
      <c r="AO320" s="1946"/>
      <c r="AP320" s="1946"/>
      <c r="AQ320" s="1946"/>
      <c r="AR320" s="1946"/>
      <c r="AS320" s="1946"/>
      <c r="AT320" s="1946"/>
      <c r="AU320" s="1946"/>
      <c r="AV320" s="1946"/>
      <c r="AW320" s="1946"/>
      <c r="AX320" s="1946"/>
      <c r="AY320" s="1946"/>
      <c r="AZ320" s="1946"/>
      <c r="BA320" s="1946"/>
      <c r="BB320" s="1946"/>
      <c r="BC320" s="1946"/>
      <c r="BD320" s="1946"/>
      <c r="BE320" s="1946"/>
      <c r="BF320" s="1946"/>
      <c r="BG320" s="7213"/>
    </row>
    <row customHeight="1" ht="0.75">
      <c r="A321" s="1290" t="s">
        <v>1212</v>
      </c>
      <c r="B321" s="1290"/>
      <c r="C321" s="1290"/>
      <c r="D321" s="1284"/>
      <c r="E321" s="1294"/>
      <c r="F321" s="2673"/>
      <c r="G321" s="2652"/>
      <c r="H321" s="2677"/>
      <c r="I321" s="2678"/>
      <c r="J321" s="2679"/>
      <c r="K321" s="2679"/>
      <c r="L321" s="2671"/>
      <c r="M321" s="2405"/>
      <c r="N321" s="2680"/>
      <c r="O321" s="2681"/>
      <c r="P321" s="2725"/>
      <c r="Q321" s="2676"/>
      <c r="R321" s="2676"/>
      <c r="S321" s="2676"/>
      <c r="T321" s="2676"/>
      <c r="U321" s="2676"/>
      <c r="V321" s="2676"/>
      <c r="W321" s="2676"/>
      <c r="X321" s="2676"/>
      <c r="Y321" s="2676"/>
      <c r="Z321" s="2158"/>
      <c r="AA321" s="2159"/>
      <c r="AB321" s="2159"/>
      <c r="AC321" s="2160"/>
      <c r="AD321" s="2160"/>
      <c r="AE321" s="2161"/>
      <c r="AF321" s="2675"/>
      <c r="AG321" s="2671"/>
      <c r="AH321" s="2671"/>
      <c r="AI321" s="2675"/>
      <c r="AJ321" s="2671"/>
      <c r="AK321" s="2671"/>
      <c r="AL321" s="2109"/>
      <c r="AM321" s="1946"/>
      <c r="AN321" s="1946"/>
      <c r="AO321" s="1946"/>
      <c r="AP321" s="1946"/>
      <c r="AQ321" s="1946"/>
      <c r="AR321" s="1946"/>
      <c r="AS321" s="1946"/>
      <c r="AT321" s="1946"/>
      <c r="AU321" s="1946"/>
      <c r="AV321" s="1946"/>
      <c r="AW321" s="1946"/>
      <c r="AX321" s="1946"/>
      <c r="AY321" s="1946"/>
      <c r="AZ321" s="1946"/>
      <c r="BA321" s="1946"/>
      <c r="BB321" s="1946"/>
      <c r="BC321" s="1946"/>
      <c r="BD321" s="1946"/>
      <c r="BE321" s="1946"/>
      <c r="BF321" s="1946"/>
      <c r="BG321" s="7213"/>
    </row>
    <row customHeight="1" ht="0.75">
      <c r="A322" s="1290" t="s">
        <v>1212</v>
      </c>
      <c r="B322" s="1290"/>
      <c r="C322" s="1290"/>
      <c r="D322" s="1284"/>
      <c r="E322" s="1294"/>
      <c r="F322" s="2673"/>
      <c r="G322" s="2652"/>
      <c r="H322" s="2677"/>
      <c r="I322" s="2678"/>
      <c r="J322" s="2679"/>
      <c r="K322" s="2679"/>
      <c r="L322" s="2671"/>
      <c r="M322" s="2405"/>
      <c r="N322" s="2680"/>
      <c r="O322" s="2681"/>
      <c r="P322" s="2726"/>
      <c r="Q322" s="2676"/>
      <c r="R322" s="2676"/>
      <c r="S322" s="2676"/>
      <c r="T322" s="2676"/>
      <c r="U322" s="2676"/>
      <c r="V322" s="2676"/>
      <c r="W322" s="2676"/>
      <c r="X322" s="2676"/>
      <c r="Y322" s="2676"/>
      <c r="Z322" s="2162"/>
      <c r="AA322" s="2163"/>
      <c r="AB322" s="2164"/>
      <c r="AC322" s="2165"/>
      <c r="AD322" s="2164"/>
      <c r="AE322" s="2165"/>
      <c r="AF322" s="2675"/>
      <c r="AG322" s="2671"/>
      <c r="AH322" s="2671"/>
      <c r="AI322" s="2675"/>
      <c r="AJ322" s="2671"/>
      <c r="AK322" s="2671"/>
      <c r="AL322" s="2109"/>
      <c r="AM322" s="1946"/>
      <c r="AN322" s="1946"/>
      <c r="AO322" s="1946"/>
      <c r="AP322" s="1946"/>
      <c r="AQ322" s="1946"/>
      <c r="AR322" s="1946"/>
      <c r="AS322" s="1946"/>
      <c r="AT322" s="1946"/>
      <c r="AU322" s="1946"/>
      <c r="AV322" s="1946"/>
      <c r="AW322" s="1946"/>
      <c r="AX322" s="1946"/>
      <c r="AY322" s="1946"/>
      <c r="AZ322" s="1946"/>
      <c r="BA322" s="1946"/>
      <c r="BB322" s="1946"/>
      <c r="BC322" s="1946"/>
      <c r="BD322" s="1946"/>
      <c r="BE322" s="1946"/>
      <c r="BF322" s="1946"/>
      <c r="BG322" s="7213"/>
    </row>
    <row customHeight="1" ht="0.75">
      <c r="A323" s="1290" t="s">
        <v>1212</v>
      </c>
      <c r="B323" s="1290"/>
      <c r="C323" s="1290"/>
      <c r="D323" s="1284"/>
      <c r="E323" s="1294"/>
      <c r="F323" s="2673"/>
      <c r="G323" s="2652"/>
      <c r="H323" s="2677"/>
      <c r="I323" s="2678"/>
      <c r="J323" s="2679"/>
      <c r="K323" s="2679"/>
      <c r="L323" s="2671"/>
      <c r="M323" s="2405"/>
      <c r="N323" s="2680"/>
      <c r="O323" s="2681"/>
      <c r="P323" s="2727"/>
      <c r="Q323" s="2676"/>
      <c r="R323" s="2676"/>
      <c r="S323" s="2676"/>
      <c r="T323" s="2676"/>
      <c r="U323" s="2676"/>
      <c r="V323" s="2676"/>
      <c r="W323" s="2676"/>
      <c r="X323" s="2676"/>
      <c r="Y323" s="2676"/>
      <c r="Z323" s="2158"/>
      <c r="AA323" s="2159"/>
      <c r="AB323" s="2166"/>
      <c r="AC323" s="2160"/>
      <c r="AD323" s="2160"/>
      <c r="AE323" s="2167"/>
      <c r="AF323" s="2675"/>
      <c r="AG323" s="2671"/>
      <c r="AH323" s="2671"/>
      <c r="AI323" s="2675"/>
      <c r="AJ323" s="2671"/>
      <c r="AK323" s="2671"/>
      <c r="AL323" s="2109"/>
      <c r="AM323" s="1946"/>
      <c r="AN323" s="1946"/>
      <c r="AO323" s="1946"/>
      <c r="AP323" s="1946"/>
      <c r="AQ323" s="1946"/>
      <c r="AR323" s="1946"/>
      <c r="AS323" s="1946"/>
      <c r="AT323" s="1946"/>
      <c r="AU323" s="1946"/>
      <c r="AV323" s="1946"/>
      <c r="AW323" s="1946"/>
      <c r="AX323" s="1946"/>
      <c r="AY323" s="1946"/>
      <c r="AZ323" s="1946"/>
      <c r="BA323" s="1946"/>
      <c r="BB323" s="1946"/>
      <c r="BC323" s="1946"/>
      <c r="BD323" s="1946"/>
      <c r="BE323" s="1946"/>
      <c r="BF323" s="1946"/>
      <c r="BG323" s="7213"/>
    </row>
    <row customHeight="1" ht="0.75">
      <c r="A324" s="1290" t="s">
        <v>1212</v>
      </c>
      <c r="B324" s="1290"/>
      <c r="C324" s="1290"/>
      <c r="D324" s="1284"/>
      <c r="E324" s="1294"/>
      <c r="F324" s="2673"/>
      <c r="G324" s="2652"/>
      <c r="H324" s="2677"/>
      <c r="I324" s="2678"/>
      <c r="J324" s="2679"/>
      <c r="K324" s="2679"/>
      <c r="L324" s="2671"/>
      <c r="M324" s="2405"/>
      <c r="N324" s="2159"/>
      <c r="O324" s="2159"/>
      <c r="P324" s="2166"/>
      <c r="Q324" s="2159"/>
      <c r="R324" s="2159"/>
      <c r="S324" s="2159"/>
      <c r="T324" s="2159"/>
      <c r="U324" s="2159"/>
      <c r="V324" s="2159"/>
      <c r="W324" s="2159"/>
      <c r="X324" s="2159"/>
      <c r="Y324" s="2159"/>
      <c r="Z324" s="2159"/>
      <c r="AA324" s="2159"/>
      <c r="AB324" s="2159"/>
      <c r="AC324" s="2159"/>
      <c r="AD324" s="2159"/>
      <c r="AE324" s="2168"/>
      <c r="AF324" s="2675"/>
      <c r="AG324" s="2671"/>
      <c r="AH324" s="2671"/>
      <c r="AI324" s="2675"/>
      <c r="AJ324" s="2671"/>
      <c r="AK324" s="2671"/>
      <c r="AL324" s="2109"/>
      <c r="AM324" s="1946"/>
      <c r="AN324" s="1946"/>
      <c r="AO324" s="1946"/>
      <c r="AP324" s="1946"/>
      <c r="AQ324" s="1946"/>
      <c r="AR324" s="1946"/>
      <c r="AS324" s="1946"/>
      <c r="AT324" s="1946"/>
      <c r="AU324" s="1946"/>
      <c r="AV324" s="1946"/>
      <c r="AW324" s="1946"/>
      <c r="AX324" s="1946"/>
      <c r="AY324" s="1946"/>
      <c r="AZ324" s="1946"/>
      <c r="BA324" s="1946"/>
      <c r="BB324" s="1946"/>
      <c r="BC324" s="1946"/>
      <c r="BD324" s="1946"/>
      <c r="BE324" s="1946"/>
      <c r="BF324" s="1946"/>
      <c r="BG324" s="7213"/>
    </row>
    <row customHeight="1" ht="12">
      <c r="A325" s="1290" t="s">
        <v>1212</v>
      </c>
      <c r="B325" s="1290"/>
      <c r="C325" s="1290"/>
      <c r="D325" s="1284"/>
      <c r="E325" s="1294"/>
      <c r="F325" s="2674"/>
      <c r="G325" s="1314"/>
      <c r="H325" s="1314"/>
      <c r="I325" s="2672" t="s">
        <v>1294</v>
      </c>
      <c r="J325" s="2672"/>
      <c r="K325" s="2672"/>
      <c r="L325" s="1297"/>
      <c r="M325" s="1297"/>
      <c r="N325" s="1298"/>
      <c r="O325" s="1298"/>
      <c r="P325" s="1298"/>
      <c r="Q325" s="1298"/>
      <c r="R325" s="1298"/>
      <c r="S325" s="1298"/>
      <c r="T325" s="1298"/>
      <c r="U325" s="1298"/>
      <c r="V325" s="1298"/>
      <c r="W325" s="1298"/>
      <c r="X325" s="1298"/>
      <c r="Y325" s="1298"/>
      <c r="Z325" s="1298"/>
      <c r="AA325" s="1298"/>
      <c r="AB325" s="1298"/>
      <c r="AC325" s="1298"/>
      <c r="AD325" s="1298"/>
      <c r="AE325" s="1298"/>
      <c r="AF325" s="1298"/>
      <c r="AG325" s="1297"/>
      <c r="AH325" s="1297"/>
      <c r="AI325" s="1298"/>
      <c r="AJ325" s="1297"/>
      <c r="AK325" s="1298"/>
      <c r="AL325" s="2109"/>
      <c r="AM325" s="1946"/>
      <c r="AN325" s="1946"/>
      <c r="AO325" s="1946"/>
      <c r="AP325" s="1946"/>
      <c r="AQ325" s="1946"/>
      <c r="AR325" s="1946"/>
      <c r="AS325" s="1946"/>
      <c r="AT325" s="1946"/>
      <c r="AU325" s="1946"/>
      <c r="AV325" s="1946"/>
      <c r="AW325" s="1946"/>
      <c r="AX325" s="1946"/>
      <c r="AY325" s="1946"/>
      <c r="AZ325" s="1946"/>
      <c r="BA325" s="1946"/>
      <c r="BB325" s="1946"/>
      <c r="BC325" s="1946"/>
      <c r="BD325" s="1946"/>
      <c r="BE325" s="1946"/>
      <c r="BF325" s="1946"/>
      <c r="BG325" s="7213"/>
    </row>
    <row customHeight="1" ht="0.75">
      <c r="A326" s="1290" t="s">
        <v>1212</v>
      </c>
      <c r="B326" s="1290"/>
      <c r="C326" s="1290"/>
      <c r="D326" s="1284"/>
      <c r="E326" s="1294"/>
      <c r="F326" s="2673">
        <v>2027</v>
      </c>
      <c r="G326" s="2652"/>
      <c r="H326" s="2677" t="s">
        <v>488</v>
      </c>
      <c r="I326" s="2678"/>
      <c r="J326" s="2679"/>
      <c r="K326" s="2679"/>
      <c r="L326" s="2671"/>
      <c r="M326" s="2405"/>
      <c r="N326" s="2157"/>
      <c r="O326" s="2156"/>
      <c r="P326" s="2157"/>
      <c r="Q326" s="2157"/>
      <c r="R326" s="2157"/>
      <c r="S326" s="2157"/>
      <c r="T326" s="2157"/>
      <c r="U326" s="2157"/>
      <c r="V326" s="2157"/>
      <c r="W326" s="2157"/>
      <c r="X326" s="2157"/>
      <c r="Y326" s="2157"/>
      <c r="Z326" s="2157"/>
      <c r="AA326" s="2157"/>
      <c r="AB326" s="2157"/>
      <c r="AC326" s="2157"/>
      <c r="AD326" s="2157"/>
      <c r="AE326" s="2157"/>
      <c r="AF326" s="2675"/>
      <c r="AG326" s="2671"/>
      <c r="AH326" s="2671"/>
      <c r="AI326" s="2675"/>
      <c r="AJ326" s="2671"/>
      <c r="AK326" s="2671"/>
      <c r="AL326" s="2109"/>
      <c r="AM326" s="1946"/>
      <c r="AN326" s="1946"/>
      <c r="AO326" s="1946"/>
      <c r="AP326" s="1946"/>
      <c r="AQ326" s="1946"/>
      <c r="AR326" s="1946"/>
      <c r="AS326" s="1946"/>
      <c r="AT326" s="1946"/>
      <c r="AU326" s="1946"/>
      <c r="AV326" s="1946"/>
      <c r="AW326" s="1946"/>
      <c r="AX326" s="1946"/>
      <c r="AY326" s="1946"/>
      <c r="AZ326" s="1946"/>
      <c r="BA326" s="1946"/>
      <c r="BB326" s="1946"/>
      <c r="BC326" s="1946"/>
      <c r="BD326" s="1946"/>
      <c r="BE326" s="1946"/>
      <c r="BF326" s="1946"/>
      <c r="BG326" s="7213"/>
    </row>
    <row customHeight="1" ht="0.75">
      <c r="A327" s="1290" t="s">
        <v>1212</v>
      </c>
      <c r="B327" s="1290"/>
      <c r="C327" s="1290"/>
      <c r="D327" s="1284"/>
      <c r="E327" s="1294"/>
      <c r="F327" s="2673"/>
      <c r="G327" s="2652"/>
      <c r="H327" s="2677"/>
      <c r="I327" s="2678"/>
      <c r="J327" s="2679"/>
      <c r="K327" s="2679"/>
      <c r="L327" s="2671"/>
      <c r="M327" s="2405"/>
      <c r="N327" s="2680"/>
      <c r="O327" s="2681"/>
      <c r="P327" s="2725"/>
      <c r="Q327" s="2676"/>
      <c r="R327" s="2676"/>
      <c r="S327" s="2676"/>
      <c r="T327" s="2676"/>
      <c r="U327" s="2676"/>
      <c r="V327" s="2676"/>
      <c r="W327" s="2676"/>
      <c r="X327" s="2676"/>
      <c r="Y327" s="2676"/>
      <c r="Z327" s="2158"/>
      <c r="AA327" s="2159"/>
      <c r="AB327" s="2159"/>
      <c r="AC327" s="2160"/>
      <c r="AD327" s="2160"/>
      <c r="AE327" s="2161"/>
      <c r="AF327" s="2675"/>
      <c r="AG327" s="2671"/>
      <c r="AH327" s="2671"/>
      <c r="AI327" s="2675"/>
      <c r="AJ327" s="2671"/>
      <c r="AK327" s="2671"/>
      <c r="AL327" s="2109"/>
      <c r="AM327" s="1946"/>
      <c r="AN327" s="1946"/>
      <c r="AO327" s="1946"/>
      <c r="AP327" s="1946"/>
      <c r="AQ327" s="1946"/>
      <c r="AR327" s="1946"/>
      <c r="AS327" s="1946"/>
      <c r="AT327" s="1946"/>
      <c r="AU327" s="1946"/>
      <c r="AV327" s="1946"/>
      <c r="AW327" s="1946"/>
      <c r="AX327" s="1946"/>
      <c r="AY327" s="1946"/>
      <c r="AZ327" s="1946"/>
      <c r="BA327" s="1946"/>
      <c r="BB327" s="1946"/>
      <c r="BC327" s="1946"/>
      <c r="BD327" s="1946"/>
      <c r="BE327" s="1946"/>
      <c r="BF327" s="1946"/>
      <c r="BG327" s="7213"/>
    </row>
    <row customHeight="1" ht="0.75">
      <c r="A328" s="1290" t="s">
        <v>1212</v>
      </c>
      <c r="B328" s="1290"/>
      <c r="C328" s="1290"/>
      <c r="D328" s="1284"/>
      <c r="E328" s="1294"/>
      <c r="F328" s="2673"/>
      <c r="G328" s="2652"/>
      <c r="H328" s="2677"/>
      <c r="I328" s="2678"/>
      <c r="J328" s="2679"/>
      <c r="K328" s="2679"/>
      <c r="L328" s="2671"/>
      <c r="M328" s="2405"/>
      <c r="N328" s="2680"/>
      <c r="O328" s="2681"/>
      <c r="P328" s="2726"/>
      <c r="Q328" s="2676"/>
      <c r="R328" s="2676"/>
      <c r="S328" s="2676"/>
      <c r="T328" s="2676"/>
      <c r="U328" s="2676"/>
      <c r="V328" s="2676"/>
      <c r="W328" s="2676"/>
      <c r="X328" s="2676"/>
      <c r="Y328" s="2676"/>
      <c r="Z328" s="2162"/>
      <c r="AA328" s="2163"/>
      <c r="AB328" s="2164"/>
      <c r="AC328" s="2165"/>
      <c r="AD328" s="2164"/>
      <c r="AE328" s="2165"/>
      <c r="AF328" s="2675"/>
      <c r="AG328" s="2671"/>
      <c r="AH328" s="2671"/>
      <c r="AI328" s="2675"/>
      <c r="AJ328" s="2671"/>
      <c r="AK328" s="2671"/>
      <c r="AL328" s="2109"/>
      <c r="AM328" s="1946"/>
      <c r="AN328" s="1946"/>
      <c r="AO328" s="1946"/>
      <c r="AP328" s="1946"/>
      <c r="AQ328" s="1946"/>
      <c r="AR328" s="1946"/>
      <c r="AS328" s="1946"/>
      <c r="AT328" s="1946"/>
      <c r="AU328" s="1946"/>
      <c r="AV328" s="1946"/>
      <c r="AW328" s="1946"/>
      <c r="AX328" s="1946"/>
      <c r="AY328" s="1946"/>
      <c r="AZ328" s="1946"/>
      <c r="BA328" s="1946"/>
      <c r="BB328" s="1946"/>
      <c r="BC328" s="1946"/>
      <c r="BD328" s="1946"/>
      <c r="BE328" s="1946"/>
      <c r="BF328" s="1946"/>
      <c r="BG328" s="7213"/>
    </row>
    <row customHeight="1" ht="0.75">
      <c r="A329" s="1290" t="s">
        <v>1212</v>
      </c>
      <c r="B329" s="1290"/>
      <c r="C329" s="1290"/>
      <c r="D329" s="1284"/>
      <c r="E329" s="1294"/>
      <c r="F329" s="2673"/>
      <c r="G329" s="2652"/>
      <c r="H329" s="2677"/>
      <c r="I329" s="2678"/>
      <c r="J329" s="2679"/>
      <c r="K329" s="2679"/>
      <c r="L329" s="2671"/>
      <c r="M329" s="2405"/>
      <c r="N329" s="2680"/>
      <c r="O329" s="2681"/>
      <c r="P329" s="2727"/>
      <c r="Q329" s="2676"/>
      <c r="R329" s="2676"/>
      <c r="S329" s="2676"/>
      <c r="T329" s="2676"/>
      <c r="U329" s="2676"/>
      <c r="V329" s="2676"/>
      <c r="W329" s="2676"/>
      <c r="X329" s="2676"/>
      <c r="Y329" s="2676"/>
      <c r="Z329" s="2158"/>
      <c r="AA329" s="2159"/>
      <c r="AB329" s="2166"/>
      <c r="AC329" s="2160"/>
      <c r="AD329" s="2160"/>
      <c r="AE329" s="2167"/>
      <c r="AF329" s="2675"/>
      <c r="AG329" s="2671"/>
      <c r="AH329" s="2671"/>
      <c r="AI329" s="2675"/>
      <c r="AJ329" s="2671"/>
      <c r="AK329" s="2671"/>
      <c r="AL329" s="2109"/>
      <c r="AM329" s="1946"/>
      <c r="AN329" s="1946"/>
      <c r="AO329" s="1946"/>
      <c r="AP329" s="1946"/>
      <c r="AQ329" s="1946"/>
      <c r="AR329" s="1946"/>
      <c r="AS329" s="1946"/>
      <c r="AT329" s="1946"/>
      <c r="AU329" s="1946"/>
      <c r="AV329" s="1946"/>
      <c r="AW329" s="1946"/>
      <c r="AX329" s="1946"/>
      <c r="AY329" s="1946"/>
      <c r="AZ329" s="1946"/>
      <c r="BA329" s="1946"/>
      <c r="BB329" s="1946"/>
      <c r="BC329" s="1946"/>
      <c r="BD329" s="1946"/>
      <c r="BE329" s="1946"/>
      <c r="BF329" s="1946"/>
      <c r="BG329" s="7213"/>
    </row>
    <row customHeight="1" ht="0.75">
      <c r="A330" s="1290" t="s">
        <v>1212</v>
      </c>
      <c r="B330" s="1290"/>
      <c r="C330" s="1290"/>
      <c r="D330" s="1284"/>
      <c r="E330" s="1294"/>
      <c r="F330" s="2673"/>
      <c r="G330" s="2652"/>
      <c r="H330" s="2677"/>
      <c r="I330" s="2678"/>
      <c r="J330" s="2679"/>
      <c r="K330" s="2679"/>
      <c r="L330" s="2671"/>
      <c r="M330" s="2405"/>
      <c r="N330" s="2159"/>
      <c r="O330" s="2159"/>
      <c r="P330" s="2166"/>
      <c r="Q330" s="2159"/>
      <c r="R330" s="2159"/>
      <c r="S330" s="2159"/>
      <c r="T330" s="2159"/>
      <c r="U330" s="2159"/>
      <c r="V330" s="2159"/>
      <c r="W330" s="2159"/>
      <c r="X330" s="2159"/>
      <c r="Y330" s="2159"/>
      <c r="Z330" s="2159"/>
      <c r="AA330" s="2159"/>
      <c r="AB330" s="2159"/>
      <c r="AC330" s="2159"/>
      <c r="AD330" s="2159"/>
      <c r="AE330" s="2168"/>
      <c r="AF330" s="2675"/>
      <c r="AG330" s="2671"/>
      <c r="AH330" s="2671"/>
      <c r="AI330" s="2675"/>
      <c r="AJ330" s="2671"/>
      <c r="AK330" s="2671"/>
      <c r="AL330" s="2109"/>
      <c r="AM330" s="1946"/>
      <c r="AN330" s="1946"/>
      <c r="AO330" s="1946"/>
      <c r="AP330" s="1946"/>
      <c r="AQ330" s="1946"/>
      <c r="AR330" s="1946"/>
      <c r="AS330" s="1946"/>
      <c r="AT330" s="1946"/>
      <c r="AU330" s="1946"/>
      <c r="AV330" s="1946"/>
      <c r="AW330" s="1946"/>
      <c r="AX330" s="1946"/>
      <c r="AY330" s="1946"/>
      <c r="AZ330" s="1946"/>
      <c r="BA330" s="1946"/>
      <c r="BB330" s="1946"/>
      <c r="BC330" s="1946"/>
      <c r="BD330" s="1946"/>
      <c r="BE330" s="1946"/>
      <c r="BF330" s="1946"/>
      <c r="BG330" s="7213"/>
    </row>
    <row customHeight="1" ht="12">
      <c r="A331" s="1290" t="s">
        <v>1212</v>
      </c>
      <c r="B331" s="1290"/>
      <c r="C331" s="1290"/>
      <c r="D331" s="1284"/>
      <c r="E331" s="1294"/>
      <c r="F331" s="2674"/>
      <c r="G331" s="1314"/>
      <c r="H331" s="1314"/>
      <c r="I331" s="2672" t="s">
        <v>1294</v>
      </c>
      <c r="J331" s="2672"/>
      <c r="K331" s="2672"/>
      <c r="L331" s="1297"/>
      <c r="M331" s="1297"/>
      <c r="N331" s="1298"/>
      <c r="O331" s="1298"/>
      <c r="P331" s="1298"/>
      <c r="Q331" s="1298"/>
      <c r="R331" s="1298"/>
      <c r="S331" s="1298"/>
      <c r="T331" s="1298"/>
      <c r="U331" s="1298"/>
      <c r="V331" s="1298"/>
      <c r="W331" s="1298"/>
      <c r="X331" s="1298"/>
      <c r="Y331" s="1298"/>
      <c r="Z331" s="1298"/>
      <c r="AA331" s="1298"/>
      <c r="AB331" s="1298"/>
      <c r="AC331" s="1298"/>
      <c r="AD331" s="1298"/>
      <c r="AE331" s="1298"/>
      <c r="AF331" s="1298"/>
      <c r="AG331" s="1297"/>
      <c r="AH331" s="1297"/>
      <c r="AI331" s="1298"/>
      <c r="AJ331" s="1297"/>
      <c r="AK331" s="1298"/>
      <c r="AL331" s="2109"/>
      <c r="AM331" s="1946"/>
      <c r="AN331" s="1946"/>
      <c r="AO331" s="1946"/>
      <c r="AP331" s="1946"/>
      <c r="AQ331" s="1946"/>
      <c r="AR331" s="1946"/>
      <c r="AS331" s="1946"/>
      <c r="AT331" s="1946"/>
      <c r="AU331" s="1946"/>
      <c r="AV331" s="1946"/>
      <c r="AW331" s="1946"/>
      <c r="AX331" s="1946"/>
      <c r="AY331" s="1946"/>
      <c r="AZ331" s="1946"/>
      <c r="BA331" s="1946"/>
      <c r="BB331" s="1946"/>
      <c r="BC331" s="1946"/>
      <c r="BD331" s="1946"/>
      <c r="BE331" s="1946"/>
      <c r="BF331" s="1946"/>
      <c r="BG331" s="7213"/>
    </row>
    <row customHeight="1" ht="0.75">
      <c r="A332" s="1290" t="s">
        <v>1212</v>
      </c>
      <c r="B332" s="1290"/>
      <c r="C332" s="1290"/>
      <c r="D332" s="1284"/>
      <c r="E332" s="1294"/>
      <c r="F332" s="2673">
        <v>2028</v>
      </c>
      <c r="G332" s="2652"/>
      <c r="H332" s="2677" t="s">
        <v>488</v>
      </c>
      <c r="I332" s="2678"/>
      <c r="J332" s="2679"/>
      <c r="K332" s="2679"/>
      <c r="L332" s="2671"/>
      <c r="M332" s="2405"/>
      <c r="N332" s="2157"/>
      <c r="O332" s="2156"/>
      <c r="P332" s="2157"/>
      <c r="Q332" s="2157"/>
      <c r="R332" s="2157"/>
      <c r="S332" s="2157"/>
      <c r="T332" s="2157"/>
      <c r="U332" s="2157"/>
      <c r="V332" s="2157"/>
      <c r="W332" s="2157"/>
      <c r="X332" s="2157"/>
      <c r="Y332" s="2157"/>
      <c r="Z332" s="2157"/>
      <c r="AA332" s="2157"/>
      <c r="AB332" s="2157"/>
      <c r="AC332" s="2157"/>
      <c r="AD332" s="2157"/>
      <c r="AE332" s="2157"/>
      <c r="AF332" s="2675"/>
      <c r="AG332" s="2671"/>
      <c r="AH332" s="2671"/>
      <c r="AI332" s="2675"/>
      <c r="AJ332" s="2671"/>
      <c r="AK332" s="2671"/>
      <c r="AL332" s="2109"/>
      <c r="AM332" s="1946"/>
      <c r="AN332" s="1946"/>
      <c r="AO332" s="1946"/>
      <c r="AP332" s="1946"/>
      <c r="AQ332" s="1946"/>
      <c r="AR332" s="1946"/>
      <c r="AS332" s="1946"/>
      <c r="AT332" s="1946"/>
      <c r="AU332" s="1946"/>
      <c r="AV332" s="1946"/>
      <c r="AW332" s="1946"/>
      <c r="AX332" s="1946"/>
      <c r="AY332" s="1946"/>
      <c r="AZ332" s="1946"/>
      <c r="BA332" s="1946"/>
      <c r="BB332" s="1946"/>
      <c r="BC332" s="1946"/>
      <c r="BD332" s="1946"/>
      <c r="BE332" s="1946"/>
      <c r="BF332" s="1946"/>
      <c r="BG332" s="7213"/>
    </row>
    <row customHeight="1" ht="0.75">
      <c r="A333" s="1290" t="s">
        <v>1212</v>
      </c>
      <c r="B333" s="1290"/>
      <c r="C333" s="1290"/>
      <c r="D333" s="1284"/>
      <c r="E333" s="1294"/>
      <c r="F333" s="2673"/>
      <c r="G333" s="2652"/>
      <c r="H333" s="2677"/>
      <c r="I333" s="2678"/>
      <c r="J333" s="2679"/>
      <c r="K333" s="2679"/>
      <c r="L333" s="2671"/>
      <c r="M333" s="2405"/>
      <c r="N333" s="2680"/>
      <c r="O333" s="2681"/>
      <c r="P333" s="2725"/>
      <c r="Q333" s="2676"/>
      <c r="R333" s="2676"/>
      <c r="S333" s="2676"/>
      <c r="T333" s="2676"/>
      <c r="U333" s="2676"/>
      <c r="V333" s="2676"/>
      <c r="W333" s="2676"/>
      <c r="X333" s="2676"/>
      <c r="Y333" s="2676"/>
      <c r="Z333" s="2158"/>
      <c r="AA333" s="2159"/>
      <c r="AB333" s="2159"/>
      <c r="AC333" s="2160"/>
      <c r="AD333" s="2160"/>
      <c r="AE333" s="2161"/>
      <c r="AF333" s="2675"/>
      <c r="AG333" s="2671"/>
      <c r="AH333" s="2671"/>
      <c r="AI333" s="2675"/>
      <c r="AJ333" s="2671"/>
      <c r="AK333" s="2671"/>
      <c r="AL333" s="2109"/>
      <c r="AM333" s="1946"/>
      <c r="AN333" s="1946"/>
      <c r="AO333" s="1946"/>
      <c r="AP333" s="1946"/>
      <c r="AQ333" s="1946"/>
      <c r="AR333" s="1946"/>
      <c r="AS333" s="1946"/>
      <c r="AT333" s="1946"/>
      <c r="AU333" s="1946"/>
      <c r="AV333" s="1946"/>
      <c r="AW333" s="1946"/>
      <c r="AX333" s="1946"/>
      <c r="AY333" s="1946"/>
      <c r="AZ333" s="1946"/>
      <c r="BA333" s="1946"/>
      <c r="BB333" s="1946"/>
      <c r="BC333" s="1946"/>
      <c r="BD333" s="1946"/>
      <c r="BE333" s="1946"/>
      <c r="BF333" s="1946"/>
      <c r="BG333" s="7213"/>
    </row>
    <row customHeight="1" ht="0.75">
      <c r="A334" s="1290" t="s">
        <v>1212</v>
      </c>
      <c r="B334" s="1290"/>
      <c r="C334" s="1290"/>
      <c r="D334" s="1284"/>
      <c r="E334" s="1294"/>
      <c r="F334" s="2673"/>
      <c r="G334" s="2652"/>
      <c r="H334" s="2677"/>
      <c r="I334" s="2678"/>
      <c r="J334" s="2679"/>
      <c r="K334" s="2679"/>
      <c r="L334" s="2671"/>
      <c r="M334" s="2405"/>
      <c r="N334" s="2680"/>
      <c r="O334" s="2681"/>
      <c r="P334" s="2726"/>
      <c r="Q334" s="2676"/>
      <c r="R334" s="2676"/>
      <c r="S334" s="2676"/>
      <c r="T334" s="2676"/>
      <c r="U334" s="2676"/>
      <c r="V334" s="2676"/>
      <c r="W334" s="2676"/>
      <c r="X334" s="2676"/>
      <c r="Y334" s="2676"/>
      <c r="Z334" s="2162"/>
      <c r="AA334" s="2163"/>
      <c r="AB334" s="2164"/>
      <c r="AC334" s="2165"/>
      <c r="AD334" s="2164"/>
      <c r="AE334" s="2165"/>
      <c r="AF334" s="2675"/>
      <c r="AG334" s="2671"/>
      <c r="AH334" s="2671"/>
      <c r="AI334" s="2675"/>
      <c r="AJ334" s="2671"/>
      <c r="AK334" s="2671"/>
      <c r="AL334" s="2109"/>
      <c r="AM334" s="1946"/>
      <c r="AN334" s="1946"/>
      <c r="AO334" s="1946"/>
      <c r="AP334" s="1946"/>
      <c r="AQ334" s="1946"/>
      <c r="AR334" s="1946"/>
      <c r="AS334" s="1946"/>
      <c r="AT334" s="1946"/>
      <c r="AU334" s="1946"/>
      <c r="AV334" s="1946"/>
      <c r="AW334" s="1946"/>
      <c r="AX334" s="1946"/>
      <c r="AY334" s="1946"/>
      <c r="AZ334" s="1946"/>
      <c r="BA334" s="1946"/>
      <c r="BB334" s="1946"/>
      <c r="BC334" s="1946"/>
      <c r="BD334" s="1946"/>
      <c r="BE334" s="1946"/>
      <c r="BF334" s="1946"/>
      <c r="BG334" s="7213"/>
    </row>
    <row customHeight="1" ht="0.75">
      <c r="A335" s="1290" t="s">
        <v>1212</v>
      </c>
      <c r="B335" s="1290"/>
      <c r="C335" s="1290"/>
      <c r="D335" s="1284"/>
      <c r="E335" s="1294"/>
      <c r="F335" s="2673"/>
      <c r="G335" s="2652"/>
      <c r="H335" s="2677"/>
      <c r="I335" s="2678"/>
      <c r="J335" s="2679"/>
      <c r="K335" s="2679"/>
      <c r="L335" s="2671"/>
      <c r="M335" s="2405"/>
      <c r="N335" s="2680"/>
      <c r="O335" s="2681"/>
      <c r="P335" s="2727"/>
      <c r="Q335" s="2676"/>
      <c r="R335" s="2676"/>
      <c r="S335" s="2676"/>
      <c r="T335" s="2676"/>
      <c r="U335" s="2676"/>
      <c r="V335" s="2676"/>
      <c r="W335" s="2676"/>
      <c r="X335" s="2676"/>
      <c r="Y335" s="2676"/>
      <c r="Z335" s="2158"/>
      <c r="AA335" s="2159"/>
      <c r="AB335" s="2166"/>
      <c r="AC335" s="2160"/>
      <c r="AD335" s="2160"/>
      <c r="AE335" s="2167"/>
      <c r="AF335" s="2675"/>
      <c r="AG335" s="2671"/>
      <c r="AH335" s="2671"/>
      <c r="AI335" s="2675"/>
      <c r="AJ335" s="2671"/>
      <c r="AK335" s="2671"/>
      <c r="AL335" s="2109"/>
      <c r="AM335" s="1946"/>
      <c r="AN335" s="1946"/>
      <c r="AO335" s="1946"/>
      <c r="AP335" s="1946"/>
      <c r="AQ335" s="1946"/>
      <c r="AR335" s="1946"/>
      <c r="AS335" s="1946"/>
      <c r="AT335" s="1946"/>
      <c r="AU335" s="1946"/>
      <c r="AV335" s="1946"/>
      <c r="AW335" s="1946"/>
      <c r="AX335" s="1946"/>
      <c r="AY335" s="1946"/>
      <c r="AZ335" s="1946"/>
      <c r="BA335" s="1946"/>
      <c r="BB335" s="1946"/>
      <c r="BC335" s="1946"/>
      <c r="BD335" s="1946"/>
      <c r="BE335" s="1946"/>
      <c r="BF335" s="1946"/>
      <c r="BG335" s="7213"/>
    </row>
    <row customHeight="1" ht="0.75">
      <c r="A336" s="1290" t="s">
        <v>1212</v>
      </c>
      <c r="B336" s="1290"/>
      <c r="C336" s="1290"/>
      <c r="D336" s="1284"/>
      <c r="E336" s="1294"/>
      <c r="F336" s="2673"/>
      <c r="G336" s="2652"/>
      <c r="H336" s="2677"/>
      <c r="I336" s="2678"/>
      <c r="J336" s="2679"/>
      <c r="K336" s="2679"/>
      <c r="L336" s="2671"/>
      <c r="M336" s="2405"/>
      <c r="N336" s="2159"/>
      <c r="O336" s="2159"/>
      <c r="P336" s="2166"/>
      <c r="Q336" s="2159"/>
      <c r="R336" s="2159"/>
      <c r="S336" s="2159"/>
      <c r="T336" s="2159"/>
      <c r="U336" s="2159"/>
      <c r="V336" s="2159"/>
      <c r="W336" s="2159"/>
      <c r="X336" s="2159"/>
      <c r="Y336" s="2159"/>
      <c r="Z336" s="2159"/>
      <c r="AA336" s="2159"/>
      <c r="AB336" s="2159"/>
      <c r="AC336" s="2159"/>
      <c r="AD336" s="2159"/>
      <c r="AE336" s="2168"/>
      <c r="AF336" s="2675"/>
      <c r="AG336" s="2671"/>
      <c r="AH336" s="2671"/>
      <c r="AI336" s="2675"/>
      <c r="AJ336" s="2671"/>
      <c r="AK336" s="2671"/>
      <c r="AL336" s="2109"/>
      <c r="AM336" s="1946"/>
      <c r="AN336" s="1946"/>
      <c r="AO336" s="1946"/>
      <c r="AP336" s="1946"/>
      <c r="AQ336" s="1946"/>
      <c r="AR336" s="1946"/>
      <c r="AS336" s="1946"/>
      <c r="AT336" s="1946"/>
      <c r="AU336" s="1946"/>
      <c r="AV336" s="1946"/>
      <c r="AW336" s="1946"/>
      <c r="AX336" s="1946"/>
      <c r="AY336" s="1946"/>
      <c r="AZ336" s="1946"/>
      <c r="BA336" s="1946"/>
      <c r="BB336" s="1946"/>
      <c r="BC336" s="1946"/>
      <c r="BD336" s="1946"/>
      <c r="BE336" s="1946"/>
      <c r="BF336" s="1946"/>
      <c r="BG336" s="7213"/>
    </row>
    <row customHeight="1" ht="12">
      <c r="A337" s="1290" t="s">
        <v>1212</v>
      </c>
      <c r="B337" s="1290"/>
      <c r="C337" s="1290"/>
      <c r="D337" s="1284"/>
      <c r="E337" s="1294"/>
      <c r="F337" s="2674"/>
      <c r="G337" s="1314"/>
      <c r="H337" s="1314"/>
      <c r="I337" s="2672" t="s">
        <v>1294</v>
      </c>
      <c r="J337" s="2672"/>
      <c r="K337" s="2672"/>
      <c r="L337" s="1297"/>
      <c r="M337" s="1297"/>
      <c r="N337" s="1298"/>
      <c r="O337" s="1298"/>
      <c r="P337" s="1298"/>
      <c r="Q337" s="1298"/>
      <c r="R337" s="1298"/>
      <c r="S337" s="1298"/>
      <c r="T337" s="1298"/>
      <c r="U337" s="1298"/>
      <c r="V337" s="1298"/>
      <c r="W337" s="1298"/>
      <c r="X337" s="1298"/>
      <c r="Y337" s="1298"/>
      <c r="Z337" s="1298"/>
      <c r="AA337" s="1298"/>
      <c r="AB337" s="1298"/>
      <c r="AC337" s="1298"/>
      <c r="AD337" s="1298"/>
      <c r="AE337" s="1298"/>
      <c r="AF337" s="1298"/>
      <c r="AG337" s="1297"/>
      <c r="AH337" s="1297"/>
      <c r="AI337" s="1298"/>
      <c r="AJ337" s="1297"/>
      <c r="AK337" s="1298"/>
      <c r="AL337" s="2109"/>
      <c r="AM337" s="1946"/>
      <c r="AN337" s="1946"/>
      <c r="AO337" s="1946"/>
      <c r="AP337" s="1946"/>
      <c r="AQ337" s="1946"/>
      <c r="AR337" s="1946"/>
      <c r="AS337" s="1946"/>
      <c r="AT337" s="1946"/>
      <c r="AU337" s="1946"/>
      <c r="AV337" s="1946"/>
      <c r="AW337" s="1946"/>
      <c r="AX337" s="1946"/>
      <c r="AY337" s="1946"/>
      <c r="AZ337" s="1946"/>
      <c r="BA337" s="1946"/>
      <c r="BB337" s="1946"/>
      <c r="BC337" s="1946"/>
      <c r="BD337" s="1946"/>
      <c r="BE337" s="1946"/>
      <c r="BF337" s="1946"/>
      <c r="BG337" s="7213"/>
    </row>
    <row customHeight="1" ht="21">
      <c r="A338" s="1291" t="s">
        <v>1218</v>
      </c>
      <c r="B338" s="1290"/>
      <c r="C338" s="1290"/>
      <c r="D338" s="1284"/>
      <c r="E338" s="1294" t="s">
        <v>22</v>
      </c>
      <c r="F338" s="1246" t="str">
        <f>INDEX(IP_MAIN_LIST_NAME_IP,MATCH(A338,IP_MAIN_LIST_IP_ID,0))&amp;" ("&amp;INDEX(IP_MAIN_START_DATE,MATCH(A338,IP_MAIN_LIST_IP_ID,0))&amp;"-"&amp;INDEX(IP_MAIN_END_DATE,MATCH(A338,IP_MAIN_LIST_IP_ID,0))&amp;")"</f>
        <v>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 (01.01.2024-31.12.2028)</v>
      </c>
      <c r="G338" s="1247"/>
      <c r="H338" s="1247"/>
      <c r="I338" s="1309"/>
      <c r="J338" s="1309"/>
      <c r="K338" s="1310"/>
      <c r="L338" s="1310"/>
      <c r="M338" s="1310"/>
      <c r="N338" s="1311"/>
      <c r="O338" s="1311"/>
      <c r="P338" s="1311"/>
      <c r="Q338" s="1311"/>
      <c r="R338" s="1311"/>
      <c r="S338" s="1311"/>
      <c r="T338" s="1311"/>
      <c r="U338" s="1311"/>
      <c r="V338" s="1311"/>
      <c r="W338" s="1311"/>
      <c r="X338" s="1311"/>
      <c r="Y338" s="1311"/>
      <c r="Z338" s="1311"/>
      <c r="AA338" s="1311"/>
      <c r="AB338" s="1311"/>
      <c r="AC338" s="1311"/>
      <c r="AD338" s="1311"/>
      <c r="AE338" s="1312"/>
      <c r="AF338" s="1310"/>
      <c r="AG338" s="1310"/>
      <c r="AH338" s="1310"/>
      <c r="AI338" s="1310"/>
      <c r="AJ338" s="1310"/>
      <c r="AK338" s="1310"/>
      <c r="AL338" s="2109"/>
      <c r="AM338" s="1946"/>
      <c r="AN338" s="1946"/>
      <c r="AO338" s="1946"/>
      <c r="AP338" s="1946"/>
      <c r="AQ338" s="1946"/>
      <c r="AR338" s="1946"/>
      <c r="AS338" s="1946"/>
      <c r="AT338" s="1946"/>
      <c r="AU338" s="1946"/>
      <c r="AV338" s="1946"/>
      <c r="AW338" s="1946"/>
      <c r="AX338" s="1946"/>
      <c r="AY338" s="1946"/>
      <c r="AZ338" s="1946"/>
      <c r="BA338" s="1946"/>
      <c r="BB338" s="1946"/>
      <c r="BC338" s="1946"/>
      <c r="BD338" s="1946"/>
      <c r="BE338" s="1946"/>
      <c r="BF338" s="1946"/>
      <c r="BG338" s="7213"/>
    </row>
    <row customHeight="1" ht="0.75">
      <c r="A339" s="1290" t="s">
        <v>1218</v>
      </c>
      <c r="B339" s="1290"/>
      <c r="C339" s="1290"/>
      <c r="D339" s="1284"/>
      <c r="E339" s="1294"/>
      <c r="F339" s="2673">
        <v>2024</v>
      </c>
      <c r="G339" s="2652"/>
      <c r="H339" s="2677" t="s">
        <v>488</v>
      </c>
      <c r="I339" s="2678"/>
      <c r="J339" s="2679"/>
      <c r="K339" s="2679"/>
      <c r="L339" s="2671"/>
      <c r="M339" s="2405"/>
      <c r="N339" s="2157"/>
      <c r="O339" s="2156"/>
      <c r="P339" s="2157"/>
      <c r="Q339" s="2157"/>
      <c r="R339" s="2157"/>
      <c r="S339" s="2157"/>
      <c r="T339" s="2157"/>
      <c r="U339" s="2157"/>
      <c r="V339" s="2157"/>
      <c r="W339" s="2157"/>
      <c r="X339" s="2157"/>
      <c r="Y339" s="2157"/>
      <c r="Z339" s="2157"/>
      <c r="AA339" s="2157"/>
      <c r="AB339" s="2157"/>
      <c r="AC339" s="2157"/>
      <c r="AD339" s="2157"/>
      <c r="AE339" s="2157"/>
      <c r="AF339" s="2675"/>
      <c r="AG339" s="2671"/>
      <c r="AH339" s="2671"/>
      <c r="AI339" s="2675"/>
      <c r="AJ339" s="2671"/>
      <c r="AK339" s="2671"/>
      <c r="AL339" s="2109"/>
      <c r="AM339" s="1946"/>
      <c r="AN339" s="1946"/>
      <c r="AO339" s="1946"/>
      <c r="AP339" s="1946"/>
      <c r="AQ339" s="1946"/>
      <c r="AR339" s="1946"/>
      <c r="AS339" s="1946"/>
      <c r="AT339" s="1946"/>
      <c r="AU339" s="1946"/>
      <c r="AV339" s="1946"/>
      <c r="AW339" s="1946"/>
      <c r="AX339" s="1946"/>
      <c r="AY339" s="1946"/>
      <c r="AZ339" s="1946"/>
      <c r="BA339" s="1946"/>
      <c r="BB339" s="1946"/>
      <c r="BC339" s="1946"/>
      <c r="BD339" s="1946"/>
      <c r="BE339" s="1946"/>
      <c r="BF339" s="1946"/>
      <c r="BG339" s="7213"/>
    </row>
    <row customHeight="1" ht="0.75">
      <c r="A340" s="1290" t="s">
        <v>1218</v>
      </c>
      <c r="B340" s="1290"/>
      <c r="C340" s="1290"/>
      <c r="D340" s="1284"/>
      <c r="E340" s="1294"/>
      <c r="F340" s="2673"/>
      <c r="G340" s="2652"/>
      <c r="H340" s="2677"/>
      <c r="I340" s="2678"/>
      <c r="J340" s="2679"/>
      <c r="K340" s="2679"/>
      <c r="L340" s="2671"/>
      <c r="M340" s="2405"/>
      <c r="N340" s="2680"/>
      <c r="O340" s="2681"/>
      <c r="P340" s="2725"/>
      <c r="Q340" s="2676"/>
      <c r="R340" s="2676"/>
      <c r="S340" s="2676"/>
      <c r="T340" s="2676"/>
      <c r="U340" s="2676"/>
      <c r="V340" s="2676"/>
      <c r="W340" s="2676"/>
      <c r="X340" s="2676"/>
      <c r="Y340" s="2676"/>
      <c r="Z340" s="2158"/>
      <c r="AA340" s="2159"/>
      <c r="AB340" s="2159"/>
      <c r="AC340" s="2160"/>
      <c r="AD340" s="2160"/>
      <c r="AE340" s="2161"/>
      <c r="AF340" s="2675"/>
      <c r="AG340" s="2671"/>
      <c r="AH340" s="2671"/>
      <c r="AI340" s="2675"/>
      <c r="AJ340" s="2671"/>
      <c r="AK340" s="2671"/>
      <c r="AL340" s="2109"/>
      <c r="AM340" s="1946"/>
      <c r="AN340" s="1946"/>
      <c r="AO340" s="1946"/>
      <c r="AP340" s="1946"/>
      <c r="AQ340" s="1946"/>
      <c r="AR340" s="1946"/>
      <c r="AS340" s="1946"/>
      <c r="AT340" s="1946"/>
      <c r="AU340" s="1946"/>
      <c r="AV340" s="1946"/>
      <c r="AW340" s="1946"/>
      <c r="AX340" s="1946"/>
      <c r="AY340" s="1946"/>
      <c r="AZ340" s="1946"/>
      <c r="BA340" s="1946"/>
      <c r="BB340" s="1946"/>
      <c r="BC340" s="1946"/>
      <c r="BD340" s="1946"/>
      <c r="BE340" s="1946"/>
      <c r="BF340" s="1946"/>
      <c r="BG340" s="7213"/>
    </row>
    <row customHeight="1" ht="0.75">
      <c r="A341" s="1290" t="s">
        <v>1218</v>
      </c>
      <c r="B341" s="1290"/>
      <c r="C341" s="1290"/>
      <c r="D341" s="1284"/>
      <c r="E341" s="1294"/>
      <c r="F341" s="2673"/>
      <c r="G341" s="2652"/>
      <c r="H341" s="2677"/>
      <c r="I341" s="2678"/>
      <c r="J341" s="2679"/>
      <c r="K341" s="2679"/>
      <c r="L341" s="2671"/>
      <c r="M341" s="2405"/>
      <c r="N341" s="2680"/>
      <c r="O341" s="2681"/>
      <c r="P341" s="2726"/>
      <c r="Q341" s="2676"/>
      <c r="R341" s="2676"/>
      <c r="S341" s="2676"/>
      <c r="T341" s="2676"/>
      <c r="U341" s="2676"/>
      <c r="V341" s="2676"/>
      <c r="W341" s="2676"/>
      <c r="X341" s="2676"/>
      <c r="Y341" s="2676"/>
      <c r="Z341" s="2162"/>
      <c r="AA341" s="2163"/>
      <c r="AB341" s="2164"/>
      <c r="AC341" s="2165"/>
      <c r="AD341" s="2164"/>
      <c r="AE341" s="2165"/>
      <c r="AF341" s="2675"/>
      <c r="AG341" s="2671"/>
      <c r="AH341" s="2671"/>
      <c r="AI341" s="2675"/>
      <c r="AJ341" s="2671"/>
      <c r="AK341" s="2671"/>
      <c r="AL341" s="2109"/>
      <c r="AM341" s="1946"/>
      <c r="AN341" s="1946"/>
      <c r="AO341" s="1946"/>
      <c r="AP341" s="1946"/>
      <c r="AQ341" s="1946"/>
      <c r="AR341" s="1946"/>
      <c r="AS341" s="1946"/>
      <c r="AT341" s="1946"/>
      <c r="AU341" s="1946"/>
      <c r="AV341" s="1946"/>
      <c r="AW341" s="1946"/>
      <c r="AX341" s="1946"/>
      <c r="AY341" s="1946"/>
      <c r="AZ341" s="1946"/>
      <c r="BA341" s="1946"/>
      <c r="BB341" s="1946"/>
      <c r="BC341" s="1946"/>
      <c r="BD341" s="1946"/>
      <c r="BE341" s="1946"/>
      <c r="BF341" s="1946"/>
      <c r="BG341" s="7213"/>
    </row>
    <row customHeight="1" ht="0.75">
      <c r="A342" s="1290" t="s">
        <v>1218</v>
      </c>
      <c r="B342" s="1290"/>
      <c r="C342" s="1290"/>
      <c r="D342" s="1284"/>
      <c r="E342" s="1294"/>
      <c r="F342" s="2673"/>
      <c r="G342" s="2652"/>
      <c r="H342" s="2677"/>
      <c r="I342" s="2678"/>
      <c r="J342" s="2679"/>
      <c r="K342" s="2679"/>
      <c r="L342" s="2671"/>
      <c r="M342" s="2405"/>
      <c r="N342" s="2680"/>
      <c r="O342" s="2681"/>
      <c r="P342" s="2727"/>
      <c r="Q342" s="2676"/>
      <c r="R342" s="2676"/>
      <c r="S342" s="2676"/>
      <c r="T342" s="2676"/>
      <c r="U342" s="2676"/>
      <c r="V342" s="2676"/>
      <c r="W342" s="2676"/>
      <c r="X342" s="2676"/>
      <c r="Y342" s="2676"/>
      <c r="Z342" s="2158"/>
      <c r="AA342" s="2159"/>
      <c r="AB342" s="2166"/>
      <c r="AC342" s="2160"/>
      <c r="AD342" s="2160"/>
      <c r="AE342" s="2167"/>
      <c r="AF342" s="2675"/>
      <c r="AG342" s="2671"/>
      <c r="AH342" s="2671"/>
      <c r="AI342" s="2675"/>
      <c r="AJ342" s="2671"/>
      <c r="AK342" s="2671"/>
      <c r="AL342" s="2109"/>
      <c r="AM342" s="1946"/>
      <c r="AN342" s="1946"/>
      <c r="AO342" s="1946"/>
      <c r="AP342" s="1946"/>
      <c r="AQ342" s="1946"/>
      <c r="AR342" s="1946"/>
      <c r="AS342" s="1946"/>
      <c r="AT342" s="1946"/>
      <c r="AU342" s="1946"/>
      <c r="AV342" s="1946"/>
      <c r="AW342" s="1946"/>
      <c r="AX342" s="1946"/>
      <c r="AY342" s="1946"/>
      <c r="AZ342" s="1946"/>
      <c r="BA342" s="1946"/>
      <c r="BB342" s="1946"/>
      <c r="BC342" s="1946"/>
      <c r="BD342" s="1946"/>
      <c r="BE342" s="1946"/>
      <c r="BF342" s="1946"/>
      <c r="BG342" s="7213"/>
    </row>
    <row customHeight="1" ht="0.75">
      <c r="A343" s="1290" t="s">
        <v>1218</v>
      </c>
      <c r="B343" s="1290"/>
      <c r="C343" s="1290"/>
      <c r="D343" s="1284"/>
      <c r="E343" s="1294"/>
      <c r="F343" s="2673"/>
      <c r="G343" s="2652"/>
      <c r="H343" s="2677"/>
      <c r="I343" s="2678"/>
      <c r="J343" s="2679"/>
      <c r="K343" s="2679"/>
      <c r="L343" s="2671"/>
      <c r="M343" s="2405"/>
      <c r="N343" s="2159"/>
      <c r="O343" s="2159"/>
      <c r="P343" s="2166"/>
      <c r="Q343" s="2159"/>
      <c r="R343" s="2159"/>
      <c r="S343" s="2159"/>
      <c r="T343" s="2159"/>
      <c r="U343" s="2159"/>
      <c r="V343" s="2159"/>
      <c r="W343" s="2159"/>
      <c r="X343" s="2159"/>
      <c r="Y343" s="2159"/>
      <c r="Z343" s="2159"/>
      <c r="AA343" s="2159"/>
      <c r="AB343" s="2159"/>
      <c r="AC343" s="2159"/>
      <c r="AD343" s="2159"/>
      <c r="AE343" s="2168"/>
      <c r="AF343" s="2675"/>
      <c r="AG343" s="2671"/>
      <c r="AH343" s="2671"/>
      <c r="AI343" s="2675"/>
      <c r="AJ343" s="2671"/>
      <c r="AK343" s="2671"/>
      <c r="AL343" s="2109"/>
      <c r="AM343" s="1946"/>
      <c r="AN343" s="1946"/>
      <c r="AO343" s="1946"/>
      <c r="AP343" s="1946"/>
      <c r="AQ343" s="1946"/>
      <c r="AR343" s="1946"/>
      <c r="AS343" s="1946"/>
      <c r="AT343" s="1946"/>
      <c r="AU343" s="1946"/>
      <c r="AV343" s="1946"/>
      <c r="AW343" s="1946"/>
      <c r="AX343" s="1946"/>
      <c r="AY343" s="1946"/>
      <c r="AZ343" s="1946"/>
      <c r="BA343" s="1946"/>
      <c r="BB343" s="1946"/>
      <c r="BC343" s="1946"/>
      <c r="BD343" s="1946"/>
      <c r="BE343" s="1946"/>
      <c r="BF343" s="1946"/>
      <c r="BG343" s="7213"/>
    </row>
    <row customHeight="1" ht="11.25">
      <c r="A344" s="1290" t="s">
        <v>1218</v>
      </c>
      <c r="B344" s="1290"/>
      <c r="C344" s="1290"/>
      <c r="D344" s="1284"/>
      <c r="E344" s="1294"/>
      <c r="F344" s="1952"/>
      <c r="G344" s="7121" t="s">
        <v>103</v>
      </c>
      <c r="H344" s="2652" t="s">
        <v>210</v>
      </c>
      <c r="I344" s="2653"/>
      <c r="J344" s="2622"/>
      <c r="K344" s="2654" t="s">
        <v>1372</v>
      </c>
      <c r="L344" s="2244" t="s">
        <v>19</v>
      </c>
      <c r="M344" s="2245"/>
      <c r="N344" s="2107"/>
      <c r="O344" s="1301" t="s">
        <v>488</v>
      </c>
      <c r="P344" s="1302"/>
      <c r="Q344" s="1302"/>
      <c r="R344" s="1302"/>
      <c r="S344" s="1302"/>
      <c r="T344" s="1302"/>
      <c r="U344" s="1302"/>
      <c r="V344" s="1302"/>
      <c r="W344" s="1302"/>
      <c r="X344" s="1302"/>
      <c r="Y344" s="1302"/>
      <c r="Z344" s="1302"/>
      <c r="AA344" s="1302"/>
      <c r="AB344" s="1302"/>
      <c r="AC344" s="1302"/>
      <c r="AD344" s="1302"/>
      <c r="AE344" s="1302"/>
      <c r="AF344" s="2643">
        <v>2024</v>
      </c>
      <c r="AG344" s="2644" t="s">
        <v>1296</v>
      </c>
      <c r="AH344" s="2644" t="s">
        <v>1297</v>
      </c>
      <c r="AI344" s="2643">
        <v>2024</v>
      </c>
      <c r="AJ344" s="2644" t="s">
        <v>1296</v>
      </c>
      <c r="AK344" s="2644" t="s">
        <v>1297</v>
      </c>
      <c r="AL344" s="2109"/>
      <c r="AM344" s="1946"/>
      <c r="AN344" s="1946"/>
      <c r="AO344" s="1946"/>
      <c r="AP344" s="1946"/>
      <c r="AQ344" s="1946"/>
      <c r="AR344" s="1946"/>
      <c r="AS344" s="1946"/>
      <c r="AT344" s="1946"/>
      <c r="AU344" s="1946"/>
      <c r="AV344" s="1946"/>
      <c r="AW344" s="1946"/>
      <c r="AX344" s="1946"/>
      <c r="AY344" s="1946"/>
      <c r="AZ344" s="1946"/>
      <c r="BA344" s="1946"/>
      <c r="BB344" s="1946"/>
      <c r="BC344" s="1946"/>
      <c r="BD344" s="1946"/>
      <c r="BE344" s="1946"/>
      <c r="BF344" s="1946"/>
      <c r="BG344" s="7213"/>
    </row>
    <row customHeight="1" ht="11.25">
      <c r="A345" s="1290" t="s">
        <v>1218</v>
      </c>
      <c r="B345" s="1290"/>
      <c r="C345" s="1290"/>
      <c r="D345" s="1284"/>
      <c r="E345" s="1294"/>
      <c r="F345" s="1952"/>
      <c r="G345" s="1953"/>
      <c r="H345" s="2652" t="s">
        <v>488</v>
      </c>
      <c r="I345" s="2653"/>
      <c r="J345" s="2622"/>
      <c r="K345" s="2654"/>
      <c r="L345" s="2244"/>
      <c r="M345" s="2245"/>
      <c r="N345" s="2645"/>
      <c r="O345" s="2646">
        <v>1</v>
      </c>
      <c r="P345" s="2647" t="s">
        <v>62</v>
      </c>
      <c r="Q345" s="11136" t="s">
        <v>1373</v>
      </c>
      <c r="R345" s="11137" t="s">
        <v>1299</v>
      </c>
      <c r="S345" s="11137" t="s">
        <v>106</v>
      </c>
      <c r="T345" s="11137" t="s">
        <v>1374</v>
      </c>
      <c r="U345" s="11137" t="s">
        <v>1375</v>
      </c>
      <c r="V345" s="11137" t="s">
        <v>1376</v>
      </c>
      <c r="W345" s="11137" t="s">
        <v>1377</v>
      </c>
      <c r="X345" s="11137" t="s">
        <v>1378</v>
      </c>
      <c r="Y345" s="11137" t="s">
        <v>1379</v>
      </c>
      <c r="Z345" s="1299"/>
      <c r="AA345" s="1300"/>
      <c r="AB345" s="1300"/>
      <c r="AC345" s="1304"/>
      <c r="AD345" s="1304"/>
      <c r="AE345" s="1305"/>
      <c r="AF345" s="2643"/>
      <c r="AG345" s="2644"/>
      <c r="AH345" s="2644"/>
      <c r="AI345" s="2643"/>
      <c r="AJ345" s="2644"/>
      <c r="AK345" s="2644"/>
      <c r="AL345" s="2109"/>
      <c r="AM345" s="1946"/>
      <c r="AN345" s="1946"/>
      <c r="AO345" s="1946"/>
      <c r="AP345" s="1946"/>
      <c r="AQ345" s="1946"/>
      <c r="AR345" s="1946"/>
      <c r="AS345" s="1946"/>
      <c r="AT345" s="1946"/>
      <c r="AU345" s="1946"/>
      <c r="AV345" s="1946"/>
      <c r="AW345" s="1946"/>
      <c r="AX345" s="1946"/>
      <c r="AY345" s="1946"/>
      <c r="AZ345" s="1946"/>
      <c r="BA345" s="1946"/>
      <c r="BB345" s="1946"/>
      <c r="BC345" s="1946"/>
      <c r="BD345" s="1946"/>
      <c r="BE345" s="1946"/>
      <c r="BF345" s="1946"/>
      <c r="BG345" s="7213"/>
    </row>
    <row customHeight="1" ht="11.25">
      <c r="A346" s="1290" t="s">
        <v>1218</v>
      </c>
      <c r="B346" s="1290"/>
      <c r="C346" s="1290"/>
      <c r="D346" s="1284"/>
      <c r="E346" s="1294"/>
      <c r="F346" s="1952"/>
      <c r="G346" s="1953"/>
      <c r="H346" s="2652" t="s">
        <v>488</v>
      </c>
      <c r="I346" s="2653"/>
      <c r="J346" s="2622"/>
      <c r="K346" s="2654"/>
      <c r="L346" s="2244"/>
      <c r="M346" s="2245"/>
      <c r="N346" s="2645"/>
      <c r="O346" s="2646"/>
      <c r="P346" s="2648"/>
      <c r="Q346" s="11136"/>
      <c r="R346" s="2650"/>
      <c r="S346" s="2651"/>
      <c r="T346" s="2650"/>
      <c r="U346" s="2650"/>
      <c r="V346" s="2650"/>
      <c r="W346" s="2650"/>
      <c r="X346" s="2650"/>
      <c r="Y346" s="2650"/>
      <c r="Z346" s="1951"/>
      <c r="AA346" s="1917">
        <v>1</v>
      </c>
      <c r="AB346" s="1303" t="s">
        <v>1306</v>
      </c>
      <c r="AC346" s="1293">
        <v>258.333333333333</v>
      </c>
      <c r="AD346" s="1303" t="str">
        <f>AB346</f>
        <v>  Прибыль направляемая на инвестиции</v>
      </c>
      <c r="AE346" s="1293">
        <v>258.333333333333</v>
      </c>
      <c r="AF346" s="2643"/>
      <c r="AG346" s="2644"/>
      <c r="AH346" s="2644"/>
      <c r="AI346" s="2643"/>
      <c r="AJ346" s="2644"/>
      <c r="AK346" s="2644"/>
      <c r="AL346" s="2109"/>
      <c r="AM346" s="1946"/>
      <c r="AN346" s="1946"/>
      <c r="AO346" s="1946"/>
      <c r="AP346" s="1946"/>
      <c r="AQ346" s="1946"/>
      <c r="AR346" s="1946"/>
      <c r="AS346" s="1946"/>
      <c r="AT346" s="1946"/>
      <c r="AU346" s="1946"/>
      <c r="AV346" s="1946"/>
      <c r="AW346" s="1946"/>
      <c r="AX346" s="1946"/>
      <c r="AY346" s="1946"/>
      <c r="AZ346" s="1946"/>
      <c r="BA346" s="1946"/>
      <c r="BB346" s="1946"/>
      <c r="BC346" s="1946"/>
      <c r="BD346" s="1946"/>
      <c r="BE346" s="1946"/>
      <c r="BF346" s="1946"/>
      <c r="BG346" s="7213"/>
    </row>
    <row customHeight="1" ht="11.25">
      <c r="A347" s="1290" t="s">
        <v>1218</v>
      </c>
      <c r="B347" s="1290"/>
      <c r="C347" s="1290"/>
      <c r="D347" s="1284"/>
      <c r="E347" s="1294"/>
      <c r="F347" s="1952"/>
      <c r="G347" s="1953"/>
      <c r="H347" s="2652" t="s">
        <v>488</v>
      </c>
      <c r="I347" s="2653"/>
      <c r="J347" s="2622"/>
      <c r="K347" s="2654"/>
      <c r="L347" s="2244"/>
      <c r="M347" s="2245"/>
      <c r="N347" s="2645"/>
      <c r="O347" s="2646"/>
      <c r="P347" s="2649"/>
      <c r="Q347" s="11136"/>
      <c r="R347" s="2650"/>
      <c r="S347" s="2651"/>
      <c r="T347" s="2650"/>
      <c r="U347" s="2650"/>
      <c r="V347" s="2650"/>
      <c r="W347" s="2650"/>
      <c r="X347" s="2650"/>
      <c r="Y347" s="2650"/>
      <c r="Z347" s="1299"/>
      <c r="AA347" s="1300"/>
      <c r="AB347" s="1365" t="s">
        <v>1309</v>
      </c>
      <c r="AC347" s="1304"/>
      <c r="AD347" s="1304"/>
      <c r="AE347" s="1306"/>
      <c r="AF347" s="2643"/>
      <c r="AG347" s="2644"/>
      <c r="AH347" s="2644"/>
      <c r="AI347" s="2643"/>
      <c r="AJ347" s="2644"/>
      <c r="AK347" s="2644"/>
      <c r="AL347" s="2109"/>
      <c r="AM347" s="1946"/>
      <c r="AN347" s="1946"/>
      <c r="AO347" s="1946"/>
      <c r="AP347" s="1946"/>
      <c r="AQ347" s="1946"/>
      <c r="AR347" s="1946"/>
      <c r="AS347" s="1946"/>
      <c r="AT347" s="1946"/>
      <c r="AU347" s="1946"/>
      <c r="AV347" s="1946"/>
      <c r="AW347" s="1946"/>
      <c r="AX347" s="1946"/>
      <c r="AY347" s="1946"/>
      <c r="AZ347" s="1946"/>
      <c r="BA347" s="1946"/>
      <c r="BB347" s="1946"/>
      <c r="BC347" s="1946"/>
      <c r="BD347" s="1946"/>
      <c r="BE347" s="1946"/>
      <c r="BF347" s="1946"/>
      <c r="BG347" s="7213"/>
    </row>
    <row customHeight="1" ht="11.25">
      <c r="A348" s="1290" t="s">
        <v>1218</v>
      </c>
      <c r="B348" s="1290"/>
      <c r="C348" s="1290"/>
      <c r="D348" s="1284"/>
      <c r="E348" s="1294"/>
      <c r="F348" s="1952"/>
      <c r="G348" s="1953"/>
      <c r="H348" s="2652" t="s">
        <v>488</v>
      </c>
      <c r="I348" s="2653"/>
      <c r="J348" s="2622"/>
      <c r="K348" s="2654"/>
      <c r="L348" s="2244"/>
      <c r="M348" s="2245"/>
      <c r="N348" s="1299"/>
      <c r="O348" s="1300"/>
      <c r="P348" s="1292" t="s">
        <v>1310</v>
      </c>
      <c r="Q348" s="1300"/>
      <c r="R348" s="1300"/>
      <c r="S348" s="1300"/>
      <c r="T348" s="1300"/>
      <c r="U348" s="1300"/>
      <c r="V348" s="1300"/>
      <c r="W348" s="1300"/>
      <c r="X348" s="1300"/>
      <c r="Y348" s="1300"/>
      <c r="Z348" s="1300"/>
      <c r="AA348" s="1300"/>
      <c r="AB348" s="1300"/>
      <c r="AC348" s="1300"/>
      <c r="AD348" s="1300"/>
      <c r="AE348" s="1307"/>
      <c r="AF348" s="2643"/>
      <c r="AG348" s="2644"/>
      <c r="AH348" s="2644"/>
      <c r="AI348" s="2643"/>
      <c r="AJ348" s="2644"/>
      <c r="AK348" s="2644"/>
      <c r="AL348" s="2109"/>
      <c r="AM348" s="1946"/>
      <c r="AN348" s="1946"/>
      <c r="AO348" s="1946"/>
      <c r="AP348" s="1946"/>
      <c r="AQ348" s="1946"/>
      <c r="AR348" s="1946"/>
      <c r="AS348" s="1946"/>
      <c r="AT348" s="1946"/>
      <c r="AU348" s="1946"/>
      <c r="AV348" s="1946"/>
      <c r="AW348" s="1946"/>
      <c r="AX348" s="1946"/>
      <c r="AY348" s="1946"/>
      <c r="AZ348" s="1946"/>
      <c r="BA348" s="1946"/>
      <c r="BB348" s="1946"/>
      <c r="BC348" s="1946"/>
      <c r="BD348" s="1946"/>
      <c r="BE348" s="1946"/>
      <c r="BF348" s="1946"/>
      <c r="BG348" s="7213"/>
    </row>
    <row customHeight="1" ht="11.25">
      <c r="A349" s="1290" t="s">
        <v>1218</v>
      </c>
      <c r="B349" s="1290"/>
      <c r="C349" s="1290"/>
      <c r="D349" s="1284"/>
      <c r="E349" s="1294"/>
      <c r="F349" s="1952"/>
      <c r="G349" s="7121" t="s">
        <v>103</v>
      </c>
      <c r="H349" s="2652" t="s">
        <v>102</v>
      </c>
      <c r="I349" s="2653"/>
      <c r="J349" s="2622"/>
      <c r="K349" s="2654" t="s">
        <v>1380</v>
      </c>
      <c r="L349" s="2244" t="s">
        <v>19</v>
      </c>
      <c r="M349" s="2245"/>
      <c r="N349" s="2107"/>
      <c r="O349" s="1301" t="s">
        <v>488</v>
      </c>
      <c r="P349" s="1302"/>
      <c r="Q349" s="1302"/>
      <c r="R349" s="1302"/>
      <c r="S349" s="1302"/>
      <c r="T349" s="1302"/>
      <c r="U349" s="1302"/>
      <c r="V349" s="1302"/>
      <c r="W349" s="1302"/>
      <c r="X349" s="1302"/>
      <c r="Y349" s="1302"/>
      <c r="Z349" s="1302"/>
      <c r="AA349" s="1302"/>
      <c r="AB349" s="1302"/>
      <c r="AC349" s="1302"/>
      <c r="AD349" s="1302"/>
      <c r="AE349" s="1302"/>
      <c r="AF349" s="2643">
        <v>2024</v>
      </c>
      <c r="AG349" s="2644" t="s">
        <v>1296</v>
      </c>
      <c r="AH349" s="2644" t="s">
        <v>1297</v>
      </c>
      <c r="AI349" s="2643">
        <v>2024</v>
      </c>
      <c r="AJ349" s="2644" t="s">
        <v>1296</v>
      </c>
      <c r="AK349" s="2644" t="s">
        <v>1297</v>
      </c>
      <c r="AL349" s="2109"/>
      <c r="AM349" s="1946"/>
      <c r="AN349" s="1946"/>
      <c r="AO349" s="1946"/>
      <c r="AP349" s="1946"/>
      <c r="AQ349" s="1946"/>
      <c r="AR349" s="1946"/>
      <c r="AS349" s="1946"/>
      <c r="AT349" s="1946"/>
      <c r="AU349" s="1946"/>
      <c r="AV349" s="1946"/>
      <c r="AW349" s="1946"/>
      <c r="AX349" s="1946"/>
      <c r="AY349" s="1946"/>
      <c r="AZ349" s="1946"/>
      <c r="BA349" s="1946"/>
      <c r="BB349" s="1946"/>
      <c r="BC349" s="1946"/>
      <c r="BD349" s="1946"/>
      <c r="BE349" s="1946"/>
      <c r="BF349" s="1946"/>
      <c r="BG349" s="7213"/>
    </row>
    <row customHeight="1" ht="11.25">
      <c r="A350" s="1290" t="s">
        <v>1218</v>
      </c>
      <c r="B350" s="1290"/>
      <c r="C350" s="1290"/>
      <c r="D350" s="1284"/>
      <c r="E350" s="1294"/>
      <c r="F350" s="1952"/>
      <c r="G350" s="1953"/>
      <c r="H350" s="2652" t="s">
        <v>210</v>
      </c>
      <c r="I350" s="2653"/>
      <c r="J350" s="2622"/>
      <c r="K350" s="2654"/>
      <c r="L350" s="2244"/>
      <c r="M350" s="2245"/>
      <c r="N350" s="2645"/>
      <c r="O350" s="2646">
        <v>1</v>
      </c>
      <c r="P350" s="2647" t="s">
        <v>62</v>
      </c>
      <c r="Q350" s="11136" t="s">
        <v>1381</v>
      </c>
      <c r="R350" s="11137" t="s">
        <v>1299</v>
      </c>
      <c r="S350" s="11137" t="s">
        <v>106</v>
      </c>
      <c r="T350" s="11137" t="s">
        <v>1374</v>
      </c>
      <c r="U350" s="11137" t="s">
        <v>1375</v>
      </c>
      <c r="V350" s="11137" t="s">
        <v>1376</v>
      </c>
      <c r="W350" s="11137" t="s">
        <v>1377</v>
      </c>
      <c r="X350" s="11137" t="s">
        <v>1382</v>
      </c>
      <c r="Y350" s="11137" t="s">
        <v>1383</v>
      </c>
      <c r="Z350" s="1299"/>
      <c r="AA350" s="1300"/>
      <c r="AB350" s="1300"/>
      <c r="AC350" s="1304"/>
      <c r="AD350" s="1304"/>
      <c r="AE350" s="1305"/>
      <c r="AF350" s="2643"/>
      <c r="AG350" s="2644"/>
      <c r="AH350" s="2644"/>
      <c r="AI350" s="2643"/>
      <c r="AJ350" s="2644"/>
      <c r="AK350" s="2644"/>
      <c r="AL350" s="2109"/>
      <c r="AM350" s="1946"/>
      <c r="AN350" s="1946"/>
      <c r="AO350" s="1946"/>
      <c r="AP350" s="1946"/>
      <c r="AQ350" s="1946"/>
      <c r="AR350" s="1946"/>
      <c r="AS350" s="1946"/>
      <c r="AT350" s="1946"/>
      <c r="AU350" s="1946"/>
      <c r="AV350" s="1946"/>
      <c r="AW350" s="1946"/>
      <c r="AX350" s="1946"/>
      <c r="AY350" s="1946"/>
      <c r="AZ350" s="1946"/>
      <c r="BA350" s="1946"/>
      <c r="BB350" s="1946"/>
      <c r="BC350" s="1946"/>
      <c r="BD350" s="1946"/>
      <c r="BE350" s="1946"/>
      <c r="BF350" s="1946"/>
      <c r="BG350" s="7213"/>
    </row>
    <row customHeight="1" ht="11.25">
      <c r="A351" s="1290" t="s">
        <v>1218</v>
      </c>
      <c r="B351" s="1290"/>
      <c r="C351" s="1290"/>
      <c r="D351" s="1284"/>
      <c r="E351" s="1294"/>
      <c r="F351" s="1952"/>
      <c r="G351" s="1953"/>
      <c r="H351" s="2652" t="s">
        <v>210</v>
      </c>
      <c r="I351" s="2653"/>
      <c r="J351" s="2622"/>
      <c r="K351" s="2654"/>
      <c r="L351" s="2244"/>
      <c r="M351" s="2245"/>
      <c r="N351" s="2645"/>
      <c r="O351" s="2646"/>
      <c r="P351" s="2648"/>
      <c r="Q351" s="11136"/>
      <c r="R351" s="2650"/>
      <c r="S351" s="2651"/>
      <c r="T351" s="2650"/>
      <c r="U351" s="2650"/>
      <c r="V351" s="2650"/>
      <c r="W351" s="2650"/>
      <c r="X351" s="2650"/>
      <c r="Y351" s="2650"/>
      <c r="Z351" s="1951"/>
      <c r="AA351" s="1917">
        <v>1</v>
      </c>
      <c r="AB351" s="1303" t="s">
        <v>1306</v>
      </c>
      <c r="AC351" s="1293">
        <v>508.5</v>
      </c>
      <c r="AD351" s="1303" t="str">
        <f>AB351</f>
        <v>  Прибыль направляемая на инвестиции</v>
      </c>
      <c r="AE351" s="1293">
        <v>508.5</v>
      </c>
      <c r="AF351" s="2643"/>
      <c r="AG351" s="2644"/>
      <c r="AH351" s="2644"/>
      <c r="AI351" s="2643"/>
      <c r="AJ351" s="2644"/>
      <c r="AK351" s="2644"/>
      <c r="AL351" s="2109"/>
      <c r="AM351" s="1946"/>
      <c r="AN351" s="1946"/>
      <c r="AO351" s="1946"/>
      <c r="AP351" s="1946"/>
      <c r="AQ351" s="1946"/>
      <c r="AR351" s="1946"/>
      <c r="AS351" s="1946"/>
      <c r="AT351" s="1946"/>
      <c r="AU351" s="1946"/>
      <c r="AV351" s="1946"/>
      <c r="AW351" s="1946"/>
      <c r="AX351" s="1946"/>
      <c r="AY351" s="1946"/>
      <c r="AZ351" s="1946"/>
      <c r="BA351" s="1946"/>
      <c r="BB351" s="1946"/>
      <c r="BC351" s="1946"/>
      <c r="BD351" s="1946"/>
      <c r="BE351" s="1946"/>
      <c r="BF351" s="1946"/>
      <c r="BG351" s="7213"/>
    </row>
    <row customHeight="1" ht="11.25">
      <c r="A352" s="1290" t="s">
        <v>1218</v>
      </c>
      <c r="B352" s="1290"/>
      <c r="C352" s="1290"/>
      <c r="D352" s="1284"/>
      <c r="E352" s="1294"/>
      <c r="F352" s="1952"/>
      <c r="G352" s="1953"/>
      <c r="H352" s="2652" t="s">
        <v>210</v>
      </c>
      <c r="I352" s="2653"/>
      <c r="J352" s="2622"/>
      <c r="K352" s="2654"/>
      <c r="L352" s="2244"/>
      <c r="M352" s="2245"/>
      <c r="N352" s="2645"/>
      <c r="O352" s="2646"/>
      <c r="P352" s="2649"/>
      <c r="Q352" s="11136"/>
      <c r="R352" s="2650"/>
      <c r="S352" s="2651"/>
      <c r="T352" s="2650"/>
      <c r="U352" s="2650"/>
      <c r="V352" s="2650"/>
      <c r="W352" s="2650"/>
      <c r="X352" s="2650"/>
      <c r="Y352" s="2650"/>
      <c r="Z352" s="1299"/>
      <c r="AA352" s="1300"/>
      <c r="AB352" s="1365" t="s">
        <v>1309</v>
      </c>
      <c r="AC352" s="1304"/>
      <c r="AD352" s="1304"/>
      <c r="AE352" s="1306"/>
      <c r="AF352" s="2643"/>
      <c r="AG352" s="2644"/>
      <c r="AH352" s="2644"/>
      <c r="AI352" s="2643"/>
      <c r="AJ352" s="2644"/>
      <c r="AK352" s="2644"/>
      <c r="AL352" s="2109"/>
      <c r="AM352" s="1946"/>
      <c r="AN352" s="1946"/>
      <c r="AO352" s="1946"/>
      <c r="AP352" s="1946"/>
      <c r="AQ352" s="1946"/>
      <c r="AR352" s="1946"/>
      <c r="AS352" s="1946"/>
      <c r="AT352" s="1946"/>
      <c r="AU352" s="1946"/>
      <c r="AV352" s="1946"/>
      <c r="AW352" s="1946"/>
      <c r="AX352" s="1946"/>
      <c r="AY352" s="1946"/>
      <c r="AZ352" s="1946"/>
      <c r="BA352" s="1946"/>
      <c r="BB352" s="1946"/>
      <c r="BC352" s="1946"/>
      <c r="BD352" s="1946"/>
      <c r="BE352" s="1946"/>
      <c r="BF352" s="1946"/>
      <c r="BG352" s="7213"/>
    </row>
    <row customHeight="1" ht="11.25">
      <c r="A353" s="1290" t="s">
        <v>1218</v>
      </c>
      <c r="B353" s="1290"/>
      <c r="C353" s="1290"/>
      <c r="D353" s="1284"/>
      <c r="E353" s="1294"/>
      <c r="F353" s="1952"/>
      <c r="G353" s="1953"/>
      <c r="H353" s="2652" t="s">
        <v>210</v>
      </c>
      <c r="I353" s="2653"/>
      <c r="J353" s="2622"/>
      <c r="K353" s="2654"/>
      <c r="L353" s="2244"/>
      <c r="M353" s="2245"/>
      <c r="N353" s="1299"/>
      <c r="O353" s="1300"/>
      <c r="P353" s="1292" t="s">
        <v>1310</v>
      </c>
      <c r="Q353" s="1300"/>
      <c r="R353" s="1300"/>
      <c r="S353" s="1300"/>
      <c r="T353" s="1300"/>
      <c r="U353" s="1300"/>
      <c r="V353" s="1300"/>
      <c r="W353" s="1300"/>
      <c r="X353" s="1300"/>
      <c r="Y353" s="1300"/>
      <c r="Z353" s="1300"/>
      <c r="AA353" s="1300"/>
      <c r="AB353" s="1300"/>
      <c r="AC353" s="1300"/>
      <c r="AD353" s="1300"/>
      <c r="AE353" s="1307"/>
      <c r="AF353" s="2643"/>
      <c r="AG353" s="2644"/>
      <c r="AH353" s="2644"/>
      <c r="AI353" s="2643"/>
      <c r="AJ353" s="2644"/>
      <c r="AK353" s="2644"/>
      <c r="AL353" s="2109"/>
      <c r="AM353" s="1946"/>
      <c r="AN353" s="1946"/>
      <c r="AO353" s="1946"/>
      <c r="AP353" s="1946"/>
      <c r="AQ353" s="1946"/>
      <c r="AR353" s="1946"/>
      <c r="AS353" s="1946"/>
      <c r="AT353" s="1946"/>
      <c r="AU353" s="1946"/>
      <c r="AV353" s="1946"/>
      <c r="AW353" s="1946"/>
      <c r="AX353" s="1946"/>
      <c r="AY353" s="1946"/>
      <c r="AZ353" s="1946"/>
      <c r="BA353" s="1946"/>
      <c r="BB353" s="1946"/>
      <c r="BC353" s="1946"/>
      <c r="BD353" s="1946"/>
      <c r="BE353" s="1946"/>
      <c r="BF353" s="1946"/>
      <c r="BG353" s="7213"/>
    </row>
    <row customHeight="1" ht="11.25">
      <c r="A354" s="1290" t="s">
        <v>1218</v>
      </c>
      <c r="B354" s="1290"/>
      <c r="C354" s="1290"/>
      <c r="D354" s="1284"/>
      <c r="E354" s="1294"/>
      <c r="F354" s="1952"/>
      <c r="G354" s="7121" t="s">
        <v>103</v>
      </c>
      <c r="H354" s="2652" t="s">
        <v>90</v>
      </c>
      <c r="I354" s="2653"/>
      <c r="J354" s="2622"/>
      <c r="K354" s="2654" t="s">
        <v>1384</v>
      </c>
      <c r="L354" s="2244" t="s">
        <v>19</v>
      </c>
      <c r="M354" s="2245"/>
      <c r="N354" s="2107"/>
      <c r="O354" s="1301" t="s">
        <v>488</v>
      </c>
      <c r="P354" s="1302"/>
      <c r="Q354" s="1302"/>
      <c r="R354" s="1302"/>
      <c r="S354" s="1302"/>
      <c r="T354" s="1302"/>
      <c r="U354" s="1302"/>
      <c r="V354" s="1302"/>
      <c r="W354" s="1302"/>
      <c r="X354" s="1302"/>
      <c r="Y354" s="1302"/>
      <c r="Z354" s="1302"/>
      <c r="AA354" s="1302"/>
      <c r="AB354" s="1302"/>
      <c r="AC354" s="1302"/>
      <c r="AD354" s="1302"/>
      <c r="AE354" s="1302"/>
      <c r="AF354" s="2643">
        <v>2024</v>
      </c>
      <c r="AG354" s="2644" t="s">
        <v>1296</v>
      </c>
      <c r="AH354" s="2644" t="s">
        <v>1297</v>
      </c>
      <c r="AI354" s="2643">
        <v>2024</v>
      </c>
      <c r="AJ354" s="2644" t="s">
        <v>1296</v>
      </c>
      <c r="AK354" s="2644" t="s">
        <v>1297</v>
      </c>
      <c r="AL354" s="2109"/>
      <c r="AM354" s="1946"/>
      <c r="AN354" s="1946"/>
      <c r="AO354" s="1946"/>
      <c r="AP354" s="1946"/>
      <c r="AQ354" s="1946"/>
      <c r="AR354" s="1946"/>
      <c r="AS354" s="1946"/>
      <c r="AT354" s="1946"/>
      <c r="AU354" s="1946"/>
      <c r="AV354" s="1946"/>
      <c r="AW354" s="1946"/>
      <c r="AX354" s="1946"/>
      <c r="AY354" s="1946"/>
      <c r="AZ354" s="1946"/>
      <c r="BA354" s="1946"/>
      <c r="BB354" s="1946"/>
      <c r="BC354" s="1946"/>
      <c r="BD354" s="1946"/>
      <c r="BE354" s="1946"/>
      <c r="BF354" s="1946"/>
      <c r="BG354" s="7213"/>
    </row>
    <row customHeight="1" ht="11.25">
      <c r="A355" s="1290" t="s">
        <v>1218</v>
      </c>
      <c r="B355" s="1290"/>
      <c r="C355" s="1290"/>
      <c r="D355" s="1284"/>
      <c r="E355" s="1294"/>
      <c r="F355" s="1952"/>
      <c r="G355" s="1953"/>
      <c r="H355" s="2652" t="s">
        <v>102</v>
      </c>
      <c r="I355" s="2653"/>
      <c r="J355" s="2622"/>
      <c r="K355" s="2654"/>
      <c r="L355" s="2244"/>
      <c r="M355" s="2245"/>
      <c r="N355" s="2645"/>
      <c r="O355" s="2646">
        <v>1</v>
      </c>
      <c r="P355" s="2647" t="s">
        <v>62</v>
      </c>
      <c r="Q355" s="11136" t="s">
        <v>1381</v>
      </c>
      <c r="R355" s="11137" t="s">
        <v>1299</v>
      </c>
      <c r="S355" s="11137" t="s">
        <v>106</v>
      </c>
      <c r="T355" s="11137" t="s">
        <v>1374</v>
      </c>
      <c r="U355" s="11137" t="s">
        <v>1375</v>
      </c>
      <c r="V355" s="11137" t="s">
        <v>1376</v>
      </c>
      <c r="W355" s="11137" t="s">
        <v>1377</v>
      </c>
      <c r="X355" s="11137" t="s">
        <v>1382</v>
      </c>
      <c r="Y355" s="11137" t="s">
        <v>1383</v>
      </c>
      <c r="Z355" s="1299"/>
      <c r="AA355" s="1300"/>
      <c r="AB355" s="1300"/>
      <c r="AC355" s="1304"/>
      <c r="AD355" s="1304"/>
      <c r="AE355" s="1305"/>
      <c r="AF355" s="2643"/>
      <c r="AG355" s="2644"/>
      <c r="AH355" s="2644"/>
      <c r="AI355" s="2643"/>
      <c r="AJ355" s="2644"/>
      <c r="AK355" s="2644"/>
      <c r="AL355" s="2109"/>
      <c r="AM355" s="1946"/>
      <c r="AN355" s="1946"/>
      <c r="AO355" s="1946"/>
      <c r="AP355" s="1946"/>
      <c r="AQ355" s="1946"/>
      <c r="AR355" s="1946"/>
      <c r="AS355" s="1946"/>
      <c r="AT355" s="1946"/>
      <c r="AU355" s="1946"/>
      <c r="AV355" s="1946"/>
      <c r="AW355" s="1946"/>
      <c r="AX355" s="1946"/>
      <c r="AY355" s="1946"/>
      <c r="AZ355" s="1946"/>
      <c r="BA355" s="1946"/>
      <c r="BB355" s="1946"/>
      <c r="BC355" s="1946"/>
      <c r="BD355" s="1946"/>
      <c r="BE355" s="1946"/>
      <c r="BF355" s="1946"/>
      <c r="BG355" s="7213"/>
    </row>
    <row customHeight="1" ht="11.25">
      <c r="A356" s="1290" t="s">
        <v>1218</v>
      </c>
      <c r="B356" s="1290"/>
      <c r="C356" s="1290"/>
      <c r="D356" s="1284"/>
      <c r="E356" s="1294"/>
      <c r="F356" s="1952"/>
      <c r="G356" s="1953"/>
      <c r="H356" s="2652" t="s">
        <v>102</v>
      </c>
      <c r="I356" s="2653"/>
      <c r="J356" s="2622"/>
      <c r="K356" s="2654"/>
      <c r="L356" s="2244"/>
      <c r="M356" s="2245"/>
      <c r="N356" s="2645"/>
      <c r="O356" s="2646"/>
      <c r="P356" s="2648"/>
      <c r="Q356" s="11136"/>
      <c r="R356" s="2650"/>
      <c r="S356" s="2651"/>
      <c r="T356" s="2650"/>
      <c r="U356" s="2650"/>
      <c r="V356" s="2650"/>
      <c r="W356" s="2650"/>
      <c r="X356" s="2650"/>
      <c r="Y356" s="2650"/>
      <c r="Z356" s="1951"/>
      <c r="AA356" s="1917">
        <v>1</v>
      </c>
      <c r="AB356" s="1303" t="s">
        <v>1306</v>
      </c>
      <c r="AC356" s="1293">
        <v>133.333333333333</v>
      </c>
      <c r="AD356" s="1303" t="str">
        <f>AB356</f>
        <v>  Прибыль направляемая на инвестиции</v>
      </c>
      <c r="AE356" s="1293">
        <v>133.333333333333</v>
      </c>
      <c r="AF356" s="2643"/>
      <c r="AG356" s="2644"/>
      <c r="AH356" s="2644"/>
      <c r="AI356" s="2643"/>
      <c r="AJ356" s="2644"/>
      <c r="AK356" s="2644"/>
      <c r="AL356" s="2109"/>
      <c r="AM356" s="1946"/>
      <c r="AN356" s="1946"/>
      <c r="AO356" s="1946"/>
      <c r="AP356" s="1946"/>
      <c r="AQ356" s="1946"/>
      <c r="AR356" s="1946"/>
      <c r="AS356" s="1946"/>
      <c r="AT356" s="1946"/>
      <c r="AU356" s="1946"/>
      <c r="AV356" s="1946"/>
      <c r="AW356" s="1946"/>
      <c r="AX356" s="1946"/>
      <c r="AY356" s="1946"/>
      <c r="AZ356" s="1946"/>
      <c r="BA356" s="1946"/>
      <c r="BB356" s="1946"/>
      <c r="BC356" s="1946"/>
      <c r="BD356" s="1946"/>
      <c r="BE356" s="1946"/>
      <c r="BF356" s="1946"/>
      <c r="BG356" s="7213"/>
    </row>
    <row customHeight="1" ht="11.25">
      <c r="A357" s="1290" t="s">
        <v>1218</v>
      </c>
      <c r="B357" s="1290"/>
      <c r="C357" s="1290"/>
      <c r="D357" s="1284"/>
      <c r="E357" s="1294"/>
      <c r="F357" s="1952"/>
      <c r="G357" s="1953"/>
      <c r="H357" s="2652" t="s">
        <v>102</v>
      </c>
      <c r="I357" s="2653"/>
      <c r="J357" s="2622"/>
      <c r="K357" s="2654"/>
      <c r="L357" s="2244"/>
      <c r="M357" s="2245"/>
      <c r="N357" s="2645"/>
      <c r="O357" s="2646"/>
      <c r="P357" s="2649"/>
      <c r="Q357" s="11136"/>
      <c r="R357" s="2650"/>
      <c r="S357" s="2651"/>
      <c r="T357" s="2650"/>
      <c r="U357" s="2650"/>
      <c r="V357" s="2650"/>
      <c r="W357" s="2650"/>
      <c r="X357" s="2650"/>
      <c r="Y357" s="2650"/>
      <c r="Z357" s="1299"/>
      <c r="AA357" s="1300"/>
      <c r="AB357" s="1365" t="s">
        <v>1309</v>
      </c>
      <c r="AC357" s="1304"/>
      <c r="AD357" s="1304"/>
      <c r="AE357" s="1306"/>
      <c r="AF357" s="2643"/>
      <c r="AG357" s="2644"/>
      <c r="AH357" s="2644"/>
      <c r="AI357" s="2643"/>
      <c r="AJ357" s="2644"/>
      <c r="AK357" s="2644"/>
      <c r="AL357" s="2109"/>
      <c r="AM357" s="1946"/>
      <c r="AN357" s="1946"/>
      <c r="AO357" s="1946"/>
      <c r="AP357" s="1946"/>
      <c r="AQ357" s="1946"/>
      <c r="AR357" s="1946"/>
      <c r="AS357" s="1946"/>
      <c r="AT357" s="1946"/>
      <c r="AU357" s="1946"/>
      <c r="AV357" s="1946"/>
      <c r="AW357" s="1946"/>
      <c r="AX357" s="1946"/>
      <c r="AY357" s="1946"/>
      <c r="AZ357" s="1946"/>
      <c r="BA357" s="1946"/>
      <c r="BB357" s="1946"/>
      <c r="BC357" s="1946"/>
      <c r="BD357" s="1946"/>
      <c r="BE357" s="1946"/>
      <c r="BF357" s="1946"/>
      <c r="BG357" s="7213"/>
    </row>
    <row customHeight="1" ht="11.25">
      <c r="A358" s="1290" t="s">
        <v>1218</v>
      </c>
      <c r="B358" s="1290"/>
      <c r="C358" s="1290"/>
      <c r="D358" s="1284"/>
      <c r="E358" s="1294"/>
      <c r="F358" s="1952"/>
      <c r="G358" s="1953"/>
      <c r="H358" s="2652" t="s">
        <v>102</v>
      </c>
      <c r="I358" s="2653"/>
      <c r="J358" s="2622"/>
      <c r="K358" s="2654"/>
      <c r="L358" s="2244"/>
      <c r="M358" s="2245"/>
      <c r="N358" s="1299"/>
      <c r="O358" s="1300"/>
      <c r="P358" s="1292" t="s">
        <v>1310</v>
      </c>
      <c r="Q358" s="1300"/>
      <c r="R358" s="1300"/>
      <c r="S358" s="1300"/>
      <c r="T358" s="1300"/>
      <c r="U358" s="1300"/>
      <c r="V358" s="1300"/>
      <c r="W358" s="1300"/>
      <c r="X358" s="1300"/>
      <c r="Y358" s="1300"/>
      <c r="Z358" s="1300"/>
      <c r="AA358" s="1300"/>
      <c r="AB358" s="1300"/>
      <c r="AC358" s="1300"/>
      <c r="AD358" s="1300"/>
      <c r="AE358" s="1307"/>
      <c r="AF358" s="2643"/>
      <c r="AG358" s="2644"/>
      <c r="AH358" s="2644"/>
      <c r="AI358" s="2643"/>
      <c r="AJ358" s="2644"/>
      <c r="AK358" s="2644"/>
      <c r="AL358" s="2109"/>
      <c r="AM358" s="1946"/>
      <c r="AN358" s="1946"/>
      <c r="AO358" s="1946"/>
      <c r="AP358" s="1946"/>
      <c r="AQ358" s="1946"/>
      <c r="AR358" s="1946"/>
      <c r="AS358" s="1946"/>
      <c r="AT358" s="1946"/>
      <c r="AU358" s="1946"/>
      <c r="AV358" s="1946"/>
      <c r="AW358" s="1946"/>
      <c r="AX358" s="1946"/>
      <c r="AY358" s="1946"/>
      <c r="AZ358" s="1946"/>
      <c r="BA358" s="1946"/>
      <c r="BB358" s="1946"/>
      <c r="BC358" s="1946"/>
      <c r="BD358" s="1946"/>
      <c r="BE358" s="1946"/>
      <c r="BF358" s="1946"/>
      <c r="BG358" s="7213"/>
    </row>
    <row customHeight="1" ht="11.25">
      <c r="A359" s="1290" t="s">
        <v>1218</v>
      </c>
      <c r="B359" s="1290"/>
      <c r="C359" s="1290"/>
      <c r="D359" s="1284"/>
      <c r="E359" s="1294"/>
      <c r="F359" s="1952"/>
      <c r="G359" s="7121" t="s">
        <v>103</v>
      </c>
      <c r="H359" s="2652" t="s">
        <v>91</v>
      </c>
      <c r="I359" s="2653"/>
      <c r="J359" s="2622"/>
      <c r="K359" s="2654" t="s">
        <v>1385</v>
      </c>
      <c r="L359" s="2244" t="s">
        <v>19</v>
      </c>
      <c r="M359" s="2245"/>
      <c r="N359" s="2107"/>
      <c r="O359" s="1301" t="s">
        <v>488</v>
      </c>
      <c r="P359" s="1302"/>
      <c r="Q359" s="1302"/>
      <c r="R359" s="1302"/>
      <c r="S359" s="1302"/>
      <c r="T359" s="1302"/>
      <c r="U359" s="1302"/>
      <c r="V359" s="1302"/>
      <c r="W359" s="1302"/>
      <c r="X359" s="1302"/>
      <c r="Y359" s="1302"/>
      <c r="Z359" s="1302"/>
      <c r="AA359" s="1302"/>
      <c r="AB359" s="1302"/>
      <c r="AC359" s="1302"/>
      <c r="AD359" s="1302"/>
      <c r="AE359" s="1302"/>
      <c r="AF359" s="2643">
        <v>2024</v>
      </c>
      <c r="AG359" s="2644" t="s">
        <v>1296</v>
      </c>
      <c r="AH359" s="2644" t="s">
        <v>1297</v>
      </c>
      <c r="AI359" s="2643">
        <v>2024</v>
      </c>
      <c r="AJ359" s="2644" t="s">
        <v>1296</v>
      </c>
      <c r="AK359" s="2644" t="s">
        <v>1297</v>
      </c>
      <c r="AL359" s="2109"/>
      <c r="AM359" s="1946"/>
      <c r="AN359" s="1946"/>
      <c r="AO359" s="1946"/>
      <c r="AP359" s="1946"/>
      <c r="AQ359" s="1946"/>
      <c r="AR359" s="1946"/>
      <c r="AS359" s="1946"/>
      <c r="AT359" s="1946"/>
      <c r="AU359" s="1946"/>
      <c r="AV359" s="1946"/>
      <c r="AW359" s="1946"/>
      <c r="AX359" s="1946"/>
      <c r="AY359" s="1946"/>
      <c r="AZ359" s="1946"/>
      <c r="BA359" s="1946"/>
      <c r="BB359" s="1946"/>
      <c r="BC359" s="1946"/>
      <c r="BD359" s="1946"/>
      <c r="BE359" s="1946"/>
      <c r="BF359" s="1946"/>
      <c r="BG359" s="7213"/>
    </row>
    <row customHeight="1" ht="11.25">
      <c r="A360" s="1290" t="s">
        <v>1218</v>
      </c>
      <c r="B360" s="1290"/>
      <c r="C360" s="1290"/>
      <c r="D360" s="1284"/>
      <c r="E360" s="1294"/>
      <c r="F360" s="1952"/>
      <c r="G360" s="1953"/>
      <c r="H360" s="2652" t="s">
        <v>116</v>
      </c>
      <c r="I360" s="2653"/>
      <c r="J360" s="2622"/>
      <c r="K360" s="2654"/>
      <c r="L360" s="2244"/>
      <c r="M360" s="2245"/>
      <c r="N360" s="2645"/>
      <c r="O360" s="2646">
        <v>1</v>
      </c>
      <c r="P360" s="2647" t="s">
        <v>62</v>
      </c>
      <c r="Q360" s="11136" t="s">
        <v>1373</v>
      </c>
      <c r="R360" s="11137" t="s">
        <v>1299</v>
      </c>
      <c r="S360" s="11137" t="s">
        <v>106</v>
      </c>
      <c r="T360" s="11137" t="s">
        <v>1374</v>
      </c>
      <c r="U360" s="11137" t="s">
        <v>1375</v>
      </c>
      <c r="V360" s="11137" t="s">
        <v>1376</v>
      </c>
      <c r="W360" s="11137" t="s">
        <v>1377</v>
      </c>
      <c r="X360" s="11137" t="s">
        <v>1378</v>
      </c>
      <c r="Y360" s="11137" t="s">
        <v>1379</v>
      </c>
      <c r="Z360" s="1299"/>
      <c r="AA360" s="1300"/>
      <c r="AB360" s="1300"/>
      <c r="AC360" s="1304"/>
      <c r="AD360" s="1304"/>
      <c r="AE360" s="1305"/>
      <c r="AF360" s="2643"/>
      <c r="AG360" s="2644"/>
      <c r="AH360" s="2644"/>
      <c r="AI360" s="2643"/>
      <c r="AJ360" s="2644"/>
      <c r="AK360" s="2644"/>
      <c r="AL360" s="2109"/>
      <c r="AM360" s="1946"/>
      <c r="AN360" s="1946"/>
      <c r="AO360" s="1946"/>
      <c r="AP360" s="1946"/>
      <c r="AQ360" s="1946"/>
      <c r="AR360" s="1946"/>
      <c r="AS360" s="1946"/>
      <c r="AT360" s="1946"/>
      <c r="AU360" s="1946"/>
      <c r="AV360" s="1946"/>
      <c r="AW360" s="1946"/>
      <c r="AX360" s="1946"/>
      <c r="AY360" s="1946"/>
      <c r="AZ360" s="1946"/>
      <c r="BA360" s="1946"/>
      <c r="BB360" s="1946"/>
      <c r="BC360" s="1946"/>
      <c r="BD360" s="1946"/>
      <c r="BE360" s="1946"/>
      <c r="BF360" s="1946"/>
      <c r="BG360" s="7213"/>
    </row>
    <row customHeight="1" ht="11.25">
      <c r="A361" s="1290" t="s">
        <v>1218</v>
      </c>
      <c r="B361" s="1290"/>
      <c r="C361" s="1290"/>
      <c r="D361" s="1284"/>
      <c r="E361" s="1294"/>
      <c r="F361" s="1952"/>
      <c r="G361" s="1953"/>
      <c r="H361" s="2652" t="s">
        <v>116</v>
      </c>
      <c r="I361" s="2653"/>
      <c r="J361" s="2622"/>
      <c r="K361" s="2654"/>
      <c r="L361" s="2244"/>
      <c r="M361" s="2245"/>
      <c r="N361" s="2645"/>
      <c r="O361" s="2646"/>
      <c r="P361" s="2648"/>
      <c r="Q361" s="11136"/>
      <c r="R361" s="2650"/>
      <c r="S361" s="2651"/>
      <c r="T361" s="2650"/>
      <c r="U361" s="2650"/>
      <c r="V361" s="2650"/>
      <c r="W361" s="2650"/>
      <c r="X361" s="2650"/>
      <c r="Y361" s="2650"/>
      <c r="Z361" s="1951"/>
      <c r="AA361" s="1917">
        <v>1</v>
      </c>
      <c r="AB361" s="1303" t="s">
        <v>1306</v>
      </c>
      <c r="AC361" s="1293">
        <v>708.333333333333</v>
      </c>
      <c r="AD361" s="1303" t="str">
        <f>AB361</f>
        <v>  Прибыль направляемая на инвестиции</v>
      </c>
      <c r="AE361" s="1293">
        <v>708.333333333333</v>
      </c>
      <c r="AF361" s="2643"/>
      <c r="AG361" s="2644"/>
      <c r="AH361" s="2644"/>
      <c r="AI361" s="2643"/>
      <c r="AJ361" s="2644"/>
      <c r="AK361" s="2644"/>
      <c r="AL361" s="2109"/>
      <c r="AM361" s="1946"/>
      <c r="AN361" s="1946"/>
      <c r="AO361" s="1946"/>
      <c r="AP361" s="1946"/>
      <c r="AQ361" s="1946"/>
      <c r="AR361" s="1946"/>
      <c r="AS361" s="1946"/>
      <c r="AT361" s="1946"/>
      <c r="AU361" s="1946"/>
      <c r="AV361" s="1946"/>
      <c r="AW361" s="1946"/>
      <c r="AX361" s="1946"/>
      <c r="AY361" s="1946"/>
      <c r="AZ361" s="1946"/>
      <c r="BA361" s="1946"/>
      <c r="BB361" s="1946"/>
      <c r="BC361" s="1946"/>
      <c r="BD361" s="1946"/>
      <c r="BE361" s="1946"/>
      <c r="BF361" s="1946"/>
      <c r="BG361" s="7213"/>
    </row>
    <row customHeight="1" ht="11.25">
      <c r="A362" s="1290" t="s">
        <v>1218</v>
      </c>
      <c r="B362" s="1290"/>
      <c r="C362" s="1290"/>
      <c r="D362" s="1284"/>
      <c r="E362" s="1294"/>
      <c r="F362" s="1952"/>
      <c r="G362" s="1953"/>
      <c r="H362" s="2652" t="s">
        <v>116</v>
      </c>
      <c r="I362" s="2653"/>
      <c r="J362" s="2622"/>
      <c r="K362" s="2654"/>
      <c r="L362" s="2244"/>
      <c r="M362" s="2245"/>
      <c r="N362" s="2645"/>
      <c r="O362" s="2646"/>
      <c r="P362" s="2649"/>
      <c r="Q362" s="11136"/>
      <c r="R362" s="2650"/>
      <c r="S362" s="2651"/>
      <c r="T362" s="2650"/>
      <c r="U362" s="2650"/>
      <c r="V362" s="2650"/>
      <c r="W362" s="2650"/>
      <c r="X362" s="2650"/>
      <c r="Y362" s="2650"/>
      <c r="Z362" s="1299"/>
      <c r="AA362" s="1300"/>
      <c r="AB362" s="1365" t="s">
        <v>1309</v>
      </c>
      <c r="AC362" s="1304"/>
      <c r="AD362" s="1304"/>
      <c r="AE362" s="1306"/>
      <c r="AF362" s="2643"/>
      <c r="AG362" s="2644"/>
      <c r="AH362" s="2644"/>
      <c r="AI362" s="2643"/>
      <c r="AJ362" s="2644"/>
      <c r="AK362" s="2644"/>
      <c r="AL362" s="2109"/>
      <c r="AM362" s="1946"/>
      <c r="AN362" s="1946"/>
      <c r="AO362" s="1946"/>
      <c r="AP362" s="1946"/>
      <c r="AQ362" s="1946"/>
      <c r="AR362" s="1946"/>
      <c r="AS362" s="1946"/>
      <c r="AT362" s="1946"/>
      <c r="AU362" s="1946"/>
      <c r="AV362" s="1946"/>
      <c r="AW362" s="1946"/>
      <c r="AX362" s="1946"/>
      <c r="AY362" s="1946"/>
      <c r="AZ362" s="1946"/>
      <c r="BA362" s="1946"/>
      <c r="BB362" s="1946"/>
      <c r="BC362" s="1946"/>
      <c r="BD362" s="1946"/>
      <c r="BE362" s="1946"/>
      <c r="BF362" s="1946"/>
      <c r="BG362" s="7213"/>
    </row>
    <row customHeight="1" ht="11.25">
      <c r="A363" s="1290" t="s">
        <v>1218</v>
      </c>
      <c r="B363" s="1290"/>
      <c r="C363" s="1290"/>
      <c r="D363" s="1284"/>
      <c r="E363" s="1294"/>
      <c r="F363" s="1952"/>
      <c r="G363" s="1953"/>
      <c r="H363" s="2652" t="s">
        <v>116</v>
      </c>
      <c r="I363" s="2653"/>
      <c r="J363" s="2622"/>
      <c r="K363" s="2654"/>
      <c r="L363" s="2244"/>
      <c r="M363" s="2245"/>
      <c r="N363" s="1299"/>
      <c r="O363" s="1300"/>
      <c r="P363" s="1292" t="s">
        <v>1310</v>
      </c>
      <c r="Q363" s="1300"/>
      <c r="R363" s="1300"/>
      <c r="S363" s="1300"/>
      <c r="T363" s="1300"/>
      <c r="U363" s="1300"/>
      <c r="V363" s="1300"/>
      <c r="W363" s="1300"/>
      <c r="X363" s="1300"/>
      <c r="Y363" s="1300"/>
      <c r="Z363" s="1300"/>
      <c r="AA363" s="1300"/>
      <c r="AB363" s="1300"/>
      <c r="AC363" s="1300"/>
      <c r="AD363" s="1300"/>
      <c r="AE363" s="1307"/>
      <c r="AF363" s="2643"/>
      <c r="AG363" s="2644"/>
      <c r="AH363" s="2644"/>
      <c r="AI363" s="2643"/>
      <c r="AJ363" s="2644"/>
      <c r="AK363" s="2644"/>
      <c r="AL363" s="2109"/>
      <c r="AM363" s="1946"/>
      <c r="AN363" s="1946"/>
      <c r="AO363" s="1946"/>
      <c r="AP363" s="1946"/>
      <c r="AQ363" s="1946"/>
      <c r="AR363" s="1946"/>
      <c r="AS363" s="1946"/>
      <c r="AT363" s="1946"/>
      <c r="AU363" s="1946"/>
      <c r="AV363" s="1946"/>
      <c r="AW363" s="1946"/>
      <c r="AX363" s="1946"/>
      <c r="AY363" s="1946"/>
      <c r="AZ363" s="1946"/>
      <c r="BA363" s="1946"/>
      <c r="BB363" s="1946"/>
      <c r="BC363" s="1946"/>
      <c r="BD363" s="1946"/>
      <c r="BE363" s="1946"/>
      <c r="BF363" s="1946"/>
      <c r="BG363" s="7213"/>
    </row>
    <row customHeight="1" ht="11.25">
      <c r="A364" s="1290" t="s">
        <v>1218</v>
      </c>
      <c r="B364" s="1290"/>
      <c r="C364" s="1290"/>
      <c r="D364" s="1284"/>
      <c r="E364" s="1294"/>
      <c r="F364" s="1952"/>
      <c r="G364" s="7121" t="s">
        <v>103</v>
      </c>
      <c r="H364" s="2652" t="s">
        <v>116</v>
      </c>
      <c r="I364" s="2653"/>
      <c r="J364" s="2622"/>
      <c r="K364" s="2654" t="s">
        <v>1386</v>
      </c>
      <c r="L364" s="2244" t="s">
        <v>19</v>
      </c>
      <c r="M364" s="2245"/>
      <c r="N364" s="2107"/>
      <c r="O364" s="1301" t="s">
        <v>488</v>
      </c>
      <c r="P364" s="1302"/>
      <c r="Q364" s="1302"/>
      <c r="R364" s="1302"/>
      <c r="S364" s="1302"/>
      <c r="T364" s="1302"/>
      <c r="U364" s="1302"/>
      <c r="V364" s="1302"/>
      <c r="W364" s="1302"/>
      <c r="X364" s="1302"/>
      <c r="Y364" s="1302"/>
      <c r="Z364" s="1302"/>
      <c r="AA364" s="1302"/>
      <c r="AB364" s="1302"/>
      <c r="AC364" s="1302"/>
      <c r="AD364" s="1302"/>
      <c r="AE364" s="1302"/>
      <c r="AF364" s="2643">
        <v>2024</v>
      </c>
      <c r="AG364" s="2644" t="s">
        <v>1296</v>
      </c>
      <c r="AH364" s="2644" t="s">
        <v>1297</v>
      </c>
      <c r="AI364" s="2643">
        <v>2024</v>
      </c>
      <c r="AJ364" s="2644" t="s">
        <v>1296</v>
      </c>
      <c r="AK364" s="2644" t="s">
        <v>1297</v>
      </c>
      <c r="AL364" s="2109"/>
      <c r="AM364" s="1946"/>
      <c r="AN364" s="1946"/>
      <c r="AO364" s="1946"/>
      <c r="AP364" s="1946"/>
      <c r="AQ364" s="1946"/>
      <c r="AR364" s="1946"/>
      <c r="AS364" s="1946"/>
      <c r="AT364" s="1946"/>
      <c r="AU364" s="1946"/>
      <c r="AV364" s="1946"/>
      <c r="AW364" s="1946"/>
      <c r="AX364" s="1946"/>
      <c r="AY364" s="1946"/>
      <c r="AZ364" s="1946"/>
      <c r="BA364" s="1946"/>
      <c r="BB364" s="1946"/>
      <c r="BC364" s="1946"/>
      <c r="BD364" s="1946"/>
      <c r="BE364" s="1946"/>
      <c r="BF364" s="1946"/>
      <c r="BG364" s="7213"/>
    </row>
    <row customHeight="1" ht="11.25">
      <c r="A365" s="1290" t="s">
        <v>1218</v>
      </c>
      <c r="B365" s="1290"/>
      <c r="C365" s="1290"/>
      <c r="D365" s="1284"/>
      <c r="E365" s="1294"/>
      <c r="F365" s="1952"/>
      <c r="G365" s="1953"/>
      <c r="H365" s="2652" t="s">
        <v>92</v>
      </c>
      <c r="I365" s="2653"/>
      <c r="J365" s="2622"/>
      <c r="K365" s="2654"/>
      <c r="L365" s="2244"/>
      <c r="M365" s="2245"/>
      <c r="N365" s="2645"/>
      <c r="O365" s="2646">
        <v>1</v>
      </c>
      <c r="P365" s="2647" t="s">
        <v>62</v>
      </c>
      <c r="Q365" s="11136" t="s">
        <v>1373</v>
      </c>
      <c r="R365" s="11137" t="s">
        <v>1299</v>
      </c>
      <c r="S365" s="11137" t="s">
        <v>106</v>
      </c>
      <c r="T365" s="11137" t="s">
        <v>1374</v>
      </c>
      <c r="U365" s="11137" t="s">
        <v>1375</v>
      </c>
      <c r="V365" s="11137" t="s">
        <v>1376</v>
      </c>
      <c r="W365" s="11137" t="s">
        <v>1377</v>
      </c>
      <c r="X365" s="11137" t="s">
        <v>1378</v>
      </c>
      <c r="Y365" s="11137" t="s">
        <v>1379</v>
      </c>
      <c r="Z365" s="1299"/>
      <c r="AA365" s="1300"/>
      <c r="AB365" s="1300"/>
      <c r="AC365" s="1304"/>
      <c r="AD365" s="1304"/>
      <c r="AE365" s="1305"/>
      <c r="AF365" s="2643"/>
      <c r="AG365" s="2644"/>
      <c r="AH365" s="2644"/>
      <c r="AI365" s="2643"/>
      <c r="AJ365" s="2644"/>
      <c r="AK365" s="2644"/>
      <c r="AL365" s="2109"/>
      <c r="AM365" s="1946"/>
      <c r="AN365" s="1946"/>
      <c r="AO365" s="1946"/>
      <c r="AP365" s="1946"/>
      <c r="AQ365" s="1946"/>
      <c r="AR365" s="1946"/>
      <c r="AS365" s="1946"/>
      <c r="AT365" s="1946"/>
      <c r="AU365" s="1946"/>
      <c r="AV365" s="1946"/>
      <c r="AW365" s="1946"/>
      <c r="AX365" s="1946"/>
      <c r="AY365" s="1946"/>
      <c r="AZ365" s="1946"/>
      <c r="BA365" s="1946"/>
      <c r="BB365" s="1946"/>
      <c r="BC365" s="1946"/>
      <c r="BD365" s="1946"/>
      <c r="BE365" s="1946"/>
      <c r="BF365" s="1946"/>
      <c r="BG365" s="7213"/>
    </row>
    <row customHeight="1" ht="11.25">
      <c r="A366" s="1290" t="s">
        <v>1218</v>
      </c>
      <c r="B366" s="1290"/>
      <c r="C366" s="1290"/>
      <c r="D366" s="1284"/>
      <c r="E366" s="1294"/>
      <c r="F366" s="1952"/>
      <c r="G366" s="1953"/>
      <c r="H366" s="2652" t="s">
        <v>92</v>
      </c>
      <c r="I366" s="2653"/>
      <c r="J366" s="2622"/>
      <c r="K366" s="2654"/>
      <c r="L366" s="2244"/>
      <c r="M366" s="2245"/>
      <c r="N366" s="2645"/>
      <c r="O366" s="2646"/>
      <c r="P366" s="2648"/>
      <c r="Q366" s="11136"/>
      <c r="R366" s="2650"/>
      <c r="S366" s="2651"/>
      <c r="T366" s="2650"/>
      <c r="U366" s="2650"/>
      <c r="V366" s="2650"/>
      <c r="W366" s="2650"/>
      <c r="X366" s="2650"/>
      <c r="Y366" s="2650"/>
      <c r="Z366" s="1951"/>
      <c r="AA366" s="1917">
        <v>1</v>
      </c>
      <c r="AB366" s="1303" t="s">
        <v>1306</v>
      </c>
      <c r="AC366" s="1293">
        <v>416.666666666667</v>
      </c>
      <c r="AD366" s="1303" t="str">
        <f>AB366</f>
        <v>  Прибыль направляемая на инвестиции</v>
      </c>
      <c r="AE366" s="1293">
        <v>416.666666666667</v>
      </c>
      <c r="AF366" s="2643"/>
      <c r="AG366" s="2644"/>
      <c r="AH366" s="2644"/>
      <c r="AI366" s="2643"/>
      <c r="AJ366" s="2644"/>
      <c r="AK366" s="2644"/>
      <c r="AL366" s="2109"/>
      <c r="AM366" s="1946"/>
      <c r="AN366" s="1946"/>
      <c r="AO366" s="1946"/>
      <c r="AP366" s="1946"/>
      <c r="AQ366" s="1946"/>
      <c r="AR366" s="1946"/>
      <c r="AS366" s="1946"/>
      <c r="AT366" s="1946"/>
      <c r="AU366" s="1946"/>
      <c r="AV366" s="1946"/>
      <c r="AW366" s="1946"/>
      <c r="AX366" s="1946"/>
      <c r="AY366" s="1946"/>
      <c r="AZ366" s="1946"/>
      <c r="BA366" s="1946"/>
      <c r="BB366" s="1946"/>
      <c r="BC366" s="1946"/>
      <c r="BD366" s="1946"/>
      <c r="BE366" s="1946"/>
      <c r="BF366" s="1946"/>
      <c r="BG366" s="7213"/>
    </row>
    <row customHeight="1" ht="11.25">
      <c r="A367" s="1290" t="s">
        <v>1218</v>
      </c>
      <c r="B367" s="1290"/>
      <c r="C367" s="1290"/>
      <c r="D367" s="1284"/>
      <c r="E367" s="1294"/>
      <c r="F367" s="1952"/>
      <c r="G367" s="1953"/>
      <c r="H367" s="2652" t="s">
        <v>92</v>
      </c>
      <c r="I367" s="2653"/>
      <c r="J367" s="2622"/>
      <c r="K367" s="2654"/>
      <c r="L367" s="2244"/>
      <c r="M367" s="2245"/>
      <c r="N367" s="2645"/>
      <c r="O367" s="2646"/>
      <c r="P367" s="2649"/>
      <c r="Q367" s="11136"/>
      <c r="R367" s="2650"/>
      <c r="S367" s="2651"/>
      <c r="T367" s="2650"/>
      <c r="U367" s="2650"/>
      <c r="V367" s="2650"/>
      <c r="W367" s="2650"/>
      <c r="X367" s="2650"/>
      <c r="Y367" s="2650"/>
      <c r="Z367" s="1299"/>
      <c r="AA367" s="1300"/>
      <c r="AB367" s="1365" t="s">
        <v>1309</v>
      </c>
      <c r="AC367" s="1304"/>
      <c r="AD367" s="1304"/>
      <c r="AE367" s="1306"/>
      <c r="AF367" s="2643"/>
      <c r="AG367" s="2644"/>
      <c r="AH367" s="2644"/>
      <c r="AI367" s="2643"/>
      <c r="AJ367" s="2644"/>
      <c r="AK367" s="2644"/>
      <c r="AL367" s="2109"/>
      <c r="AM367" s="1946"/>
      <c r="AN367" s="1946"/>
      <c r="AO367" s="1946"/>
      <c r="AP367" s="1946"/>
      <c r="AQ367" s="1946"/>
      <c r="AR367" s="1946"/>
      <c r="AS367" s="1946"/>
      <c r="AT367" s="1946"/>
      <c r="AU367" s="1946"/>
      <c r="AV367" s="1946"/>
      <c r="AW367" s="1946"/>
      <c r="AX367" s="1946"/>
      <c r="AY367" s="1946"/>
      <c r="AZ367" s="1946"/>
      <c r="BA367" s="1946"/>
      <c r="BB367" s="1946"/>
      <c r="BC367" s="1946"/>
      <c r="BD367" s="1946"/>
      <c r="BE367" s="1946"/>
      <c r="BF367" s="1946"/>
      <c r="BG367" s="7213"/>
    </row>
    <row customHeight="1" ht="11.25">
      <c r="A368" s="1290" t="s">
        <v>1218</v>
      </c>
      <c r="B368" s="1290"/>
      <c r="C368" s="1290"/>
      <c r="D368" s="1284"/>
      <c r="E368" s="1294"/>
      <c r="F368" s="1952"/>
      <c r="G368" s="1953"/>
      <c r="H368" s="2652" t="s">
        <v>92</v>
      </c>
      <c r="I368" s="2653"/>
      <c r="J368" s="2622"/>
      <c r="K368" s="2654"/>
      <c r="L368" s="2244"/>
      <c r="M368" s="2245"/>
      <c r="N368" s="1299"/>
      <c r="O368" s="1300"/>
      <c r="P368" s="1292" t="s">
        <v>1310</v>
      </c>
      <c r="Q368" s="1300"/>
      <c r="R368" s="1300"/>
      <c r="S368" s="1300"/>
      <c r="T368" s="1300"/>
      <c r="U368" s="1300"/>
      <c r="V368" s="1300"/>
      <c r="W368" s="1300"/>
      <c r="X368" s="1300"/>
      <c r="Y368" s="1300"/>
      <c r="Z368" s="1300"/>
      <c r="AA368" s="1300"/>
      <c r="AB368" s="1300"/>
      <c r="AC368" s="1300"/>
      <c r="AD368" s="1300"/>
      <c r="AE368" s="1307"/>
      <c r="AF368" s="2643"/>
      <c r="AG368" s="2644"/>
      <c r="AH368" s="2644"/>
      <c r="AI368" s="2643"/>
      <c r="AJ368" s="2644"/>
      <c r="AK368" s="2644"/>
      <c r="AL368" s="2109"/>
      <c r="AM368" s="1946"/>
      <c r="AN368" s="1946"/>
      <c r="AO368" s="1946"/>
      <c r="AP368" s="1946"/>
      <c r="AQ368" s="1946"/>
      <c r="AR368" s="1946"/>
      <c r="AS368" s="1946"/>
      <c r="AT368" s="1946"/>
      <c r="AU368" s="1946"/>
      <c r="AV368" s="1946"/>
      <c r="AW368" s="1946"/>
      <c r="AX368" s="1946"/>
      <c r="AY368" s="1946"/>
      <c r="AZ368" s="1946"/>
      <c r="BA368" s="1946"/>
      <c r="BB368" s="1946"/>
      <c r="BC368" s="1946"/>
      <c r="BD368" s="1946"/>
      <c r="BE368" s="1946"/>
      <c r="BF368" s="1946"/>
      <c r="BG368" s="7213"/>
    </row>
    <row customHeight="1" ht="11.25">
      <c r="A369" s="1290" t="s">
        <v>1218</v>
      </c>
      <c r="B369" s="1290"/>
      <c r="C369" s="1290"/>
      <c r="D369" s="1284"/>
      <c r="E369" s="1294"/>
      <c r="F369" s="1952"/>
      <c r="G369" s="7121" t="s">
        <v>103</v>
      </c>
      <c r="H369" s="2652" t="s">
        <v>92</v>
      </c>
      <c r="I369" s="2653"/>
      <c r="J369" s="2622"/>
      <c r="K369" s="2654" t="s">
        <v>1387</v>
      </c>
      <c r="L369" s="2244" t="s">
        <v>19</v>
      </c>
      <c r="M369" s="2245"/>
      <c r="N369" s="2107"/>
      <c r="O369" s="1301" t="s">
        <v>488</v>
      </c>
      <c r="P369" s="1302"/>
      <c r="Q369" s="1302"/>
      <c r="R369" s="1302"/>
      <c r="S369" s="1302"/>
      <c r="T369" s="1302"/>
      <c r="U369" s="1302"/>
      <c r="V369" s="1302"/>
      <c r="W369" s="1302"/>
      <c r="X369" s="1302"/>
      <c r="Y369" s="1302"/>
      <c r="Z369" s="1302"/>
      <c r="AA369" s="1302"/>
      <c r="AB369" s="1302"/>
      <c r="AC369" s="1302"/>
      <c r="AD369" s="1302"/>
      <c r="AE369" s="1302"/>
      <c r="AF369" s="2643">
        <v>2024</v>
      </c>
      <c r="AG369" s="2644" t="s">
        <v>1296</v>
      </c>
      <c r="AH369" s="2644" t="s">
        <v>1297</v>
      </c>
      <c r="AI369" s="2643">
        <v>2024</v>
      </c>
      <c r="AJ369" s="2644" t="s">
        <v>1296</v>
      </c>
      <c r="AK369" s="2644" t="s">
        <v>1297</v>
      </c>
      <c r="AL369" s="2109"/>
      <c r="AM369" s="1946"/>
      <c r="AN369" s="1946"/>
      <c r="AO369" s="1946"/>
      <c r="AP369" s="1946"/>
      <c r="AQ369" s="1946"/>
      <c r="AR369" s="1946"/>
      <c r="AS369" s="1946"/>
      <c r="AT369" s="1946"/>
      <c r="AU369" s="1946"/>
      <c r="AV369" s="1946"/>
      <c r="AW369" s="1946"/>
      <c r="AX369" s="1946"/>
      <c r="AY369" s="1946"/>
      <c r="AZ369" s="1946"/>
      <c r="BA369" s="1946"/>
      <c r="BB369" s="1946"/>
      <c r="BC369" s="1946"/>
      <c r="BD369" s="1946"/>
      <c r="BE369" s="1946"/>
      <c r="BF369" s="1946"/>
      <c r="BG369" s="7213"/>
    </row>
    <row customHeight="1" ht="11.25">
      <c r="A370" s="1290" t="s">
        <v>1218</v>
      </c>
      <c r="B370" s="1290"/>
      <c r="C370" s="1290"/>
      <c r="D370" s="1284"/>
      <c r="E370" s="1294"/>
      <c r="F370" s="1952"/>
      <c r="G370" s="1953"/>
      <c r="H370" s="2652" t="s">
        <v>116</v>
      </c>
      <c r="I370" s="2653"/>
      <c r="J370" s="2622"/>
      <c r="K370" s="2654"/>
      <c r="L370" s="2244"/>
      <c r="M370" s="2245"/>
      <c r="N370" s="2645"/>
      <c r="O370" s="2646">
        <v>1</v>
      </c>
      <c r="P370" s="2647" t="s">
        <v>62</v>
      </c>
      <c r="Q370" s="11136" t="s">
        <v>1388</v>
      </c>
      <c r="R370" s="11137" t="s">
        <v>1299</v>
      </c>
      <c r="S370" s="11137" t="s">
        <v>1389</v>
      </c>
      <c r="T370" s="11137" t="s">
        <v>1390</v>
      </c>
      <c r="U370" s="11137" t="s">
        <v>1391</v>
      </c>
      <c r="V370" s="11137" t="s">
        <v>1392</v>
      </c>
      <c r="W370" s="11137" t="s">
        <v>1393</v>
      </c>
      <c r="X370" s="11137" t="s">
        <v>1354</v>
      </c>
      <c r="Y370" s="11137" t="s">
        <v>144</v>
      </c>
      <c r="Z370" s="1299"/>
      <c r="AA370" s="1300"/>
      <c r="AB370" s="1300"/>
      <c r="AC370" s="1304"/>
      <c r="AD370" s="1304"/>
      <c r="AE370" s="1305"/>
      <c r="AF370" s="2643"/>
      <c r="AG370" s="2644"/>
      <c r="AH370" s="2644"/>
      <c r="AI370" s="2643"/>
      <c r="AJ370" s="2644"/>
      <c r="AK370" s="2644"/>
      <c r="AL370" s="2109"/>
      <c r="AM370" s="1946"/>
      <c r="AN370" s="1946"/>
      <c r="AO370" s="1946"/>
      <c r="AP370" s="1946"/>
      <c r="AQ370" s="1946"/>
      <c r="AR370" s="1946"/>
      <c r="AS370" s="1946"/>
      <c r="AT370" s="1946"/>
      <c r="AU370" s="1946"/>
      <c r="AV370" s="1946"/>
      <c r="AW370" s="1946"/>
      <c r="AX370" s="1946"/>
      <c r="AY370" s="1946"/>
      <c r="AZ370" s="1946"/>
      <c r="BA370" s="1946"/>
      <c r="BB370" s="1946"/>
      <c r="BC370" s="1946"/>
      <c r="BD370" s="1946"/>
      <c r="BE370" s="1946"/>
      <c r="BF370" s="1946"/>
      <c r="BG370" s="7213"/>
    </row>
    <row customHeight="1" ht="11.25">
      <c r="A371" s="1290" t="s">
        <v>1218</v>
      </c>
      <c r="B371" s="1290"/>
      <c r="C371" s="1290"/>
      <c r="D371" s="1284"/>
      <c r="E371" s="1294"/>
      <c r="F371" s="1952"/>
      <c r="G371" s="1953"/>
      <c r="H371" s="2652" t="s">
        <v>116</v>
      </c>
      <c r="I371" s="2653"/>
      <c r="J371" s="2622"/>
      <c r="K371" s="2654"/>
      <c r="L371" s="2244"/>
      <c r="M371" s="2245"/>
      <c r="N371" s="2645"/>
      <c r="O371" s="2646"/>
      <c r="P371" s="2648"/>
      <c r="Q371" s="11136"/>
      <c r="R371" s="2650"/>
      <c r="S371" s="2651"/>
      <c r="T371" s="2650"/>
      <c r="U371" s="2650"/>
      <c r="V371" s="2650"/>
      <c r="W371" s="2650"/>
      <c r="X371" s="2650"/>
      <c r="Y371" s="2650"/>
      <c r="Z371" s="1951"/>
      <c r="AA371" s="1917">
        <v>1</v>
      </c>
      <c r="AB371" s="1303" t="s">
        <v>1306</v>
      </c>
      <c r="AC371" s="1293">
        <v>133.333333333333</v>
      </c>
      <c r="AD371" s="1303" t="str">
        <f>AB371</f>
        <v>  Прибыль направляемая на инвестиции</v>
      </c>
      <c r="AE371" s="1293">
        <v>133.333333333333</v>
      </c>
      <c r="AF371" s="2643"/>
      <c r="AG371" s="2644"/>
      <c r="AH371" s="2644"/>
      <c r="AI371" s="2643"/>
      <c r="AJ371" s="2644"/>
      <c r="AK371" s="2644"/>
      <c r="AL371" s="2109"/>
      <c r="AM371" s="1946"/>
      <c r="AN371" s="1946"/>
      <c r="AO371" s="1946"/>
      <c r="AP371" s="1946"/>
      <c r="AQ371" s="1946"/>
      <c r="AR371" s="1946"/>
      <c r="AS371" s="1946"/>
      <c r="AT371" s="1946"/>
      <c r="AU371" s="1946"/>
      <c r="AV371" s="1946"/>
      <c r="AW371" s="1946"/>
      <c r="AX371" s="1946"/>
      <c r="AY371" s="1946"/>
      <c r="AZ371" s="1946"/>
      <c r="BA371" s="1946"/>
      <c r="BB371" s="1946"/>
      <c r="BC371" s="1946"/>
      <c r="BD371" s="1946"/>
      <c r="BE371" s="1946"/>
      <c r="BF371" s="1946"/>
      <c r="BG371" s="7213"/>
    </row>
    <row customHeight="1" ht="11.25">
      <c r="A372" s="1290" t="s">
        <v>1218</v>
      </c>
      <c r="B372" s="1290"/>
      <c r="C372" s="1290"/>
      <c r="D372" s="1284"/>
      <c r="E372" s="1294"/>
      <c r="F372" s="1952"/>
      <c r="G372" s="1953"/>
      <c r="H372" s="2652" t="s">
        <v>116</v>
      </c>
      <c r="I372" s="2653"/>
      <c r="J372" s="2622"/>
      <c r="K372" s="2654"/>
      <c r="L372" s="2244"/>
      <c r="M372" s="2245"/>
      <c r="N372" s="2645"/>
      <c r="O372" s="2646"/>
      <c r="P372" s="2649"/>
      <c r="Q372" s="11136"/>
      <c r="R372" s="2650"/>
      <c r="S372" s="2651"/>
      <c r="T372" s="2650"/>
      <c r="U372" s="2650"/>
      <c r="V372" s="2650"/>
      <c r="W372" s="2650"/>
      <c r="X372" s="2650"/>
      <c r="Y372" s="2650"/>
      <c r="Z372" s="1299"/>
      <c r="AA372" s="1300"/>
      <c r="AB372" s="1365" t="s">
        <v>1309</v>
      </c>
      <c r="AC372" s="1304"/>
      <c r="AD372" s="1304"/>
      <c r="AE372" s="1306"/>
      <c r="AF372" s="2643"/>
      <c r="AG372" s="2644"/>
      <c r="AH372" s="2644"/>
      <c r="AI372" s="2643"/>
      <c r="AJ372" s="2644"/>
      <c r="AK372" s="2644"/>
      <c r="AL372" s="2109"/>
      <c r="AM372" s="1946"/>
      <c r="AN372" s="1946"/>
      <c r="AO372" s="1946"/>
      <c r="AP372" s="1946"/>
      <c r="AQ372" s="1946"/>
      <c r="AR372" s="1946"/>
      <c r="AS372" s="1946"/>
      <c r="AT372" s="1946"/>
      <c r="AU372" s="1946"/>
      <c r="AV372" s="1946"/>
      <c r="AW372" s="1946"/>
      <c r="AX372" s="1946"/>
      <c r="AY372" s="1946"/>
      <c r="AZ372" s="1946"/>
      <c r="BA372" s="1946"/>
      <c r="BB372" s="1946"/>
      <c r="BC372" s="1946"/>
      <c r="BD372" s="1946"/>
      <c r="BE372" s="1946"/>
      <c r="BF372" s="1946"/>
      <c r="BG372" s="7213"/>
    </row>
    <row customHeight="1" ht="11.25">
      <c r="A373" s="1290" t="s">
        <v>1218</v>
      </c>
      <c r="B373" s="1290"/>
      <c r="C373" s="1290"/>
      <c r="D373" s="1284"/>
      <c r="E373" s="1294"/>
      <c r="F373" s="1952"/>
      <c r="G373" s="1953"/>
      <c r="H373" s="2652" t="s">
        <v>116</v>
      </c>
      <c r="I373" s="2653"/>
      <c r="J373" s="2622"/>
      <c r="K373" s="2654"/>
      <c r="L373" s="2244"/>
      <c r="M373" s="2245"/>
      <c r="N373" s="1299"/>
      <c r="O373" s="1300"/>
      <c r="P373" s="1292" t="s">
        <v>1310</v>
      </c>
      <c r="Q373" s="1300"/>
      <c r="R373" s="1300"/>
      <c r="S373" s="1300"/>
      <c r="T373" s="1300"/>
      <c r="U373" s="1300"/>
      <c r="V373" s="1300"/>
      <c r="W373" s="1300"/>
      <c r="X373" s="1300"/>
      <c r="Y373" s="1300"/>
      <c r="Z373" s="1300"/>
      <c r="AA373" s="1300"/>
      <c r="AB373" s="1300"/>
      <c r="AC373" s="1300"/>
      <c r="AD373" s="1300"/>
      <c r="AE373" s="1307"/>
      <c r="AF373" s="2643"/>
      <c r="AG373" s="2644"/>
      <c r="AH373" s="2644"/>
      <c r="AI373" s="2643"/>
      <c r="AJ373" s="2644"/>
      <c r="AK373" s="2644"/>
      <c r="AL373" s="2109"/>
      <c r="AM373" s="1946"/>
      <c r="AN373" s="1946"/>
      <c r="AO373" s="1946"/>
      <c r="AP373" s="1946"/>
      <c r="AQ373" s="1946"/>
      <c r="AR373" s="1946"/>
      <c r="AS373" s="1946"/>
      <c r="AT373" s="1946"/>
      <c r="AU373" s="1946"/>
      <c r="AV373" s="1946"/>
      <c r="AW373" s="1946"/>
      <c r="AX373" s="1946"/>
      <c r="AY373" s="1946"/>
      <c r="AZ373" s="1946"/>
      <c r="BA373" s="1946"/>
      <c r="BB373" s="1946"/>
      <c r="BC373" s="1946"/>
      <c r="BD373" s="1946"/>
      <c r="BE373" s="1946"/>
      <c r="BF373" s="1946"/>
      <c r="BG373" s="7213"/>
    </row>
    <row customHeight="1" ht="12">
      <c r="A374" s="1290" t="s">
        <v>1218</v>
      </c>
      <c r="B374" s="1290"/>
      <c r="C374" s="1290"/>
      <c r="D374" s="1284"/>
      <c r="E374" s="1294"/>
      <c r="F374" s="2674"/>
      <c r="G374" s="1314"/>
      <c r="H374" s="1314"/>
      <c r="I374" s="2672" t="s">
        <v>1294</v>
      </c>
      <c r="J374" s="2672"/>
      <c r="K374" s="2672"/>
      <c r="L374" s="1297"/>
      <c r="M374" s="1297"/>
      <c r="N374" s="1298"/>
      <c r="O374" s="1298"/>
      <c r="P374" s="1298"/>
      <c r="Q374" s="1298"/>
      <c r="R374" s="1298"/>
      <c r="S374" s="1298"/>
      <c r="T374" s="1298"/>
      <c r="U374" s="1298"/>
      <c r="V374" s="1298"/>
      <c r="W374" s="1298"/>
      <c r="X374" s="1298"/>
      <c r="Y374" s="1298"/>
      <c r="Z374" s="1298"/>
      <c r="AA374" s="1298"/>
      <c r="AB374" s="1298"/>
      <c r="AC374" s="1298"/>
      <c r="AD374" s="1298"/>
      <c r="AE374" s="1298"/>
      <c r="AF374" s="1298"/>
      <c r="AG374" s="1297"/>
      <c r="AH374" s="1297"/>
      <c r="AI374" s="1298"/>
      <c r="AJ374" s="1297"/>
      <c r="AK374" s="1298"/>
      <c r="AL374" s="2109"/>
      <c r="AM374" s="1946"/>
      <c r="AN374" s="1946"/>
      <c r="AO374" s="1946"/>
      <c r="AP374" s="1946"/>
      <c r="AQ374" s="1946"/>
      <c r="AR374" s="1946"/>
      <c r="AS374" s="1946"/>
      <c r="AT374" s="1946"/>
      <c r="AU374" s="1946"/>
      <c r="AV374" s="1946"/>
      <c r="AW374" s="1946"/>
      <c r="AX374" s="1946"/>
      <c r="AY374" s="1946"/>
      <c r="AZ374" s="1946"/>
      <c r="BA374" s="1946"/>
      <c r="BB374" s="1946"/>
      <c r="BC374" s="1946"/>
      <c r="BD374" s="1946"/>
      <c r="BE374" s="1946"/>
      <c r="BF374" s="1946"/>
      <c r="BG374" s="7213"/>
    </row>
    <row customHeight="1" ht="0.75">
      <c r="A375" s="1290" t="s">
        <v>1218</v>
      </c>
      <c r="B375" s="1290"/>
      <c r="C375" s="1290"/>
      <c r="D375" s="1284"/>
      <c r="E375" s="1294"/>
      <c r="F375" s="2673">
        <v>2025</v>
      </c>
      <c r="G375" s="2652"/>
      <c r="H375" s="2677" t="s">
        <v>488</v>
      </c>
      <c r="I375" s="2678"/>
      <c r="J375" s="2679"/>
      <c r="K375" s="2679"/>
      <c r="L375" s="2671"/>
      <c r="M375" s="2405"/>
      <c r="N375" s="2157"/>
      <c r="O375" s="2156"/>
      <c r="P375" s="2157"/>
      <c r="Q375" s="2157"/>
      <c r="R375" s="2157"/>
      <c r="S375" s="2157"/>
      <c r="T375" s="2157"/>
      <c r="U375" s="2157"/>
      <c r="V375" s="2157"/>
      <c r="W375" s="2157"/>
      <c r="X375" s="2157"/>
      <c r="Y375" s="2157"/>
      <c r="Z375" s="2157"/>
      <c r="AA375" s="2157"/>
      <c r="AB375" s="2157"/>
      <c r="AC375" s="2157"/>
      <c r="AD375" s="2157"/>
      <c r="AE375" s="2157"/>
      <c r="AF375" s="2675"/>
      <c r="AG375" s="2671"/>
      <c r="AH375" s="2671"/>
      <c r="AI375" s="2675"/>
      <c r="AJ375" s="2671"/>
      <c r="AK375" s="2671"/>
      <c r="AL375" s="2109"/>
      <c r="AM375" s="1946"/>
      <c r="AN375" s="1946"/>
      <c r="AO375" s="1946"/>
      <c r="AP375" s="1946"/>
      <c r="AQ375" s="1946"/>
      <c r="AR375" s="1946"/>
      <c r="AS375" s="1946"/>
      <c r="AT375" s="1946"/>
      <c r="AU375" s="1946"/>
      <c r="AV375" s="1946"/>
      <c r="AW375" s="1946"/>
      <c r="AX375" s="1946"/>
      <c r="AY375" s="1946"/>
      <c r="AZ375" s="1946"/>
      <c r="BA375" s="1946"/>
      <c r="BB375" s="1946"/>
      <c r="BC375" s="1946"/>
      <c r="BD375" s="1946"/>
      <c r="BE375" s="1946"/>
      <c r="BF375" s="1946"/>
      <c r="BG375" s="7213"/>
    </row>
    <row customHeight="1" ht="0.75">
      <c r="A376" s="1290" t="s">
        <v>1218</v>
      </c>
      <c r="B376" s="1290"/>
      <c r="C376" s="1290"/>
      <c r="D376" s="1284"/>
      <c r="E376" s="1294"/>
      <c r="F376" s="2673"/>
      <c r="G376" s="2652"/>
      <c r="H376" s="2677"/>
      <c r="I376" s="2678"/>
      <c r="J376" s="2679"/>
      <c r="K376" s="2679"/>
      <c r="L376" s="2671"/>
      <c r="M376" s="2405"/>
      <c r="N376" s="2680"/>
      <c r="O376" s="2681"/>
      <c r="P376" s="2725"/>
      <c r="Q376" s="2676"/>
      <c r="R376" s="2676"/>
      <c r="S376" s="2676"/>
      <c r="T376" s="2676"/>
      <c r="U376" s="2676"/>
      <c r="V376" s="2676"/>
      <c r="W376" s="2676"/>
      <c r="X376" s="2676"/>
      <c r="Y376" s="2676"/>
      <c r="Z376" s="2158"/>
      <c r="AA376" s="2159"/>
      <c r="AB376" s="2159"/>
      <c r="AC376" s="2160"/>
      <c r="AD376" s="2160"/>
      <c r="AE376" s="2161"/>
      <c r="AF376" s="2675"/>
      <c r="AG376" s="2671"/>
      <c r="AH376" s="2671"/>
      <c r="AI376" s="2675"/>
      <c r="AJ376" s="2671"/>
      <c r="AK376" s="2671"/>
      <c r="AL376" s="2109"/>
      <c r="AM376" s="1946"/>
      <c r="AN376" s="1946"/>
      <c r="AO376" s="1946"/>
      <c r="AP376" s="1946"/>
      <c r="AQ376" s="1946"/>
      <c r="AR376" s="1946"/>
      <c r="AS376" s="1946"/>
      <c r="AT376" s="1946"/>
      <c r="AU376" s="1946"/>
      <c r="AV376" s="1946"/>
      <c r="AW376" s="1946"/>
      <c r="AX376" s="1946"/>
      <c r="AY376" s="1946"/>
      <c r="AZ376" s="1946"/>
      <c r="BA376" s="1946"/>
      <c r="BB376" s="1946"/>
      <c r="BC376" s="1946"/>
      <c r="BD376" s="1946"/>
      <c r="BE376" s="1946"/>
      <c r="BF376" s="1946"/>
      <c r="BG376" s="7213"/>
    </row>
    <row customHeight="1" ht="0.75">
      <c r="A377" s="1290" t="s">
        <v>1218</v>
      </c>
      <c r="B377" s="1290"/>
      <c r="C377" s="1290"/>
      <c r="D377" s="1284"/>
      <c r="E377" s="1294"/>
      <c r="F377" s="2673"/>
      <c r="G377" s="2652"/>
      <c r="H377" s="2677"/>
      <c r="I377" s="2678"/>
      <c r="J377" s="2679"/>
      <c r="K377" s="2679"/>
      <c r="L377" s="2671"/>
      <c r="M377" s="2405"/>
      <c r="N377" s="2680"/>
      <c r="O377" s="2681"/>
      <c r="P377" s="2726"/>
      <c r="Q377" s="2676"/>
      <c r="R377" s="2676"/>
      <c r="S377" s="2676"/>
      <c r="T377" s="2676"/>
      <c r="U377" s="2676"/>
      <c r="V377" s="2676"/>
      <c r="W377" s="2676"/>
      <c r="X377" s="2676"/>
      <c r="Y377" s="2676"/>
      <c r="Z377" s="2162"/>
      <c r="AA377" s="2163"/>
      <c r="AB377" s="2164"/>
      <c r="AC377" s="2165"/>
      <c r="AD377" s="2164"/>
      <c r="AE377" s="2165"/>
      <c r="AF377" s="2675"/>
      <c r="AG377" s="2671"/>
      <c r="AH377" s="2671"/>
      <c r="AI377" s="2675"/>
      <c r="AJ377" s="2671"/>
      <c r="AK377" s="2671"/>
      <c r="AL377" s="2109"/>
      <c r="AM377" s="1946"/>
      <c r="AN377" s="1946"/>
      <c r="AO377" s="1946"/>
      <c r="AP377" s="1946"/>
      <c r="AQ377" s="1946"/>
      <c r="AR377" s="1946"/>
      <c r="AS377" s="1946"/>
      <c r="AT377" s="1946"/>
      <c r="AU377" s="1946"/>
      <c r="AV377" s="1946"/>
      <c r="AW377" s="1946"/>
      <c r="AX377" s="1946"/>
      <c r="AY377" s="1946"/>
      <c r="AZ377" s="1946"/>
      <c r="BA377" s="1946"/>
      <c r="BB377" s="1946"/>
      <c r="BC377" s="1946"/>
      <c r="BD377" s="1946"/>
      <c r="BE377" s="1946"/>
      <c r="BF377" s="1946"/>
      <c r="BG377" s="7213"/>
    </row>
    <row customHeight="1" ht="0.75">
      <c r="A378" s="1290" t="s">
        <v>1218</v>
      </c>
      <c r="B378" s="1290"/>
      <c r="C378" s="1290"/>
      <c r="D378" s="1284"/>
      <c r="E378" s="1294"/>
      <c r="F378" s="2673"/>
      <c r="G378" s="2652"/>
      <c r="H378" s="2677"/>
      <c r="I378" s="2678"/>
      <c r="J378" s="2679"/>
      <c r="K378" s="2679"/>
      <c r="L378" s="2671"/>
      <c r="M378" s="2405"/>
      <c r="N378" s="2680"/>
      <c r="O378" s="2681"/>
      <c r="P378" s="2727"/>
      <c r="Q378" s="2676"/>
      <c r="R378" s="2676"/>
      <c r="S378" s="2676"/>
      <c r="T378" s="2676"/>
      <c r="U378" s="2676"/>
      <c r="V378" s="2676"/>
      <c r="W378" s="2676"/>
      <c r="X378" s="2676"/>
      <c r="Y378" s="2676"/>
      <c r="Z378" s="2158"/>
      <c r="AA378" s="2159"/>
      <c r="AB378" s="2166"/>
      <c r="AC378" s="2160"/>
      <c r="AD378" s="2160"/>
      <c r="AE378" s="2167"/>
      <c r="AF378" s="2675"/>
      <c r="AG378" s="2671"/>
      <c r="AH378" s="2671"/>
      <c r="AI378" s="2675"/>
      <c r="AJ378" s="2671"/>
      <c r="AK378" s="2671"/>
      <c r="AL378" s="2109"/>
      <c r="AM378" s="1946"/>
      <c r="AN378" s="1946"/>
      <c r="AO378" s="1946"/>
      <c r="AP378" s="1946"/>
      <c r="AQ378" s="1946"/>
      <c r="AR378" s="1946"/>
      <c r="AS378" s="1946"/>
      <c r="AT378" s="1946"/>
      <c r="AU378" s="1946"/>
      <c r="AV378" s="1946"/>
      <c r="AW378" s="1946"/>
      <c r="AX378" s="1946"/>
      <c r="AY378" s="1946"/>
      <c r="AZ378" s="1946"/>
      <c r="BA378" s="1946"/>
      <c r="BB378" s="1946"/>
      <c r="BC378" s="1946"/>
      <c r="BD378" s="1946"/>
      <c r="BE378" s="1946"/>
      <c r="BF378" s="1946"/>
      <c r="BG378" s="7213"/>
    </row>
    <row customHeight="1" ht="0.75">
      <c r="A379" s="1290" t="s">
        <v>1218</v>
      </c>
      <c r="B379" s="1290"/>
      <c r="C379" s="1290"/>
      <c r="D379" s="1284"/>
      <c r="E379" s="1294"/>
      <c r="F379" s="2673"/>
      <c r="G379" s="2652"/>
      <c r="H379" s="2677"/>
      <c r="I379" s="2678"/>
      <c r="J379" s="2679"/>
      <c r="K379" s="2679"/>
      <c r="L379" s="2671"/>
      <c r="M379" s="2405"/>
      <c r="N379" s="2159"/>
      <c r="O379" s="2159"/>
      <c r="P379" s="2166"/>
      <c r="Q379" s="2159"/>
      <c r="R379" s="2159"/>
      <c r="S379" s="2159"/>
      <c r="T379" s="2159"/>
      <c r="U379" s="2159"/>
      <c r="V379" s="2159"/>
      <c r="W379" s="2159"/>
      <c r="X379" s="2159"/>
      <c r="Y379" s="2159"/>
      <c r="Z379" s="2159"/>
      <c r="AA379" s="2159"/>
      <c r="AB379" s="2159"/>
      <c r="AC379" s="2159"/>
      <c r="AD379" s="2159"/>
      <c r="AE379" s="2168"/>
      <c r="AF379" s="2675"/>
      <c r="AG379" s="2671"/>
      <c r="AH379" s="2671"/>
      <c r="AI379" s="2675"/>
      <c r="AJ379" s="2671"/>
      <c r="AK379" s="2671"/>
      <c r="AL379" s="2109"/>
      <c r="AM379" s="1946"/>
      <c r="AN379" s="1946"/>
      <c r="AO379" s="1946"/>
      <c r="AP379" s="1946"/>
      <c r="AQ379" s="1946"/>
      <c r="AR379" s="1946"/>
      <c r="AS379" s="1946"/>
      <c r="AT379" s="1946"/>
      <c r="AU379" s="1946"/>
      <c r="AV379" s="1946"/>
      <c r="AW379" s="1946"/>
      <c r="AX379" s="1946"/>
      <c r="AY379" s="1946"/>
      <c r="AZ379" s="1946"/>
      <c r="BA379" s="1946"/>
      <c r="BB379" s="1946"/>
      <c r="BC379" s="1946"/>
      <c r="BD379" s="1946"/>
      <c r="BE379" s="1946"/>
      <c r="BF379" s="1946"/>
      <c r="BG379" s="7213"/>
    </row>
    <row customHeight="1" ht="12">
      <c r="A380" s="1290" t="s">
        <v>1218</v>
      </c>
      <c r="B380" s="1290"/>
      <c r="C380" s="1290"/>
      <c r="D380" s="1284"/>
      <c r="E380" s="1294"/>
      <c r="F380" s="2674"/>
      <c r="G380" s="1314"/>
      <c r="H380" s="1314"/>
      <c r="I380" s="2672" t="s">
        <v>1294</v>
      </c>
      <c r="J380" s="2672"/>
      <c r="K380" s="2672"/>
      <c r="L380" s="1297"/>
      <c r="M380" s="1297"/>
      <c r="N380" s="1298"/>
      <c r="O380" s="1298"/>
      <c r="P380" s="1298"/>
      <c r="Q380" s="1298"/>
      <c r="R380" s="1298"/>
      <c r="S380" s="1298"/>
      <c r="T380" s="1298"/>
      <c r="U380" s="1298"/>
      <c r="V380" s="1298"/>
      <c r="W380" s="1298"/>
      <c r="X380" s="1298"/>
      <c r="Y380" s="1298"/>
      <c r="Z380" s="1298"/>
      <c r="AA380" s="1298"/>
      <c r="AB380" s="1298"/>
      <c r="AC380" s="1298"/>
      <c r="AD380" s="1298"/>
      <c r="AE380" s="1298"/>
      <c r="AF380" s="1298"/>
      <c r="AG380" s="1297"/>
      <c r="AH380" s="1297"/>
      <c r="AI380" s="1298"/>
      <c r="AJ380" s="1297"/>
      <c r="AK380" s="1298"/>
      <c r="AL380" s="2109"/>
      <c r="AM380" s="1946"/>
      <c r="AN380" s="1946"/>
      <c r="AO380" s="1946"/>
      <c r="AP380" s="1946"/>
      <c r="AQ380" s="1946"/>
      <c r="AR380" s="1946"/>
      <c r="AS380" s="1946"/>
      <c r="AT380" s="1946"/>
      <c r="AU380" s="1946"/>
      <c r="AV380" s="1946"/>
      <c r="AW380" s="1946"/>
      <c r="AX380" s="1946"/>
      <c r="AY380" s="1946"/>
      <c r="AZ380" s="1946"/>
      <c r="BA380" s="1946"/>
      <c r="BB380" s="1946"/>
      <c r="BC380" s="1946"/>
      <c r="BD380" s="1946"/>
      <c r="BE380" s="1946"/>
      <c r="BF380" s="1946"/>
      <c r="BG380" s="7213"/>
    </row>
    <row customHeight="1" ht="0.75">
      <c r="A381" s="1290" t="s">
        <v>1218</v>
      </c>
      <c r="B381" s="1290"/>
      <c r="C381" s="1290"/>
      <c r="D381" s="1284"/>
      <c r="E381" s="1294"/>
      <c r="F381" s="2673">
        <v>2026</v>
      </c>
      <c r="G381" s="2652"/>
      <c r="H381" s="2677" t="s">
        <v>488</v>
      </c>
      <c r="I381" s="2678"/>
      <c r="J381" s="2679"/>
      <c r="K381" s="2679"/>
      <c r="L381" s="2671"/>
      <c r="M381" s="2405"/>
      <c r="N381" s="2157"/>
      <c r="O381" s="2156"/>
      <c r="P381" s="2157"/>
      <c r="Q381" s="2157"/>
      <c r="R381" s="2157"/>
      <c r="S381" s="2157"/>
      <c r="T381" s="2157"/>
      <c r="U381" s="2157"/>
      <c r="V381" s="2157"/>
      <c r="W381" s="2157"/>
      <c r="X381" s="2157"/>
      <c r="Y381" s="2157"/>
      <c r="Z381" s="2157"/>
      <c r="AA381" s="2157"/>
      <c r="AB381" s="2157"/>
      <c r="AC381" s="2157"/>
      <c r="AD381" s="2157"/>
      <c r="AE381" s="2157"/>
      <c r="AF381" s="2675"/>
      <c r="AG381" s="2671"/>
      <c r="AH381" s="2671"/>
      <c r="AI381" s="2675"/>
      <c r="AJ381" s="2671"/>
      <c r="AK381" s="2671"/>
      <c r="AL381" s="2109"/>
      <c r="AM381" s="1946"/>
      <c r="AN381" s="1946"/>
      <c r="AO381" s="1946"/>
      <c r="AP381" s="1946"/>
      <c r="AQ381" s="1946"/>
      <c r="AR381" s="1946"/>
      <c r="AS381" s="1946"/>
      <c r="AT381" s="1946"/>
      <c r="AU381" s="1946"/>
      <c r="AV381" s="1946"/>
      <c r="AW381" s="1946"/>
      <c r="AX381" s="1946"/>
      <c r="AY381" s="1946"/>
      <c r="AZ381" s="1946"/>
      <c r="BA381" s="1946"/>
      <c r="BB381" s="1946"/>
      <c r="BC381" s="1946"/>
      <c r="BD381" s="1946"/>
      <c r="BE381" s="1946"/>
      <c r="BF381" s="1946"/>
      <c r="BG381" s="7213"/>
    </row>
    <row customHeight="1" ht="0.75">
      <c r="A382" s="1290" t="s">
        <v>1218</v>
      </c>
      <c r="B382" s="1290"/>
      <c r="C382" s="1290"/>
      <c r="D382" s="1284"/>
      <c r="E382" s="1294"/>
      <c r="F382" s="2673"/>
      <c r="G382" s="2652"/>
      <c r="H382" s="2677"/>
      <c r="I382" s="2678"/>
      <c r="J382" s="2679"/>
      <c r="K382" s="2679"/>
      <c r="L382" s="2671"/>
      <c r="M382" s="2405"/>
      <c r="N382" s="2680"/>
      <c r="O382" s="2681"/>
      <c r="P382" s="2725"/>
      <c r="Q382" s="2676"/>
      <c r="R382" s="2676"/>
      <c r="S382" s="2676"/>
      <c r="T382" s="2676"/>
      <c r="U382" s="2676"/>
      <c r="V382" s="2676"/>
      <c r="W382" s="2676"/>
      <c r="X382" s="2676"/>
      <c r="Y382" s="2676"/>
      <c r="Z382" s="2158"/>
      <c r="AA382" s="2159"/>
      <c r="AB382" s="2159"/>
      <c r="AC382" s="2160"/>
      <c r="AD382" s="2160"/>
      <c r="AE382" s="2161"/>
      <c r="AF382" s="2675"/>
      <c r="AG382" s="2671"/>
      <c r="AH382" s="2671"/>
      <c r="AI382" s="2675"/>
      <c r="AJ382" s="2671"/>
      <c r="AK382" s="2671"/>
      <c r="AL382" s="2109"/>
      <c r="AM382" s="1946"/>
      <c r="AN382" s="1946"/>
      <c r="AO382" s="1946"/>
      <c r="AP382" s="1946"/>
      <c r="AQ382" s="1946"/>
      <c r="AR382" s="1946"/>
      <c r="AS382" s="1946"/>
      <c r="AT382" s="1946"/>
      <c r="AU382" s="1946"/>
      <c r="AV382" s="1946"/>
      <c r="AW382" s="1946"/>
      <c r="AX382" s="1946"/>
      <c r="AY382" s="1946"/>
      <c r="AZ382" s="1946"/>
      <c r="BA382" s="1946"/>
      <c r="BB382" s="1946"/>
      <c r="BC382" s="1946"/>
      <c r="BD382" s="1946"/>
      <c r="BE382" s="1946"/>
      <c r="BF382" s="1946"/>
      <c r="BG382" s="7213"/>
    </row>
    <row customHeight="1" ht="0.75">
      <c r="A383" s="1290" t="s">
        <v>1218</v>
      </c>
      <c r="B383" s="1290"/>
      <c r="C383" s="1290"/>
      <c r="D383" s="1284"/>
      <c r="E383" s="1294"/>
      <c r="F383" s="2673"/>
      <c r="G383" s="2652"/>
      <c r="H383" s="2677"/>
      <c r="I383" s="2678"/>
      <c r="J383" s="2679"/>
      <c r="K383" s="2679"/>
      <c r="L383" s="2671"/>
      <c r="M383" s="2405"/>
      <c r="N383" s="2680"/>
      <c r="O383" s="2681"/>
      <c r="P383" s="2726"/>
      <c r="Q383" s="2676"/>
      <c r="R383" s="2676"/>
      <c r="S383" s="2676"/>
      <c r="T383" s="2676"/>
      <c r="U383" s="2676"/>
      <c r="V383" s="2676"/>
      <c r="W383" s="2676"/>
      <c r="X383" s="2676"/>
      <c r="Y383" s="2676"/>
      <c r="Z383" s="2162"/>
      <c r="AA383" s="2163"/>
      <c r="AB383" s="2164"/>
      <c r="AC383" s="2165"/>
      <c r="AD383" s="2164"/>
      <c r="AE383" s="2165"/>
      <c r="AF383" s="2675"/>
      <c r="AG383" s="2671"/>
      <c r="AH383" s="2671"/>
      <c r="AI383" s="2675"/>
      <c r="AJ383" s="2671"/>
      <c r="AK383" s="2671"/>
      <c r="AL383" s="2109"/>
      <c r="AM383" s="1946"/>
      <c r="AN383" s="1946"/>
      <c r="AO383" s="1946"/>
      <c r="AP383" s="1946"/>
      <c r="AQ383" s="1946"/>
      <c r="AR383" s="1946"/>
      <c r="AS383" s="1946"/>
      <c r="AT383" s="1946"/>
      <c r="AU383" s="1946"/>
      <c r="AV383" s="1946"/>
      <c r="AW383" s="1946"/>
      <c r="AX383" s="1946"/>
      <c r="AY383" s="1946"/>
      <c r="AZ383" s="1946"/>
      <c r="BA383" s="1946"/>
      <c r="BB383" s="1946"/>
      <c r="BC383" s="1946"/>
      <c r="BD383" s="1946"/>
      <c r="BE383" s="1946"/>
      <c r="BF383" s="1946"/>
      <c r="BG383" s="7213"/>
    </row>
    <row customHeight="1" ht="0.75">
      <c r="A384" s="1290" t="s">
        <v>1218</v>
      </c>
      <c r="B384" s="1290"/>
      <c r="C384" s="1290"/>
      <c r="D384" s="1284"/>
      <c r="E384" s="1294"/>
      <c r="F384" s="2673"/>
      <c r="G384" s="2652"/>
      <c r="H384" s="2677"/>
      <c r="I384" s="2678"/>
      <c r="J384" s="2679"/>
      <c r="K384" s="2679"/>
      <c r="L384" s="2671"/>
      <c r="M384" s="2405"/>
      <c r="N384" s="2680"/>
      <c r="O384" s="2681"/>
      <c r="P384" s="2727"/>
      <c r="Q384" s="2676"/>
      <c r="R384" s="2676"/>
      <c r="S384" s="2676"/>
      <c r="T384" s="2676"/>
      <c r="U384" s="2676"/>
      <c r="V384" s="2676"/>
      <c r="W384" s="2676"/>
      <c r="X384" s="2676"/>
      <c r="Y384" s="2676"/>
      <c r="Z384" s="2158"/>
      <c r="AA384" s="2159"/>
      <c r="AB384" s="2166"/>
      <c r="AC384" s="2160"/>
      <c r="AD384" s="2160"/>
      <c r="AE384" s="2167"/>
      <c r="AF384" s="2675"/>
      <c r="AG384" s="2671"/>
      <c r="AH384" s="2671"/>
      <c r="AI384" s="2675"/>
      <c r="AJ384" s="2671"/>
      <c r="AK384" s="2671"/>
      <c r="AL384" s="2109"/>
      <c r="AM384" s="1946"/>
      <c r="AN384" s="1946"/>
      <c r="AO384" s="1946"/>
      <c r="AP384" s="1946"/>
      <c r="AQ384" s="1946"/>
      <c r="AR384" s="1946"/>
      <c r="AS384" s="1946"/>
      <c r="AT384" s="1946"/>
      <c r="AU384" s="1946"/>
      <c r="AV384" s="1946"/>
      <c r="AW384" s="1946"/>
      <c r="AX384" s="1946"/>
      <c r="AY384" s="1946"/>
      <c r="AZ384" s="1946"/>
      <c r="BA384" s="1946"/>
      <c r="BB384" s="1946"/>
      <c r="BC384" s="1946"/>
      <c r="BD384" s="1946"/>
      <c r="BE384" s="1946"/>
      <c r="BF384" s="1946"/>
      <c r="BG384" s="7213"/>
    </row>
    <row customHeight="1" ht="0.75">
      <c r="A385" s="1290" t="s">
        <v>1218</v>
      </c>
      <c r="B385" s="1290"/>
      <c r="C385" s="1290"/>
      <c r="D385" s="1284"/>
      <c r="E385" s="1294"/>
      <c r="F385" s="2673"/>
      <c r="G385" s="2652"/>
      <c r="H385" s="2677"/>
      <c r="I385" s="2678"/>
      <c r="J385" s="2679"/>
      <c r="K385" s="2679"/>
      <c r="L385" s="2671"/>
      <c r="M385" s="2405"/>
      <c r="N385" s="2159"/>
      <c r="O385" s="2159"/>
      <c r="P385" s="2166"/>
      <c r="Q385" s="2159"/>
      <c r="R385" s="2159"/>
      <c r="S385" s="2159"/>
      <c r="T385" s="2159"/>
      <c r="U385" s="2159"/>
      <c r="V385" s="2159"/>
      <c r="W385" s="2159"/>
      <c r="X385" s="2159"/>
      <c r="Y385" s="2159"/>
      <c r="Z385" s="2159"/>
      <c r="AA385" s="2159"/>
      <c r="AB385" s="2159"/>
      <c r="AC385" s="2159"/>
      <c r="AD385" s="2159"/>
      <c r="AE385" s="2168"/>
      <c r="AF385" s="2675"/>
      <c r="AG385" s="2671"/>
      <c r="AH385" s="2671"/>
      <c r="AI385" s="2675"/>
      <c r="AJ385" s="2671"/>
      <c r="AK385" s="2671"/>
      <c r="AL385" s="2109"/>
      <c r="AM385" s="1946"/>
      <c r="AN385" s="1946"/>
      <c r="AO385" s="1946"/>
      <c r="AP385" s="1946"/>
      <c r="AQ385" s="1946"/>
      <c r="AR385" s="1946"/>
      <c r="AS385" s="1946"/>
      <c r="AT385" s="1946"/>
      <c r="AU385" s="1946"/>
      <c r="AV385" s="1946"/>
      <c r="AW385" s="1946"/>
      <c r="AX385" s="1946"/>
      <c r="AY385" s="1946"/>
      <c r="AZ385" s="1946"/>
      <c r="BA385" s="1946"/>
      <c r="BB385" s="1946"/>
      <c r="BC385" s="1946"/>
      <c r="BD385" s="1946"/>
      <c r="BE385" s="1946"/>
      <c r="BF385" s="1946"/>
      <c r="BG385" s="7213"/>
    </row>
    <row customHeight="1" ht="12">
      <c r="A386" s="1290" t="s">
        <v>1218</v>
      </c>
      <c r="B386" s="1290"/>
      <c r="C386" s="1290"/>
      <c r="D386" s="1284"/>
      <c r="E386" s="1294"/>
      <c r="F386" s="2674"/>
      <c r="G386" s="1314"/>
      <c r="H386" s="1314"/>
      <c r="I386" s="2672" t="s">
        <v>1294</v>
      </c>
      <c r="J386" s="2672"/>
      <c r="K386" s="2672"/>
      <c r="L386" s="1297"/>
      <c r="M386" s="1297"/>
      <c r="N386" s="1298"/>
      <c r="O386" s="1298"/>
      <c r="P386" s="1298"/>
      <c r="Q386" s="1298"/>
      <c r="R386" s="1298"/>
      <c r="S386" s="1298"/>
      <c r="T386" s="1298"/>
      <c r="U386" s="1298"/>
      <c r="V386" s="1298"/>
      <c r="W386" s="1298"/>
      <c r="X386" s="1298"/>
      <c r="Y386" s="1298"/>
      <c r="Z386" s="1298"/>
      <c r="AA386" s="1298"/>
      <c r="AB386" s="1298"/>
      <c r="AC386" s="1298"/>
      <c r="AD386" s="1298"/>
      <c r="AE386" s="1298"/>
      <c r="AF386" s="1298"/>
      <c r="AG386" s="1297"/>
      <c r="AH386" s="1297"/>
      <c r="AI386" s="1298"/>
      <c r="AJ386" s="1297"/>
      <c r="AK386" s="1298"/>
      <c r="AL386" s="2109"/>
      <c r="AM386" s="1946"/>
      <c r="AN386" s="1946"/>
      <c r="AO386" s="1946"/>
      <c r="AP386" s="1946"/>
      <c r="AQ386" s="1946"/>
      <c r="AR386" s="1946"/>
      <c r="AS386" s="1946"/>
      <c r="AT386" s="1946"/>
      <c r="AU386" s="1946"/>
      <c r="AV386" s="1946"/>
      <c r="AW386" s="1946"/>
      <c r="AX386" s="1946"/>
      <c r="AY386" s="1946"/>
      <c r="AZ386" s="1946"/>
      <c r="BA386" s="1946"/>
      <c r="BB386" s="1946"/>
      <c r="BC386" s="1946"/>
      <c r="BD386" s="1946"/>
      <c r="BE386" s="1946"/>
      <c r="BF386" s="1946"/>
      <c r="BG386" s="7213"/>
    </row>
    <row customHeight="1" ht="0.75">
      <c r="A387" s="1290" t="s">
        <v>1218</v>
      </c>
      <c r="B387" s="1290"/>
      <c r="C387" s="1290"/>
      <c r="D387" s="1284"/>
      <c r="E387" s="1294"/>
      <c r="F387" s="2673">
        <v>2027</v>
      </c>
      <c r="G387" s="2652"/>
      <c r="H387" s="2677" t="s">
        <v>488</v>
      </c>
      <c r="I387" s="2678"/>
      <c r="J387" s="2679"/>
      <c r="K387" s="2679"/>
      <c r="L387" s="2671"/>
      <c r="M387" s="2405"/>
      <c r="N387" s="2157"/>
      <c r="O387" s="2156"/>
      <c r="P387" s="2157"/>
      <c r="Q387" s="2157"/>
      <c r="R387" s="2157"/>
      <c r="S387" s="2157"/>
      <c r="T387" s="2157"/>
      <c r="U387" s="2157"/>
      <c r="V387" s="2157"/>
      <c r="W387" s="2157"/>
      <c r="X387" s="2157"/>
      <c r="Y387" s="2157"/>
      <c r="Z387" s="2157"/>
      <c r="AA387" s="2157"/>
      <c r="AB387" s="2157"/>
      <c r="AC387" s="2157"/>
      <c r="AD387" s="2157"/>
      <c r="AE387" s="2157"/>
      <c r="AF387" s="2675"/>
      <c r="AG387" s="2671"/>
      <c r="AH387" s="2671"/>
      <c r="AI387" s="2675"/>
      <c r="AJ387" s="2671"/>
      <c r="AK387" s="2671"/>
      <c r="AL387" s="2109"/>
      <c r="AM387" s="1946"/>
      <c r="AN387" s="1946"/>
      <c r="AO387" s="1946"/>
      <c r="AP387" s="1946"/>
      <c r="AQ387" s="1946"/>
      <c r="AR387" s="1946"/>
      <c r="AS387" s="1946"/>
      <c r="AT387" s="1946"/>
      <c r="AU387" s="1946"/>
      <c r="AV387" s="1946"/>
      <c r="AW387" s="1946"/>
      <c r="AX387" s="1946"/>
      <c r="AY387" s="1946"/>
      <c r="AZ387" s="1946"/>
      <c r="BA387" s="1946"/>
      <c r="BB387" s="1946"/>
      <c r="BC387" s="1946"/>
      <c r="BD387" s="1946"/>
      <c r="BE387" s="1946"/>
      <c r="BF387" s="1946"/>
      <c r="BG387" s="7213"/>
    </row>
    <row customHeight="1" ht="0.75">
      <c r="A388" s="1290" t="s">
        <v>1218</v>
      </c>
      <c r="B388" s="1290"/>
      <c r="C388" s="1290"/>
      <c r="D388" s="1284"/>
      <c r="E388" s="1294"/>
      <c r="F388" s="2673"/>
      <c r="G388" s="2652"/>
      <c r="H388" s="2677"/>
      <c r="I388" s="2678"/>
      <c r="J388" s="2679"/>
      <c r="K388" s="2679"/>
      <c r="L388" s="2671"/>
      <c r="M388" s="2405"/>
      <c r="N388" s="2680"/>
      <c r="O388" s="2681"/>
      <c r="P388" s="2725"/>
      <c r="Q388" s="2676"/>
      <c r="R388" s="2676"/>
      <c r="S388" s="2676"/>
      <c r="T388" s="2676"/>
      <c r="U388" s="2676"/>
      <c r="V388" s="2676"/>
      <c r="W388" s="2676"/>
      <c r="X388" s="2676"/>
      <c r="Y388" s="2676"/>
      <c r="Z388" s="2158"/>
      <c r="AA388" s="2159"/>
      <c r="AB388" s="2159"/>
      <c r="AC388" s="2160"/>
      <c r="AD388" s="2160"/>
      <c r="AE388" s="2161"/>
      <c r="AF388" s="2675"/>
      <c r="AG388" s="2671"/>
      <c r="AH388" s="2671"/>
      <c r="AI388" s="2675"/>
      <c r="AJ388" s="2671"/>
      <c r="AK388" s="2671"/>
      <c r="AL388" s="2109"/>
      <c r="AM388" s="1946"/>
      <c r="AN388" s="1946"/>
      <c r="AO388" s="1946"/>
      <c r="AP388" s="1946"/>
      <c r="AQ388" s="1946"/>
      <c r="AR388" s="1946"/>
      <c r="AS388" s="1946"/>
      <c r="AT388" s="1946"/>
      <c r="AU388" s="1946"/>
      <c r="AV388" s="1946"/>
      <c r="AW388" s="1946"/>
      <c r="AX388" s="1946"/>
      <c r="AY388" s="1946"/>
      <c r="AZ388" s="1946"/>
      <c r="BA388" s="1946"/>
      <c r="BB388" s="1946"/>
      <c r="BC388" s="1946"/>
      <c r="BD388" s="1946"/>
      <c r="BE388" s="1946"/>
      <c r="BF388" s="1946"/>
      <c r="BG388" s="7213"/>
    </row>
    <row customHeight="1" ht="0.75">
      <c r="A389" s="1290" t="s">
        <v>1218</v>
      </c>
      <c r="B389" s="1290"/>
      <c r="C389" s="1290"/>
      <c r="D389" s="1284"/>
      <c r="E389" s="1294"/>
      <c r="F389" s="2673"/>
      <c r="G389" s="2652"/>
      <c r="H389" s="2677"/>
      <c r="I389" s="2678"/>
      <c r="J389" s="2679"/>
      <c r="K389" s="2679"/>
      <c r="L389" s="2671"/>
      <c r="M389" s="2405"/>
      <c r="N389" s="2680"/>
      <c r="O389" s="2681"/>
      <c r="P389" s="2726"/>
      <c r="Q389" s="2676"/>
      <c r="R389" s="2676"/>
      <c r="S389" s="2676"/>
      <c r="T389" s="2676"/>
      <c r="U389" s="2676"/>
      <c r="V389" s="2676"/>
      <c r="W389" s="2676"/>
      <c r="X389" s="2676"/>
      <c r="Y389" s="2676"/>
      <c r="Z389" s="2162"/>
      <c r="AA389" s="2163"/>
      <c r="AB389" s="2164"/>
      <c r="AC389" s="2165"/>
      <c r="AD389" s="2164"/>
      <c r="AE389" s="2165"/>
      <c r="AF389" s="2675"/>
      <c r="AG389" s="2671"/>
      <c r="AH389" s="2671"/>
      <c r="AI389" s="2675"/>
      <c r="AJ389" s="2671"/>
      <c r="AK389" s="2671"/>
      <c r="AL389" s="2109"/>
      <c r="AM389" s="1946"/>
      <c r="AN389" s="1946"/>
      <c r="AO389" s="1946"/>
      <c r="AP389" s="1946"/>
      <c r="AQ389" s="1946"/>
      <c r="AR389" s="1946"/>
      <c r="AS389" s="1946"/>
      <c r="AT389" s="1946"/>
      <c r="AU389" s="1946"/>
      <c r="AV389" s="1946"/>
      <c r="AW389" s="1946"/>
      <c r="AX389" s="1946"/>
      <c r="AY389" s="1946"/>
      <c r="AZ389" s="1946"/>
      <c r="BA389" s="1946"/>
      <c r="BB389" s="1946"/>
      <c r="BC389" s="1946"/>
      <c r="BD389" s="1946"/>
      <c r="BE389" s="1946"/>
      <c r="BF389" s="1946"/>
      <c r="BG389" s="7213"/>
    </row>
    <row customHeight="1" ht="0.75">
      <c r="A390" s="1290" t="s">
        <v>1218</v>
      </c>
      <c r="B390" s="1290"/>
      <c r="C390" s="1290"/>
      <c r="D390" s="1284"/>
      <c r="E390" s="1294"/>
      <c r="F390" s="2673"/>
      <c r="G390" s="2652"/>
      <c r="H390" s="2677"/>
      <c r="I390" s="2678"/>
      <c r="J390" s="2679"/>
      <c r="K390" s="2679"/>
      <c r="L390" s="2671"/>
      <c r="M390" s="2405"/>
      <c r="N390" s="2680"/>
      <c r="O390" s="2681"/>
      <c r="P390" s="2727"/>
      <c r="Q390" s="2676"/>
      <c r="R390" s="2676"/>
      <c r="S390" s="2676"/>
      <c r="T390" s="2676"/>
      <c r="U390" s="2676"/>
      <c r="V390" s="2676"/>
      <c r="W390" s="2676"/>
      <c r="X390" s="2676"/>
      <c r="Y390" s="2676"/>
      <c r="Z390" s="2158"/>
      <c r="AA390" s="2159"/>
      <c r="AB390" s="2166"/>
      <c r="AC390" s="2160"/>
      <c r="AD390" s="2160"/>
      <c r="AE390" s="2167"/>
      <c r="AF390" s="2675"/>
      <c r="AG390" s="2671"/>
      <c r="AH390" s="2671"/>
      <c r="AI390" s="2675"/>
      <c r="AJ390" s="2671"/>
      <c r="AK390" s="2671"/>
      <c r="AL390" s="2109"/>
      <c r="AM390" s="1946"/>
      <c r="AN390" s="1946"/>
      <c r="AO390" s="1946"/>
      <c r="AP390" s="1946"/>
      <c r="AQ390" s="1946"/>
      <c r="AR390" s="1946"/>
      <c r="AS390" s="1946"/>
      <c r="AT390" s="1946"/>
      <c r="AU390" s="1946"/>
      <c r="AV390" s="1946"/>
      <c r="AW390" s="1946"/>
      <c r="AX390" s="1946"/>
      <c r="AY390" s="1946"/>
      <c r="AZ390" s="1946"/>
      <c r="BA390" s="1946"/>
      <c r="BB390" s="1946"/>
      <c r="BC390" s="1946"/>
      <c r="BD390" s="1946"/>
      <c r="BE390" s="1946"/>
      <c r="BF390" s="1946"/>
      <c r="BG390" s="7213"/>
    </row>
    <row customHeight="1" ht="0.75">
      <c r="A391" s="1290" t="s">
        <v>1218</v>
      </c>
      <c r="B391" s="1290"/>
      <c r="C391" s="1290"/>
      <c r="D391" s="1284"/>
      <c r="E391" s="1294"/>
      <c r="F391" s="2673"/>
      <c r="G391" s="2652"/>
      <c r="H391" s="2677"/>
      <c r="I391" s="2678"/>
      <c r="J391" s="2679"/>
      <c r="K391" s="2679"/>
      <c r="L391" s="2671"/>
      <c r="M391" s="2405"/>
      <c r="N391" s="2159"/>
      <c r="O391" s="2159"/>
      <c r="P391" s="2166"/>
      <c r="Q391" s="2159"/>
      <c r="R391" s="2159"/>
      <c r="S391" s="2159"/>
      <c r="T391" s="2159"/>
      <c r="U391" s="2159"/>
      <c r="V391" s="2159"/>
      <c r="W391" s="2159"/>
      <c r="X391" s="2159"/>
      <c r="Y391" s="2159"/>
      <c r="Z391" s="2159"/>
      <c r="AA391" s="2159"/>
      <c r="AB391" s="2159"/>
      <c r="AC391" s="2159"/>
      <c r="AD391" s="2159"/>
      <c r="AE391" s="2168"/>
      <c r="AF391" s="2675"/>
      <c r="AG391" s="2671"/>
      <c r="AH391" s="2671"/>
      <c r="AI391" s="2675"/>
      <c r="AJ391" s="2671"/>
      <c r="AK391" s="2671"/>
      <c r="AL391" s="2109"/>
      <c r="AM391" s="1946"/>
      <c r="AN391" s="1946"/>
      <c r="AO391" s="1946"/>
      <c r="AP391" s="1946"/>
      <c r="AQ391" s="1946"/>
      <c r="AR391" s="1946"/>
      <c r="AS391" s="1946"/>
      <c r="AT391" s="1946"/>
      <c r="AU391" s="1946"/>
      <c r="AV391" s="1946"/>
      <c r="AW391" s="1946"/>
      <c r="AX391" s="1946"/>
      <c r="AY391" s="1946"/>
      <c r="AZ391" s="1946"/>
      <c r="BA391" s="1946"/>
      <c r="BB391" s="1946"/>
      <c r="BC391" s="1946"/>
      <c r="BD391" s="1946"/>
      <c r="BE391" s="1946"/>
      <c r="BF391" s="1946"/>
      <c r="BG391" s="7213"/>
    </row>
    <row customHeight="1" ht="12">
      <c r="A392" s="1290" t="s">
        <v>1218</v>
      </c>
      <c r="B392" s="1290"/>
      <c r="C392" s="1290"/>
      <c r="D392" s="1284"/>
      <c r="E392" s="1294"/>
      <c r="F392" s="2674"/>
      <c r="G392" s="1314"/>
      <c r="H392" s="1314"/>
      <c r="I392" s="2672" t="s">
        <v>1294</v>
      </c>
      <c r="J392" s="2672"/>
      <c r="K392" s="2672"/>
      <c r="L392" s="1297"/>
      <c r="M392" s="1297"/>
      <c r="N392" s="1298"/>
      <c r="O392" s="1298"/>
      <c r="P392" s="1298"/>
      <c r="Q392" s="1298"/>
      <c r="R392" s="1298"/>
      <c r="S392" s="1298"/>
      <c r="T392" s="1298"/>
      <c r="U392" s="1298"/>
      <c r="V392" s="1298"/>
      <c r="W392" s="1298"/>
      <c r="X392" s="1298"/>
      <c r="Y392" s="1298"/>
      <c r="Z392" s="1298"/>
      <c r="AA392" s="1298"/>
      <c r="AB392" s="1298"/>
      <c r="AC392" s="1298"/>
      <c r="AD392" s="1298"/>
      <c r="AE392" s="1298"/>
      <c r="AF392" s="1298"/>
      <c r="AG392" s="1297"/>
      <c r="AH392" s="1297"/>
      <c r="AI392" s="1298"/>
      <c r="AJ392" s="1297"/>
      <c r="AK392" s="1298"/>
      <c r="AL392" s="2109"/>
      <c r="AM392" s="1946"/>
      <c r="AN392" s="1946"/>
      <c r="AO392" s="1946"/>
      <c r="AP392" s="1946"/>
      <c r="AQ392" s="1946"/>
      <c r="AR392" s="1946"/>
      <c r="AS392" s="1946"/>
      <c r="AT392" s="1946"/>
      <c r="AU392" s="1946"/>
      <c r="AV392" s="1946"/>
      <c r="AW392" s="1946"/>
      <c r="AX392" s="1946"/>
      <c r="AY392" s="1946"/>
      <c r="AZ392" s="1946"/>
      <c r="BA392" s="1946"/>
      <c r="BB392" s="1946"/>
      <c r="BC392" s="1946"/>
      <c r="BD392" s="1946"/>
      <c r="BE392" s="1946"/>
      <c r="BF392" s="1946"/>
      <c r="BG392" s="7213"/>
    </row>
    <row customHeight="1" ht="0.75">
      <c r="A393" s="1290" t="s">
        <v>1218</v>
      </c>
      <c r="B393" s="1290"/>
      <c r="C393" s="1290"/>
      <c r="D393" s="1284"/>
      <c r="E393" s="1294"/>
      <c r="F393" s="2673">
        <v>2028</v>
      </c>
      <c r="G393" s="2652"/>
      <c r="H393" s="2677" t="s">
        <v>488</v>
      </c>
      <c r="I393" s="2678"/>
      <c r="J393" s="2679"/>
      <c r="K393" s="2679"/>
      <c r="L393" s="2671"/>
      <c r="M393" s="2405"/>
      <c r="N393" s="2157"/>
      <c r="O393" s="2156"/>
      <c r="P393" s="2157"/>
      <c r="Q393" s="2157"/>
      <c r="R393" s="2157"/>
      <c r="S393" s="2157"/>
      <c r="T393" s="2157"/>
      <c r="U393" s="2157"/>
      <c r="V393" s="2157"/>
      <c r="W393" s="2157"/>
      <c r="X393" s="2157"/>
      <c r="Y393" s="2157"/>
      <c r="Z393" s="2157"/>
      <c r="AA393" s="2157"/>
      <c r="AB393" s="2157"/>
      <c r="AC393" s="2157"/>
      <c r="AD393" s="2157"/>
      <c r="AE393" s="2157"/>
      <c r="AF393" s="2675"/>
      <c r="AG393" s="2671"/>
      <c r="AH393" s="2671"/>
      <c r="AI393" s="2675"/>
      <c r="AJ393" s="2671"/>
      <c r="AK393" s="2671"/>
      <c r="AL393" s="2109"/>
      <c r="AM393" s="1946"/>
      <c r="AN393" s="1946"/>
      <c r="AO393" s="1946"/>
      <c r="AP393" s="1946"/>
      <c r="AQ393" s="1946"/>
      <c r="AR393" s="1946"/>
      <c r="AS393" s="1946"/>
      <c r="AT393" s="1946"/>
      <c r="AU393" s="1946"/>
      <c r="AV393" s="1946"/>
      <c r="AW393" s="1946"/>
      <c r="AX393" s="1946"/>
      <c r="AY393" s="1946"/>
      <c r="AZ393" s="1946"/>
      <c r="BA393" s="1946"/>
      <c r="BB393" s="1946"/>
      <c r="BC393" s="1946"/>
      <c r="BD393" s="1946"/>
      <c r="BE393" s="1946"/>
      <c r="BF393" s="1946"/>
      <c r="BG393" s="7213"/>
    </row>
    <row customHeight="1" ht="0.75">
      <c r="A394" s="1290" t="s">
        <v>1218</v>
      </c>
      <c r="B394" s="1290"/>
      <c r="C394" s="1290"/>
      <c r="D394" s="1284"/>
      <c r="E394" s="1294"/>
      <c r="F394" s="2673"/>
      <c r="G394" s="2652"/>
      <c r="H394" s="2677"/>
      <c r="I394" s="2678"/>
      <c r="J394" s="2679"/>
      <c r="K394" s="2679"/>
      <c r="L394" s="2671"/>
      <c r="M394" s="2405"/>
      <c r="N394" s="2680"/>
      <c r="O394" s="2681"/>
      <c r="P394" s="2725"/>
      <c r="Q394" s="2676"/>
      <c r="R394" s="2676"/>
      <c r="S394" s="2676"/>
      <c r="T394" s="2676"/>
      <c r="U394" s="2676"/>
      <c r="V394" s="2676"/>
      <c r="W394" s="2676"/>
      <c r="X394" s="2676"/>
      <c r="Y394" s="2676"/>
      <c r="Z394" s="2158"/>
      <c r="AA394" s="2159"/>
      <c r="AB394" s="2159"/>
      <c r="AC394" s="2160"/>
      <c r="AD394" s="2160"/>
      <c r="AE394" s="2161"/>
      <c r="AF394" s="2675"/>
      <c r="AG394" s="2671"/>
      <c r="AH394" s="2671"/>
      <c r="AI394" s="2675"/>
      <c r="AJ394" s="2671"/>
      <c r="AK394" s="2671"/>
      <c r="AL394" s="2109"/>
      <c r="AM394" s="1946"/>
      <c r="AN394" s="1946"/>
      <c r="AO394" s="1946"/>
      <c r="AP394" s="1946"/>
      <c r="AQ394" s="1946"/>
      <c r="AR394" s="1946"/>
      <c r="AS394" s="1946"/>
      <c r="AT394" s="1946"/>
      <c r="AU394" s="1946"/>
      <c r="AV394" s="1946"/>
      <c r="AW394" s="1946"/>
      <c r="AX394" s="1946"/>
      <c r="AY394" s="1946"/>
      <c r="AZ394" s="1946"/>
      <c r="BA394" s="1946"/>
      <c r="BB394" s="1946"/>
      <c r="BC394" s="1946"/>
      <c r="BD394" s="1946"/>
      <c r="BE394" s="1946"/>
      <c r="BF394" s="1946"/>
      <c r="BG394" s="7213"/>
    </row>
    <row customHeight="1" ht="0.75">
      <c r="A395" s="1290" t="s">
        <v>1218</v>
      </c>
      <c r="B395" s="1290"/>
      <c r="C395" s="1290"/>
      <c r="D395" s="1284"/>
      <c r="E395" s="1294"/>
      <c r="F395" s="2673"/>
      <c r="G395" s="2652"/>
      <c r="H395" s="2677"/>
      <c r="I395" s="2678"/>
      <c r="J395" s="2679"/>
      <c r="K395" s="2679"/>
      <c r="L395" s="2671"/>
      <c r="M395" s="2405"/>
      <c r="N395" s="2680"/>
      <c r="O395" s="2681"/>
      <c r="P395" s="2726"/>
      <c r="Q395" s="2676"/>
      <c r="R395" s="2676"/>
      <c r="S395" s="2676"/>
      <c r="T395" s="2676"/>
      <c r="U395" s="2676"/>
      <c r="V395" s="2676"/>
      <c r="W395" s="2676"/>
      <c r="X395" s="2676"/>
      <c r="Y395" s="2676"/>
      <c r="Z395" s="2162"/>
      <c r="AA395" s="2163"/>
      <c r="AB395" s="2164"/>
      <c r="AC395" s="2165"/>
      <c r="AD395" s="2164"/>
      <c r="AE395" s="2165"/>
      <c r="AF395" s="2675"/>
      <c r="AG395" s="2671"/>
      <c r="AH395" s="2671"/>
      <c r="AI395" s="2675"/>
      <c r="AJ395" s="2671"/>
      <c r="AK395" s="2671"/>
      <c r="AL395" s="2109"/>
      <c r="AM395" s="1946"/>
      <c r="AN395" s="1946"/>
      <c r="AO395" s="1946"/>
      <c r="AP395" s="1946"/>
      <c r="AQ395" s="1946"/>
      <c r="AR395" s="1946"/>
      <c r="AS395" s="1946"/>
      <c r="AT395" s="1946"/>
      <c r="AU395" s="1946"/>
      <c r="AV395" s="1946"/>
      <c r="AW395" s="1946"/>
      <c r="AX395" s="1946"/>
      <c r="AY395" s="1946"/>
      <c r="AZ395" s="1946"/>
      <c r="BA395" s="1946"/>
      <c r="BB395" s="1946"/>
      <c r="BC395" s="1946"/>
      <c r="BD395" s="1946"/>
      <c r="BE395" s="1946"/>
      <c r="BF395" s="1946"/>
      <c r="BG395" s="7213"/>
    </row>
    <row customHeight="1" ht="0.75">
      <c r="A396" s="1290" t="s">
        <v>1218</v>
      </c>
      <c r="B396" s="1290"/>
      <c r="C396" s="1290"/>
      <c r="D396" s="1284"/>
      <c r="E396" s="1294"/>
      <c r="F396" s="2673"/>
      <c r="G396" s="2652"/>
      <c r="H396" s="2677"/>
      <c r="I396" s="2678"/>
      <c r="J396" s="2679"/>
      <c r="K396" s="2679"/>
      <c r="L396" s="2671"/>
      <c r="M396" s="2405"/>
      <c r="N396" s="2680"/>
      <c r="O396" s="2681"/>
      <c r="P396" s="2727"/>
      <c r="Q396" s="2676"/>
      <c r="R396" s="2676"/>
      <c r="S396" s="2676"/>
      <c r="T396" s="2676"/>
      <c r="U396" s="2676"/>
      <c r="V396" s="2676"/>
      <c r="W396" s="2676"/>
      <c r="X396" s="2676"/>
      <c r="Y396" s="2676"/>
      <c r="Z396" s="2158"/>
      <c r="AA396" s="2159"/>
      <c r="AB396" s="2166"/>
      <c r="AC396" s="2160"/>
      <c r="AD396" s="2160"/>
      <c r="AE396" s="2167"/>
      <c r="AF396" s="2675"/>
      <c r="AG396" s="2671"/>
      <c r="AH396" s="2671"/>
      <c r="AI396" s="2675"/>
      <c r="AJ396" s="2671"/>
      <c r="AK396" s="2671"/>
      <c r="AL396" s="2109"/>
      <c r="AM396" s="1946"/>
      <c r="AN396" s="1946"/>
      <c r="AO396" s="1946"/>
      <c r="AP396" s="1946"/>
      <c r="AQ396" s="1946"/>
      <c r="AR396" s="1946"/>
      <c r="AS396" s="1946"/>
      <c r="AT396" s="1946"/>
      <c r="AU396" s="1946"/>
      <c r="AV396" s="1946"/>
      <c r="AW396" s="1946"/>
      <c r="AX396" s="1946"/>
      <c r="AY396" s="1946"/>
      <c r="AZ396" s="1946"/>
      <c r="BA396" s="1946"/>
      <c r="BB396" s="1946"/>
      <c r="BC396" s="1946"/>
      <c r="BD396" s="1946"/>
      <c r="BE396" s="1946"/>
      <c r="BF396" s="1946"/>
      <c r="BG396" s="7213"/>
    </row>
    <row customHeight="1" ht="0.75">
      <c r="A397" s="1290" t="s">
        <v>1218</v>
      </c>
      <c r="B397" s="1290"/>
      <c r="C397" s="1290"/>
      <c r="D397" s="1284"/>
      <c r="E397" s="1294"/>
      <c r="F397" s="2673"/>
      <c r="G397" s="2652"/>
      <c r="H397" s="2677"/>
      <c r="I397" s="2678"/>
      <c r="J397" s="2679"/>
      <c r="K397" s="2679"/>
      <c r="L397" s="2671"/>
      <c r="M397" s="2405"/>
      <c r="N397" s="2159"/>
      <c r="O397" s="2159"/>
      <c r="P397" s="2166"/>
      <c r="Q397" s="2159"/>
      <c r="R397" s="2159"/>
      <c r="S397" s="2159"/>
      <c r="T397" s="2159"/>
      <c r="U397" s="2159"/>
      <c r="V397" s="2159"/>
      <c r="W397" s="2159"/>
      <c r="X397" s="2159"/>
      <c r="Y397" s="2159"/>
      <c r="Z397" s="2159"/>
      <c r="AA397" s="2159"/>
      <c r="AB397" s="2159"/>
      <c r="AC397" s="2159"/>
      <c r="AD397" s="2159"/>
      <c r="AE397" s="2168"/>
      <c r="AF397" s="2675"/>
      <c r="AG397" s="2671"/>
      <c r="AH397" s="2671"/>
      <c r="AI397" s="2675"/>
      <c r="AJ397" s="2671"/>
      <c r="AK397" s="2671"/>
      <c r="AL397" s="2109"/>
      <c r="AM397" s="1946"/>
      <c r="AN397" s="1946"/>
      <c r="AO397" s="1946"/>
      <c r="AP397" s="1946"/>
      <c r="AQ397" s="1946"/>
      <c r="AR397" s="1946"/>
      <c r="AS397" s="1946"/>
      <c r="AT397" s="1946"/>
      <c r="AU397" s="1946"/>
      <c r="AV397" s="1946"/>
      <c r="AW397" s="1946"/>
      <c r="AX397" s="1946"/>
      <c r="AY397" s="1946"/>
      <c r="AZ397" s="1946"/>
      <c r="BA397" s="1946"/>
      <c r="BB397" s="1946"/>
      <c r="BC397" s="1946"/>
      <c r="BD397" s="1946"/>
      <c r="BE397" s="1946"/>
      <c r="BF397" s="1946"/>
      <c r="BG397" s="7213"/>
    </row>
    <row customHeight="1" ht="12">
      <c r="A398" s="1290" t="s">
        <v>1218</v>
      </c>
      <c r="B398" s="1290"/>
      <c r="C398" s="1290"/>
      <c r="D398" s="1284"/>
      <c r="E398" s="1294"/>
      <c r="F398" s="2674"/>
      <c r="G398" s="1314"/>
      <c r="H398" s="1314"/>
      <c r="I398" s="2672" t="s">
        <v>1294</v>
      </c>
      <c r="J398" s="2672"/>
      <c r="K398" s="2672"/>
      <c r="L398" s="1297"/>
      <c r="M398" s="1297"/>
      <c r="N398" s="1298"/>
      <c r="O398" s="1298"/>
      <c r="P398" s="1298"/>
      <c r="Q398" s="1298"/>
      <c r="R398" s="1298"/>
      <c r="S398" s="1298"/>
      <c r="T398" s="1298"/>
      <c r="U398" s="1298"/>
      <c r="V398" s="1298"/>
      <c r="W398" s="1298"/>
      <c r="X398" s="1298"/>
      <c r="Y398" s="1298"/>
      <c r="Z398" s="1298"/>
      <c r="AA398" s="1298"/>
      <c r="AB398" s="1298"/>
      <c r="AC398" s="1298"/>
      <c r="AD398" s="1298"/>
      <c r="AE398" s="1298"/>
      <c r="AF398" s="1298"/>
      <c r="AG398" s="1297"/>
      <c r="AH398" s="1297"/>
      <c r="AI398" s="1298"/>
      <c r="AJ398" s="1297"/>
      <c r="AK398" s="1298"/>
      <c r="AL398" s="2109"/>
      <c r="AM398" s="1946"/>
      <c r="AN398" s="1946"/>
      <c r="AO398" s="1946"/>
      <c r="AP398" s="1946"/>
      <c r="AQ398" s="1946"/>
      <c r="AR398" s="1946"/>
      <c r="AS398" s="1946"/>
      <c r="AT398" s="1946"/>
      <c r="AU398" s="1946"/>
      <c r="AV398" s="1946"/>
      <c r="AW398" s="1946"/>
      <c r="AX398" s="1946"/>
      <c r="AY398" s="1946"/>
      <c r="AZ398" s="1946"/>
      <c r="BA398" s="1946"/>
      <c r="BB398" s="1946"/>
      <c r="BC398" s="1946"/>
      <c r="BD398" s="1946"/>
      <c r="BE398" s="1946"/>
      <c r="BF398" s="1946"/>
      <c r="BG398" s="7213"/>
    </row>
    <row customHeight="1" ht="21">
      <c r="A399" s="1291" t="s">
        <v>1223</v>
      </c>
      <c r="B399" s="1290"/>
      <c r="C399" s="1290"/>
      <c r="D399" s="1284"/>
      <c r="E399" s="1294" t="s">
        <v>22</v>
      </c>
      <c r="F399" s="1246" t="str">
        <f>INDEX(IP_MAIN_LIST_NAME_IP,MATCH(A399,IP_MAIN_LIST_IP_ID,0))&amp;" ("&amp;INDEX(IP_MAIN_START_DATE,MATCH(A399,IP_MAIN_LIST_IP_ID,0))&amp;"-"&amp;INDEX(IP_MAIN_END_DATE,MATCH(A399,IP_MAIN_LIST_IP_ID,0))&amp;")"</f>
        <v>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 (01.01.2024-31.12.2028)</v>
      </c>
      <c r="G399" s="1247"/>
      <c r="H399" s="1247"/>
      <c r="I399" s="1309"/>
      <c r="J399" s="1309"/>
      <c r="K399" s="1310"/>
      <c r="L399" s="1310"/>
      <c r="M399" s="1310"/>
      <c r="N399" s="1311"/>
      <c r="O399" s="1311"/>
      <c r="P399" s="1311"/>
      <c r="Q399" s="1311"/>
      <c r="R399" s="1311"/>
      <c r="S399" s="1311"/>
      <c r="T399" s="1311"/>
      <c r="U399" s="1311"/>
      <c r="V399" s="1311"/>
      <c r="W399" s="1311"/>
      <c r="X399" s="1311"/>
      <c r="Y399" s="1311"/>
      <c r="Z399" s="1311"/>
      <c r="AA399" s="1311"/>
      <c r="AB399" s="1311"/>
      <c r="AC399" s="1311"/>
      <c r="AD399" s="1311"/>
      <c r="AE399" s="1312"/>
      <c r="AF399" s="1310"/>
      <c r="AG399" s="1310"/>
      <c r="AH399" s="1310"/>
      <c r="AI399" s="1310"/>
      <c r="AJ399" s="1310"/>
      <c r="AK399" s="1310"/>
      <c r="AL399" s="2109"/>
      <c r="AM399" s="1946"/>
      <c r="AN399" s="1946"/>
      <c r="AO399" s="1946"/>
      <c r="AP399" s="1946"/>
      <c r="AQ399" s="1946"/>
      <c r="AR399" s="1946"/>
      <c r="AS399" s="1946"/>
      <c r="AT399" s="1946"/>
      <c r="AU399" s="1946"/>
      <c r="AV399" s="1946"/>
      <c r="AW399" s="1946"/>
      <c r="AX399" s="1946"/>
      <c r="AY399" s="1946"/>
      <c r="AZ399" s="1946"/>
      <c r="BA399" s="1946"/>
      <c r="BB399" s="1946"/>
      <c r="BC399" s="1946"/>
      <c r="BD399" s="1946"/>
      <c r="BE399" s="1946"/>
      <c r="BF399" s="1946"/>
      <c r="BG399" s="7213"/>
    </row>
    <row customHeight="1" ht="0.75">
      <c r="A400" s="1290" t="s">
        <v>1223</v>
      </c>
      <c r="B400" s="1290"/>
      <c r="C400" s="1290"/>
      <c r="D400" s="1284"/>
      <c r="E400" s="1294"/>
      <c r="F400" s="2673">
        <v>2024</v>
      </c>
      <c r="G400" s="2652"/>
      <c r="H400" s="2677" t="s">
        <v>488</v>
      </c>
      <c r="I400" s="2678"/>
      <c r="J400" s="2679"/>
      <c r="K400" s="2679"/>
      <c r="L400" s="2671"/>
      <c r="M400" s="2405"/>
      <c r="N400" s="2157"/>
      <c r="O400" s="2156"/>
      <c r="P400" s="2157"/>
      <c r="Q400" s="2157"/>
      <c r="R400" s="2157"/>
      <c r="S400" s="2157"/>
      <c r="T400" s="2157"/>
      <c r="U400" s="2157"/>
      <c r="V400" s="2157"/>
      <c r="W400" s="2157"/>
      <c r="X400" s="2157"/>
      <c r="Y400" s="2157"/>
      <c r="Z400" s="2157"/>
      <c r="AA400" s="2157"/>
      <c r="AB400" s="2157"/>
      <c r="AC400" s="2157"/>
      <c r="AD400" s="2157"/>
      <c r="AE400" s="2157"/>
      <c r="AF400" s="2675"/>
      <c r="AG400" s="2671"/>
      <c r="AH400" s="2671"/>
      <c r="AI400" s="2675"/>
      <c r="AJ400" s="2671"/>
      <c r="AK400" s="2671"/>
      <c r="AL400" s="2109"/>
      <c r="AM400" s="1946"/>
      <c r="AN400" s="1946"/>
      <c r="AO400" s="1946"/>
      <c r="AP400" s="1946"/>
      <c r="AQ400" s="1946"/>
      <c r="AR400" s="1946"/>
      <c r="AS400" s="1946"/>
      <c r="AT400" s="1946"/>
      <c r="AU400" s="1946"/>
      <c r="AV400" s="1946"/>
      <c r="AW400" s="1946"/>
      <c r="AX400" s="1946"/>
      <c r="AY400" s="1946"/>
      <c r="AZ400" s="1946"/>
      <c r="BA400" s="1946"/>
      <c r="BB400" s="1946"/>
      <c r="BC400" s="1946"/>
      <c r="BD400" s="1946"/>
      <c r="BE400" s="1946"/>
      <c r="BF400" s="1946"/>
      <c r="BG400" s="7213"/>
    </row>
    <row customHeight="1" ht="0.75">
      <c r="A401" s="1290" t="s">
        <v>1223</v>
      </c>
      <c r="B401" s="1290"/>
      <c r="C401" s="1290"/>
      <c r="D401" s="1284"/>
      <c r="E401" s="1294"/>
      <c r="F401" s="2673"/>
      <c r="G401" s="2652"/>
      <c r="H401" s="2677"/>
      <c r="I401" s="2678"/>
      <c r="J401" s="2679"/>
      <c r="K401" s="2679"/>
      <c r="L401" s="2671"/>
      <c r="M401" s="2405"/>
      <c r="N401" s="2680"/>
      <c r="O401" s="2681"/>
      <c r="P401" s="2725"/>
      <c r="Q401" s="2676"/>
      <c r="R401" s="2676"/>
      <c r="S401" s="2676"/>
      <c r="T401" s="2676"/>
      <c r="U401" s="2676"/>
      <c r="V401" s="2676"/>
      <c r="W401" s="2676"/>
      <c r="X401" s="2676"/>
      <c r="Y401" s="2676"/>
      <c r="Z401" s="2158"/>
      <c r="AA401" s="2159"/>
      <c r="AB401" s="2159"/>
      <c r="AC401" s="2160"/>
      <c r="AD401" s="2160"/>
      <c r="AE401" s="2161"/>
      <c r="AF401" s="2675"/>
      <c r="AG401" s="2671"/>
      <c r="AH401" s="2671"/>
      <c r="AI401" s="2675"/>
      <c r="AJ401" s="2671"/>
      <c r="AK401" s="2671"/>
      <c r="AL401" s="2109"/>
      <c r="AM401" s="1946"/>
      <c r="AN401" s="1946"/>
      <c r="AO401" s="1946"/>
      <c r="AP401" s="1946"/>
      <c r="AQ401" s="1946"/>
      <c r="AR401" s="1946"/>
      <c r="AS401" s="1946"/>
      <c r="AT401" s="1946"/>
      <c r="AU401" s="1946"/>
      <c r="AV401" s="1946"/>
      <c r="AW401" s="1946"/>
      <c r="AX401" s="1946"/>
      <c r="AY401" s="1946"/>
      <c r="AZ401" s="1946"/>
      <c r="BA401" s="1946"/>
      <c r="BB401" s="1946"/>
      <c r="BC401" s="1946"/>
      <c r="BD401" s="1946"/>
      <c r="BE401" s="1946"/>
      <c r="BF401" s="1946"/>
      <c r="BG401" s="7213"/>
    </row>
    <row customHeight="1" ht="0.75">
      <c r="A402" s="1290" t="s">
        <v>1223</v>
      </c>
      <c r="B402" s="1290"/>
      <c r="C402" s="1290"/>
      <c r="D402" s="1284"/>
      <c r="E402" s="1294"/>
      <c r="F402" s="2673"/>
      <c r="G402" s="2652"/>
      <c r="H402" s="2677"/>
      <c r="I402" s="2678"/>
      <c r="J402" s="2679"/>
      <c r="K402" s="2679"/>
      <c r="L402" s="2671"/>
      <c r="M402" s="2405"/>
      <c r="N402" s="2680"/>
      <c r="O402" s="2681"/>
      <c r="P402" s="2726"/>
      <c r="Q402" s="2676"/>
      <c r="R402" s="2676"/>
      <c r="S402" s="2676"/>
      <c r="T402" s="2676"/>
      <c r="U402" s="2676"/>
      <c r="V402" s="2676"/>
      <c r="W402" s="2676"/>
      <c r="X402" s="2676"/>
      <c r="Y402" s="2676"/>
      <c r="Z402" s="2162"/>
      <c r="AA402" s="2163"/>
      <c r="AB402" s="2164"/>
      <c r="AC402" s="2165"/>
      <c r="AD402" s="2164"/>
      <c r="AE402" s="2165"/>
      <c r="AF402" s="2675"/>
      <c r="AG402" s="2671"/>
      <c r="AH402" s="2671"/>
      <c r="AI402" s="2675"/>
      <c r="AJ402" s="2671"/>
      <c r="AK402" s="2671"/>
      <c r="AL402" s="2109"/>
      <c r="AM402" s="1946"/>
      <c r="AN402" s="1946"/>
      <c r="AO402" s="1946"/>
      <c r="AP402" s="1946"/>
      <c r="AQ402" s="1946"/>
      <c r="AR402" s="1946"/>
      <c r="AS402" s="1946"/>
      <c r="AT402" s="1946"/>
      <c r="AU402" s="1946"/>
      <c r="AV402" s="1946"/>
      <c r="AW402" s="1946"/>
      <c r="AX402" s="1946"/>
      <c r="AY402" s="1946"/>
      <c r="AZ402" s="1946"/>
      <c r="BA402" s="1946"/>
      <c r="BB402" s="1946"/>
      <c r="BC402" s="1946"/>
      <c r="BD402" s="1946"/>
      <c r="BE402" s="1946"/>
      <c r="BF402" s="1946"/>
      <c r="BG402" s="7213"/>
    </row>
    <row customHeight="1" ht="0.75">
      <c r="A403" s="1290" t="s">
        <v>1223</v>
      </c>
      <c r="B403" s="1290"/>
      <c r="C403" s="1290"/>
      <c r="D403" s="1284"/>
      <c r="E403" s="1294"/>
      <c r="F403" s="2673"/>
      <c r="G403" s="2652"/>
      <c r="H403" s="2677"/>
      <c r="I403" s="2678"/>
      <c r="J403" s="2679"/>
      <c r="K403" s="2679"/>
      <c r="L403" s="2671"/>
      <c r="M403" s="2405"/>
      <c r="N403" s="2680"/>
      <c r="O403" s="2681"/>
      <c r="P403" s="2727"/>
      <c r="Q403" s="2676"/>
      <c r="R403" s="2676"/>
      <c r="S403" s="2676"/>
      <c r="T403" s="2676"/>
      <c r="U403" s="2676"/>
      <c r="V403" s="2676"/>
      <c r="W403" s="2676"/>
      <c r="X403" s="2676"/>
      <c r="Y403" s="2676"/>
      <c r="Z403" s="2158"/>
      <c r="AA403" s="2159"/>
      <c r="AB403" s="2166"/>
      <c r="AC403" s="2160"/>
      <c r="AD403" s="2160"/>
      <c r="AE403" s="2167"/>
      <c r="AF403" s="2675"/>
      <c r="AG403" s="2671"/>
      <c r="AH403" s="2671"/>
      <c r="AI403" s="2675"/>
      <c r="AJ403" s="2671"/>
      <c r="AK403" s="2671"/>
      <c r="AL403" s="2109"/>
      <c r="AM403" s="1946"/>
      <c r="AN403" s="1946"/>
      <c r="AO403" s="1946"/>
      <c r="AP403" s="1946"/>
      <c r="AQ403" s="1946"/>
      <c r="AR403" s="1946"/>
      <c r="AS403" s="1946"/>
      <c r="AT403" s="1946"/>
      <c r="AU403" s="1946"/>
      <c r="AV403" s="1946"/>
      <c r="AW403" s="1946"/>
      <c r="AX403" s="1946"/>
      <c r="AY403" s="1946"/>
      <c r="AZ403" s="1946"/>
      <c r="BA403" s="1946"/>
      <c r="BB403" s="1946"/>
      <c r="BC403" s="1946"/>
      <c r="BD403" s="1946"/>
      <c r="BE403" s="1946"/>
      <c r="BF403" s="1946"/>
      <c r="BG403" s="7213"/>
    </row>
    <row customHeight="1" ht="0.75">
      <c r="A404" s="1290" t="s">
        <v>1223</v>
      </c>
      <c r="B404" s="1290"/>
      <c r="C404" s="1290"/>
      <c r="D404" s="1284"/>
      <c r="E404" s="1294"/>
      <c r="F404" s="2673"/>
      <c r="G404" s="2652"/>
      <c r="H404" s="2677"/>
      <c r="I404" s="2678"/>
      <c r="J404" s="2679"/>
      <c r="K404" s="2679"/>
      <c r="L404" s="2671"/>
      <c r="M404" s="2405"/>
      <c r="N404" s="2159"/>
      <c r="O404" s="2159"/>
      <c r="P404" s="2166"/>
      <c r="Q404" s="2159"/>
      <c r="R404" s="2159"/>
      <c r="S404" s="2159"/>
      <c r="T404" s="2159"/>
      <c r="U404" s="2159"/>
      <c r="V404" s="2159"/>
      <c r="W404" s="2159"/>
      <c r="X404" s="2159"/>
      <c r="Y404" s="2159"/>
      <c r="Z404" s="2159"/>
      <c r="AA404" s="2159"/>
      <c r="AB404" s="2159"/>
      <c r="AC404" s="2159"/>
      <c r="AD404" s="2159"/>
      <c r="AE404" s="2168"/>
      <c r="AF404" s="2675"/>
      <c r="AG404" s="2671"/>
      <c r="AH404" s="2671"/>
      <c r="AI404" s="2675"/>
      <c r="AJ404" s="2671"/>
      <c r="AK404" s="2671"/>
      <c r="AL404" s="2109"/>
      <c r="AM404" s="1946"/>
      <c r="AN404" s="1946"/>
      <c r="AO404" s="1946"/>
      <c r="AP404" s="1946"/>
      <c r="AQ404" s="1946"/>
      <c r="AR404" s="1946"/>
      <c r="AS404" s="1946"/>
      <c r="AT404" s="1946"/>
      <c r="AU404" s="1946"/>
      <c r="AV404" s="1946"/>
      <c r="AW404" s="1946"/>
      <c r="AX404" s="1946"/>
      <c r="AY404" s="1946"/>
      <c r="AZ404" s="1946"/>
      <c r="BA404" s="1946"/>
      <c r="BB404" s="1946"/>
      <c r="BC404" s="1946"/>
      <c r="BD404" s="1946"/>
      <c r="BE404" s="1946"/>
      <c r="BF404" s="1946"/>
      <c r="BG404" s="7213"/>
    </row>
    <row customHeight="1" ht="11.25">
      <c r="A405" s="1290" t="s">
        <v>1223</v>
      </c>
      <c r="B405" s="1290"/>
      <c r="C405" s="1290"/>
      <c r="D405" s="1284"/>
      <c r="E405" s="1294"/>
      <c r="F405" s="1952"/>
      <c r="G405" s="7121" t="s">
        <v>103</v>
      </c>
      <c r="H405" s="2652" t="s">
        <v>210</v>
      </c>
      <c r="I405" s="2653"/>
      <c r="J405" s="2622"/>
      <c r="K405" s="2654" t="s">
        <v>1394</v>
      </c>
      <c r="L405" s="2244" t="s">
        <v>19</v>
      </c>
      <c r="M405" s="2245"/>
      <c r="N405" s="2107"/>
      <c r="O405" s="1301" t="s">
        <v>488</v>
      </c>
      <c r="P405" s="1302"/>
      <c r="Q405" s="1302"/>
      <c r="R405" s="1302"/>
      <c r="S405" s="1302"/>
      <c r="T405" s="1302"/>
      <c r="U405" s="1302"/>
      <c r="V405" s="1302"/>
      <c r="W405" s="1302"/>
      <c r="X405" s="1302"/>
      <c r="Y405" s="1302"/>
      <c r="Z405" s="1302"/>
      <c r="AA405" s="1302"/>
      <c r="AB405" s="1302"/>
      <c r="AC405" s="1302"/>
      <c r="AD405" s="1302"/>
      <c r="AE405" s="1302"/>
      <c r="AF405" s="2643">
        <v>2024</v>
      </c>
      <c r="AG405" s="2644" t="s">
        <v>1296</v>
      </c>
      <c r="AH405" s="2644" t="s">
        <v>1297</v>
      </c>
      <c r="AI405" s="2643">
        <v>2024</v>
      </c>
      <c r="AJ405" s="2644" t="s">
        <v>1296</v>
      </c>
      <c r="AK405" s="2644" t="s">
        <v>1297</v>
      </c>
      <c r="AL405" s="2109"/>
      <c r="AM405" s="1946"/>
      <c r="AN405" s="1946"/>
      <c r="AO405" s="1946"/>
      <c r="AP405" s="1946"/>
      <c r="AQ405" s="1946"/>
      <c r="AR405" s="1946"/>
      <c r="AS405" s="1946"/>
      <c r="AT405" s="1946"/>
      <c r="AU405" s="1946"/>
      <c r="AV405" s="1946"/>
      <c r="AW405" s="1946"/>
      <c r="AX405" s="1946"/>
      <c r="AY405" s="1946"/>
      <c r="AZ405" s="1946"/>
      <c r="BA405" s="1946"/>
      <c r="BB405" s="1946"/>
      <c r="BC405" s="1946"/>
      <c r="BD405" s="1946"/>
      <c r="BE405" s="1946"/>
      <c r="BF405" s="1946"/>
      <c r="BG405" s="7213"/>
    </row>
    <row customHeight="1" ht="11.25">
      <c r="A406" s="1290" t="s">
        <v>1223</v>
      </c>
      <c r="B406" s="1290"/>
      <c r="C406" s="1290"/>
      <c r="D406" s="1284"/>
      <c r="E406" s="1294"/>
      <c r="F406" s="1952"/>
      <c r="G406" s="1953"/>
      <c r="H406" s="2652" t="s">
        <v>488</v>
      </c>
      <c r="I406" s="2653"/>
      <c r="J406" s="2622"/>
      <c r="K406" s="2654"/>
      <c r="L406" s="2244"/>
      <c r="M406" s="2245"/>
      <c r="N406" s="2645"/>
      <c r="O406" s="2646">
        <v>1</v>
      </c>
      <c r="P406" s="2647" t="s">
        <v>62</v>
      </c>
      <c r="Q406" s="11136" t="s">
        <v>1395</v>
      </c>
      <c r="R406" s="11137" t="s">
        <v>1299</v>
      </c>
      <c r="S406" s="11137" t="s">
        <v>119</v>
      </c>
      <c r="T406" s="11137" t="s">
        <v>1396</v>
      </c>
      <c r="U406" s="11137" t="s">
        <v>1397</v>
      </c>
      <c r="V406" s="11137" t="s">
        <v>1398</v>
      </c>
      <c r="W406" s="11137" t="s">
        <v>1399</v>
      </c>
      <c r="X406" s="11137" t="s">
        <v>1400</v>
      </c>
      <c r="Y406" s="11137" t="s">
        <v>1355</v>
      </c>
      <c r="Z406" s="1299"/>
      <c r="AA406" s="1300"/>
      <c r="AB406" s="1300"/>
      <c r="AC406" s="1304"/>
      <c r="AD406" s="1304"/>
      <c r="AE406" s="1305"/>
      <c r="AF406" s="2643"/>
      <c r="AG406" s="2644"/>
      <c r="AH406" s="2644"/>
      <c r="AI406" s="2643"/>
      <c r="AJ406" s="2644"/>
      <c r="AK406" s="2644"/>
      <c r="AL406" s="2109"/>
      <c r="AM406" s="1946"/>
      <c r="AN406" s="1946"/>
      <c r="AO406" s="1946"/>
      <c r="AP406" s="1946"/>
      <c r="AQ406" s="1946"/>
      <c r="AR406" s="1946"/>
      <c r="AS406" s="1946"/>
      <c r="AT406" s="1946"/>
      <c r="AU406" s="1946"/>
      <c r="AV406" s="1946"/>
      <c r="AW406" s="1946"/>
      <c r="AX406" s="1946"/>
      <c r="AY406" s="1946"/>
      <c r="AZ406" s="1946"/>
      <c r="BA406" s="1946"/>
      <c r="BB406" s="1946"/>
      <c r="BC406" s="1946"/>
      <c r="BD406" s="1946"/>
      <c r="BE406" s="1946"/>
      <c r="BF406" s="1946"/>
      <c r="BG406" s="7213"/>
    </row>
    <row customHeight="1" ht="11.25">
      <c r="A407" s="1290" t="s">
        <v>1223</v>
      </c>
      <c r="B407" s="1290"/>
      <c r="C407" s="1290"/>
      <c r="D407" s="1284"/>
      <c r="E407" s="1294"/>
      <c r="F407" s="1952"/>
      <c r="G407" s="1953"/>
      <c r="H407" s="2652" t="s">
        <v>488</v>
      </c>
      <c r="I407" s="2653"/>
      <c r="J407" s="2622"/>
      <c r="K407" s="2654"/>
      <c r="L407" s="2244"/>
      <c r="M407" s="2245"/>
      <c r="N407" s="2645"/>
      <c r="O407" s="2646"/>
      <c r="P407" s="2648"/>
      <c r="Q407" s="11136"/>
      <c r="R407" s="2650"/>
      <c r="S407" s="2651"/>
      <c r="T407" s="2650"/>
      <c r="U407" s="2650"/>
      <c r="V407" s="2650"/>
      <c r="W407" s="2650"/>
      <c r="X407" s="2650"/>
      <c r="Y407" s="2650"/>
      <c r="Z407" s="1951"/>
      <c r="AA407" s="1917">
        <v>1</v>
      </c>
      <c r="AB407" s="1303" t="s">
        <v>1306</v>
      </c>
      <c r="AC407" s="1293">
        <v>1083.33333333333</v>
      </c>
      <c r="AD407" s="1303" t="str">
        <f>AB407</f>
        <v>  Прибыль направляемая на инвестиции</v>
      </c>
      <c r="AE407" s="1293">
        <v>1083.33333333333</v>
      </c>
      <c r="AF407" s="2643"/>
      <c r="AG407" s="2644"/>
      <c r="AH407" s="2644"/>
      <c r="AI407" s="2643"/>
      <c r="AJ407" s="2644"/>
      <c r="AK407" s="2644"/>
      <c r="AL407" s="2109"/>
      <c r="AM407" s="1946"/>
      <c r="AN407" s="1946"/>
      <c r="AO407" s="1946"/>
      <c r="AP407" s="1946"/>
      <c r="AQ407" s="1946"/>
      <c r="AR407" s="1946"/>
      <c r="AS407" s="1946"/>
      <c r="AT407" s="1946"/>
      <c r="AU407" s="1946"/>
      <c r="AV407" s="1946"/>
      <c r="AW407" s="1946"/>
      <c r="AX407" s="1946"/>
      <c r="AY407" s="1946"/>
      <c r="AZ407" s="1946"/>
      <c r="BA407" s="1946"/>
      <c r="BB407" s="1946"/>
      <c r="BC407" s="1946"/>
      <c r="BD407" s="1946"/>
      <c r="BE407" s="1946"/>
      <c r="BF407" s="1946"/>
      <c r="BG407" s="7213"/>
    </row>
    <row customHeight="1" ht="11.25">
      <c r="A408" s="1290" t="s">
        <v>1223</v>
      </c>
      <c r="B408" s="1290"/>
      <c r="C408" s="1290"/>
      <c r="D408" s="1284"/>
      <c r="E408" s="1294"/>
      <c r="F408" s="1952"/>
      <c r="G408" s="1953"/>
      <c r="H408" s="2652" t="s">
        <v>488</v>
      </c>
      <c r="I408" s="2653"/>
      <c r="J408" s="2622"/>
      <c r="K408" s="2654"/>
      <c r="L408" s="2244"/>
      <c r="M408" s="2245"/>
      <c r="N408" s="2645"/>
      <c r="O408" s="2646"/>
      <c r="P408" s="2649"/>
      <c r="Q408" s="11136"/>
      <c r="R408" s="2650"/>
      <c r="S408" s="2651"/>
      <c r="T408" s="2650"/>
      <c r="U408" s="2650"/>
      <c r="V408" s="2650"/>
      <c r="W408" s="2650"/>
      <c r="X408" s="2650"/>
      <c r="Y408" s="2650"/>
      <c r="Z408" s="1299"/>
      <c r="AA408" s="1300"/>
      <c r="AB408" s="1365" t="s">
        <v>1309</v>
      </c>
      <c r="AC408" s="1304"/>
      <c r="AD408" s="1304"/>
      <c r="AE408" s="1306"/>
      <c r="AF408" s="2643"/>
      <c r="AG408" s="2644"/>
      <c r="AH408" s="2644"/>
      <c r="AI408" s="2643"/>
      <c r="AJ408" s="2644"/>
      <c r="AK408" s="2644"/>
      <c r="AL408" s="2109"/>
      <c r="AM408" s="1946"/>
      <c r="AN408" s="1946"/>
      <c r="AO408" s="1946"/>
      <c r="AP408" s="1946"/>
      <c r="AQ408" s="1946"/>
      <c r="AR408" s="1946"/>
      <c r="AS408" s="1946"/>
      <c r="AT408" s="1946"/>
      <c r="AU408" s="1946"/>
      <c r="AV408" s="1946"/>
      <c r="AW408" s="1946"/>
      <c r="AX408" s="1946"/>
      <c r="AY408" s="1946"/>
      <c r="AZ408" s="1946"/>
      <c r="BA408" s="1946"/>
      <c r="BB408" s="1946"/>
      <c r="BC408" s="1946"/>
      <c r="BD408" s="1946"/>
      <c r="BE408" s="1946"/>
      <c r="BF408" s="1946"/>
      <c r="BG408" s="7213"/>
    </row>
    <row customHeight="1" ht="11.25">
      <c r="A409" s="1290" t="s">
        <v>1223</v>
      </c>
      <c r="B409" s="1290"/>
      <c r="C409" s="1290"/>
      <c r="D409" s="1284"/>
      <c r="E409" s="1294"/>
      <c r="F409" s="1952"/>
      <c r="G409" s="1953"/>
      <c r="H409" s="2652" t="s">
        <v>488</v>
      </c>
      <c r="I409" s="2653"/>
      <c r="J409" s="2622"/>
      <c r="K409" s="2654"/>
      <c r="L409" s="2244"/>
      <c r="M409" s="2245"/>
      <c r="N409" s="1299"/>
      <c r="O409" s="1300"/>
      <c r="P409" s="1292" t="s">
        <v>1310</v>
      </c>
      <c r="Q409" s="1300"/>
      <c r="R409" s="1300"/>
      <c r="S409" s="1300"/>
      <c r="T409" s="1300"/>
      <c r="U409" s="1300"/>
      <c r="V409" s="1300"/>
      <c r="W409" s="1300"/>
      <c r="X409" s="1300"/>
      <c r="Y409" s="1300"/>
      <c r="Z409" s="1300"/>
      <c r="AA409" s="1300"/>
      <c r="AB409" s="1300"/>
      <c r="AC409" s="1300"/>
      <c r="AD409" s="1300"/>
      <c r="AE409" s="1307"/>
      <c r="AF409" s="2643"/>
      <c r="AG409" s="2644"/>
      <c r="AH409" s="2644"/>
      <c r="AI409" s="2643"/>
      <c r="AJ409" s="2644"/>
      <c r="AK409" s="2644"/>
      <c r="AL409" s="2109"/>
      <c r="AM409" s="1946"/>
      <c r="AN409" s="1946"/>
      <c r="AO409" s="1946"/>
      <c r="AP409" s="1946"/>
      <c r="AQ409" s="1946"/>
      <c r="AR409" s="1946"/>
      <c r="AS409" s="1946"/>
      <c r="AT409" s="1946"/>
      <c r="AU409" s="1946"/>
      <c r="AV409" s="1946"/>
      <c r="AW409" s="1946"/>
      <c r="AX409" s="1946"/>
      <c r="AY409" s="1946"/>
      <c r="AZ409" s="1946"/>
      <c r="BA409" s="1946"/>
      <c r="BB409" s="1946"/>
      <c r="BC409" s="1946"/>
      <c r="BD409" s="1946"/>
      <c r="BE409" s="1946"/>
      <c r="BF409" s="1946"/>
      <c r="BG409" s="7213"/>
    </row>
    <row customHeight="1" ht="12">
      <c r="A410" s="1290" t="s">
        <v>1223</v>
      </c>
      <c r="B410" s="1290"/>
      <c r="C410" s="1290"/>
      <c r="D410" s="1284"/>
      <c r="E410" s="1294"/>
      <c r="F410" s="2674"/>
      <c r="G410" s="1314"/>
      <c r="H410" s="1314"/>
      <c r="I410" s="2672" t="s">
        <v>1294</v>
      </c>
      <c r="J410" s="2672"/>
      <c r="K410" s="2672"/>
      <c r="L410" s="1297"/>
      <c r="M410" s="1297"/>
      <c r="N410" s="1298"/>
      <c r="O410" s="1298"/>
      <c r="P410" s="1298"/>
      <c r="Q410" s="1298"/>
      <c r="R410" s="1298"/>
      <c r="S410" s="1298"/>
      <c r="T410" s="1298"/>
      <c r="U410" s="1298"/>
      <c r="V410" s="1298"/>
      <c r="W410" s="1298"/>
      <c r="X410" s="1298"/>
      <c r="Y410" s="1298"/>
      <c r="Z410" s="1298"/>
      <c r="AA410" s="1298"/>
      <c r="AB410" s="1298"/>
      <c r="AC410" s="1298"/>
      <c r="AD410" s="1298"/>
      <c r="AE410" s="1298"/>
      <c r="AF410" s="1298"/>
      <c r="AG410" s="1297"/>
      <c r="AH410" s="1297"/>
      <c r="AI410" s="1298"/>
      <c r="AJ410" s="1297"/>
      <c r="AK410" s="1298"/>
      <c r="AL410" s="2109"/>
      <c r="AM410" s="1946"/>
      <c r="AN410" s="1946"/>
      <c r="AO410" s="1946"/>
      <c r="AP410" s="1946"/>
      <c r="AQ410" s="1946"/>
      <c r="AR410" s="1946"/>
      <c r="AS410" s="1946"/>
      <c r="AT410" s="1946"/>
      <c r="AU410" s="1946"/>
      <c r="AV410" s="1946"/>
      <c r="AW410" s="1946"/>
      <c r="AX410" s="1946"/>
      <c r="AY410" s="1946"/>
      <c r="AZ410" s="1946"/>
      <c r="BA410" s="1946"/>
      <c r="BB410" s="1946"/>
      <c r="BC410" s="1946"/>
      <c r="BD410" s="1946"/>
      <c r="BE410" s="1946"/>
      <c r="BF410" s="1946"/>
      <c r="BG410" s="7213"/>
    </row>
    <row customHeight="1" ht="0.75">
      <c r="A411" s="1290" t="s">
        <v>1223</v>
      </c>
      <c r="B411" s="1290"/>
      <c r="C411" s="1290"/>
      <c r="D411" s="1284"/>
      <c r="E411" s="1294"/>
      <c r="F411" s="2673">
        <v>2025</v>
      </c>
      <c r="G411" s="2652"/>
      <c r="H411" s="2677" t="s">
        <v>488</v>
      </c>
      <c r="I411" s="2678"/>
      <c r="J411" s="2679"/>
      <c r="K411" s="2679"/>
      <c r="L411" s="2671"/>
      <c r="M411" s="2405"/>
      <c r="N411" s="2157"/>
      <c r="O411" s="2156"/>
      <c r="P411" s="2157"/>
      <c r="Q411" s="2157"/>
      <c r="R411" s="2157"/>
      <c r="S411" s="2157"/>
      <c r="T411" s="2157"/>
      <c r="U411" s="2157"/>
      <c r="V411" s="2157"/>
      <c r="W411" s="2157"/>
      <c r="X411" s="2157"/>
      <c r="Y411" s="2157"/>
      <c r="Z411" s="2157"/>
      <c r="AA411" s="2157"/>
      <c r="AB411" s="2157"/>
      <c r="AC411" s="2157"/>
      <c r="AD411" s="2157"/>
      <c r="AE411" s="2157"/>
      <c r="AF411" s="2675"/>
      <c r="AG411" s="2671"/>
      <c r="AH411" s="2671"/>
      <c r="AI411" s="2675"/>
      <c r="AJ411" s="2671"/>
      <c r="AK411" s="2671"/>
      <c r="AL411" s="2109"/>
      <c r="AM411" s="1946"/>
      <c r="AN411" s="1946"/>
      <c r="AO411" s="1946"/>
      <c r="AP411" s="1946"/>
      <c r="AQ411" s="1946"/>
      <c r="AR411" s="1946"/>
      <c r="AS411" s="1946"/>
      <c r="AT411" s="1946"/>
      <c r="AU411" s="1946"/>
      <c r="AV411" s="1946"/>
      <c r="AW411" s="1946"/>
      <c r="AX411" s="1946"/>
      <c r="AY411" s="1946"/>
      <c r="AZ411" s="1946"/>
      <c r="BA411" s="1946"/>
      <c r="BB411" s="1946"/>
      <c r="BC411" s="1946"/>
      <c r="BD411" s="1946"/>
      <c r="BE411" s="1946"/>
      <c r="BF411" s="1946"/>
      <c r="BG411" s="7213"/>
    </row>
    <row customHeight="1" ht="0.75">
      <c r="A412" s="1290" t="s">
        <v>1223</v>
      </c>
      <c r="B412" s="1290"/>
      <c r="C412" s="1290"/>
      <c r="D412" s="1284"/>
      <c r="E412" s="1294"/>
      <c r="F412" s="2673"/>
      <c r="G412" s="2652"/>
      <c r="H412" s="2677"/>
      <c r="I412" s="2678"/>
      <c r="J412" s="2679"/>
      <c r="K412" s="2679"/>
      <c r="L412" s="2671"/>
      <c r="M412" s="2405"/>
      <c r="N412" s="2680"/>
      <c r="O412" s="2681"/>
      <c r="P412" s="2725"/>
      <c r="Q412" s="2676"/>
      <c r="R412" s="2676"/>
      <c r="S412" s="2676"/>
      <c r="T412" s="2676"/>
      <c r="U412" s="2676"/>
      <c r="V412" s="2676"/>
      <c r="W412" s="2676"/>
      <c r="X412" s="2676"/>
      <c r="Y412" s="2676"/>
      <c r="Z412" s="2158"/>
      <c r="AA412" s="2159"/>
      <c r="AB412" s="2159"/>
      <c r="AC412" s="2160"/>
      <c r="AD412" s="2160"/>
      <c r="AE412" s="2161"/>
      <c r="AF412" s="2675"/>
      <c r="AG412" s="2671"/>
      <c r="AH412" s="2671"/>
      <c r="AI412" s="2675"/>
      <c r="AJ412" s="2671"/>
      <c r="AK412" s="2671"/>
      <c r="AL412" s="2109"/>
      <c r="AM412" s="1946"/>
      <c r="AN412" s="1946"/>
      <c r="AO412" s="1946"/>
      <c r="AP412" s="1946"/>
      <c r="AQ412" s="1946"/>
      <c r="AR412" s="1946"/>
      <c r="AS412" s="1946"/>
      <c r="AT412" s="1946"/>
      <c r="AU412" s="1946"/>
      <c r="AV412" s="1946"/>
      <c r="AW412" s="1946"/>
      <c r="AX412" s="1946"/>
      <c r="AY412" s="1946"/>
      <c r="AZ412" s="1946"/>
      <c r="BA412" s="1946"/>
      <c r="BB412" s="1946"/>
      <c r="BC412" s="1946"/>
      <c r="BD412" s="1946"/>
      <c r="BE412" s="1946"/>
      <c r="BF412" s="1946"/>
      <c r="BG412" s="7213"/>
    </row>
    <row customHeight="1" ht="0.75">
      <c r="A413" s="1290" t="s">
        <v>1223</v>
      </c>
      <c r="B413" s="1290"/>
      <c r="C413" s="1290"/>
      <c r="D413" s="1284"/>
      <c r="E413" s="1294"/>
      <c r="F413" s="2673"/>
      <c r="G413" s="2652"/>
      <c r="H413" s="2677"/>
      <c r="I413" s="2678"/>
      <c r="J413" s="2679"/>
      <c r="K413" s="2679"/>
      <c r="L413" s="2671"/>
      <c r="M413" s="2405"/>
      <c r="N413" s="2680"/>
      <c r="O413" s="2681"/>
      <c r="P413" s="2726"/>
      <c r="Q413" s="2676"/>
      <c r="R413" s="2676"/>
      <c r="S413" s="2676"/>
      <c r="T413" s="2676"/>
      <c r="U413" s="2676"/>
      <c r="V413" s="2676"/>
      <c r="W413" s="2676"/>
      <c r="X413" s="2676"/>
      <c r="Y413" s="2676"/>
      <c r="Z413" s="2162"/>
      <c r="AA413" s="2163"/>
      <c r="AB413" s="2164"/>
      <c r="AC413" s="2165"/>
      <c r="AD413" s="2164"/>
      <c r="AE413" s="2165"/>
      <c r="AF413" s="2675"/>
      <c r="AG413" s="2671"/>
      <c r="AH413" s="2671"/>
      <c r="AI413" s="2675"/>
      <c r="AJ413" s="2671"/>
      <c r="AK413" s="2671"/>
      <c r="AL413" s="2109"/>
      <c r="AM413" s="1946"/>
      <c r="AN413" s="1946"/>
      <c r="AO413" s="1946"/>
      <c r="AP413" s="1946"/>
      <c r="AQ413" s="1946"/>
      <c r="AR413" s="1946"/>
      <c r="AS413" s="1946"/>
      <c r="AT413" s="1946"/>
      <c r="AU413" s="1946"/>
      <c r="AV413" s="1946"/>
      <c r="AW413" s="1946"/>
      <c r="AX413" s="1946"/>
      <c r="AY413" s="1946"/>
      <c r="AZ413" s="1946"/>
      <c r="BA413" s="1946"/>
      <c r="BB413" s="1946"/>
      <c r="BC413" s="1946"/>
      <c r="BD413" s="1946"/>
      <c r="BE413" s="1946"/>
      <c r="BF413" s="1946"/>
      <c r="BG413" s="7213"/>
    </row>
    <row customHeight="1" ht="0.75">
      <c r="A414" s="1290" t="s">
        <v>1223</v>
      </c>
      <c r="B414" s="1290"/>
      <c r="C414" s="1290"/>
      <c r="D414" s="1284"/>
      <c r="E414" s="1294"/>
      <c r="F414" s="2673"/>
      <c r="G414" s="2652"/>
      <c r="H414" s="2677"/>
      <c r="I414" s="2678"/>
      <c r="J414" s="2679"/>
      <c r="K414" s="2679"/>
      <c r="L414" s="2671"/>
      <c r="M414" s="2405"/>
      <c r="N414" s="2680"/>
      <c r="O414" s="2681"/>
      <c r="P414" s="2727"/>
      <c r="Q414" s="2676"/>
      <c r="R414" s="2676"/>
      <c r="S414" s="2676"/>
      <c r="T414" s="2676"/>
      <c r="U414" s="2676"/>
      <c r="V414" s="2676"/>
      <c r="W414" s="2676"/>
      <c r="X414" s="2676"/>
      <c r="Y414" s="2676"/>
      <c r="Z414" s="2158"/>
      <c r="AA414" s="2159"/>
      <c r="AB414" s="2166"/>
      <c r="AC414" s="2160"/>
      <c r="AD414" s="2160"/>
      <c r="AE414" s="2167"/>
      <c r="AF414" s="2675"/>
      <c r="AG414" s="2671"/>
      <c r="AH414" s="2671"/>
      <c r="AI414" s="2675"/>
      <c r="AJ414" s="2671"/>
      <c r="AK414" s="2671"/>
      <c r="AL414" s="2109"/>
      <c r="AM414" s="1946"/>
      <c r="AN414" s="1946"/>
      <c r="AO414" s="1946"/>
      <c r="AP414" s="1946"/>
      <c r="AQ414" s="1946"/>
      <c r="AR414" s="1946"/>
      <c r="AS414" s="1946"/>
      <c r="AT414" s="1946"/>
      <c r="AU414" s="1946"/>
      <c r="AV414" s="1946"/>
      <c r="AW414" s="1946"/>
      <c r="AX414" s="1946"/>
      <c r="AY414" s="1946"/>
      <c r="AZ414" s="1946"/>
      <c r="BA414" s="1946"/>
      <c r="BB414" s="1946"/>
      <c r="BC414" s="1946"/>
      <c r="BD414" s="1946"/>
      <c r="BE414" s="1946"/>
      <c r="BF414" s="1946"/>
      <c r="BG414" s="7213"/>
    </row>
    <row customHeight="1" ht="0.75">
      <c r="A415" s="1290" t="s">
        <v>1223</v>
      </c>
      <c r="B415" s="1290"/>
      <c r="C415" s="1290"/>
      <c r="D415" s="1284"/>
      <c r="E415" s="1294"/>
      <c r="F415" s="2673"/>
      <c r="G415" s="2652"/>
      <c r="H415" s="2677"/>
      <c r="I415" s="2678"/>
      <c r="J415" s="2679"/>
      <c r="K415" s="2679"/>
      <c r="L415" s="2671"/>
      <c r="M415" s="2405"/>
      <c r="N415" s="2159"/>
      <c r="O415" s="2159"/>
      <c r="P415" s="2166"/>
      <c r="Q415" s="2159"/>
      <c r="R415" s="2159"/>
      <c r="S415" s="2159"/>
      <c r="T415" s="2159"/>
      <c r="U415" s="2159"/>
      <c r="V415" s="2159"/>
      <c r="W415" s="2159"/>
      <c r="X415" s="2159"/>
      <c r="Y415" s="2159"/>
      <c r="Z415" s="2159"/>
      <c r="AA415" s="2159"/>
      <c r="AB415" s="2159"/>
      <c r="AC415" s="2159"/>
      <c r="AD415" s="2159"/>
      <c r="AE415" s="2168"/>
      <c r="AF415" s="2675"/>
      <c r="AG415" s="2671"/>
      <c r="AH415" s="2671"/>
      <c r="AI415" s="2675"/>
      <c r="AJ415" s="2671"/>
      <c r="AK415" s="2671"/>
      <c r="AL415" s="2109"/>
      <c r="AM415" s="1946"/>
      <c r="AN415" s="1946"/>
      <c r="AO415" s="1946"/>
      <c r="AP415" s="1946"/>
      <c r="AQ415" s="1946"/>
      <c r="AR415" s="1946"/>
      <c r="AS415" s="1946"/>
      <c r="AT415" s="1946"/>
      <c r="AU415" s="1946"/>
      <c r="AV415" s="1946"/>
      <c r="AW415" s="1946"/>
      <c r="AX415" s="1946"/>
      <c r="AY415" s="1946"/>
      <c r="AZ415" s="1946"/>
      <c r="BA415" s="1946"/>
      <c r="BB415" s="1946"/>
      <c r="BC415" s="1946"/>
      <c r="BD415" s="1946"/>
      <c r="BE415" s="1946"/>
      <c r="BF415" s="1946"/>
      <c r="BG415" s="7213"/>
    </row>
    <row customHeight="1" ht="12">
      <c r="A416" s="1290" t="s">
        <v>1223</v>
      </c>
      <c r="B416" s="1290"/>
      <c r="C416" s="1290"/>
      <c r="D416" s="1284"/>
      <c r="E416" s="1294"/>
      <c r="F416" s="2674"/>
      <c r="G416" s="1314"/>
      <c r="H416" s="1314"/>
      <c r="I416" s="2672" t="s">
        <v>1294</v>
      </c>
      <c r="J416" s="2672"/>
      <c r="K416" s="2672"/>
      <c r="L416" s="1297"/>
      <c r="M416" s="1297"/>
      <c r="N416" s="1298"/>
      <c r="O416" s="1298"/>
      <c r="P416" s="1298"/>
      <c r="Q416" s="1298"/>
      <c r="R416" s="1298"/>
      <c r="S416" s="1298"/>
      <c r="T416" s="1298"/>
      <c r="U416" s="1298"/>
      <c r="V416" s="1298"/>
      <c r="W416" s="1298"/>
      <c r="X416" s="1298"/>
      <c r="Y416" s="1298"/>
      <c r="Z416" s="1298"/>
      <c r="AA416" s="1298"/>
      <c r="AB416" s="1298"/>
      <c r="AC416" s="1298"/>
      <c r="AD416" s="1298"/>
      <c r="AE416" s="1298"/>
      <c r="AF416" s="1298"/>
      <c r="AG416" s="1297"/>
      <c r="AH416" s="1297"/>
      <c r="AI416" s="1298"/>
      <c r="AJ416" s="1297"/>
      <c r="AK416" s="1298"/>
      <c r="AL416" s="2109"/>
      <c r="AM416" s="1946"/>
      <c r="AN416" s="1946"/>
      <c r="AO416" s="1946"/>
      <c r="AP416" s="1946"/>
      <c r="AQ416" s="1946"/>
      <c r="AR416" s="1946"/>
      <c r="AS416" s="1946"/>
      <c r="AT416" s="1946"/>
      <c r="AU416" s="1946"/>
      <c r="AV416" s="1946"/>
      <c r="AW416" s="1946"/>
      <c r="AX416" s="1946"/>
      <c r="AY416" s="1946"/>
      <c r="AZ416" s="1946"/>
      <c r="BA416" s="1946"/>
      <c r="BB416" s="1946"/>
      <c r="BC416" s="1946"/>
      <c r="BD416" s="1946"/>
      <c r="BE416" s="1946"/>
      <c r="BF416" s="1946"/>
      <c r="BG416" s="7213"/>
    </row>
    <row customHeight="1" ht="0.75">
      <c r="A417" s="1290" t="s">
        <v>1223</v>
      </c>
      <c r="B417" s="1290"/>
      <c r="C417" s="1290"/>
      <c r="D417" s="1284"/>
      <c r="E417" s="1294"/>
      <c r="F417" s="2673">
        <v>2026</v>
      </c>
      <c r="G417" s="2652"/>
      <c r="H417" s="2677" t="s">
        <v>488</v>
      </c>
      <c r="I417" s="2678"/>
      <c r="J417" s="2679"/>
      <c r="K417" s="2679"/>
      <c r="L417" s="2671"/>
      <c r="M417" s="2405"/>
      <c r="N417" s="2157"/>
      <c r="O417" s="2156"/>
      <c r="P417" s="2157"/>
      <c r="Q417" s="2157"/>
      <c r="R417" s="2157"/>
      <c r="S417" s="2157"/>
      <c r="T417" s="2157"/>
      <c r="U417" s="2157"/>
      <c r="V417" s="2157"/>
      <c r="W417" s="2157"/>
      <c r="X417" s="2157"/>
      <c r="Y417" s="2157"/>
      <c r="Z417" s="2157"/>
      <c r="AA417" s="2157"/>
      <c r="AB417" s="2157"/>
      <c r="AC417" s="2157"/>
      <c r="AD417" s="2157"/>
      <c r="AE417" s="2157"/>
      <c r="AF417" s="2675"/>
      <c r="AG417" s="2671"/>
      <c r="AH417" s="2671"/>
      <c r="AI417" s="2675"/>
      <c r="AJ417" s="2671"/>
      <c r="AK417" s="2671"/>
      <c r="AL417" s="2109"/>
      <c r="AM417" s="1946"/>
      <c r="AN417" s="1946"/>
      <c r="AO417" s="1946"/>
      <c r="AP417" s="1946"/>
      <c r="AQ417" s="1946"/>
      <c r="AR417" s="1946"/>
      <c r="AS417" s="1946"/>
      <c r="AT417" s="1946"/>
      <c r="AU417" s="1946"/>
      <c r="AV417" s="1946"/>
      <c r="AW417" s="1946"/>
      <c r="AX417" s="1946"/>
      <c r="AY417" s="1946"/>
      <c r="AZ417" s="1946"/>
      <c r="BA417" s="1946"/>
      <c r="BB417" s="1946"/>
      <c r="BC417" s="1946"/>
      <c r="BD417" s="1946"/>
      <c r="BE417" s="1946"/>
      <c r="BF417" s="1946"/>
      <c r="BG417" s="7213"/>
    </row>
    <row customHeight="1" ht="0.75">
      <c r="A418" s="1290" t="s">
        <v>1223</v>
      </c>
      <c r="B418" s="1290"/>
      <c r="C418" s="1290"/>
      <c r="D418" s="1284"/>
      <c r="E418" s="1294"/>
      <c r="F418" s="2673"/>
      <c r="G418" s="2652"/>
      <c r="H418" s="2677"/>
      <c r="I418" s="2678"/>
      <c r="J418" s="2679"/>
      <c r="K418" s="2679"/>
      <c r="L418" s="2671"/>
      <c r="M418" s="2405"/>
      <c r="N418" s="2680"/>
      <c r="O418" s="2681"/>
      <c r="P418" s="2725"/>
      <c r="Q418" s="2676"/>
      <c r="R418" s="2676"/>
      <c r="S418" s="2676"/>
      <c r="T418" s="2676"/>
      <c r="U418" s="2676"/>
      <c r="V418" s="2676"/>
      <c r="W418" s="2676"/>
      <c r="X418" s="2676"/>
      <c r="Y418" s="2676"/>
      <c r="Z418" s="2158"/>
      <c r="AA418" s="2159"/>
      <c r="AB418" s="2159"/>
      <c r="AC418" s="2160"/>
      <c r="AD418" s="2160"/>
      <c r="AE418" s="2161"/>
      <c r="AF418" s="2675"/>
      <c r="AG418" s="2671"/>
      <c r="AH418" s="2671"/>
      <c r="AI418" s="2675"/>
      <c r="AJ418" s="2671"/>
      <c r="AK418" s="2671"/>
      <c r="AL418" s="2109"/>
      <c r="AM418" s="1946"/>
      <c r="AN418" s="1946"/>
      <c r="AO418" s="1946"/>
      <c r="AP418" s="1946"/>
      <c r="AQ418" s="1946"/>
      <c r="AR418" s="1946"/>
      <c r="AS418" s="1946"/>
      <c r="AT418" s="1946"/>
      <c r="AU418" s="1946"/>
      <c r="AV418" s="1946"/>
      <c r="AW418" s="1946"/>
      <c r="AX418" s="1946"/>
      <c r="AY418" s="1946"/>
      <c r="AZ418" s="1946"/>
      <c r="BA418" s="1946"/>
      <c r="BB418" s="1946"/>
      <c r="BC418" s="1946"/>
      <c r="BD418" s="1946"/>
      <c r="BE418" s="1946"/>
      <c r="BF418" s="1946"/>
      <c r="BG418" s="7213"/>
    </row>
    <row customHeight="1" ht="0.75">
      <c r="A419" s="1290" t="s">
        <v>1223</v>
      </c>
      <c r="B419" s="1290"/>
      <c r="C419" s="1290"/>
      <c r="D419" s="1284"/>
      <c r="E419" s="1294"/>
      <c r="F419" s="2673"/>
      <c r="G419" s="2652"/>
      <c r="H419" s="2677"/>
      <c r="I419" s="2678"/>
      <c r="J419" s="2679"/>
      <c r="K419" s="2679"/>
      <c r="L419" s="2671"/>
      <c r="M419" s="2405"/>
      <c r="N419" s="2680"/>
      <c r="O419" s="2681"/>
      <c r="P419" s="2726"/>
      <c r="Q419" s="2676"/>
      <c r="R419" s="2676"/>
      <c r="S419" s="2676"/>
      <c r="T419" s="2676"/>
      <c r="U419" s="2676"/>
      <c r="V419" s="2676"/>
      <c r="W419" s="2676"/>
      <c r="X419" s="2676"/>
      <c r="Y419" s="2676"/>
      <c r="Z419" s="2162"/>
      <c r="AA419" s="2163"/>
      <c r="AB419" s="2164"/>
      <c r="AC419" s="2165"/>
      <c r="AD419" s="2164"/>
      <c r="AE419" s="2165"/>
      <c r="AF419" s="2675"/>
      <c r="AG419" s="2671"/>
      <c r="AH419" s="2671"/>
      <c r="AI419" s="2675"/>
      <c r="AJ419" s="2671"/>
      <c r="AK419" s="2671"/>
      <c r="AL419" s="2109"/>
      <c r="AM419" s="1946"/>
      <c r="AN419" s="1946"/>
      <c r="AO419" s="1946"/>
      <c r="AP419" s="1946"/>
      <c r="AQ419" s="1946"/>
      <c r="AR419" s="1946"/>
      <c r="AS419" s="1946"/>
      <c r="AT419" s="1946"/>
      <c r="AU419" s="1946"/>
      <c r="AV419" s="1946"/>
      <c r="AW419" s="1946"/>
      <c r="AX419" s="1946"/>
      <c r="AY419" s="1946"/>
      <c r="AZ419" s="1946"/>
      <c r="BA419" s="1946"/>
      <c r="BB419" s="1946"/>
      <c r="BC419" s="1946"/>
      <c r="BD419" s="1946"/>
      <c r="BE419" s="1946"/>
      <c r="BF419" s="1946"/>
      <c r="BG419" s="7213"/>
    </row>
    <row customHeight="1" ht="0.75">
      <c r="A420" s="1290" t="s">
        <v>1223</v>
      </c>
      <c r="B420" s="1290"/>
      <c r="C420" s="1290"/>
      <c r="D420" s="1284"/>
      <c r="E420" s="1294"/>
      <c r="F420" s="2673"/>
      <c r="G420" s="2652"/>
      <c r="H420" s="2677"/>
      <c r="I420" s="2678"/>
      <c r="J420" s="2679"/>
      <c r="K420" s="2679"/>
      <c r="L420" s="2671"/>
      <c r="M420" s="2405"/>
      <c r="N420" s="2680"/>
      <c r="O420" s="2681"/>
      <c r="P420" s="2727"/>
      <c r="Q420" s="2676"/>
      <c r="R420" s="2676"/>
      <c r="S420" s="2676"/>
      <c r="T420" s="2676"/>
      <c r="U420" s="2676"/>
      <c r="V420" s="2676"/>
      <c r="W420" s="2676"/>
      <c r="X420" s="2676"/>
      <c r="Y420" s="2676"/>
      <c r="Z420" s="2158"/>
      <c r="AA420" s="2159"/>
      <c r="AB420" s="2166"/>
      <c r="AC420" s="2160"/>
      <c r="AD420" s="2160"/>
      <c r="AE420" s="2167"/>
      <c r="AF420" s="2675"/>
      <c r="AG420" s="2671"/>
      <c r="AH420" s="2671"/>
      <c r="AI420" s="2675"/>
      <c r="AJ420" s="2671"/>
      <c r="AK420" s="2671"/>
      <c r="AL420" s="2109"/>
      <c r="AM420" s="1946"/>
      <c r="AN420" s="1946"/>
      <c r="AO420" s="1946"/>
      <c r="AP420" s="1946"/>
      <c r="AQ420" s="1946"/>
      <c r="AR420" s="1946"/>
      <c r="AS420" s="1946"/>
      <c r="AT420" s="1946"/>
      <c r="AU420" s="1946"/>
      <c r="AV420" s="1946"/>
      <c r="AW420" s="1946"/>
      <c r="AX420" s="1946"/>
      <c r="AY420" s="1946"/>
      <c r="AZ420" s="1946"/>
      <c r="BA420" s="1946"/>
      <c r="BB420" s="1946"/>
      <c r="BC420" s="1946"/>
      <c r="BD420" s="1946"/>
      <c r="BE420" s="1946"/>
      <c r="BF420" s="1946"/>
      <c r="BG420" s="7213"/>
    </row>
    <row customHeight="1" ht="0.75">
      <c r="A421" s="1290" t="s">
        <v>1223</v>
      </c>
      <c r="B421" s="1290"/>
      <c r="C421" s="1290"/>
      <c r="D421" s="1284"/>
      <c r="E421" s="1294"/>
      <c r="F421" s="2673"/>
      <c r="G421" s="2652"/>
      <c r="H421" s="2677"/>
      <c r="I421" s="2678"/>
      <c r="J421" s="2679"/>
      <c r="K421" s="2679"/>
      <c r="L421" s="2671"/>
      <c r="M421" s="2405"/>
      <c r="N421" s="2159"/>
      <c r="O421" s="2159"/>
      <c r="P421" s="2166"/>
      <c r="Q421" s="2159"/>
      <c r="R421" s="2159"/>
      <c r="S421" s="2159"/>
      <c r="T421" s="2159"/>
      <c r="U421" s="2159"/>
      <c r="V421" s="2159"/>
      <c r="W421" s="2159"/>
      <c r="X421" s="2159"/>
      <c r="Y421" s="2159"/>
      <c r="Z421" s="2159"/>
      <c r="AA421" s="2159"/>
      <c r="AB421" s="2159"/>
      <c r="AC421" s="2159"/>
      <c r="AD421" s="2159"/>
      <c r="AE421" s="2168"/>
      <c r="AF421" s="2675"/>
      <c r="AG421" s="2671"/>
      <c r="AH421" s="2671"/>
      <c r="AI421" s="2675"/>
      <c r="AJ421" s="2671"/>
      <c r="AK421" s="2671"/>
      <c r="AL421" s="2109"/>
      <c r="AM421" s="1946"/>
      <c r="AN421" s="1946"/>
      <c r="AO421" s="1946"/>
      <c r="AP421" s="1946"/>
      <c r="AQ421" s="1946"/>
      <c r="AR421" s="1946"/>
      <c r="AS421" s="1946"/>
      <c r="AT421" s="1946"/>
      <c r="AU421" s="1946"/>
      <c r="AV421" s="1946"/>
      <c r="AW421" s="1946"/>
      <c r="AX421" s="1946"/>
      <c r="AY421" s="1946"/>
      <c r="AZ421" s="1946"/>
      <c r="BA421" s="1946"/>
      <c r="BB421" s="1946"/>
      <c r="BC421" s="1946"/>
      <c r="BD421" s="1946"/>
      <c r="BE421" s="1946"/>
      <c r="BF421" s="1946"/>
      <c r="BG421" s="7213"/>
    </row>
    <row customHeight="1" ht="12">
      <c r="A422" s="1290" t="s">
        <v>1223</v>
      </c>
      <c r="B422" s="1290"/>
      <c r="C422" s="1290"/>
      <c r="D422" s="1284"/>
      <c r="E422" s="1294"/>
      <c r="F422" s="2674"/>
      <c r="G422" s="1314"/>
      <c r="H422" s="1314"/>
      <c r="I422" s="2672" t="s">
        <v>1294</v>
      </c>
      <c r="J422" s="2672"/>
      <c r="K422" s="2672"/>
      <c r="L422" s="1297"/>
      <c r="M422" s="1297"/>
      <c r="N422" s="1298"/>
      <c r="O422" s="1298"/>
      <c r="P422" s="1298"/>
      <c r="Q422" s="1298"/>
      <c r="R422" s="1298"/>
      <c r="S422" s="1298"/>
      <c r="T422" s="1298"/>
      <c r="U422" s="1298"/>
      <c r="V422" s="1298"/>
      <c r="W422" s="1298"/>
      <c r="X422" s="1298"/>
      <c r="Y422" s="1298"/>
      <c r="Z422" s="1298"/>
      <c r="AA422" s="1298"/>
      <c r="AB422" s="1298"/>
      <c r="AC422" s="1298"/>
      <c r="AD422" s="1298"/>
      <c r="AE422" s="1298"/>
      <c r="AF422" s="1298"/>
      <c r="AG422" s="1297"/>
      <c r="AH422" s="1297"/>
      <c r="AI422" s="1298"/>
      <c r="AJ422" s="1297"/>
      <c r="AK422" s="1298"/>
      <c r="AL422" s="2109"/>
      <c r="AM422" s="1946"/>
      <c r="AN422" s="1946"/>
      <c r="AO422" s="1946"/>
      <c r="AP422" s="1946"/>
      <c r="AQ422" s="1946"/>
      <c r="AR422" s="1946"/>
      <c r="AS422" s="1946"/>
      <c r="AT422" s="1946"/>
      <c r="AU422" s="1946"/>
      <c r="AV422" s="1946"/>
      <c r="AW422" s="1946"/>
      <c r="AX422" s="1946"/>
      <c r="AY422" s="1946"/>
      <c r="AZ422" s="1946"/>
      <c r="BA422" s="1946"/>
      <c r="BB422" s="1946"/>
      <c r="BC422" s="1946"/>
      <c r="BD422" s="1946"/>
      <c r="BE422" s="1946"/>
      <c r="BF422" s="1946"/>
      <c r="BG422" s="7213"/>
    </row>
    <row customHeight="1" ht="0.75">
      <c r="A423" s="1290" t="s">
        <v>1223</v>
      </c>
      <c r="B423" s="1290"/>
      <c r="C423" s="1290"/>
      <c r="D423" s="1284"/>
      <c r="E423" s="1294"/>
      <c r="F423" s="2673">
        <v>2027</v>
      </c>
      <c r="G423" s="2652"/>
      <c r="H423" s="2677" t="s">
        <v>488</v>
      </c>
      <c r="I423" s="2678"/>
      <c r="J423" s="2679"/>
      <c r="K423" s="2679"/>
      <c r="L423" s="2671"/>
      <c r="M423" s="2405"/>
      <c r="N423" s="2157"/>
      <c r="O423" s="2156"/>
      <c r="P423" s="2157"/>
      <c r="Q423" s="2157"/>
      <c r="R423" s="2157"/>
      <c r="S423" s="2157"/>
      <c r="T423" s="2157"/>
      <c r="U423" s="2157"/>
      <c r="V423" s="2157"/>
      <c r="W423" s="2157"/>
      <c r="X423" s="2157"/>
      <c r="Y423" s="2157"/>
      <c r="Z423" s="2157"/>
      <c r="AA423" s="2157"/>
      <c r="AB423" s="2157"/>
      <c r="AC423" s="2157"/>
      <c r="AD423" s="2157"/>
      <c r="AE423" s="2157"/>
      <c r="AF423" s="2675"/>
      <c r="AG423" s="2671"/>
      <c r="AH423" s="2671"/>
      <c r="AI423" s="2675"/>
      <c r="AJ423" s="2671"/>
      <c r="AK423" s="2671"/>
      <c r="AL423" s="2109"/>
      <c r="AM423" s="1946"/>
      <c r="AN423" s="1946"/>
      <c r="AO423" s="1946"/>
      <c r="AP423" s="1946"/>
      <c r="AQ423" s="1946"/>
      <c r="AR423" s="1946"/>
      <c r="AS423" s="1946"/>
      <c r="AT423" s="1946"/>
      <c r="AU423" s="1946"/>
      <c r="AV423" s="1946"/>
      <c r="AW423" s="1946"/>
      <c r="AX423" s="1946"/>
      <c r="AY423" s="1946"/>
      <c r="AZ423" s="1946"/>
      <c r="BA423" s="1946"/>
      <c r="BB423" s="1946"/>
      <c r="BC423" s="1946"/>
      <c r="BD423" s="1946"/>
      <c r="BE423" s="1946"/>
      <c r="BF423" s="1946"/>
      <c r="BG423" s="7213"/>
    </row>
    <row customHeight="1" ht="0.75">
      <c r="A424" s="1290" t="s">
        <v>1223</v>
      </c>
      <c r="B424" s="1290"/>
      <c r="C424" s="1290"/>
      <c r="D424" s="1284"/>
      <c r="E424" s="1294"/>
      <c r="F424" s="2673"/>
      <c r="G424" s="2652"/>
      <c r="H424" s="2677"/>
      <c r="I424" s="2678"/>
      <c r="J424" s="2679"/>
      <c r="K424" s="2679"/>
      <c r="L424" s="2671"/>
      <c r="M424" s="2405"/>
      <c r="N424" s="2680"/>
      <c r="O424" s="2681"/>
      <c r="P424" s="2725"/>
      <c r="Q424" s="2676"/>
      <c r="R424" s="2676"/>
      <c r="S424" s="2676"/>
      <c r="T424" s="2676"/>
      <c r="U424" s="2676"/>
      <c r="V424" s="2676"/>
      <c r="W424" s="2676"/>
      <c r="X424" s="2676"/>
      <c r="Y424" s="2676"/>
      <c r="Z424" s="2158"/>
      <c r="AA424" s="2159"/>
      <c r="AB424" s="2159"/>
      <c r="AC424" s="2160"/>
      <c r="AD424" s="2160"/>
      <c r="AE424" s="2161"/>
      <c r="AF424" s="2675"/>
      <c r="AG424" s="2671"/>
      <c r="AH424" s="2671"/>
      <c r="AI424" s="2675"/>
      <c r="AJ424" s="2671"/>
      <c r="AK424" s="2671"/>
      <c r="AL424" s="2109"/>
      <c r="AM424" s="1946"/>
      <c r="AN424" s="1946"/>
      <c r="AO424" s="1946"/>
      <c r="AP424" s="1946"/>
      <c r="AQ424" s="1946"/>
      <c r="AR424" s="1946"/>
      <c r="AS424" s="1946"/>
      <c r="AT424" s="1946"/>
      <c r="AU424" s="1946"/>
      <c r="AV424" s="1946"/>
      <c r="AW424" s="1946"/>
      <c r="AX424" s="1946"/>
      <c r="AY424" s="1946"/>
      <c r="AZ424" s="1946"/>
      <c r="BA424" s="1946"/>
      <c r="BB424" s="1946"/>
      <c r="BC424" s="1946"/>
      <c r="BD424" s="1946"/>
      <c r="BE424" s="1946"/>
      <c r="BF424" s="1946"/>
      <c r="BG424" s="7213"/>
    </row>
    <row customHeight="1" ht="0.75">
      <c r="A425" s="1290" t="s">
        <v>1223</v>
      </c>
      <c r="B425" s="1290"/>
      <c r="C425" s="1290"/>
      <c r="D425" s="1284"/>
      <c r="E425" s="1294"/>
      <c r="F425" s="2673"/>
      <c r="G425" s="2652"/>
      <c r="H425" s="2677"/>
      <c r="I425" s="2678"/>
      <c r="J425" s="2679"/>
      <c r="K425" s="2679"/>
      <c r="L425" s="2671"/>
      <c r="M425" s="2405"/>
      <c r="N425" s="2680"/>
      <c r="O425" s="2681"/>
      <c r="P425" s="2726"/>
      <c r="Q425" s="2676"/>
      <c r="R425" s="2676"/>
      <c r="S425" s="2676"/>
      <c r="T425" s="2676"/>
      <c r="U425" s="2676"/>
      <c r="V425" s="2676"/>
      <c r="W425" s="2676"/>
      <c r="X425" s="2676"/>
      <c r="Y425" s="2676"/>
      <c r="Z425" s="2162"/>
      <c r="AA425" s="2163"/>
      <c r="AB425" s="2164"/>
      <c r="AC425" s="2165"/>
      <c r="AD425" s="2164"/>
      <c r="AE425" s="2165"/>
      <c r="AF425" s="2675"/>
      <c r="AG425" s="2671"/>
      <c r="AH425" s="2671"/>
      <c r="AI425" s="2675"/>
      <c r="AJ425" s="2671"/>
      <c r="AK425" s="2671"/>
      <c r="AL425" s="2109"/>
      <c r="AM425" s="1946"/>
      <c r="AN425" s="1946"/>
      <c r="AO425" s="1946"/>
      <c r="AP425" s="1946"/>
      <c r="AQ425" s="1946"/>
      <c r="AR425" s="1946"/>
      <c r="AS425" s="1946"/>
      <c r="AT425" s="1946"/>
      <c r="AU425" s="1946"/>
      <c r="AV425" s="1946"/>
      <c r="AW425" s="1946"/>
      <c r="AX425" s="1946"/>
      <c r="AY425" s="1946"/>
      <c r="AZ425" s="1946"/>
      <c r="BA425" s="1946"/>
      <c r="BB425" s="1946"/>
      <c r="BC425" s="1946"/>
      <c r="BD425" s="1946"/>
      <c r="BE425" s="1946"/>
      <c r="BF425" s="1946"/>
      <c r="BG425" s="7213"/>
    </row>
    <row customHeight="1" ht="0.75">
      <c r="A426" s="1290" t="s">
        <v>1223</v>
      </c>
      <c r="B426" s="1290"/>
      <c r="C426" s="1290"/>
      <c r="D426" s="1284"/>
      <c r="E426" s="1294"/>
      <c r="F426" s="2673"/>
      <c r="G426" s="2652"/>
      <c r="H426" s="2677"/>
      <c r="I426" s="2678"/>
      <c r="J426" s="2679"/>
      <c r="K426" s="2679"/>
      <c r="L426" s="2671"/>
      <c r="M426" s="2405"/>
      <c r="N426" s="2680"/>
      <c r="O426" s="2681"/>
      <c r="P426" s="2727"/>
      <c r="Q426" s="2676"/>
      <c r="R426" s="2676"/>
      <c r="S426" s="2676"/>
      <c r="T426" s="2676"/>
      <c r="U426" s="2676"/>
      <c r="V426" s="2676"/>
      <c r="W426" s="2676"/>
      <c r="X426" s="2676"/>
      <c r="Y426" s="2676"/>
      <c r="Z426" s="2158"/>
      <c r="AA426" s="2159"/>
      <c r="AB426" s="2166"/>
      <c r="AC426" s="2160"/>
      <c r="AD426" s="2160"/>
      <c r="AE426" s="2167"/>
      <c r="AF426" s="2675"/>
      <c r="AG426" s="2671"/>
      <c r="AH426" s="2671"/>
      <c r="AI426" s="2675"/>
      <c r="AJ426" s="2671"/>
      <c r="AK426" s="2671"/>
      <c r="AL426" s="2109"/>
      <c r="AM426" s="1946"/>
      <c r="AN426" s="1946"/>
      <c r="AO426" s="1946"/>
      <c r="AP426" s="1946"/>
      <c r="AQ426" s="1946"/>
      <c r="AR426" s="1946"/>
      <c r="AS426" s="1946"/>
      <c r="AT426" s="1946"/>
      <c r="AU426" s="1946"/>
      <c r="AV426" s="1946"/>
      <c r="AW426" s="1946"/>
      <c r="AX426" s="1946"/>
      <c r="AY426" s="1946"/>
      <c r="AZ426" s="1946"/>
      <c r="BA426" s="1946"/>
      <c r="BB426" s="1946"/>
      <c r="BC426" s="1946"/>
      <c r="BD426" s="1946"/>
      <c r="BE426" s="1946"/>
      <c r="BF426" s="1946"/>
      <c r="BG426" s="7213"/>
    </row>
    <row customHeight="1" ht="0.75">
      <c r="A427" s="1290" t="s">
        <v>1223</v>
      </c>
      <c r="B427" s="1290"/>
      <c r="C427" s="1290"/>
      <c r="D427" s="1284"/>
      <c r="E427" s="1294"/>
      <c r="F427" s="2673"/>
      <c r="G427" s="2652"/>
      <c r="H427" s="2677"/>
      <c r="I427" s="2678"/>
      <c r="J427" s="2679"/>
      <c r="K427" s="2679"/>
      <c r="L427" s="2671"/>
      <c r="M427" s="2405"/>
      <c r="N427" s="2159"/>
      <c r="O427" s="2159"/>
      <c r="P427" s="2166"/>
      <c r="Q427" s="2159"/>
      <c r="R427" s="2159"/>
      <c r="S427" s="2159"/>
      <c r="T427" s="2159"/>
      <c r="U427" s="2159"/>
      <c r="V427" s="2159"/>
      <c r="W427" s="2159"/>
      <c r="X427" s="2159"/>
      <c r="Y427" s="2159"/>
      <c r="Z427" s="2159"/>
      <c r="AA427" s="2159"/>
      <c r="AB427" s="2159"/>
      <c r="AC427" s="2159"/>
      <c r="AD427" s="2159"/>
      <c r="AE427" s="2168"/>
      <c r="AF427" s="2675"/>
      <c r="AG427" s="2671"/>
      <c r="AH427" s="2671"/>
      <c r="AI427" s="2675"/>
      <c r="AJ427" s="2671"/>
      <c r="AK427" s="2671"/>
      <c r="AL427" s="2109"/>
      <c r="AM427" s="1946"/>
      <c r="AN427" s="1946"/>
      <c r="AO427" s="1946"/>
      <c r="AP427" s="1946"/>
      <c r="AQ427" s="1946"/>
      <c r="AR427" s="1946"/>
      <c r="AS427" s="1946"/>
      <c r="AT427" s="1946"/>
      <c r="AU427" s="1946"/>
      <c r="AV427" s="1946"/>
      <c r="AW427" s="1946"/>
      <c r="AX427" s="1946"/>
      <c r="AY427" s="1946"/>
      <c r="AZ427" s="1946"/>
      <c r="BA427" s="1946"/>
      <c r="BB427" s="1946"/>
      <c r="BC427" s="1946"/>
      <c r="BD427" s="1946"/>
      <c r="BE427" s="1946"/>
      <c r="BF427" s="1946"/>
      <c r="BG427" s="7213"/>
    </row>
    <row customHeight="1" ht="12">
      <c r="A428" s="1290" t="s">
        <v>1223</v>
      </c>
      <c r="B428" s="1290"/>
      <c r="C428" s="1290"/>
      <c r="D428" s="1284"/>
      <c r="E428" s="1294"/>
      <c r="F428" s="2674"/>
      <c r="G428" s="1314"/>
      <c r="H428" s="1314"/>
      <c r="I428" s="2672" t="s">
        <v>1294</v>
      </c>
      <c r="J428" s="2672"/>
      <c r="K428" s="2672"/>
      <c r="L428" s="1297"/>
      <c r="M428" s="1297"/>
      <c r="N428" s="1298"/>
      <c r="O428" s="1298"/>
      <c r="P428" s="1298"/>
      <c r="Q428" s="1298"/>
      <c r="R428" s="1298"/>
      <c r="S428" s="1298"/>
      <c r="T428" s="1298"/>
      <c r="U428" s="1298"/>
      <c r="V428" s="1298"/>
      <c r="W428" s="1298"/>
      <c r="X428" s="1298"/>
      <c r="Y428" s="1298"/>
      <c r="Z428" s="1298"/>
      <c r="AA428" s="1298"/>
      <c r="AB428" s="1298"/>
      <c r="AC428" s="1298"/>
      <c r="AD428" s="1298"/>
      <c r="AE428" s="1298"/>
      <c r="AF428" s="1298"/>
      <c r="AG428" s="1297"/>
      <c r="AH428" s="1297"/>
      <c r="AI428" s="1298"/>
      <c r="AJ428" s="1297"/>
      <c r="AK428" s="1298"/>
      <c r="AL428" s="2109"/>
      <c r="AM428" s="1946"/>
      <c r="AN428" s="1946"/>
      <c r="AO428" s="1946"/>
      <c r="AP428" s="1946"/>
      <c r="AQ428" s="1946"/>
      <c r="AR428" s="1946"/>
      <c r="AS428" s="1946"/>
      <c r="AT428" s="1946"/>
      <c r="AU428" s="1946"/>
      <c r="AV428" s="1946"/>
      <c r="AW428" s="1946"/>
      <c r="AX428" s="1946"/>
      <c r="AY428" s="1946"/>
      <c r="AZ428" s="1946"/>
      <c r="BA428" s="1946"/>
      <c r="BB428" s="1946"/>
      <c r="BC428" s="1946"/>
      <c r="BD428" s="1946"/>
      <c r="BE428" s="1946"/>
      <c r="BF428" s="1946"/>
      <c r="BG428" s="7213"/>
    </row>
    <row customHeight="1" ht="0.75">
      <c r="A429" s="1290" t="s">
        <v>1223</v>
      </c>
      <c r="B429" s="1290"/>
      <c r="C429" s="1290"/>
      <c r="D429" s="1284"/>
      <c r="E429" s="1294"/>
      <c r="F429" s="2673">
        <v>2028</v>
      </c>
      <c r="G429" s="2652"/>
      <c r="H429" s="2677" t="s">
        <v>488</v>
      </c>
      <c r="I429" s="2678"/>
      <c r="J429" s="2679"/>
      <c r="K429" s="2679"/>
      <c r="L429" s="2671"/>
      <c r="M429" s="2405"/>
      <c r="N429" s="2157"/>
      <c r="O429" s="2156"/>
      <c r="P429" s="2157"/>
      <c r="Q429" s="2157"/>
      <c r="R429" s="2157"/>
      <c r="S429" s="2157"/>
      <c r="T429" s="2157"/>
      <c r="U429" s="2157"/>
      <c r="V429" s="2157"/>
      <c r="W429" s="2157"/>
      <c r="X429" s="2157"/>
      <c r="Y429" s="2157"/>
      <c r="Z429" s="2157"/>
      <c r="AA429" s="2157"/>
      <c r="AB429" s="2157"/>
      <c r="AC429" s="2157"/>
      <c r="AD429" s="2157"/>
      <c r="AE429" s="2157"/>
      <c r="AF429" s="2675"/>
      <c r="AG429" s="2671"/>
      <c r="AH429" s="2671"/>
      <c r="AI429" s="2675"/>
      <c r="AJ429" s="2671"/>
      <c r="AK429" s="2671"/>
      <c r="AL429" s="2109"/>
      <c r="AM429" s="1946"/>
      <c r="AN429" s="1946"/>
      <c r="AO429" s="1946"/>
      <c r="AP429" s="1946"/>
      <c r="AQ429" s="1946"/>
      <c r="AR429" s="1946"/>
      <c r="AS429" s="1946"/>
      <c r="AT429" s="1946"/>
      <c r="AU429" s="1946"/>
      <c r="AV429" s="1946"/>
      <c r="AW429" s="1946"/>
      <c r="AX429" s="1946"/>
      <c r="AY429" s="1946"/>
      <c r="AZ429" s="1946"/>
      <c r="BA429" s="1946"/>
      <c r="BB429" s="1946"/>
      <c r="BC429" s="1946"/>
      <c r="BD429" s="1946"/>
      <c r="BE429" s="1946"/>
      <c r="BF429" s="1946"/>
      <c r="BG429" s="7213"/>
    </row>
    <row customHeight="1" ht="0.75">
      <c r="A430" s="1290" t="s">
        <v>1223</v>
      </c>
      <c r="B430" s="1290"/>
      <c r="C430" s="1290"/>
      <c r="D430" s="1284"/>
      <c r="E430" s="1294"/>
      <c r="F430" s="2673"/>
      <c r="G430" s="2652"/>
      <c r="H430" s="2677"/>
      <c r="I430" s="2678"/>
      <c r="J430" s="2679"/>
      <c r="K430" s="2679"/>
      <c r="L430" s="2671"/>
      <c r="M430" s="2405"/>
      <c r="N430" s="2680"/>
      <c r="O430" s="2681"/>
      <c r="P430" s="2725"/>
      <c r="Q430" s="2676"/>
      <c r="R430" s="2676"/>
      <c r="S430" s="2676"/>
      <c r="T430" s="2676"/>
      <c r="U430" s="2676"/>
      <c r="V430" s="2676"/>
      <c r="W430" s="2676"/>
      <c r="X430" s="2676"/>
      <c r="Y430" s="2676"/>
      <c r="Z430" s="2158"/>
      <c r="AA430" s="2159"/>
      <c r="AB430" s="2159"/>
      <c r="AC430" s="2160"/>
      <c r="AD430" s="2160"/>
      <c r="AE430" s="2161"/>
      <c r="AF430" s="2675"/>
      <c r="AG430" s="2671"/>
      <c r="AH430" s="2671"/>
      <c r="AI430" s="2675"/>
      <c r="AJ430" s="2671"/>
      <c r="AK430" s="2671"/>
      <c r="AL430" s="2109"/>
      <c r="AM430" s="1946"/>
      <c r="AN430" s="1946"/>
      <c r="AO430" s="1946"/>
      <c r="AP430" s="1946"/>
      <c r="AQ430" s="1946"/>
      <c r="AR430" s="1946"/>
      <c r="AS430" s="1946"/>
      <c r="AT430" s="1946"/>
      <c r="AU430" s="1946"/>
      <c r="AV430" s="1946"/>
      <c r="AW430" s="1946"/>
      <c r="AX430" s="1946"/>
      <c r="AY430" s="1946"/>
      <c r="AZ430" s="1946"/>
      <c r="BA430" s="1946"/>
      <c r="BB430" s="1946"/>
      <c r="BC430" s="1946"/>
      <c r="BD430" s="1946"/>
      <c r="BE430" s="1946"/>
      <c r="BF430" s="1946"/>
      <c r="BG430" s="7213"/>
    </row>
    <row customHeight="1" ht="0.75">
      <c r="A431" s="1290" t="s">
        <v>1223</v>
      </c>
      <c r="B431" s="1290"/>
      <c r="C431" s="1290"/>
      <c r="D431" s="1284"/>
      <c r="E431" s="1294"/>
      <c r="F431" s="2673"/>
      <c r="G431" s="2652"/>
      <c r="H431" s="2677"/>
      <c r="I431" s="2678"/>
      <c r="J431" s="2679"/>
      <c r="K431" s="2679"/>
      <c r="L431" s="2671"/>
      <c r="M431" s="2405"/>
      <c r="N431" s="2680"/>
      <c r="O431" s="2681"/>
      <c r="P431" s="2726"/>
      <c r="Q431" s="2676"/>
      <c r="R431" s="2676"/>
      <c r="S431" s="2676"/>
      <c r="T431" s="2676"/>
      <c r="U431" s="2676"/>
      <c r="V431" s="2676"/>
      <c r="W431" s="2676"/>
      <c r="X431" s="2676"/>
      <c r="Y431" s="2676"/>
      <c r="Z431" s="2162"/>
      <c r="AA431" s="2163"/>
      <c r="AB431" s="2164"/>
      <c r="AC431" s="2165"/>
      <c r="AD431" s="2164"/>
      <c r="AE431" s="2165"/>
      <c r="AF431" s="2675"/>
      <c r="AG431" s="2671"/>
      <c r="AH431" s="2671"/>
      <c r="AI431" s="2675"/>
      <c r="AJ431" s="2671"/>
      <c r="AK431" s="2671"/>
      <c r="AL431" s="2109"/>
      <c r="AM431" s="1946"/>
      <c r="AN431" s="1946"/>
      <c r="AO431" s="1946"/>
      <c r="AP431" s="1946"/>
      <c r="AQ431" s="1946"/>
      <c r="AR431" s="1946"/>
      <c r="AS431" s="1946"/>
      <c r="AT431" s="1946"/>
      <c r="AU431" s="1946"/>
      <c r="AV431" s="1946"/>
      <c r="AW431" s="1946"/>
      <c r="AX431" s="1946"/>
      <c r="AY431" s="1946"/>
      <c r="AZ431" s="1946"/>
      <c r="BA431" s="1946"/>
      <c r="BB431" s="1946"/>
      <c r="BC431" s="1946"/>
      <c r="BD431" s="1946"/>
      <c r="BE431" s="1946"/>
      <c r="BF431" s="1946"/>
      <c r="BG431" s="7213"/>
    </row>
    <row customHeight="1" ht="0.75">
      <c r="A432" s="1290" t="s">
        <v>1223</v>
      </c>
      <c r="B432" s="1290"/>
      <c r="C432" s="1290"/>
      <c r="D432" s="1284"/>
      <c r="E432" s="1294"/>
      <c r="F432" s="2673"/>
      <c r="G432" s="2652"/>
      <c r="H432" s="2677"/>
      <c r="I432" s="2678"/>
      <c r="J432" s="2679"/>
      <c r="K432" s="2679"/>
      <c r="L432" s="2671"/>
      <c r="M432" s="2405"/>
      <c r="N432" s="2680"/>
      <c r="O432" s="2681"/>
      <c r="P432" s="2727"/>
      <c r="Q432" s="2676"/>
      <c r="R432" s="2676"/>
      <c r="S432" s="2676"/>
      <c r="T432" s="2676"/>
      <c r="U432" s="2676"/>
      <c r="V432" s="2676"/>
      <c r="W432" s="2676"/>
      <c r="X432" s="2676"/>
      <c r="Y432" s="2676"/>
      <c r="Z432" s="2158"/>
      <c r="AA432" s="2159"/>
      <c r="AB432" s="2166"/>
      <c r="AC432" s="2160"/>
      <c r="AD432" s="2160"/>
      <c r="AE432" s="2167"/>
      <c r="AF432" s="2675"/>
      <c r="AG432" s="2671"/>
      <c r="AH432" s="2671"/>
      <c r="AI432" s="2675"/>
      <c r="AJ432" s="2671"/>
      <c r="AK432" s="2671"/>
      <c r="AL432" s="2109"/>
      <c r="AM432" s="1946"/>
      <c r="AN432" s="1946"/>
      <c r="AO432" s="1946"/>
      <c r="AP432" s="1946"/>
      <c r="AQ432" s="1946"/>
      <c r="AR432" s="1946"/>
      <c r="AS432" s="1946"/>
      <c r="AT432" s="1946"/>
      <c r="AU432" s="1946"/>
      <c r="AV432" s="1946"/>
      <c r="AW432" s="1946"/>
      <c r="AX432" s="1946"/>
      <c r="AY432" s="1946"/>
      <c r="AZ432" s="1946"/>
      <c r="BA432" s="1946"/>
      <c r="BB432" s="1946"/>
      <c r="BC432" s="1946"/>
      <c r="BD432" s="1946"/>
      <c r="BE432" s="1946"/>
      <c r="BF432" s="1946"/>
      <c r="BG432" s="7213"/>
    </row>
    <row customHeight="1" ht="0.75">
      <c r="A433" s="1290" t="s">
        <v>1223</v>
      </c>
      <c r="B433" s="1290"/>
      <c r="C433" s="1290"/>
      <c r="D433" s="1284"/>
      <c r="E433" s="1294"/>
      <c r="F433" s="2673"/>
      <c r="G433" s="2652"/>
      <c r="H433" s="2677"/>
      <c r="I433" s="2678"/>
      <c r="J433" s="2679"/>
      <c r="K433" s="2679"/>
      <c r="L433" s="2671"/>
      <c r="M433" s="2405"/>
      <c r="N433" s="2159"/>
      <c r="O433" s="2159"/>
      <c r="P433" s="2166"/>
      <c r="Q433" s="2159"/>
      <c r="R433" s="2159"/>
      <c r="S433" s="2159"/>
      <c r="T433" s="2159"/>
      <c r="U433" s="2159"/>
      <c r="V433" s="2159"/>
      <c r="W433" s="2159"/>
      <c r="X433" s="2159"/>
      <c r="Y433" s="2159"/>
      <c r="Z433" s="2159"/>
      <c r="AA433" s="2159"/>
      <c r="AB433" s="2159"/>
      <c r="AC433" s="2159"/>
      <c r="AD433" s="2159"/>
      <c r="AE433" s="2168"/>
      <c r="AF433" s="2675"/>
      <c r="AG433" s="2671"/>
      <c r="AH433" s="2671"/>
      <c r="AI433" s="2675"/>
      <c r="AJ433" s="2671"/>
      <c r="AK433" s="2671"/>
      <c r="AL433" s="2109"/>
      <c r="AM433" s="1946"/>
      <c r="AN433" s="1946"/>
      <c r="AO433" s="1946"/>
      <c r="AP433" s="1946"/>
      <c r="AQ433" s="1946"/>
      <c r="AR433" s="1946"/>
      <c r="AS433" s="1946"/>
      <c r="AT433" s="1946"/>
      <c r="AU433" s="1946"/>
      <c r="AV433" s="1946"/>
      <c r="AW433" s="1946"/>
      <c r="AX433" s="1946"/>
      <c r="AY433" s="1946"/>
      <c r="AZ433" s="1946"/>
      <c r="BA433" s="1946"/>
      <c r="BB433" s="1946"/>
      <c r="BC433" s="1946"/>
      <c r="BD433" s="1946"/>
      <c r="BE433" s="1946"/>
      <c r="BF433" s="1946"/>
      <c r="BG433" s="7213"/>
    </row>
    <row customHeight="1" ht="12">
      <c r="A434" s="1290" t="s">
        <v>1223</v>
      </c>
      <c r="B434" s="1290"/>
      <c r="C434" s="1290"/>
      <c r="D434" s="1284"/>
      <c r="E434" s="1294"/>
      <c r="F434" s="2674"/>
      <c r="G434" s="1314"/>
      <c r="H434" s="1314"/>
      <c r="I434" s="2672" t="s">
        <v>1294</v>
      </c>
      <c r="J434" s="2672"/>
      <c r="K434" s="2672"/>
      <c r="L434" s="1297"/>
      <c r="M434" s="1297"/>
      <c r="N434" s="1298"/>
      <c r="O434" s="1298"/>
      <c r="P434" s="1298"/>
      <c r="Q434" s="1298"/>
      <c r="R434" s="1298"/>
      <c r="S434" s="1298"/>
      <c r="T434" s="1298"/>
      <c r="U434" s="1298"/>
      <c r="V434" s="1298"/>
      <c r="W434" s="1298"/>
      <c r="X434" s="1298"/>
      <c r="Y434" s="1298"/>
      <c r="Z434" s="1298"/>
      <c r="AA434" s="1298"/>
      <c r="AB434" s="1298"/>
      <c r="AC434" s="1298"/>
      <c r="AD434" s="1298"/>
      <c r="AE434" s="1298"/>
      <c r="AF434" s="1298"/>
      <c r="AG434" s="1297"/>
      <c r="AH434" s="1297"/>
      <c r="AI434" s="1298"/>
      <c r="AJ434" s="1297"/>
      <c r="AK434" s="1298"/>
      <c r="AL434" s="2109"/>
      <c r="AM434" s="1946"/>
      <c r="AN434" s="1946"/>
      <c r="AO434" s="1946"/>
      <c r="AP434" s="1946"/>
      <c r="AQ434" s="1946"/>
      <c r="AR434" s="1946"/>
      <c r="AS434" s="1946"/>
      <c r="AT434" s="1946"/>
      <c r="AU434" s="1946"/>
      <c r="AV434" s="1946"/>
      <c r="AW434" s="1946"/>
      <c r="AX434" s="1946"/>
      <c r="AY434" s="1946"/>
      <c r="AZ434" s="1946"/>
      <c r="BA434" s="1946"/>
      <c r="BB434" s="1946"/>
      <c r="BC434" s="1946"/>
      <c r="BD434" s="1946"/>
      <c r="BE434" s="1946"/>
      <c r="BF434" s="1946"/>
      <c r="BG434" s="7213"/>
    </row>
    <row customHeight="1" ht="21">
      <c r="A435" s="1291" t="s">
        <v>1229</v>
      </c>
      <c r="B435" s="1290"/>
      <c r="C435" s="1290"/>
      <c r="D435" s="1284"/>
      <c r="E435" s="1294" t="s">
        <v>22</v>
      </c>
      <c r="F435" s="1246" t="str">
        <f>INDEX(IP_MAIN_LIST_NAME_IP,MATCH(A435,IP_MAIN_LIST_IP_ID,0))&amp;" ("&amp;INDEX(IP_MAIN_START_DATE,MATCH(A435,IP_MAIN_LIST_IP_ID,0))&amp;"-"&amp;INDEX(IP_MAIN_END_DATE,MATCH(A435,IP_MAIN_LIST_IP_ID,0))&amp;")"</f>
        <v>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 (01.01.2024-31.12.2028)</v>
      </c>
      <c r="G435" s="1247"/>
      <c r="H435" s="1247"/>
      <c r="I435" s="1309"/>
      <c r="J435" s="1309"/>
      <c r="K435" s="1310"/>
      <c r="L435" s="1310"/>
      <c r="M435" s="1310"/>
      <c r="N435" s="1311"/>
      <c r="O435" s="1311"/>
      <c r="P435" s="1311"/>
      <c r="Q435" s="1311"/>
      <c r="R435" s="1311"/>
      <c r="S435" s="1311"/>
      <c r="T435" s="1311"/>
      <c r="U435" s="1311"/>
      <c r="V435" s="1311"/>
      <c r="W435" s="1311"/>
      <c r="X435" s="1311"/>
      <c r="Y435" s="1311"/>
      <c r="Z435" s="1311"/>
      <c r="AA435" s="1311"/>
      <c r="AB435" s="1311"/>
      <c r="AC435" s="1311"/>
      <c r="AD435" s="1311"/>
      <c r="AE435" s="1312"/>
      <c r="AF435" s="1310"/>
      <c r="AG435" s="1310"/>
      <c r="AH435" s="1310"/>
      <c r="AI435" s="1310"/>
      <c r="AJ435" s="1310"/>
      <c r="AK435" s="1310"/>
      <c r="AL435" s="2109"/>
      <c r="AM435" s="1946"/>
      <c r="AN435" s="1946"/>
      <c r="AO435" s="1946"/>
      <c r="AP435" s="1946"/>
      <c r="AQ435" s="1946"/>
      <c r="AR435" s="1946"/>
      <c r="AS435" s="1946"/>
      <c r="AT435" s="1946"/>
      <c r="AU435" s="1946"/>
      <c r="AV435" s="1946"/>
      <c r="AW435" s="1946"/>
      <c r="AX435" s="1946"/>
      <c r="AY435" s="1946"/>
      <c r="AZ435" s="1946"/>
      <c r="BA435" s="1946"/>
      <c r="BB435" s="1946"/>
      <c r="BC435" s="1946"/>
      <c r="BD435" s="1946"/>
      <c r="BE435" s="1946"/>
      <c r="BF435" s="1946"/>
      <c r="BG435" s="7213"/>
    </row>
    <row customHeight="1" ht="0.75">
      <c r="A436" s="1290" t="s">
        <v>1229</v>
      </c>
      <c r="B436" s="1290"/>
      <c r="C436" s="1290"/>
      <c r="D436" s="1284"/>
      <c r="E436" s="1294"/>
      <c r="F436" s="2673">
        <v>2024</v>
      </c>
      <c r="G436" s="2652"/>
      <c r="H436" s="2677" t="s">
        <v>488</v>
      </c>
      <c r="I436" s="2678"/>
      <c r="J436" s="2679"/>
      <c r="K436" s="2679"/>
      <c r="L436" s="2671"/>
      <c r="M436" s="2405"/>
      <c r="N436" s="2157"/>
      <c r="O436" s="2156"/>
      <c r="P436" s="2157"/>
      <c r="Q436" s="2157"/>
      <c r="R436" s="2157"/>
      <c r="S436" s="2157"/>
      <c r="T436" s="2157"/>
      <c r="U436" s="2157"/>
      <c r="V436" s="2157"/>
      <c r="W436" s="2157"/>
      <c r="X436" s="2157"/>
      <c r="Y436" s="2157"/>
      <c r="Z436" s="2157"/>
      <c r="AA436" s="2157"/>
      <c r="AB436" s="2157"/>
      <c r="AC436" s="2157"/>
      <c r="AD436" s="2157"/>
      <c r="AE436" s="2157"/>
      <c r="AF436" s="2675"/>
      <c r="AG436" s="2671"/>
      <c r="AH436" s="2671"/>
      <c r="AI436" s="2675"/>
      <c r="AJ436" s="2671"/>
      <c r="AK436" s="2671"/>
      <c r="AL436" s="2109"/>
      <c r="AM436" s="1946"/>
      <c r="AN436" s="1946"/>
      <c r="AO436" s="1946"/>
      <c r="AP436" s="1946"/>
      <c r="AQ436" s="1946"/>
      <c r="AR436" s="1946"/>
      <c r="AS436" s="1946"/>
      <c r="AT436" s="1946"/>
      <c r="AU436" s="1946"/>
      <c r="AV436" s="1946"/>
      <c r="AW436" s="1946"/>
      <c r="AX436" s="1946"/>
      <c r="AY436" s="1946"/>
      <c r="AZ436" s="1946"/>
      <c r="BA436" s="1946"/>
      <c r="BB436" s="1946"/>
      <c r="BC436" s="1946"/>
      <c r="BD436" s="1946"/>
      <c r="BE436" s="1946"/>
      <c r="BF436" s="1946"/>
      <c r="BG436" s="7213"/>
    </row>
    <row customHeight="1" ht="0.75">
      <c r="A437" s="1290" t="s">
        <v>1229</v>
      </c>
      <c r="B437" s="1290"/>
      <c r="C437" s="1290"/>
      <c r="D437" s="1284"/>
      <c r="E437" s="1294"/>
      <c r="F437" s="2673"/>
      <c r="G437" s="2652"/>
      <c r="H437" s="2677"/>
      <c r="I437" s="2678"/>
      <c r="J437" s="2679"/>
      <c r="K437" s="2679"/>
      <c r="L437" s="2671"/>
      <c r="M437" s="2405"/>
      <c r="N437" s="2680"/>
      <c r="O437" s="2681"/>
      <c r="P437" s="2725"/>
      <c r="Q437" s="2676"/>
      <c r="R437" s="2676"/>
      <c r="S437" s="2676"/>
      <c r="T437" s="2676"/>
      <c r="U437" s="2676"/>
      <c r="V437" s="2676"/>
      <c r="W437" s="2676"/>
      <c r="X437" s="2676"/>
      <c r="Y437" s="2676"/>
      <c r="Z437" s="2158"/>
      <c r="AA437" s="2159"/>
      <c r="AB437" s="2159"/>
      <c r="AC437" s="2160"/>
      <c r="AD437" s="2160"/>
      <c r="AE437" s="2161"/>
      <c r="AF437" s="2675"/>
      <c r="AG437" s="2671"/>
      <c r="AH437" s="2671"/>
      <c r="AI437" s="2675"/>
      <c r="AJ437" s="2671"/>
      <c r="AK437" s="2671"/>
      <c r="AL437" s="2109"/>
      <c r="AM437" s="1946"/>
      <c r="AN437" s="1946"/>
      <c r="AO437" s="1946"/>
      <c r="AP437" s="1946"/>
      <c r="AQ437" s="1946"/>
      <c r="AR437" s="1946"/>
      <c r="AS437" s="1946"/>
      <c r="AT437" s="1946"/>
      <c r="AU437" s="1946"/>
      <c r="AV437" s="1946"/>
      <c r="AW437" s="1946"/>
      <c r="AX437" s="1946"/>
      <c r="AY437" s="1946"/>
      <c r="AZ437" s="1946"/>
      <c r="BA437" s="1946"/>
      <c r="BB437" s="1946"/>
      <c r="BC437" s="1946"/>
      <c r="BD437" s="1946"/>
      <c r="BE437" s="1946"/>
      <c r="BF437" s="1946"/>
      <c r="BG437" s="7213"/>
    </row>
    <row customHeight="1" ht="0.75">
      <c r="A438" s="1290" t="s">
        <v>1229</v>
      </c>
      <c r="B438" s="1290"/>
      <c r="C438" s="1290"/>
      <c r="D438" s="1284"/>
      <c r="E438" s="1294"/>
      <c r="F438" s="2673"/>
      <c r="G438" s="2652"/>
      <c r="H438" s="2677"/>
      <c r="I438" s="2678"/>
      <c r="J438" s="2679"/>
      <c r="K438" s="2679"/>
      <c r="L438" s="2671"/>
      <c r="M438" s="2405"/>
      <c r="N438" s="2680"/>
      <c r="O438" s="2681"/>
      <c r="P438" s="2726"/>
      <c r="Q438" s="2676"/>
      <c r="R438" s="2676"/>
      <c r="S438" s="2676"/>
      <c r="T438" s="2676"/>
      <c r="U438" s="2676"/>
      <c r="V438" s="2676"/>
      <c r="W438" s="2676"/>
      <c r="X438" s="2676"/>
      <c r="Y438" s="2676"/>
      <c r="Z438" s="2162"/>
      <c r="AA438" s="2163"/>
      <c r="AB438" s="2164"/>
      <c r="AC438" s="2165"/>
      <c r="AD438" s="2164"/>
      <c r="AE438" s="2165"/>
      <c r="AF438" s="2675"/>
      <c r="AG438" s="2671"/>
      <c r="AH438" s="2671"/>
      <c r="AI438" s="2675"/>
      <c r="AJ438" s="2671"/>
      <c r="AK438" s="2671"/>
      <c r="AL438" s="2109"/>
      <c r="AM438" s="1946"/>
      <c r="AN438" s="1946"/>
      <c r="AO438" s="1946"/>
      <c r="AP438" s="1946"/>
      <c r="AQ438" s="1946"/>
      <c r="AR438" s="1946"/>
      <c r="AS438" s="1946"/>
      <c r="AT438" s="1946"/>
      <c r="AU438" s="1946"/>
      <c r="AV438" s="1946"/>
      <c r="AW438" s="1946"/>
      <c r="AX438" s="1946"/>
      <c r="AY438" s="1946"/>
      <c r="AZ438" s="1946"/>
      <c r="BA438" s="1946"/>
      <c r="BB438" s="1946"/>
      <c r="BC438" s="1946"/>
      <c r="BD438" s="1946"/>
      <c r="BE438" s="1946"/>
      <c r="BF438" s="1946"/>
      <c r="BG438" s="7213"/>
    </row>
    <row customHeight="1" ht="0.75">
      <c r="A439" s="1290" t="s">
        <v>1229</v>
      </c>
      <c r="B439" s="1290"/>
      <c r="C439" s="1290"/>
      <c r="D439" s="1284"/>
      <c r="E439" s="1294"/>
      <c r="F439" s="2673"/>
      <c r="G439" s="2652"/>
      <c r="H439" s="2677"/>
      <c r="I439" s="2678"/>
      <c r="J439" s="2679"/>
      <c r="K439" s="2679"/>
      <c r="L439" s="2671"/>
      <c r="M439" s="2405"/>
      <c r="N439" s="2680"/>
      <c r="O439" s="2681"/>
      <c r="P439" s="2727"/>
      <c r="Q439" s="2676"/>
      <c r="R439" s="2676"/>
      <c r="S439" s="2676"/>
      <c r="T439" s="2676"/>
      <c r="U439" s="2676"/>
      <c r="V439" s="2676"/>
      <c r="W439" s="2676"/>
      <c r="X439" s="2676"/>
      <c r="Y439" s="2676"/>
      <c r="Z439" s="2158"/>
      <c r="AA439" s="2159"/>
      <c r="AB439" s="2166"/>
      <c r="AC439" s="2160"/>
      <c r="AD439" s="2160"/>
      <c r="AE439" s="2167"/>
      <c r="AF439" s="2675"/>
      <c r="AG439" s="2671"/>
      <c r="AH439" s="2671"/>
      <c r="AI439" s="2675"/>
      <c r="AJ439" s="2671"/>
      <c r="AK439" s="2671"/>
      <c r="AL439" s="2109"/>
      <c r="AM439" s="1946"/>
      <c r="AN439" s="1946"/>
      <c r="AO439" s="1946"/>
      <c r="AP439" s="1946"/>
      <c r="AQ439" s="1946"/>
      <c r="AR439" s="1946"/>
      <c r="AS439" s="1946"/>
      <c r="AT439" s="1946"/>
      <c r="AU439" s="1946"/>
      <c r="AV439" s="1946"/>
      <c r="AW439" s="1946"/>
      <c r="AX439" s="1946"/>
      <c r="AY439" s="1946"/>
      <c r="AZ439" s="1946"/>
      <c r="BA439" s="1946"/>
      <c r="BB439" s="1946"/>
      <c r="BC439" s="1946"/>
      <c r="BD439" s="1946"/>
      <c r="BE439" s="1946"/>
      <c r="BF439" s="1946"/>
      <c r="BG439" s="7213"/>
    </row>
    <row customHeight="1" ht="0.75">
      <c r="A440" s="1290" t="s">
        <v>1229</v>
      </c>
      <c r="B440" s="1290"/>
      <c r="C440" s="1290"/>
      <c r="D440" s="1284"/>
      <c r="E440" s="1294"/>
      <c r="F440" s="2673"/>
      <c r="G440" s="2652"/>
      <c r="H440" s="2677"/>
      <c r="I440" s="2678"/>
      <c r="J440" s="2679"/>
      <c r="K440" s="2679"/>
      <c r="L440" s="2671"/>
      <c r="M440" s="2405"/>
      <c r="N440" s="2159"/>
      <c r="O440" s="2159"/>
      <c r="P440" s="2166"/>
      <c r="Q440" s="2159"/>
      <c r="R440" s="2159"/>
      <c r="S440" s="2159"/>
      <c r="T440" s="2159"/>
      <c r="U440" s="2159"/>
      <c r="V440" s="2159"/>
      <c r="W440" s="2159"/>
      <c r="X440" s="2159"/>
      <c r="Y440" s="2159"/>
      <c r="Z440" s="2159"/>
      <c r="AA440" s="2159"/>
      <c r="AB440" s="2159"/>
      <c r="AC440" s="2159"/>
      <c r="AD440" s="2159"/>
      <c r="AE440" s="2168"/>
      <c r="AF440" s="2675"/>
      <c r="AG440" s="2671"/>
      <c r="AH440" s="2671"/>
      <c r="AI440" s="2675"/>
      <c r="AJ440" s="2671"/>
      <c r="AK440" s="2671"/>
      <c r="AL440" s="2109"/>
      <c r="AM440" s="1946"/>
      <c r="AN440" s="1946"/>
      <c r="AO440" s="1946"/>
      <c r="AP440" s="1946"/>
      <c r="AQ440" s="1946"/>
      <c r="AR440" s="1946"/>
      <c r="AS440" s="1946"/>
      <c r="AT440" s="1946"/>
      <c r="AU440" s="1946"/>
      <c r="AV440" s="1946"/>
      <c r="AW440" s="1946"/>
      <c r="AX440" s="1946"/>
      <c r="AY440" s="1946"/>
      <c r="AZ440" s="1946"/>
      <c r="BA440" s="1946"/>
      <c r="BB440" s="1946"/>
      <c r="BC440" s="1946"/>
      <c r="BD440" s="1946"/>
      <c r="BE440" s="1946"/>
      <c r="BF440" s="1946"/>
      <c r="BG440" s="7213"/>
    </row>
    <row customHeight="1" ht="11.25">
      <c r="A441" s="1290" t="s">
        <v>1229</v>
      </c>
      <c r="B441" s="1290"/>
      <c r="C441" s="1290"/>
      <c r="D441" s="1284"/>
      <c r="E441" s="1294"/>
      <c r="F441" s="1952"/>
      <c r="G441" s="7121" t="s">
        <v>103</v>
      </c>
      <c r="H441" s="2652" t="s">
        <v>210</v>
      </c>
      <c r="I441" s="2653"/>
      <c r="J441" s="2622"/>
      <c r="K441" s="2654" t="s">
        <v>1401</v>
      </c>
      <c r="L441" s="2244" t="s">
        <v>19</v>
      </c>
      <c r="M441" s="2245"/>
      <c r="N441" s="2107"/>
      <c r="O441" s="1301" t="s">
        <v>488</v>
      </c>
      <c r="P441" s="1302"/>
      <c r="Q441" s="1302"/>
      <c r="R441" s="1302"/>
      <c r="S441" s="1302"/>
      <c r="T441" s="1302"/>
      <c r="U441" s="1302"/>
      <c r="V441" s="1302"/>
      <c r="W441" s="1302"/>
      <c r="X441" s="1302"/>
      <c r="Y441" s="1302"/>
      <c r="Z441" s="1302"/>
      <c r="AA441" s="1302"/>
      <c r="AB441" s="1302"/>
      <c r="AC441" s="1302"/>
      <c r="AD441" s="1302"/>
      <c r="AE441" s="1302"/>
      <c r="AF441" s="2643">
        <v>2024</v>
      </c>
      <c r="AG441" s="2644" t="s">
        <v>1296</v>
      </c>
      <c r="AH441" s="2644" t="s">
        <v>1297</v>
      </c>
      <c r="AI441" s="2643">
        <v>2024</v>
      </c>
      <c r="AJ441" s="2644" t="s">
        <v>1296</v>
      </c>
      <c r="AK441" s="2644" t="s">
        <v>1297</v>
      </c>
      <c r="AL441" s="2109"/>
      <c r="AM441" s="1946"/>
      <c r="AN441" s="1946"/>
      <c r="AO441" s="1946"/>
      <c r="AP441" s="1946"/>
      <c r="AQ441" s="1946"/>
      <c r="AR441" s="1946"/>
      <c r="AS441" s="1946"/>
      <c r="AT441" s="1946"/>
      <c r="AU441" s="1946"/>
      <c r="AV441" s="1946"/>
      <c r="AW441" s="1946"/>
      <c r="AX441" s="1946"/>
      <c r="AY441" s="1946"/>
      <c r="AZ441" s="1946"/>
      <c r="BA441" s="1946"/>
      <c r="BB441" s="1946"/>
      <c r="BC441" s="1946"/>
      <c r="BD441" s="1946"/>
      <c r="BE441" s="1946"/>
      <c r="BF441" s="1946"/>
      <c r="BG441" s="7213"/>
    </row>
    <row customHeight="1" ht="11.25">
      <c r="A442" s="1290" t="s">
        <v>1229</v>
      </c>
      <c r="B442" s="1290"/>
      <c r="C442" s="1290"/>
      <c r="D442" s="1284"/>
      <c r="E442" s="1294"/>
      <c r="F442" s="1952"/>
      <c r="G442" s="1953"/>
      <c r="H442" s="2652" t="s">
        <v>488</v>
      </c>
      <c r="I442" s="2653"/>
      <c r="J442" s="2622"/>
      <c r="K442" s="2654"/>
      <c r="L442" s="2244"/>
      <c r="M442" s="2245"/>
      <c r="N442" s="2645"/>
      <c r="O442" s="2646">
        <v>1</v>
      </c>
      <c r="P442" s="2647" t="s">
        <v>62</v>
      </c>
      <c r="Q442" s="11136" t="s">
        <v>1402</v>
      </c>
      <c r="R442" s="11137" t="s">
        <v>1299</v>
      </c>
      <c r="S442" s="11137" t="s">
        <v>162</v>
      </c>
      <c r="T442" s="11137" t="s">
        <v>1403</v>
      </c>
      <c r="U442" s="11137" t="s">
        <v>1404</v>
      </c>
      <c r="V442" s="11137" t="s">
        <v>1405</v>
      </c>
      <c r="W442" s="11137" t="s">
        <v>1406</v>
      </c>
      <c r="X442" s="11137" t="s">
        <v>1407</v>
      </c>
      <c r="Y442" s="11137" t="s">
        <v>1355</v>
      </c>
      <c r="Z442" s="1299"/>
      <c r="AA442" s="1300"/>
      <c r="AB442" s="1300"/>
      <c r="AC442" s="1304"/>
      <c r="AD442" s="1304"/>
      <c r="AE442" s="1305"/>
      <c r="AF442" s="2643"/>
      <c r="AG442" s="2644"/>
      <c r="AH442" s="2644"/>
      <c r="AI442" s="2643"/>
      <c r="AJ442" s="2644"/>
      <c r="AK442" s="2644"/>
      <c r="AL442" s="2109"/>
      <c r="AM442" s="1946"/>
      <c r="AN442" s="1946"/>
      <c r="AO442" s="1946"/>
      <c r="AP442" s="1946"/>
      <c r="AQ442" s="1946"/>
      <c r="AR442" s="1946"/>
      <c r="AS442" s="1946"/>
      <c r="AT442" s="1946"/>
      <c r="AU442" s="1946"/>
      <c r="AV442" s="1946"/>
      <c r="AW442" s="1946"/>
      <c r="AX442" s="1946"/>
      <c r="AY442" s="1946"/>
      <c r="AZ442" s="1946"/>
      <c r="BA442" s="1946"/>
      <c r="BB442" s="1946"/>
      <c r="BC442" s="1946"/>
      <c r="BD442" s="1946"/>
      <c r="BE442" s="1946"/>
      <c r="BF442" s="1946"/>
      <c r="BG442" s="7213"/>
    </row>
    <row customHeight="1" ht="11.25">
      <c r="A443" s="1290" t="s">
        <v>1229</v>
      </c>
      <c r="B443" s="1290"/>
      <c r="C443" s="1290"/>
      <c r="D443" s="1284"/>
      <c r="E443" s="1294"/>
      <c r="F443" s="1952"/>
      <c r="G443" s="1953"/>
      <c r="H443" s="2652" t="s">
        <v>488</v>
      </c>
      <c r="I443" s="2653"/>
      <c r="J443" s="2622"/>
      <c r="K443" s="2654"/>
      <c r="L443" s="2244"/>
      <c r="M443" s="2245"/>
      <c r="N443" s="2645"/>
      <c r="O443" s="2646"/>
      <c r="P443" s="2648"/>
      <c r="Q443" s="11136"/>
      <c r="R443" s="2650"/>
      <c r="S443" s="2651"/>
      <c r="T443" s="2650"/>
      <c r="U443" s="2650"/>
      <c r="V443" s="2650"/>
      <c r="W443" s="2650"/>
      <c r="X443" s="2650"/>
      <c r="Y443" s="2650"/>
      <c r="Z443" s="1951"/>
      <c r="AA443" s="1917">
        <v>1</v>
      </c>
      <c r="AB443" s="1303" t="s">
        <v>1306</v>
      </c>
      <c r="AC443" s="1293">
        <v>124</v>
      </c>
      <c r="AD443" s="1303" t="str">
        <f>AB443</f>
        <v>  Прибыль направляемая на инвестиции</v>
      </c>
      <c r="AE443" s="1293">
        <v>124</v>
      </c>
      <c r="AF443" s="2643"/>
      <c r="AG443" s="2644"/>
      <c r="AH443" s="2644"/>
      <c r="AI443" s="2643"/>
      <c r="AJ443" s="2644"/>
      <c r="AK443" s="2644"/>
      <c r="AL443" s="2109"/>
      <c r="AM443" s="1946"/>
      <c r="AN443" s="1946"/>
      <c r="AO443" s="1946"/>
      <c r="AP443" s="1946"/>
      <c r="AQ443" s="1946"/>
      <c r="AR443" s="1946"/>
      <c r="AS443" s="1946"/>
      <c r="AT443" s="1946"/>
      <c r="AU443" s="1946"/>
      <c r="AV443" s="1946"/>
      <c r="AW443" s="1946"/>
      <c r="AX443" s="1946"/>
      <c r="AY443" s="1946"/>
      <c r="AZ443" s="1946"/>
      <c r="BA443" s="1946"/>
      <c r="BB443" s="1946"/>
      <c r="BC443" s="1946"/>
      <c r="BD443" s="1946"/>
      <c r="BE443" s="1946"/>
      <c r="BF443" s="1946"/>
      <c r="BG443" s="7213"/>
    </row>
    <row customHeight="1" ht="11.25">
      <c r="A444" s="1290" t="s">
        <v>1229</v>
      </c>
      <c r="B444" s="1290"/>
      <c r="C444" s="1290"/>
      <c r="D444" s="1284"/>
      <c r="E444" s="1294"/>
      <c r="F444" s="1952"/>
      <c r="G444" s="1953"/>
      <c r="H444" s="2652" t="s">
        <v>488</v>
      </c>
      <c r="I444" s="2653"/>
      <c r="J444" s="2622"/>
      <c r="K444" s="2654"/>
      <c r="L444" s="2244"/>
      <c r="M444" s="2245"/>
      <c r="N444" s="2645"/>
      <c r="O444" s="2646"/>
      <c r="P444" s="2649"/>
      <c r="Q444" s="11136"/>
      <c r="R444" s="2650"/>
      <c r="S444" s="2651"/>
      <c r="T444" s="2650"/>
      <c r="U444" s="2650"/>
      <c r="V444" s="2650"/>
      <c r="W444" s="2650"/>
      <c r="X444" s="2650"/>
      <c r="Y444" s="2650"/>
      <c r="Z444" s="1299"/>
      <c r="AA444" s="1300"/>
      <c r="AB444" s="1365" t="s">
        <v>1309</v>
      </c>
      <c r="AC444" s="1304"/>
      <c r="AD444" s="1304"/>
      <c r="AE444" s="1306"/>
      <c r="AF444" s="2643"/>
      <c r="AG444" s="2644"/>
      <c r="AH444" s="2644"/>
      <c r="AI444" s="2643"/>
      <c r="AJ444" s="2644"/>
      <c r="AK444" s="2644"/>
      <c r="AL444" s="2109"/>
      <c r="AM444" s="1946"/>
      <c r="AN444" s="1946"/>
      <c r="AO444" s="1946"/>
      <c r="AP444" s="1946"/>
      <c r="AQ444" s="1946"/>
      <c r="AR444" s="1946"/>
      <c r="AS444" s="1946"/>
      <c r="AT444" s="1946"/>
      <c r="AU444" s="1946"/>
      <c r="AV444" s="1946"/>
      <c r="AW444" s="1946"/>
      <c r="AX444" s="1946"/>
      <c r="AY444" s="1946"/>
      <c r="AZ444" s="1946"/>
      <c r="BA444" s="1946"/>
      <c r="BB444" s="1946"/>
      <c r="BC444" s="1946"/>
      <c r="BD444" s="1946"/>
      <c r="BE444" s="1946"/>
      <c r="BF444" s="1946"/>
      <c r="BG444" s="7213"/>
    </row>
    <row customHeight="1" ht="11.25">
      <c r="A445" s="1290" t="s">
        <v>1229</v>
      </c>
      <c r="B445" s="1290"/>
      <c r="C445" s="1290"/>
      <c r="D445" s="1284"/>
      <c r="E445" s="1294"/>
      <c r="F445" s="1952"/>
      <c r="G445" s="1953"/>
      <c r="H445" s="2652" t="s">
        <v>488</v>
      </c>
      <c r="I445" s="2653"/>
      <c r="J445" s="2622"/>
      <c r="K445" s="2654"/>
      <c r="L445" s="2244"/>
      <c r="M445" s="2245"/>
      <c r="N445" s="1299"/>
      <c r="O445" s="1300"/>
      <c r="P445" s="1292" t="s">
        <v>1310</v>
      </c>
      <c r="Q445" s="1300"/>
      <c r="R445" s="1300"/>
      <c r="S445" s="1300"/>
      <c r="T445" s="1300"/>
      <c r="U445" s="1300"/>
      <c r="V445" s="1300"/>
      <c r="W445" s="1300"/>
      <c r="X445" s="1300"/>
      <c r="Y445" s="1300"/>
      <c r="Z445" s="1300"/>
      <c r="AA445" s="1300"/>
      <c r="AB445" s="1300"/>
      <c r="AC445" s="1300"/>
      <c r="AD445" s="1300"/>
      <c r="AE445" s="1307"/>
      <c r="AF445" s="2643"/>
      <c r="AG445" s="2644"/>
      <c r="AH445" s="2644"/>
      <c r="AI445" s="2643"/>
      <c r="AJ445" s="2644"/>
      <c r="AK445" s="2644"/>
      <c r="AL445" s="2109"/>
      <c r="AM445" s="1946"/>
      <c r="AN445" s="1946"/>
      <c r="AO445" s="1946"/>
      <c r="AP445" s="1946"/>
      <c r="AQ445" s="1946"/>
      <c r="AR445" s="1946"/>
      <c r="AS445" s="1946"/>
      <c r="AT445" s="1946"/>
      <c r="AU445" s="1946"/>
      <c r="AV445" s="1946"/>
      <c r="AW445" s="1946"/>
      <c r="AX445" s="1946"/>
      <c r="AY445" s="1946"/>
      <c r="AZ445" s="1946"/>
      <c r="BA445" s="1946"/>
      <c r="BB445" s="1946"/>
      <c r="BC445" s="1946"/>
      <c r="BD445" s="1946"/>
      <c r="BE445" s="1946"/>
      <c r="BF445" s="1946"/>
      <c r="BG445" s="7213"/>
    </row>
    <row customHeight="1" ht="12">
      <c r="A446" s="1290" t="s">
        <v>1229</v>
      </c>
      <c r="B446" s="1290"/>
      <c r="C446" s="1290"/>
      <c r="D446" s="1284"/>
      <c r="E446" s="1294"/>
      <c r="F446" s="2674"/>
      <c r="G446" s="1314"/>
      <c r="H446" s="1314"/>
      <c r="I446" s="2672" t="s">
        <v>1294</v>
      </c>
      <c r="J446" s="2672"/>
      <c r="K446" s="2672"/>
      <c r="L446" s="1297"/>
      <c r="M446" s="1297"/>
      <c r="N446" s="1298"/>
      <c r="O446" s="1298"/>
      <c r="P446" s="1298"/>
      <c r="Q446" s="1298"/>
      <c r="R446" s="1298"/>
      <c r="S446" s="1298"/>
      <c r="T446" s="1298"/>
      <c r="U446" s="1298"/>
      <c r="V446" s="1298"/>
      <c r="W446" s="1298"/>
      <c r="X446" s="1298"/>
      <c r="Y446" s="1298"/>
      <c r="Z446" s="1298"/>
      <c r="AA446" s="1298"/>
      <c r="AB446" s="1298"/>
      <c r="AC446" s="1298"/>
      <c r="AD446" s="1298"/>
      <c r="AE446" s="1298"/>
      <c r="AF446" s="1298"/>
      <c r="AG446" s="1297"/>
      <c r="AH446" s="1297"/>
      <c r="AI446" s="1298"/>
      <c r="AJ446" s="1297"/>
      <c r="AK446" s="1298"/>
      <c r="AL446" s="2109"/>
      <c r="AM446" s="1946"/>
      <c r="AN446" s="1946"/>
      <c r="AO446" s="1946"/>
      <c r="AP446" s="1946"/>
      <c r="AQ446" s="1946"/>
      <c r="AR446" s="1946"/>
      <c r="AS446" s="1946"/>
      <c r="AT446" s="1946"/>
      <c r="AU446" s="1946"/>
      <c r="AV446" s="1946"/>
      <c r="AW446" s="1946"/>
      <c r="AX446" s="1946"/>
      <c r="AY446" s="1946"/>
      <c r="AZ446" s="1946"/>
      <c r="BA446" s="1946"/>
      <c r="BB446" s="1946"/>
      <c r="BC446" s="1946"/>
      <c r="BD446" s="1946"/>
      <c r="BE446" s="1946"/>
      <c r="BF446" s="1946"/>
      <c r="BG446" s="7213"/>
    </row>
    <row customHeight="1" ht="0.75">
      <c r="A447" s="1290" t="s">
        <v>1229</v>
      </c>
      <c r="B447" s="1290"/>
      <c r="C447" s="1290"/>
      <c r="D447" s="1284"/>
      <c r="E447" s="1294"/>
      <c r="F447" s="2673">
        <v>2025</v>
      </c>
      <c r="G447" s="2652"/>
      <c r="H447" s="2677" t="s">
        <v>488</v>
      </c>
      <c r="I447" s="2678"/>
      <c r="J447" s="2679"/>
      <c r="K447" s="2679"/>
      <c r="L447" s="2671"/>
      <c r="M447" s="2405"/>
      <c r="N447" s="2157"/>
      <c r="O447" s="2156"/>
      <c r="P447" s="2157"/>
      <c r="Q447" s="2157"/>
      <c r="R447" s="2157"/>
      <c r="S447" s="2157"/>
      <c r="T447" s="2157"/>
      <c r="U447" s="2157"/>
      <c r="V447" s="2157"/>
      <c r="W447" s="2157"/>
      <c r="X447" s="2157"/>
      <c r="Y447" s="2157"/>
      <c r="Z447" s="2157"/>
      <c r="AA447" s="2157"/>
      <c r="AB447" s="2157"/>
      <c r="AC447" s="2157"/>
      <c r="AD447" s="2157"/>
      <c r="AE447" s="2157"/>
      <c r="AF447" s="2675"/>
      <c r="AG447" s="2671"/>
      <c r="AH447" s="2671"/>
      <c r="AI447" s="2675"/>
      <c r="AJ447" s="2671"/>
      <c r="AK447" s="2671"/>
      <c r="AL447" s="2109"/>
      <c r="AM447" s="1946"/>
      <c r="AN447" s="1946"/>
      <c r="AO447" s="1946"/>
      <c r="AP447" s="1946"/>
      <c r="AQ447" s="1946"/>
      <c r="AR447" s="1946"/>
      <c r="AS447" s="1946"/>
      <c r="AT447" s="1946"/>
      <c r="AU447" s="1946"/>
      <c r="AV447" s="1946"/>
      <c r="AW447" s="1946"/>
      <c r="AX447" s="1946"/>
      <c r="AY447" s="1946"/>
      <c r="AZ447" s="1946"/>
      <c r="BA447" s="1946"/>
      <c r="BB447" s="1946"/>
      <c r="BC447" s="1946"/>
      <c r="BD447" s="1946"/>
      <c r="BE447" s="1946"/>
      <c r="BF447" s="1946"/>
      <c r="BG447" s="7213"/>
    </row>
    <row customHeight="1" ht="0.75">
      <c r="A448" s="1290" t="s">
        <v>1229</v>
      </c>
      <c r="B448" s="1290"/>
      <c r="C448" s="1290"/>
      <c r="D448" s="1284"/>
      <c r="E448" s="1294"/>
      <c r="F448" s="2673"/>
      <c r="G448" s="2652"/>
      <c r="H448" s="2677"/>
      <c r="I448" s="2678"/>
      <c r="J448" s="2679"/>
      <c r="K448" s="2679"/>
      <c r="L448" s="2671"/>
      <c r="M448" s="2405"/>
      <c r="N448" s="2680"/>
      <c r="O448" s="2681"/>
      <c r="P448" s="2725"/>
      <c r="Q448" s="2676"/>
      <c r="R448" s="2676"/>
      <c r="S448" s="2676"/>
      <c r="T448" s="2676"/>
      <c r="U448" s="2676"/>
      <c r="V448" s="2676"/>
      <c r="W448" s="2676"/>
      <c r="X448" s="2676"/>
      <c r="Y448" s="2676"/>
      <c r="Z448" s="2158"/>
      <c r="AA448" s="2159"/>
      <c r="AB448" s="2159"/>
      <c r="AC448" s="2160"/>
      <c r="AD448" s="2160"/>
      <c r="AE448" s="2161"/>
      <c r="AF448" s="2675"/>
      <c r="AG448" s="2671"/>
      <c r="AH448" s="2671"/>
      <c r="AI448" s="2675"/>
      <c r="AJ448" s="2671"/>
      <c r="AK448" s="2671"/>
      <c r="AL448" s="2109"/>
      <c r="AM448" s="1946"/>
      <c r="AN448" s="1946"/>
      <c r="AO448" s="1946"/>
      <c r="AP448" s="1946"/>
      <c r="AQ448" s="1946"/>
      <c r="AR448" s="1946"/>
      <c r="AS448" s="1946"/>
      <c r="AT448" s="1946"/>
      <c r="AU448" s="1946"/>
      <c r="AV448" s="1946"/>
      <c r="AW448" s="1946"/>
      <c r="AX448" s="1946"/>
      <c r="AY448" s="1946"/>
      <c r="AZ448" s="1946"/>
      <c r="BA448" s="1946"/>
      <c r="BB448" s="1946"/>
      <c r="BC448" s="1946"/>
      <c r="BD448" s="1946"/>
      <c r="BE448" s="1946"/>
      <c r="BF448" s="1946"/>
      <c r="BG448" s="7213"/>
    </row>
    <row customHeight="1" ht="0.75">
      <c r="A449" s="1290" t="s">
        <v>1229</v>
      </c>
      <c r="B449" s="1290"/>
      <c r="C449" s="1290"/>
      <c r="D449" s="1284"/>
      <c r="E449" s="1294"/>
      <c r="F449" s="2673"/>
      <c r="G449" s="2652"/>
      <c r="H449" s="2677"/>
      <c r="I449" s="2678"/>
      <c r="J449" s="2679"/>
      <c r="K449" s="2679"/>
      <c r="L449" s="2671"/>
      <c r="M449" s="2405"/>
      <c r="N449" s="2680"/>
      <c r="O449" s="2681"/>
      <c r="P449" s="2726"/>
      <c r="Q449" s="2676"/>
      <c r="R449" s="2676"/>
      <c r="S449" s="2676"/>
      <c r="T449" s="2676"/>
      <c r="U449" s="2676"/>
      <c r="V449" s="2676"/>
      <c r="W449" s="2676"/>
      <c r="X449" s="2676"/>
      <c r="Y449" s="2676"/>
      <c r="Z449" s="2162"/>
      <c r="AA449" s="2163"/>
      <c r="AB449" s="2164"/>
      <c r="AC449" s="2165"/>
      <c r="AD449" s="2164"/>
      <c r="AE449" s="2165"/>
      <c r="AF449" s="2675"/>
      <c r="AG449" s="2671"/>
      <c r="AH449" s="2671"/>
      <c r="AI449" s="2675"/>
      <c r="AJ449" s="2671"/>
      <c r="AK449" s="2671"/>
      <c r="AL449" s="2109"/>
      <c r="AM449" s="1946"/>
      <c r="AN449" s="1946"/>
      <c r="AO449" s="1946"/>
      <c r="AP449" s="1946"/>
      <c r="AQ449" s="1946"/>
      <c r="AR449" s="1946"/>
      <c r="AS449" s="1946"/>
      <c r="AT449" s="1946"/>
      <c r="AU449" s="1946"/>
      <c r="AV449" s="1946"/>
      <c r="AW449" s="1946"/>
      <c r="AX449" s="1946"/>
      <c r="AY449" s="1946"/>
      <c r="AZ449" s="1946"/>
      <c r="BA449" s="1946"/>
      <c r="BB449" s="1946"/>
      <c r="BC449" s="1946"/>
      <c r="BD449" s="1946"/>
      <c r="BE449" s="1946"/>
      <c r="BF449" s="1946"/>
      <c r="BG449" s="7213"/>
    </row>
    <row customHeight="1" ht="0.75">
      <c r="A450" s="1290" t="s">
        <v>1229</v>
      </c>
      <c r="B450" s="1290"/>
      <c r="C450" s="1290"/>
      <c r="D450" s="1284"/>
      <c r="E450" s="1294"/>
      <c r="F450" s="2673"/>
      <c r="G450" s="2652"/>
      <c r="H450" s="2677"/>
      <c r="I450" s="2678"/>
      <c r="J450" s="2679"/>
      <c r="K450" s="2679"/>
      <c r="L450" s="2671"/>
      <c r="M450" s="2405"/>
      <c r="N450" s="2680"/>
      <c r="O450" s="2681"/>
      <c r="P450" s="2727"/>
      <c r="Q450" s="2676"/>
      <c r="R450" s="2676"/>
      <c r="S450" s="2676"/>
      <c r="T450" s="2676"/>
      <c r="U450" s="2676"/>
      <c r="V450" s="2676"/>
      <c r="W450" s="2676"/>
      <c r="X450" s="2676"/>
      <c r="Y450" s="2676"/>
      <c r="Z450" s="2158"/>
      <c r="AA450" s="2159"/>
      <c r="AB450" s="2166"/>
      <c r="AC450" s="2160"/>
      <c r="AD450" s="2160"/>
      <c r="AE450" s="2167"/>
      <c r="AF450" s="2675"/>
      <c r="AG450" s="2671"/>
      <c r="AH450" s="2671"/>
      <c r="AI450" s="2675"/>
      <c r="AJ450" s="2671"/>
      <c r="AK450" s="2671"/>
      <c r="AL450" s="2109"/>
      <c r="AM450" s="1946"/>
      <c r="AN450" s="1946"/>
      <c r="AO450" s="1946"/>
      <c r="AP450" s="1946"/>
      <c r="AQ450" s="1946"/>
      <c r="AR450" s="1946"/>
      <c r="AS450" s="1946"/>
      <c r="AT450" s="1946"/>
      <c r="AU450" s="1946"/>
      <c r="AV450" s="1946"/>
      <c r="AW450" s="1946"/>
      <c r="AX450" s="1946"/>
      <c r="AY450" s="1946"/>
      <c r="AZ450" s="1946"/>
      <c r="BA450" s="1946"/>
      <c r="BB450" s="1946"/>
      <c r="BC450" s="1946"/>
      <c r="BD450" s="1946"/>
      <c r="BE450" s="1946"/>
      <c r="BF450" s="1946"/>
      <c r="BG450" s="7213"/>
    </row>
    <row customHeight="1" ht="0.75">
      <c r="A451" s="1290" t="s">
        <v>1229</v>
      </c>
      <c r="B451" s="1290"/>
      <c r="C451" s="1290"/>
      <c r="D451" s="1284"/>
      <c r="E451" s="1294"/>
      <c r="F451" s="2673"/>
      <c r="G451" s="2652"/>
      <c r="H451" s="2677"/>
      <c r="I451" s="2678"/>
      <c r="J451" s="2679"/>
      <c r="K451" s="2679"/>
      <c r="L451" s="2671"/>
      <c r="M451" s="2405"/>
      <c r="N451" s="2159"/>
      <c r="O451" s="2159"/>
      <c r="P451" s="2166"/>
      <c r="Q451" s="2159"/>
      <c r="R451" s="2159"/>
      <c r="S451" s="2159"/>
      <c r="T451" s="2159"/>
      <c r="U451" s="2159"/>
      <c r="V451" s="2159"/>
      <c r="W451" s="2159"/>
      <c r="X451" s="2159"/>
      <c r="Y451" s="2159"/>
      <c r="Z451" s="2159"/>
      <c r="AA451" s="2159"/>
      <c r="AB451" s="2159"/>
      <c r="AC451" s="2159"/>
      <c r="AD451" s="2159"/>
      <c r="AE451" s="2168"/>
      <c r="AF451" s="2675"/>
      <c r="AG451" s="2671"/>
      <c r="AH451" s="2671"/>
      <c r="AI451" s="2675"/>
      <c r="AJ451" s="2671"/>
      <c r="AK451" s="2671"/>
      <c r="AL451" s="2109"/>
      <c r="AM451" s="1946"/>
      <c r="AN451" s="1946"/>
      <c r="AO451" s="1946"/>
      <c r="AP451" s="1946"/>
      <c r="AQ451" s="1946"/>
      <c r="AR451" s="1946"/>
      <c r="AS451" s="1946"/>
      <c r="AT451" s="1946"/>
      <c r="AU451" s="1946"/>
      <c r="AV451" s="1946"/>
      <c r="AW451" s="1946"/>
      <c r="AX451" s="1946"/>
      <c r="AY451" s="1946"/>
      <c r="AZ451" s="1946"/>
      <c r="BA451" s="1946"/>
      <c r="BB451" s="1946"/>
      <c r="BC451" s="1946"/>
      <c r="BD451" s="1946"/>
      <c r="BE451" s="1946"/>
      <c r="BF451" s="1946"/>
      <c r="BG451" s="7213"/>
    </row>
    <row customHeight="1" ht="12">
      <c r="A452" s="1290" t="s">
        <v>1229</v>
      </c>
      <c r="B452" s="1290"/>
      <c r="C452" s="1290"/>
      <c r="D452" s="1284"/>
      <c r="E452" s="1294"/>
      <c r="F452" s="2674"/>
      <c r="G452" s="1314"/>
      <c r="H452" s="1314"/>
      <c r="I452" s="2672" t="s">
        <v>1294</v>
      </c>
      <c r="J452" s="2672"/>
      <c r="K452" s="2672"/>
      <c r="L452" s="1297"/>
      <c r="M452" s="1297"/>
      <c r="N452" s="1298"/>
      <c r="O452" s="1298"/>
      <c r="P452" s="1298"/>
      <c r="Q452" s="1298"/>
      <c r="R452" s="1298"/>
      <c r="S452" s="1298"/>
      <c r="T452" s="1298"/>
      <c r="U452" s="1298"/>
      <c r="V452" s="1298"/>
      <c r="W452" s="1298"/>
      <c r="X452" s="1298"/>
      <c r="Y452" s="1298"/>
      <c r="Z452" s="1298"/>
      <c r="AA452" s="1298"/>
      <c r="AB452" s="1298"/>
      <c r="AC452" s="1298"/>
      <c r="AD452" s="1298"/>
      <c r="AE452" s="1298"/>
      <c r="AF452" s="1298"/>
      <c r="AG452" s="1297"/>
      <c r="AH452" s="1297"/>
      <c r="AI452" s="1298"/>
      <c r="AJ452" s="1297"/>
      <c r="AK452" s="1298"/>
      <c r="AL452" s="2109"/>
      <c r="AM452" s="1946"/>
      <c r="AN452" s="1946"/>
      <c r="AO452" s="1946"/>
      <c r="AP452" s="1946"/>
      <c r="AQ452" s="1946"/>
      <c r="AR452" s="1946"/>
      <c r="AS452" s="1946"/>
      <c r="AT452" s="1946"/>
      <c r="AU452" s="1946"/>
      <c r="AV452" s="1946"/>
      <c r="AW452" s="1946"/>
      <c r="AX452" s="1946"/>
      <c r="AY452" s="1946"/>
      <c r="AZ452" s="1946"/>
      <c r="BA452" s="1946"/>
      <c r="BB452" s="1946"/>
      <c r="BC452" s="1946"/>
      <c r="BD452" s="1946"/>
      <c r="BE452" s="1946"/>
      <c r="BF452" s="1946"/>
      <c r="BG452" s="7213"/>
    </row>
    <row customHeight="1" ht="0.75">
      <c r="A453" s="1290" t="s">
        <v>1229</v>
      </c>
      <c r="B453" s="1290"/>
      <c r="C453" s="1290"/>
      <c r="D453" s="1284"/>
      <c r="E453" s="1294"/>
      <c r="F453" s="2673">
        <v>2026</v>
      </c>
      <c r="G453" s="2652"/>
      <c r="H453" s="2677" t="s">
        <v>488</v>
      </c>
      <c r="I453" s="2678"/>
      <c r="J453" s="2679"/>
      <c r="K453" s="2679"/>
      <c r="L453" s="2671"/>
      <c r="M453" s="2405"/>
      <c r="N453" s="2157"/>
      <c r="O453" s="2156"/>
      <c r="P453" s="2157"/>
      <c r="Q453" s="2157"/>
      <c r="R453" s="2157"/>
      <c r="S453" s="2157"/>
      <c r="T453" s="2157"/>
      <c r="U453" s="2157"/>
      <c r="V453" s="2157"/>
      <c r="W453" s="2157"/>
      <c r="X453" s="2157"/>
      <c r="Y453" s="2157"/>
      <c r="Z453" s="2157"/>
      <c r="AA453" s="2157"/>
      <c r="AB453" s="2157"/>
      <c r="AC453" s="2157"/>
      <c r="AD453" s="2157"/>
      <c r="AE453" s="2157"/>
      <c r="AF453" s="2675"/>
      <c r="AG453" s="2671"/>
      <c r="AH453" s="2671"/>
      <c r="AI453" s="2675"/>
      <c r="AJ453" s="2671"/>
      <c r="AK453" s="2671"/>
      <c r="AL453" s="2109"/>
      <c r="AM453" s="1946"/>
      <c r="AN453" s="1946"/>
      <c r="AO453" s="1946"/>
      <c r="AP453" s="1946"/>
      <c r="AQ453" s="1946"/>
      <c r="AR453" s="1946"/>
      <c r="AS453" s="1946"/>
      <c r="AT453" s="1946"/>
      <c r="AU453" s="1946"/>
      <c r="AV453" s="1946"/>
      <c r="AW453" s="1946"/>
      <c r="AX453" s="1946"/>
      <c r="AY453" s="1946"/>
      <c r="AZ453" s="1946"/>
      <c r="BA453" s="1946"/>
      <c r="BB453" s="1946"/>
      <c r="BC453" s="1946"/>
      <c r="BD453" s="1946"/>
      <c r="BE453" s="1946"/>
      <c r="BF453" s="1946"/>
      <c r="BG453" s="7213"/>
    </row>
    <row customHeight="1" ht="0.75">
      <c r="A454" s="1290" t="s">
        <v>1229</v>
      </c>
      <c r="B454" s="1290"/>
      <c r="C454" s="1290"/>
      <c r="D454" s="1284"/>
      <c r="E454" s="1294"/>
      <c r="F454" s="2673"/>
      <c r="G454" s="2652"/>
      <c r="H454" s="2677"/>
      <c r="I454" s="2678"/>
      <c r="J454" s="2679"/>
      <c r="K454" s="2679"/>
      <c r="L454" s="2671"/>
      <c r="M454" s="2405"/>
      <c r="N454" s="2680"/>
      <c r="O454" s="2681"/>
      <c r="P454" s="2725"/>
      <c r="Q454" s="2676"/>
      <c r="R454" s="2676"/>
      <c r="S454" s="2676"/>
      <c r="T454" s="2676"/>
      <c r="U454" s="2676"/>
      <c r="V454" s="2676"/>
      <c r="W454" s="2676"/>
      <c r="X454" s="2676"/>
      <c r="Y454" s="2676"/>
      <c r="Z454" s="2158"/>
      <c r="AA454" s="2159"/>
      <c r="AB454" s="2159"/>
      <c r="AC454" s="2160"/>
      <c r="AD454" s="2160"/>
      <c r="AE454" s="2161"/>
      <c r="AF454" s="2675"/>
      <c r="AG454" s="2671"/>
      <c r="AH454" s="2671"/>
      <c r="AI454" s="2675"/>
      <c r="AJ454" s="2671"/>
      <c r="AK454" s="2671"/>
      <c r="AL454" s="2109"/>
      <c r="AM454" s="1946"/>
      <c r="AN454" s="1946"/>
      <c r="AO454" s="1946"/>
      <c r="AP454" s="1946"/>
      <c r="AQ454" s="1946"/>
      <c r="AR454" s="1946"/>
      <c r="AS454" s="1946"/>
      <c r="AT454" s="1946"/>
      <c r="AU454" s="1946"/>
      <c r="AV454" s="1946"/>
      <c r="AW454" s="1946"/>
      <c r="AX454" s="1946"/>
      <c r="AY454" s="1946"/>
      <c r="AZ454" s="1946"/>
      <c r="BA454" s="1946"/>
      <c r="BB454" s="1946"/>
      <c r="BC454" s="1946"/>
      <c r="BD454" s="1946"/>
      <c r="BE454" s="1946"/>
      <c r="BF454" s="1946"/>
      <c r="BG454" s="7213"/>
    </row>
    <row customHeight="1" ht="0.75">
      <c r="A455" s="1290" t="s">
        <v>1229</v>
      </c>
      <c r="B455" s="1290"/>
      <c r="C455" s="1290"/>
      <c r="D455" s="1284"/>
      <c r="E455" s="1294"/>
      <c r="F455" s="2673"/>
      <c r="G455" s="2652"/>
      <c r="H455" s="2677"/>
      <c r="I455" s="2678"/>
      <c r="J455" s="2679"/>
      <c r="K455" s="2679"/>
      <c r="L455" s="2671"/>
      <c r="M455" s="2405"/>
      <c r="N455" s="2680"/>
      <c r="O455" s="2681"/>
      <c r="P455" s="2726"/>
      <c r="Q455" s="2676"/>
      <c r="R455" s="2676"/>
      <c r="S455" s="2676"/>
      <c r="T455" s="2676"/>
      <c r="U455" s="2676"/>
      <c r="V455" s="2676"/>
      <c r="W455" s="2676"/>
      <c r="X455" s="2676"/>
      <c r="Y455" s="2676"/>
      <c r="Z455" s="2162"/>
      <c r="AA455" s="2163"/>
      <c r="AB455" s="2164"/>
      <c r="AC455" s="2165"/>
      <c r="AD455" s="2164"/>
      <c r="AE455" s="2165"/>
      <c r="AF455" s="2675"/>
      <c r="AG455" s="2671"/>
      <c r="AH455" s="2671"/>
      <c r="AI455" s="2675"/>
      <c r="AJ455" s="2671"/>
      <c r="AK455" s="2671"/>
      <c r="AL455" s="2109"/>
      <c r="AM455" s="1946"/>
      <c r="AN455" s="1946"/>
      <c r="AO455" s="1946"/>
      <c r="AP455" s="1946"/>
      <c r="AQ455" s="1946"/>
      <c r="AR455" s="1946"/>
      <c r="AS455" s="1946"/>
      <c r="AT455" s="1946"/>
      <c r="AU455" s="1946"/>
      <c r="AV455" s="1946"/>
      <c r="AW455" s="1946"/>
      <c r="AX455" s="1946"/>
      <c r="AY455" s="1946"/>
      <c r="AZ455" s="1946"/>
      <c r="BA455" s="1946"/>
      <c r="BB455" s="1946"/>
      <c r="BC455" s="1946"/>
      <c r="BD455" s="1946"/>
      <c r="BE455" s="1946"/>
      <c r="BF455" s="1946"/>
      <c r="BG455" s="7213"/>
    </row>
    <row customHeight="1" ht="0.75">
      <c r="A456" s="1290" t="s">
        <v>1229</v>
      </c>
      <c r="B456" s="1290"/>
      <c r="C456" s="1290"/>
      <c r="D456" s="1284"/>
      <c r="E456" s="1294"/>
      <c r="F456" s="2673"/>
      <c r="G456" s="2652"/>
      <c r="H456" s="2677"/>
      <c r="I456" s="2678"/>
      <c r="J456" s="2679"/>
      <c r="K456" s="2679"/>
      <c r="L456" s="2671"/>
      <c r="M456" s="2405"/>
      <c r="N456" s="2680"/>
      <c r="O456" s="2681"/>
      <c r="P456" s="2727"/>
      <c r="Q456" s="2676"/>
      <c r="R456" s="2676"/>
      <c r="S456" s="2676"/>
      <c r="T456" s="2676"/>
      <c r="U456" s="2676"/>
      <c r="V456" s="2676"/>
      <c r="W456" s="2676"/>
      <c r="X456" s="2676"/>
      <c r="Y456" s="2676"/>
      <c r="Z456" s="2158"/>
      <c r="AA456" s="2159"/>
      <c r="AB456" s="2166"/>
      <c r="AC456" s="2160"/>
      <c r="AD456" s="2160"/>
      <c r="AE456" s="2167"/>
      <c r="AF456" s="2675"/>
      <c r="AG456" s="2671"/>
      <c r="AH456" s="2671"/>
      <c r="AI456" s="2675"/>
      <c r="AJ456" s="2671"/>
      <c r="AK456" s="2671"/>
      <c r="AL456" s="2109"/>
      <c r="AM456" s="1946"/>
      <c r="AN456" s="1946"/>
      <c r="AO456" s="1946"/>
      <c r="AP456" s="1946"/>
      <c r="AQ456" s="1946"/>
      <c r="AR456" s="1946"/>
      <c r="AS456" s="1946"/>
      <c r="AT456" s="1946"/>
      <c r="AU456" s="1946"/>
      <c r="AV456" s="1946"/>
      <c r="AW456" s="1946"/>
      <c r="AX456" s="1946"/>
      <c r="AY456" s="1946"/>
      <c r="AZ456" s="1946"/>
      <c r="BA456" s="1946"/>
      <c r="BB456" s="1946"/>
      <c r="BC456" s="1946"/>
      <c r="BD456" s="1946"/>
      <c r="BE456" s="1946"/>
      <c r="BF456" s="1946"/>
      <c r="BG456" s="7213"/>
    </row>
    <row customHeight="1" ht="0.75">
      <c r="A457" s="1290" t="s">
        <v>1229</v>
      </c>
      <c r="B457" s="1290"/>
      <c r="C457" s="1290"/>
      <c r="D457" s="1284"/>
      <c r="E457" s="1294"/>
      <c r="F457" s="2673"/>
      <c r="G457" s="2652"/>
      <c r="H457" s="2677"/>
      <c r="I457" s="2678"/>
      <c r="J457" s="2679"/>
      <c r="K457" s="2679"/>
      <c r="L457" s="2671"/>
      <c r="M457" s="2405"/>
      <c r="N457" s="2159"/>
      <c r="O457" s="2159"/>
      <c r="P457" s="2166"/>
      <c r="Q457" s="2159"/>
      <c r="R457" s="2159"/>
      <c r="S457" s="2159"/>
      <c r="T457" s="2159"/>
      <c r="U457" s="2159"/>
      <c r="V457" s="2159"/>
      <c r="W457" s="2159"/>
      <c r="X457" s="2159"/>
      <c r="Y457" s="2159"/>
      <c r="Z457" s="2159"/>
      <c r="AA457" s="2159"/>
      <c r="AB457" s="2159"/>
      <c r="AC457" s="2159"/>
      <c r="AD457" s="2159"/>
      <c r="AE457" s="2168"/>
      <c r="AF457" s="2675"/>
      <c r="AG457" s="2671"/>
      <c r="AH457" s="2671"/>
      <c r="AI457" s="2675"/>
      <c r="AJ457" s="2671"/>
      <c r="AK457" s="2671"/>
      <c r="AL457" s="2109"/>
      <c r="AM457" s="1946"/>
      <c r="AN457" s="1946"/>
      <c r="AO457" s="1946"/>
      <c r="AP457" s="1946"/>
      <c r="AQ457" s="1946"/>
      <c r="AR457" s="1946"/>
      <c r="AS457" s="1946"/>
      <c r="AT457" s="1946"/>
      <c r="AU457" s="1946"/>
      <c r="AV457" s="1946"/>
      <c r="AW457" s="1946"/>
      <c r="AX457" s="1946"/>
      <c r="AY457" s="1946"/>
      <c r="AZ457" s="1946"/>
      <c r="BA457" s="1946"/>
      <c r="BB457" s="1946"/>
      <c r="BC457" s="1946"/>
      <c r="BD457" s="1946"/>
      <c r="BE457" s="1946"/>
      <c r="BF457" s="1946"/>
      <c r="BG457" s="7213"/>
    </row>
    <row customHeight="1" ht="12">
      <c r="A458" s="1290" t="s">
        <v>1229</v>
      </c>
      <c r="B458" s="1290"/>
      <c r="C458" s="1290"/>
      <c r="D458" s="1284"/>
      <c r="E458" s="1294"/>
      <c r="F458" s="2674"/>
      <c r="G458" s="1314"/>
      <c r="H458" s="1314"/>
      <c r="I458" s="2672" t="s">
        <v>1294</v>
      </c>
      <c r="J458" s="2672"/>
      <c r="K458" s="2672"/>
      <c r="L458" s="1297"/>
      <c r="M458" s="1297"/>
      <c r="N458" s="1298"/>
      <c r="O458" s="1298"/>
      <c r="P458" s="1298"/>
      <c r="Q458" s="1298"/>
      <c r="R458" s="1298"/>
      <c r="S458" s="1298"/>
      <c r="T458" s="1298"/>
      <c r="U458" s="1298"/>
      <c r="V458" s="1298"/>
      <c r="W458" s="1298"/>
      <c r="X458" s="1298"/>
      <c r="Y458" s="1298"/>
      <c r="Z458" s="1298"/>
      <c r="AA458" s="1298"/>
      <c r="AB458" s="1298"/>
      <c r="AC458" s="1298"/>
      <c r="AD458" s="1298"/>
      <c r="AE458" s="1298"/>
      <c r="AF458" s="1298"/>
      <c r="AG458" s="1297"/>
      <c r="AH458" s="1297"/>
      <c r="AI458" s="1298"/>
      <c r="AJ458" s="1297"/>
      <c r="AK458" s="1298"/>
      <c r="AL458" s="2109"/>
      <c r="AM458" s="1946"/>
      <c r="AN458" s="1946"/>
      <c r="AO458" s="1946"/>
      <c r="AP458" s="1946"/>
      <c r="AQ458" s="1946"/>
      <c r="AR458" s="1946"/>
      <c r="AS458" s="1946"/>
      <c r="AT458" s="1946"/>
      <c r="AU458" s="1946"/>
      <c r="AV458" s="1946"/>
      <c r="AW458" s="1946"/>
      <c r="AX458" s="1946"/>
      <c r="AY458" s="1946"/>
      <c r="AZ458" s="1946"/>
      <c r="BA458" s="1946"/>
      <c r="BB458" s="1946"/>
      <c r="BC458" s="1946"/>
      <c r="BD458" s="1946"/>
      <c r="BE458" s="1946"/>
      <c r="BF458" s="1946"/>
      <c r="BG458" s="7213"/>
    </row>
    <row customHeight="1" ht="0.75">
      <c r="A459" s="1290" t="s">
        <v>1229</v>
      </c>
      <c r="B459" s="1290"/>
      <c r="C459" s="1290"/>
      <c r="D459" s="1284"/>
      <c r="E459" s="1294"/>
      <c r="F459" s="2673">
        <v>2027</v>
      </c>
      <c r="G459" s="2652"/>
      <c r="H459" s="2677" t="s">
        <v>488</v>
      </c>
      <c r="I459" s="2678"/>
      <c r="J459" s="2679"/>
      <c r="K459" s="2679"/>
      <c r="L459" s="2671"/>
      <c r="M459" s="2405"/>
      <c r="N459" s="2157"/>
      <c r="O459" s="2156"/>
      <c r="P459" s="2157"/>
      <c r="Q459" s="2157"/>
      <c r="R459" s="2157"/>
      <c r="S459" s="2157"/>
      <c r="T459" s="2157"/>
      <c r="U459" s="2157"/>
      <c r="V459" s="2157"/>
      <c r="W459" s="2157"/>
      <c r="X459" s="2157"/>
      <c r="Y459" s="2157"/>
      <c r="Z459" s="2157"/>
      <c r="AA459" s="2157"/>
      <c r="AB459" s="2157"/>
      <c r="AC459" s="2157"/>
      <c r="AD459" s="2157"/>
      <c r="AE459" s="2157"/>
      <c r="AF459" s="2675"/>
      <c r="AG459" s="2671"/>
      <c r="AH459" s="2671"/>
      <c r="AI459" s="2675"/>
      <c r="AJ459" s="2671"/>
      <c r="AK459" s="2671"/>
      <c r="AL459" s="2109"/>
      <c r="AM459" s="1946"/>
      <c r="AN459" s="1946"/>
      <c r="AO459" s="1946"/>
      <c r="AP459" s="1946"/>
      <c r="AQ459" s="1946"/>
      <c r="AR459" s="1946"/>
      <c r="AS459" s="1946"/>
      <c r="AT459" s="1946"/>
      <c r="AU459" s="1946"/>
      <c r="AV459" s="1946"/>
      <c r="AW459" s="1946"/>
      <c r="AX459" s="1946"/>
      <c r="AY459" s="1946"/>
      <c r="AZ459" s="1946"/>
      <c r="BA459" s="1946"/>
      <c r="BB459" s="1946"/>
      <c r="BC459" s="1946"/>
      <c r="BD459" s="1946"/>
      <c r="BE459" s="1946"/>
      <c r="BF459" s="1946"/>
      <c r="BG459" s="7213"/>
    </row>
    <row customHeight="1" ht="0.75">
      <c r="A460" s="1290" t="s">
        <v>1229</v>
      </c>
      <c r="B460" s="1290"/>
      <c r="C460" s="1290"/>
      <c r="D460" s="1284"/>
      <c r="E460" s="1294"/>
      <c r="F460" s="2673"/>
      <c r="G460" s="2652"/>
      <c r="H460" s="2677"/>
      <c r="I460" s="2678"/>
      <c r="J460" s="2679"/>
      <c r="K460" s="2679"/>
      <c r="L460" s="2671"/>
      <c r="M460" s="2405"/>
      <c r="N460" s="2680"/>
      <c r="O460" s="2681"/>
      <c r="P460" s="2725"/>
      <c r="Q460" s="2676"/>
      <c r="R460" s="2676"/>
      <c r="S460" s="2676"/>
      <c r="T460" s="2676"/>
      <c r="U460" s="2676"/>
      <c r="V460" s="2676"/>
      <c r="W460" s="2676"/>
      <c r="X460" s="2676"/>
      <c r="Y460" s="2676"/>
      <c r="Z460" s="2158"/>
      <c r="AA460" s="2159"/>
      <c r="AB460" s="2159"/>
      <c r="AC460" s="2160"/>
      <c r="AD460" s="2160"/>
      <c r="AE460" s="2161"/>
      <c r="AF460" s="2675"/>
      <c r="AG460" s="2671"/>
      <c r="AH460" s="2671"/>
      <c r="AI460" s="2675"/>
      <c r="AJ460" s="2671"/>
      <c r="AK460" s="2671"/>
      <c r="AL460" s="2109"/>
      <c r="AM460" s="1946"/>
      <c r="AN460" s="1946"/>
      <c r="AO460" s="1946"/>
      <c r="AP460" s="1946"/>
      <c r="AQ460" s="1946"/>
      <c r="AR460" s="1946"/>
      <c r="AS460" s="1946"/>
      <c r="AT460" s="1946"/>
      <c r="AU460" s="1946"/>
      <c r="AV460" s="1946"/>
      <c r="AW460" s="1946"/>
      <c r="AX460" s="1946"/>
      <c r="AY460" s="1946"/>
      <c r="AZ460" s="1946"/>
      <c r="BA460" s="1946"/>
      <c r="BB460" s="1946"/>
      <c r="BC460" s="1946"/>
      <c r="BD460" s="1946"/>
      <c r="BE460" s="1946"/>
      <c r="BF460" s="1946"/>
      <c r="BG460" s="7213"/>
    </row>
    <row customHeight="1" ht="0.75">
      <c r="A461" s="1290" t="s">
        <v>1229</v>
      </c>
      <c r="B461" s="1290"/>
      <c r="C461" s="1290"/>
      <c r="D461" s="1284"/>
      <c r="E461" s="1294"/>
      <c r="F461" s="2673"/>
      <c r="G461" s="2652"/>
      <c r="H461" s="2677"/>
      <c r="I461" s="2678"/>
      <c r="J461" s="2679"/>
      <c r="K461" s="2679"/>
      <c r="L461" s="2671"/>
      <c r="M461" s="2405"/>
      <c r="N461" s="2680"/>
      <c r="O461" s="2681"/>
      <c r="P461" s="2726"/>
      <c r="Q461" s="2676"/>
      <c r="R461" s="2676"/>
      <c r="S461" s="2676"/>
      <c r="T461" s="2676"/>
      <c r="U461" s="2676"/>
      <c r="V461" s="2676"/>
      <c r="W461" s="2676"/>
      <c r="X461" s="2676"/>
      <c r="Y461" s="2676"/>
      <c r="Z461" s="2162"/>
      <c r="AA461" s="2163"/>
      <c r="AB461" s="2164"/>
      <c r="AC461" s="2165"/>
      <c r="AD461" s="2164"/>
      <c r="AE461" s="2165"/>
      <c r="AF461" s="2675"/>
      <c r="AG461" s="2671"/>
      <c r="AH461" s="2671"/>
      <c r="AI461" s="2675"/>
      <c r="AJ461" s="2671"/>
      <c r="AK461" s="2671"/>
      <c r="AL461" s="2109"/>
      <c r="AM461" s="1946"/>
      <c r="AN461" s="1946"/>
      <c r="AO461" s="1946"/>
      <c r="AP461" s="1946"/>
      <c r="AQ461" s="1946"/>
      <c r="AR461" s="1946"/>
      <c r="AS461" s="1946"/>
      <c r="AT461" s="1946"/>
      <c r="AU461" s="1946"/>
      <c r="AV461" s="1946"/>
      <c r="AW461" s="1946"/>
      <c r="AX461" s="1946"/>
      <c r="AY461" s="1946"/>
      <c r="AZ461" s="1946"/>
      <c r="BA461" s="1946"/>
      <c r="BB461" s="1946"/>
      <c r="BC461" s="1946"/>
      <c r="BD461" s="1946"/>
      <c r="BE461" s="1946"/>
      <c r="BF461" s="1946"/>
      <c r="BG461" s="7213"/>
    </row>
    <row customHeight="1" ht="0.75">
      <c r="A462" s="1290" t="s">
        <v>1229</v>
      </c>
      <c r="B462" s="1290"/>
      <c r="C462" s="1290"/>
      <c r="D462" s="1284"/>
      <c r="E462" s="1294"/>
      <c r="F462" s="2673"/>
      <c r="G462" s="2652"/>
      <c r="H462" s="2677"/>
      <c r="I462" s="2678"/>
      <c r="J462" s="2679"/>
      <c r="K462" s="2679"/>
      <c r="L462" s="2671"/>
      <c r="M462" s="2405"/>
      <c r="N462" s="2680"/>
      <c r="O462" s="2681"/>
      <c r="P462" s="2727"/>
      <c r="Q462" s="2676"/>
      <c r="R462" s="2676"/>
      <c r="S462" s="2676"/>
      <c r="T462" s="2676"/>
      <c r="U462" s="2676"/>
      <c r="V462" s="2676"/>
      <c r="W462" s="2676"/>
      <c r="X462" s="2676"/>
      <c r="Y462" s="2676"/>
      <c r="Z462" s="2158"/>
      <c r="AA462" s="2159"/>
      <c r="AB462" s="2166"/>
      <c r="AC462" s="2160"/>
      <c r="AD462" s="2160"/>
      <c r="AE462" s="2167"/>
      <c r="AF462" s="2675"/>
      <c r="AG462" s="2671"/>
      <c r="AH462" s="2671"/>
      <c r="AI462" s="2675"/>
      <c r="AJ462" s="2671"/>
      <c r="AK462" s="2671"/>
      <c r="AL462" s="2109"/>
      <c r="AM462" s="1946"/>
      <c r="AN462" s="1946"/>
      <c r="AO462" s="1946"/>
      <c r="AP462" s="1946"/>
      <c r="AQ462" s="1946"/>
      <c r="AR462" s="1946"/>
      <c r="AS462" s="1946"/>
      <c r="AT462" s="1946"/>
      <c r="AU462" s="1946"/>
      <c r="AV462" s="1946"/>
      <c r="AW462" s="1946"/>
      <c r="AX462" s="1946"/>
      <c r="AY462" s="1946"/>
      <c r="AZ462" s="1946"/>
      <c r="BA462" s="1946"/>
      <c r="BB462" s="1946"/>
      <c r="BC462" s="1946"/>
      <c r="BD462" s="1946"/>
      <c r="BE462" s="1946"/>
      <c r="BF462" s="1946"/>
      <c r="BG462" s="7213"/>
    </row>
    <row customHeight="1" ht="0.75">
      <c r="A463" s="1290" t="s">
        <v>1229</v>
      </c>
      <c r="B463" s="1290"/>
      <c r="C463" s="1290"/>
      <c r="D463" s="1284"/>
      <c r="E463" s="1294"/>
      <c r="F463" s="2673"/>
      <c r="G463" s="2652"/>
      <c r="H463" s="2677"/>
      <c r="I463" s="2678"/>
      <c r="J463" s="2679"/>
      <c r="K463" s="2679"/>
      <c r="L463" s="2671"/>
      <c r="M463" s="2405"/>
      <c r="N463" s="2159"/>
      <c r="O463" s="2159"/>
      <c r="P463" s="2166"/>
      <c r="Q463" s="2159"/>
      <c r="R463" s="2159"/>
      <c r="S463" s="2159"/>
      <c r="T463" s="2159"/>
      <c r="U463" s="2159"/>
      <c r="V463" s="2159"/>
      <c r="W463" s="2159"/>
      <c r="X463" s="2159"/>
      <c r="Y463" s="2159"/>
      <c r="Z463" s="2159"/>
      <c r="AA463" s="2159"/>
      <c r="AB463" s="2159"/>
      <c r="AC463" s="2159"/>
      <c r="AD463" s="2159"/>
      <c r="AE463" s="2168"/>
      <c r="AF463" s="2675"/>
      <c r="AG463" s="2671"/>
      <c r="AH463" s="2671"/>
      <c r="AI463" s="2675"/>
      <c r="AJ463" s="2671"/>
      <c r="AK463" s="2671"/>
      <c r="AL463" s="2109"/>
      <c r="AM463" s="1946"/>
      <c r="AN463" s="1946"/>
      <c r="AO463" s="1946"/>
      <c r="AP463" s="1946"/>
      <c r="AQ463" s="1946"/>
      <c r="AR463" s="1946"/>
      <c r="AS463" s="1946"/>
      <c r="AT463" s="1946"/>
      <c r="AU463" s="1946"/>
      <c r="AV463" s="1946"/>
      <c r="AW463" s="1946"/>
      <c r="AX463" s="1946"/>
      <c r="AY463" s="1946"/>
      <c r="AZ463" s="1946"/>
      <c r="BA463" s="1946"/>
      <c r="BB463" s="1946"/>
      <c r="BC463" s="1946"/>
      <c r="BD463" s="1946"/>
      <c r="BE463" s="1946"/>
      <c r="BF463" s="1946"/>
      <c r="BG463" s="7213"/>
    </row>
    <row customHeight="1" ht="12">
      <c r="A464" s="1290" t="s">
        <v>1229</v>
      </c>
      <c r="B464" s="1290"/>
      <c r="C464" s="1290"/>
      <c r="D464" s="1284"/>
      <c r="E464" s="1294"/>
      <c r="F464" s="2674"/>
      <c r="G464" s="1314"/>
      <c r="H464" s="1314"/>
      <c r="I464" s="2672" t="s">
        <v>1294</v>
      </c>
      <c r="J464" s="2672"/>
      <c r="K464" s="2672"/>
      <c r="L464" s="1297"/>
      <c r="M464" s="1297"/>
      <c r="N464" s="1298"/>
      <c r="O464" s="1298"/>
      <c r="P464" s="1298"/>
      <c r="Q464" s="1298"/>
      <c r="R464" s="1298"/>
      <c r="S464" s="1298"/>
      <c r="T464" s="1298"/>
      <c r="U464" s="1298"/>
      <c r="V464" s="1298"/>
      <c r="W464" s="1298"/>
      <c r="X464" s="1298"/>
      <c r="Y464" s="1298"/>
      <c r="Z464" s="1298"/>
      <c r="AA464" s="1298"/>
      <c r="AB464" s="1298"/>
      <c r="AC464" s="1298"/>
      <c r="AD464" s="1298"/>
      <c r="AE464" s="1298"/>
      <c r="AF464" s="1298"/>
      <c r="AG464" s="1297"/>
      <c r="AH464" s="1297"/>
      <c r="AI464" s="1298"/>
      <c r="AJ464" s="1297"/>
      <c r="AK464" s="1298"/>
      <c r="AL464" s="2109"/>
      <c r="AM464" s="1946"/>
      <c r="AN464" s="1946"/>
      <c r="AO464" s="1946"/>
      <c r="AP464" s="1946"/>
      <c r="AQ464" s="1946"/>
      <c r="AR464" s="1946"/>
      <c r="AS464" s="1946"/>
      <c r="AT464" s="1946"/>
      <c r="AU464" s="1946"/>
      <c r="AV464" s="1946"/>
      <c r="AW464" s="1946"/>
      <c r="AX464" s="1946"/>
      <c r="AY464" s="1946"/>
      <c r="AZ464" s="1946"/>
      <c r="BA464" s="1946"/>
      <c r="BB464" s="1946"/>
      <c r="BC464" s="1946"/>
      <c r="BD464" s="1946"/>
      <c r="BE464" s="1946"/>
      <c r="BF464" s="1946"/>
      <c r="BG464" s="7213"/>
    </row>
    <row customHeight="1" ht="0.75">
      <c r="A465" s="1290" t="s">
        <v>1229</v>
      </c>
      <c r="B465" s="1290"/>
      <c r="C465" s="1290"/>
      <c r="D465" s="1284"/>
      <c r="E465" s="1294"/>
      <c r="F465" s="2673">
        <v>2028</v>
      </c>
      <c r="G465" s="2652"/>
      <c r="H465" s="2677" t="s">
        <v>488</v>
      </c>
      <c r="I465" s="2678"/>
      <c r="J465" s="2679"/>
      <c r="K465" s="2679"/>
      <c r="L465" s="2671"/>
      <c r="M465" s="2405"/>
      <c r="N465" s="2157"/>
      <c r="O465" s="2156"/>
      <c r="P465" s="2157"/>
      <c r="Q465" s="2157"/>
      <c r="R465" s="2157"/>
      <c r="S465" s="2157"/>
      <c r="T465" s="2157"/>
      <c r="U465" s="2157"/>
      <c r="V465" s="2157"/>
      <c r="W465" s="2157"/>
      <c r="X465" s="2157"/>
      <c r="Y465" s="2157"/>
      <c r="Z465" s="2157"/>
      <c r="AA465" s="2157"/>
      <c r="AB465" s="2157"/>
      <c r="AC465" s="2157"/>
      <c r="AD465" s="2157"/>
      <c r="AE465" s="2157"/>
      <c r="AF465" s="2675"/>
      <c r="AG465" s="2671"/>
      <c r="AH465" s="2671"/>
      <c r="AI465" s="2675"/>
      <c r="AJ465" s="2671"/>
      <c r="AK465" s="2671"/>
      <c r="AL465" s="2109"/>
      <c r="AM465" s="1946"/>
      <c r="AN465" s="1946"/>
      <c r="AO465" s="1946"/>
      <c r="AP465" s="1946"/>
      <c r="AQ465" s="1946"/>
      <c r="AR465" s="1946"/>
      <c r="AS465" s="1946"/>
      <c r="AT465" s="1946"/>
      <c r="AU465" s="1946"/>
      <c r="AV465" s="1946"/>
      <c r="AW465" s="1946"/>
      <c r="AX465" s="1946"/>
      <c r="AY465" s="1946"/>
      <c r="AZ465" s="1946"/>
      <c r="BA465" s="1946"/>
      <c r="BB465" s="1946"/>
      <c r="BC465" s="1946"/>
      <c r="BD465" s="1946"/>
      <c r="BE465" s="1946"/>
      <c r="BF465" s="1946"/>
      <c r="BG465" s="7213"/>
    </row>
    <row customHeight="1" ht="0.75">
      <c r="A466" s="1290" t="s">
        <v>1229</v>
      </c>
      <c r="B466" s="1290"/>
      <c r="C466" s="1290"/>
      <c r="D466" s="1284"/>
      <c r="E466" s="1294"/>
      <c r="F466" s="2673"/>
      <c r="G466" s="2652"/>
      <c r="H466" s="2677"/>
      <c r="I466" s="2678"/>
      <c r="J466" s="2679"/>
      <c r="K466" s="2679"/>
      <c r="L466" s="2671"/>
      <c r="M466" s="2405"/>
      <c r="N466" s="2680"/>
      <c r="O466" s="2681"/>
      <c r="P466" s="2725"/>
      <c r="Q466" s="2676"/>
      <c r="R466" s="2676"/>
      <c r="S466" s="2676"/>
      <c r="T466" s="2676"/>
      <c r="U466" s="2676"/>
      <c r="V466" s="2676"/>
      <c r="W466" s="2676"/>
      <c r="X466" s="2676"/>
      <c r="Y466" s="2676"/>
      <c r="Z466" s="2158"/>
      <c r="AA466" s="2159"/>
      <c r="AB466" s="2159"/>
      <c r="AC466" s="2160"/>
      <c r="AD466" s="2160"/>
      <c r="AE466" s="2161"/>
      <c r="AF466" s="2675"/>
      <c r="AG466" s="2671"/>
      <c r="AH466" s="2671"/>
      <c r="AI466" s="2675"/>
      <c r="AJ466" s="2671"/>
      <c r="AK466" s="2671"/>
      <c r="AL466" s="2109"/>
      <c r="AM466" s="1946"/>
      <c r="AN466" s="1946"/>
      <c r="AO466" s="1946"/>
      <c r="AP466" s="1946"/>
      <c r="AQ466" s="1946"/>
      <c r="AR466" s="1946"/>
      <c r="AS466" s="1946"/>
      <c r="AT466" s="1946"/>
      <c r="AU466" s="1946"/>
      <c r="AV466" s="1946"/>
      <c r="AW466" s="1946"/>
      <c r="AX466" s="1946"/>
      <c r="AY466" s="1946"/>
      <c r="AZ466" s="1946"/>
      <c r="BA466" s="1946"/>
      <c r="BB466" s="1946"/>
      <c r="BC466" s="1946"/>
      <c r="BD466" s="1946"/>
      <c r="BE466" s="1946"/>
      <c r="BF466" s="1946"/>
      <c r="BG466" s="7213"/>
    </row>
    <row customHeight="1" ht="0.75">
      <c r="A467" s="1290" t="s">
        <v>1229</v>
      </c>
      <c r="B467" s="1290"/>
      <c r="C467" s="1290"/>
      <c r="D467" s="1284"/>
      <c r="E467" s="1294"/>
      <c r="F467" s="2673"/>
      <c r="G467" s="2652"/>
      <c r="H467" s="2677"/>
      <c r="I467" s="2678"/>
      <c r="J467" s="2679"/>
      <c r="K467" s="2679"/>
      <c r="L467" s="2671"/>
      <c r="M467" s="2405"/>
      <c r="N467" s="2680"/>
      <c r="O467" s="2681"/>
      <c r="P467" s="2726"/>
      <c r="Q467" s="2676"/>
      <c r="R467" s="2676"/>
      <c r="S467" s="2676"/>
      <c r="T467" s="2676"/>
      <c r="U467" s="2676"/>
      <c r="V467" s="2676"/>
      <c r="W467" s="2676"/>
      <c r="X467" s="2676"/>
      <c r="Y467" s="2676"/>
      <c r="Z467" s="2162"/>
      <c r="AA467" s="2163"/>
      <c r="AB467" s="2164"/>
      <c r="AC467" s="2165"/>
      <c r="AD467" s="2164"/>
      <c r="AE467" s="2165"/>
      <c r="AF467" s="2675"/>
      <c r="AG467" s="2671"/>
      <c r="AH467" s="2671"/>
      <c r="AI467" s="2675"/>
      <c r="AJ467" s="2671"/>
      <c r="AK467" s="2671"/>
      <c r="AL467" s="2109"/>
      <c r="AM467" s="1946"/>
      <c r="AN467" s="1946"/>
      <c r="AO467" s="1946"/>
      <c r="AP467" s="1946"/>
      <c r="AQ467" s="1946"/>
      <c r="AR467" s="1946"/>
      <c r="AS467" s="1946"/>
      <c r="AT467" s="1946"/>
      <c r="AU467" s="1946"/>
      <c r="AV467" s="1946"/>
      <c r="AW467" s="1946"/>
      <c r="AX467" s="1946"/>
      <c r="AY467" s="1946"/>
      <c r="AZ467" s="1946"/>
      <c r="BA467" s="1946"/>
      <c r="BB467" s="1946"/>
      <c r="BC467" s="1946"/>
      <c r="BD467" s="1946"/>
      <c r="BE467" s="1946"/>
      <c r="BF467" s="1946"/>
      <c r="BG467" s="7213"/>
    </row>
    <row customHeight="1" ht="0.75">
      <c r="A468" s="1290" t="s">
        <v>1229</v>
      </c>
      <c r="B468" s="1290"/>
      <c r="C468" s="1290"/>
      <c r="D468" s="1284"/>
      <c r="E468" s="1294"/>
      <c r="F468" s="2673"/>
      <c r="G468" s="2652"/>
      <c r="H468" s="2677"/>
      <c r="I468" s="2678"/>
      <c r="J468" s="2679"/>
      <c r="K468" s="2679"/>
      <c r="L468" s="2671"/>
      <c r="M468" s="2405"/>
      <c r="N468" s="2680"/>
      <c r="O468" s="2681"/>
      <c r="P468" s="2727"/>
      <c r="Q468" s="2676"/>
      <c r="R468" s="2676"/>
      <c r="S468" s="2676"/>
      <c r="T468" s="2676"/>
      <c r="U468" s="2676"/>
      <c r="V468" s="2676"/>
      <c r="W468" s="2676"/>
      <c r="X468" s="2676"/>
      <c r="Y468" s="2676"/>
      <c r="Z468" s="2158"/>
      <c r="AA468" s="2159"/>
      <c r="AB468" s="2166"/>
      <c r="AC468" s="2160"/>
      <c r="AD468" s="2160"/>
      <c r="AE468" s="2167"/>
      <c r="AF468" s="2675"/>
      <c r="AG468" s="2671"/>
      <c r="AH468" s="2671"/>
      <c r="AI468" s="2675"/>
      <c r="AJ468" s="2671"/>
      <c r="AK468" s="2671"/>
      <c r="AL468" s="2109"/>
      <c r="AM468" s="1946"/>
      <c r="AN468" s="1946"/>
      <c r="AO468" s="1946"/>
      <c r="AP468" s="1946"/>
      <c r="AQ468" s="1946"/>
      <c r="AR468" s="1946"/>
      <c r="AS468" s="1946"/>
      <c r="AT468" s="1946"/>
      <c r="AU468" s="1946"/>
      <c r="AV468" s="1946"/>
      <c r="AW468" s="1946"/>
      <c r="AX468" s="1946"/>
      <c r="AY468" s="1946"/>
      <c r="AZ468" s="1946"/>
      <c r="BA468" s="1946"/>
      <c r="BB468" s="1946"/>
      <c r="BC468" s="1946"/>
      <c r="BD468" s="1946"/>
      <c r="BE468" s="1946"/>
      <c r="BF468" s="1946"/>
      <c r="BG468" s="7213"/>
    </row>
    <row customHeight="1" ht="0.75">
      <c r="A469" s="1290" t="s">
        <v>1229</v>
      </c>
      <c r="B469" s="1290"/>
      <c r="C469" s="1290"/>
      <c r="D469" s="1284"/>
      <c r="E469" s="1294"/>
      <c r="F469" s="2673"/>
      <c r="G469" s="2652"/>
      <c r="H469" s="2677"/>
      <c r="I469" s="2678"/>
      <c r="J469" s="2679"/>
      <c r="K469" s="2679"/>
      <c r="L469" s="2671"/>
      <c r="M469" s="2405"/>
      <c r="N469" s="2159"/>
      <c r="O469" s="2159"/>
      <c r="P469" s="2166"/>
      <c r="Q469" s="2159"/>
      <c r="R469" s="2159"/>
      <c r="S469" s="2159"/>
      <c r="T469" s="2159"/>
      <c r="U469" s="2159"/>
      <c r="V469" s="2159"/>
      <c r="W469" s="2159"/>
      <c r="X469" s="2159"/>
      <c r="Y469" s="2159"/>
      <c r="Z469" s="2159"/>
      <c r="AA469" s="2159"/>
      <c r="AB469" s="2159"/>
      <c r="AC469" s="2159"/>
      <c r="AD469" s="2159"/>
      <c r="AE469" s="2168"/>
      <c r="AF469" s="2675"/>
      <c r="AG469" s="2671"/>
      <c r="AH469" s="2671"/>
      <c r="AI469" s="2675"/>
      <c r="AJ469" s="2671"/>
      <c r="AK469" s="2671"/>
      <c r="AL469" s="2109"/>
      <c r="AM469" s="1946"/>
      <c r="AN469" s="1946"/>
      <c r="AO469" s="1946"/>
      <c r="AP469" s="1946"/>
      <c r="AQ469" s="1946"/>
      <c r="AR469" s="1946"/>
      <c r="AS469" s="1946"/>
      <c r="AT469" s="1946"/>
      <c r="AU469" s="1946"/>
      <c r="AV469" s="1946"/>
      <c r="AW469" s="1946"/>
      <c r="AX469" s="1946"/>
      <c r="AY469" s="1946"/>
      <c r="AZ469" s="1946"/>
      <c r="BA469" s="1946"/>
      <c r="BB469" s="1946"/>
      <c r="BC469" s="1946"/>
      <c r="BD469" s="1946"/>
      <c r="BE469" s="1946"/>
      <c r="BF469" s="1946"/>
      <c r="BG469" s="7213"/>
    </row>
    <row customHeight="1" ht="12">
      <c r="A470" s="1290" t="s">
        <v>1229</v>
      </c>
      <c r="B470" s="1290"/>
      <c r="C470" s="1290"/>
      <c r="D470" s="1284"/>
      <c r="E470" s="1294"/>
      <c r="F470" s="2674"/>
      <c r="G470" s="1314"/>
      <c r="H470" s="1314"/>
      <c r="I470" s="2672" t="s">
        <v>1294</v>
      </c>
      <c r="J470" s="2672"/>
      <c r="K470" s="2672"/>
      <c r="L470" s="1297"/>
      <c r="M470" s="1297"/>
      <c r="N470" s="1298"/>
      <c r="O470" s="1298"/>
      <c r="P470" s="1298"/>
      <c r="Q470" s="1298"/>
      <c r="R470" s="1298"/>
      <c r="S470" s="1298"/>
      <c r="T470" s="1298"/>
      <c r="U470" s="1298"/>
      <c r="V470" s="1298"/>
      <c r="W470" s="1298"/>
      <c r="X470" s="1298"/>
      <c r="Y470" s="1298"/>
      <c r="Z470" s="1298"/>
      <c r="AA470" s="1298"/>
      <c r="AB470" s="1298"/>
      <c r="AC470" s="1298"/>
      <c r="AD470" s="1298"/>
      <c r="AE470" s="1298"/>
      <c r="AF470" s="1298"/>
      <c r="AG470" s="1297"/>
      <c r="AH470" s="1297"/>
      <c r="AI470" s="1298"/>
      <c r="AJ470" s="1297"/>
      <c r="AK470" s="1298"/>
      <c r="AL470" s="2109"/>
      <c r="AM470" s="1946"/>
      <c r="AN470" s="1946"/>
      <c r="AO470" s="1946"/>
      <c r="AP470" s="1946"/>
      <c r="AQ470" s="1946"/>
      <c r="AR470" s="1946"/>
      <c r="AS470" s="1946"/>
      <c r="AT470" s="1946"/>
      <c r="AU470" s="1946"/>
      <c r="AV470" s="1946"/>
      <c r="AW470" s="1946"/>
      <c r="AX470" s="1946"/>
      <c r="AY470" s="1946"/>
      <c r="AZ470" s="1946"/>
      <c r="BA470" s="1946"/>
      <c r="BB470" s="1946"/>
      <c r="BC470" s="1946"/>
      <c r="BD470" s="1946"/>
      <c r="BE470" s="1946"/>
      <c r="BF470" s="1946"/>
      <c r="BG470" s="7213"/>
    </row>
    <row customHeight="1" ht="21">
      <c r="A471" s="1291" t="s">
        <v>1235</v>
      </c>
      <c r="B471" s="1290"/>
      <c r="C471" s="1290"/>
      <c r="D471" s="1284"/>
      <c r="E471" s="1294" t="s">
        <v>22</v>
      </c>
      <c r="F471" s="1246" t="str">
        <f>INDEX(IP_MAIN_LIST_NAME_IP,MATCH(A471,IP_MAIN_LIST_IP_ID,0))&amp;" ("&amp;INDEX(IP_MAIN_START_DATE,MATCH(A471,IP_MAIN_LIST_IP_ID,0))&amp;"-"&amp;INDEX(IP_MAIN_END_DATE,MATCH(A471,IP_MAIN_LIST_IP_ID,0))&amp;")"</f>
        <v>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 (01.01.2024-31.12.2028)</v>
      </c>
      <c r="G471" s="1247"/>
      <c r="H471" s="1247"/>
      <c r="I471" s="1309"/>
      <c r="J471" s="1309"/>
      <c r="K471" s="1310"/>
      <c r="L471" s="1310"/>
      <c r="M471" s="1310"/>
      <c r="N471" s="1311"/>
      <c r="O471" s="1311"/>
      <c r="P471" s="1311"/>
      <c r="Q471" s="1311"/>
      <c r="R471" s="1311"/>
      <c r="S471" s="1311"/>
      <c r="T471" s="1311"/>
      <c r="U471" s="1311"/>
      <c r="V471" s="1311"/>
      <c r="W471" s="1311"/>
      <c r="X471" s="1311"/>
      <c r="Y471" s="1311"/>
      <c r="Z471" s="1311"/>
      <c r="AA471" s="1311"/>
      <c r="AB471" s="1311"/>
      <c r="AC471" s="1311"/>
      <c r="AD471" s="1311"/>
      <c r="AE471" s="1312"/>
      <c r="AF471" s="1310"/>
      <c r="AG471" s="1310"/>
      <c r="AH471" s="1310"/>
      <c r="AI471" s="1310"/>
      <c r="AJ471" s="1310"/>
      <c r="AK471" s="1310"/>
      <c r="AL471" s="2109"/>
      <c r="AM471" s="1946"/>
      <c r="AN471" s="1946"/>
      <c r="AO471" s="1946"/>
      <c r="AP471" s="1946"/>
      <c r="AQ471" s="1946"/>
      <c r="AR471" s="1946"/>
      <c r="AS471" s="1946"/>
      <c r="AT471" s="1946"/>
      <c r="AU471" s="1946"/>
      <c r="AV471" s="1946"/>
      <c r="AW471" s="1946"/>
      <c r="AX471" s="1946"/>
      <c r="AY471" s="1946"/>
      <c r="AZ471" s="1946"/>
      <c r="BA471" s="1946"/>
      <c r="BB471" s="1946"/>
      <c r="BC471" s="1946"/>
      <c r="BD471" s="1946"/>
      <c r="BE471" s="1946"/>
      <c r="BF471" s="1946"/>
      <c r="BG471" s="7213"/>
    </row>
    <row customHeight="1" ht="0.75">
      <c r="A472" s="1290" t="s">
        <v>1235</v>
      </c>
      <c r="B472" s="1290"/>
      <c r="C472" s="1290"/>
      <c r="D472" s="1284"/>
      <c r="E472" s="1294"/>
      <c r="F472" s="2673">
        <v>2024</v>
      </c>
      <c r="G472" s="2652"/>
      <c r="H472" s="2677" t="s">
        <v>488</v>
      </c>
      <c r="I472" s="2678"/>
      <c r="J472" s="2679"/>
      <c r="K472" s="2679"/>
      <c r="L472" s="2671"/>
      <c r="M472" s="2405"/>
      <c r="N472" s="2157"/>
      <c r="O472" s="2156"/>
      <c r="P472" s="2157"/>
      <c r="Q472" s="2157"/>
      <c r="R472" s="2157"/>
      <c r="S472" s="2157"/>
      <c r="T472" s="2157"/>
      <c r="U472" s="2157"/>
      <c r="V472" s="2157"/>
      <c r="W472" s="2157"/>
      <c r="X472" s="2157"/>
      <c r="Y472" s="2157"/>
      <c r="Z472" s="2157"/>
      <c r="AA472" s="2157"/>
      <c r="AB472" s="2157"/>
      <c r="AC472" s="2157"/>
      <c r="AD472" s="2157"/>
      <c r="AE472" s="2157"/>
      <c r="AF472" s="2675"/>
      <c r="AG472" s="2671"/>
      <c r="AH472" s="2671"/>
      <c r="AI472" s="2675"/>
      <c r="AJ472" s="2671"/>
      <c r="AK472" s="2671"/>
      <c r="AL472" s="2109"/>
      <c r="AM472" s="1946"/>
      <c r="AN472" s="1946"/>
      <c r="AO472" s="1946"/>
      <c r="AP472" s="1946"/>
      <c r="AQ472" s="1946"/>
      <c r="AR472" s="1946"/>
      <c r="AS472" s="1946"/>
      <c r="AT472" s="1946"/>
      <c r="AU472" s="1946"/>
      <c r="AV472" s="1946"/>
      <c r="AW472" s="1946"/>
      <c r="AX472" s="1946"/>
      <c r="AY472" s="1946"/>
      <c r="AZ472" s="1946"/>
      <c r="BA472" s="1946"/>
      <c r="BB472" s="1946"/>
      <c r="BC472" s="1946"/>
      <c r="BD472" s="1946"/>
      <c r="BE472" s="1946"/>
      <c r="BF472" s="1946"/>
      <c r="BG472" s="7213"/>
    </row>
    <row customHeight="1" ht="0.75">
      <c r="A473" s="1290" t="s">
        <v>1235</v>
      </c>
      <c r="B473" s="1290"/>
      <c r="C473" s="1290"/>
      <c r="D473" s="1284"/>
      <c r="E473" s="1294"/>
      <c r="F473" s="2673"/>
      <c r="G473" s="2652"/>
      <c r="H473" s="2677"/>
      <c r="I473" s="2678"/>
      <c r="J473" s="2679"/>
      <c r="K473" s="2679"/>
      <c r="L473" s="2671"/>
      <c r="M473" s="2405"/>
      <c r="N473" s="2680"/>
      <c r="O473" s="2681"/>
      <c r="P473" s="2725"/>
      <c r="Q473" s="2676"/>
      <c r="R473" s="2676"/>
      <c r="S473" s="2676"/>
      <c r="T473" s="2676"/>
      <c r="U473" s="2676"/>
      <c r="V473" s="2676"/>
      <c r="W473" s="2676"/>
      <c r="X473" s="2676"/>
      <c r="Y473" s="2676"/>
      <c r="Z473" s="2158"/>
      <c r="AA473" s="2159"/>
      <c r="AB473" s="2159"/>
      <c r="AC473" s="2160"/>
      <c r="AD473" s="2160"/>
      <c r="AE473" s="2161"/>
      <c r="AF473" s="2675"/>
      <c r="AG473" s="2671"/>
      <c r="AH473" s="2671"/>
      <c r="AI473" s="2675"/>
      <c r="AJ473" s="2671"/>
      <c r="AK473" s="2671"/>
      <c r="AL473" s="2109"/>
      <c r="AM473" s="1946"/>
      <c r="AN473" s="1946"/>
      <c r="AO473" s="1946"/>
      <c r="AP473" s="1946"/>
      <c r="AQ473" s="1946"/>
      <c r="AR473" s="1946"/>
      <c r="AS473" s="1946"/>
      <c r="AT473" s="1946"/>
      <c r="AU473" s="1946"/>
      <c r="AV473" s="1946"/>
      <c r="AW473" s="1946"/>
      <c r="AX473" s="1946"/>
      <c r="AY473" s="1946"/>
      <c r="AZ473" s="1946"/>
      <c r="BA473" s="1946"/>
      <c r="BB473" s="1946"/>
      <c r="BC473" s="1946"/>
      <c r="BD473" s="1946"/>
      <c r="BE473" s="1946"/>
      <c r="BF473" s="1946"/>
      <c r="BG473" s="7213"/>
    </row>
    <row customHeight="1" ht="0.75">
      <c r="A474" s="1290" t="s">
        <v>1235</v>
      </c>
      <c r="B474" s="1290"/>
      <c r="C474" s="1290"/>
      <c r="D474" s="1284"/>
      <c r="E474" s="1294"/>
      <c r="F474" s="2673"/>
      <c r="G474" s="2652"/>
      <c r="H474" s="2677"/>
      <c r="I474" s="2678"/>
      <c r="J474" s="2679"/>
      <c r="K474" s="2679"/>
      <c r="L474" s="2671"/>
      <c r="M474" s="2405"/>
      <c r="N474" s="2680"/>
      <c r="O474" s="2681"/>
      <c r="P474" s="2726"/>
      <c r="Q474" s="2676"/>
      <c r="R474" s="2676"/>
      <c r="S474" s="2676"/>
      <c r="T474" s="2676"/>
      <c r="U474" s="2676"/>
      <c r="V474" s="2676"/>
      <c r="W474" s="2676"/>
      <c r="X474" s="2676"/>
      <c r="Y474" s="2676"/>
      <c r="Z474" s="2162"/>
      <c r="AA474" s="2163"/>
      <c r="AB474" s="2164"/>
      <c r="AC474" s="2165"/>
      <c r="AD474" s="2164"/>
      <c r="AE474" s="2165"/>
      <c r="AF474" s="2675"/>
      <c r="AG474" s="2671"/>
      <c r="AH474" s="2671"/>
      <c r="AI474" s="2675"/>
      <c r="AJ474" s="2671"/>
      <c r="AK474" s="2671"/>
      <c r="AL474" s="2109"/>
      <c r="AM474" s="1946"/>
      <c r="AN474" s="1946"/>
      <c r="AO474" s="1946"/>
      <c r="AP474" s="1946"/>
      <c r="AQ474" s="1946"/>
      <c r="AR474" s="1946"/>
      <c r="AS474" s="1946"/>
      <c r="AT474" s="1946"/>
      <c r="AU474" s="1946"/>
      <c r="AV474" s="1946"/>
      <c r="AW474" s="1946"/>
      <c r="AX474" s="1946"/>
      <c r="AY474" s="1946"/>
      <c r="AZ474" s="1946"/>
      <c r="BA474" s="1946"/>
      <c r="BB474" s="1946"/>
      <c r="BC474" s="1946"/>
      <c r="BD474" s="1946"/>
      <c r="BE474" s="1946"/>
      <c r="BF474" s="1946"/>
      <c r="BG474" s="7213"/>
    </row>
    <row customHeight="1" ht="0.75">
      <c r="A475" s="1290" t="s">
        <v>1235</v>
      </c>
      <c r="B475" s="1290"/>
      <c r="C475" s="1290"/>
      <c r="D475" s="1284"/>
      <c r="E475" s="1294"/>
      <c r="F475" s="2673"/>
      <c r="G475" s="2652"/>
      <c r="H475" s="2677"/>
      <c r="I475" s="2678"/>
      <c r="J475" s="2679"/>
      <c r="K475" s="2679"/>
      <c r="L475" s="2671"/>
      <c r="M475" s="2405"/>
      <c r="N475" s="2680"/>
      <c r="O475" s="2681"/>
      <c r="P475" s="2727"/>
      <c r="Q475" s="2676"/>
      <c r="R475" s="2676"/>
      <c r="S475" s="2676"/>
      <c r="T475" s="2676"/>
      <c r="U475" s="2676"/>
      <c r="V475" s="2676"/>
      <c r="W475" s="2676"/>
      <c r="X475" s="2676"/>
      <c r="Y475" s="2676"/>
      <c r="Z475" s="2158"/>
      <c r="AA475" s="2159"/>
      <c r="AB475" s="2166"/>
      <c r="AC475" s="2160"/>
      <c r="AD475" s="2160"/>
      <c r="AE475" s="2167"/>
      <c r="AF475" s="2675"/>
      <c r="AG475" s="2671"/>
      <c r="AH475" s="2671"/>
      <c r="AI475" s="2675"/>
      <c r="AJ475" s="2671"/>
      <c r="AK475" s="2671"/>
      <c r="AL475" s="2109"/>
      <c r="AM475" s="1946"/>
      <c r="AN475" s="1946"/>
      <c r="AO475" s="1946"/>
      <c r="AP475" s="1946"/>
      <c r="AQ475" s="1946"/>
      <c r="AR475" s="1946"/>
      <c r="AS475" s="1946"/>
      <c r="AT475" s="1946"/>
      <c r="AU475" s="1946"/>
      <c r="AV475" s="1946"/>
      <c r="AW475" s="1946"/>
      <c r="AX475" s="1946"/>
      <c r="AY475" s="1946"/>
      <c r="AZ475" s="1946"/>
      <c r="BA475" s="1946"/>
      <c r="BB475" s="1946"/>
      <c r="BC475" s="1946"/>
      <c r="BD475" s="1946"/>
      <c r="BE475" s="1946"/>
      <c r="BF475" s="1946"/>
      <c r="BG475" s="7213"/>
    </row>
    <row customHeight="1" ht="0.75">
      <c r="A476" s="1290" t="s">
        <v>1235</v>
      </c>
      <c r="B476" s="1290"/>
      <c r="C476" s="1290"/>
      <c r="D476" s="1284"/>
      <c r="E476" s="1294"/>
      <c r="F476" s="2673"/>
      <c r="G476" s="2652"/>
      <c r="H476" s="2677"/>
      <c r="I476" s="2678"/>
      <c r="J476" s="2679"/>
      <c r="K476" s="2679"/>
      <c r="L476" s="2671"/>
      <c r="M476" s="2405"/>
      <c r="N476" s="2159"/>
      <c r="O476" s="2159"/>
      <c r="P476" s="2166"/>
      <c r="Q476" s="2159"/>
      <c r="R476" s="2159"/>
      <c r="S476" s="2159"/>
      <c r="T476" s="2159"/>
      <c r="U476" s="2159"/>
      <c r="V476" s="2159"/>
      <c r="W476" s="2159"/>
      <c r="X476" s="2159"/>
      <c r="Y476" s="2159"/>
      <c r="Z476" s="2159"/>
      <c r="AA476" s="2159"/>
      <c r="AB476" s="2159"/>
      <c r="AC476" s="2159"/>
      <c r="AD476" s="2159"/>
      <c r="AE476" s="2168"/>
      <c r="AF476" s="2675"/>
      <c r="AG476" s="2671"/>
      <c r="AH476" s="2671"/>
      <c r="AI476" s="2675"/>
      <c r="AJ476" s="2671"/>
      <c r="AK476" s="2671"/>
      <c r="AL476" s="2109"/>
      <c r="AM476" s="1946"/>
      <c r="AN476" s="1946"/>
      <c r="AO476" s="1946"/>
      <c r="AP476" s="1946"/>
      <c r="AQ476" s="1946"/>
      <c r="AR476" s="1946"/>
      <c r="AS476" s="1946"/>
      <c r="AT476" s="1946"/>
      <c r="AU476" s="1946"/>
      <c r="AV476" s="1946"/>
      <c r="AW476" s="1946"/>
      <c r="AX476" s="1946"/>
      <c r="AY476" s="1946"/>
      <c r="AZ476" s="1946"/>
      <c r="BA476" s="1946"/>
      <c r="BB476" s="1946"/>
      <c r="BC476" s="1946"/>
      <c r="BD476" s="1946"/>
      <c r="BE476" s="1946"/>
      <c r="BF476" s="1946"/>
      <c r="BG476" s="7213"/>
    </row>
    <row customHeight="1" ht="11.25">
      <c r="A477" s="1290" t="s">
        <v>1235</v>
      </c>
      <c r="B477" s="1290"/>
      <c r="C477" s="1290"/>
      <c r="D477" s="1284"/>
      <c r="E477" s="1294"/>
      <c r="F477" s="1952"/>
      <c r="G477" s="7121" t="s">
        <v>103</v>
      </c>
      <c r="H477" s="2652" t="s">
        <v>210</v>
      </c>
      <c r="I477" s="2653"/>
      <c r="J477" s="2622"/>
      <c r="K477" s="2654" t="s">
        <v>1408</v>
      </c>
      <c r="L477" s="2244" t="s">
        <v>19</v>
      </c>
      <c r="M477" s="2245"/>
      <c r="N477" s="2107"/>
      <c r="O477" s="1301" t="s">
        <v>488</v>
      </c>
      <c r="P477" s="1302"/>
      <c r="Q477" s="1302"/>
      <c r="R477" s="1302"/>
      <c r="S477" s="1302"/>
      <c r="T477" s="1302"/>
      <c r="U477" s="1302"/>
      <c r="V477" s="1302"/>
      <c r="W477" s="1302"/>
      <c r="X477" s="1302"/>
      <c r="Y477" s="1302"/>
      <c r="Z477" s="1302"/>
      <c r="AA477" s="1302"/>
      <c r="AB477" s="1302"/>
      <c r="AC477" s="1302"/>
      <c r="AD477" s="1302"/>
      <c r="AE477" s="1302"/>
      <c r="AF477" s="2643">
        <v>2024</v>
      </c>
      <c r="AG477" s="2644" t="s">
        <v>1296</v>
      </c>
      <c r="AH477" s="2644" t="s">
        <v>1297</v>
      </c>
      <c r="AI477" s="2643">
        <v>2024</v>
      </c>
      <c r="AJ477" s="2644" t="s">
        <v>1296</v>
      </c>
      <c r="AK477" s="2644" t="s">
        <v>1297</v>
      </c>
      <c r="AL477" s="2109"/>
      <c r="AM477" s="1946"/>
      <c r="AN477" s="1946"/>
      <c r="AO477" s="1946"/>
      <c r="AP477" s="1946"/>
      <c r="AQ477" s="1946"/>
      <c r="AR477" s="1946"/>
      <c r="AS477" s="1946"/>
      <c r="AT477" s="1946"/>
      <c r="AU477" s="1946"/>
      <c r="AV477" s="1946"/>
      <c r="AW477" s="1946"/>
      <c r="AX477" s="1946"/>
      <c r="AY477" s="1946"/>
      <c r="AZ477" s="1946"/>
      <c r="BA477" s="1946"/>
      <c r="BB477" s="1946"/>
      <c r="BC477" s="1946"/>
      <c r="BD477" s="1946"/>
      <c r="BE477" s="1946"/>
      <c r="BF477" s="1946"/>
      <c r="BG477" s="7213"/>
    </row>
    <row customHeight="1" ht="11.25">
      <c r="A478" s="1290" t="s">
        <v>1235</v>
      </c>
      <c r="B478" s="1290"/>
      <c r="C478" s="1290"/>
      <c r="D478" s="1284"/>
      <c r="E478" s="1294"/>
      <c r="F478" s="1952"/>
      <c r="G478" s="1953"/>
      <c r="H478" s="2652" t="s">
        <v>488</v>
      </c>
      <c r="I478" s="2653"/>
      <c r="J478" s="2622"/>
      <c r="K478" s="2654"/>
      <c r="L478" s="2244"/>
      <c r="M478" s="2245"/>
      <c r="N478" s="2645"/>
      <c r="O478" s="2646">
        <v>1</v>
      </c>
      <c r="P478" s="2647" t="s">
        <v>62</v>
      </c>
      <c r="Q478" s="11136" t="s">
        <v>1409</v>
      </c>
      <c r="R478" s="11137" t="s">
        <v>1299</v>
      </c>
      <c r="S478" s="11137" t="s">
        <v>202</v>
      </c>
      <c r="T478" s="11137" t="s">
        <v>202</v>
      </c>
      <c r="U478" s="11137" t="s">
        <v>203</v>
      </c>
      <c r="V478" s="11137" t="s">
        <v>1410</v>
      </c>
      <c r="W478" s="11137" t="s">
        <v>1411</v>
      </c>
      <c r="X478" s="11137" t="s">
        <v>1412</v>
      </c>
      <c r="Y478" s="11137" t="s">
        <v>1355</v>
      </c>
      <c r="Z478" s="1299"/>
      <c r="AA478" s="1300"/>
      <c r="AB478" s="1300"/>
      <c r="AC478" s="1304"/>
      <c r="AD478" s="1304"/>
      <c r="AE478" s="1305"/>
      <c r="AF478" s="2643"/>
      <c r="AG478" s="2644"/>
      <c r="AH478" s="2644"/>
      <c r="AI478" s="2643"/>
      <c r="AJ478" s="2644"/>
      <c r="AK478" s="2644"/>
      <c r="AL478" s="2109"/>
      <c r="AM478" s="1946"/>
      <c r="AN478" s="1946"/>
      <c r="AO478" s="1946"/>
      <c r="AP478" s="1946"/>
      <c r="AQ478" s="1946"/>
      <c r="AR478" s="1946"/>
      <c r="AS478" s="1946"/>
      <c r="AT478" s="1946"/>
      <c r="AU478" s="1946"/>
      <c r="AV478" s="1946"/>
      <c r="AW478" s="1946"/>
      <c r="AX478" s="1946"/>
      <c r="AY478" s="1946"/>
      <c r="AZ478" s="1946"/>
      <c r="BA478" s="1946"/>
      <c r="BB478" s="1946"/>
      <c r="BC478" s="1946"/>
      <c r="BD478" s="1946"/>
      <c r="BE478" s="1946"/>
      <c r="BF478" s="1946"/>
      <c r="BG478" s="7213"/>
    </row>
    <row customHeight="1" ht="11.25">
      <c r="A479" s="1290" t="s">
        <v>1235</v>
      </c>
      <c r="B479" s="1290"/>
      <c r="C479" s="1290"/>
      <c r="D479" s="1284"/>
      <c r="E479" s="1294"/>
      <c r="F479" s="1952"/>
      <c r="G479" s="1953"/>
      <c r="H479" s="2652" t="s">
        <v>488</v>
      </c>
      <c r="I479" s="2653"/>
      <c r="J479" s="2622"/>
      <c r="K479" s="2654"/>
      <c r="L479" s="2244"/>
      <c r="M479" s="2245"/>
      <c r="N479" s="2645"/>
      <c r="O479" s="2646"/>
      <c r="P479" s="2648"/>
      <c r="Q479" s="11136"/>
      <c r="R479" s="2650"/>
      <c r="S479" s="2651"/>
      <c r="T479" s="2650"/>
      <c r="U479" s="2650"/>
      <c r="V479" s="2650"/>
      <c r="W479" s="2650"/>
      <c r="X479" s="2650"/>
      <c r="Y479" s="2650"/>
      <c r="Z479" s="1951"/>
      <c r="AA479" s="1917">
        <v>1</v>
      </c>
      <c r="AB479" s="1303" t="s">
        <v>1306</v>
      </c>
      <c r="AC479" s="1293">
        <v>47</v>
      </c>
      <c r="AD479" s="1303" t="str">
        <f>AB479</f>
        <v>  Прибыль направляемая на инвестиции</v>
      </c>
      <c r="AE479" s="1293">
        <v>47</v>
      </c>
      <c r="AF479" s="2643"/>
      <c r="AG479" s="2644"/>
      <c r="AH479" s="2644"/>
      <c r="AI479" s="2643"/>
      <c r="AJ479" s="2644"/>
      <c r="AK479" s="2644"/>
      <c r="AL479" s="2109"/>
      <c r="AM479" s="1946"/>
      <c r="AN479" s="1946"/>
      <c r="AO479" s="1946"/>
      <c r="AP479" s="1946"/>
      <c r="AQ479" s="1946"/>
      <c r="AR479" s="1946"/>
      <c r="AS479" s="1946"/>
      <c r="AT479" s="1946"/>
      <c r="AU479" s="1946"/>
      <c r="AV479" s="1946"/>
      <c r="AW479" s="1946"/>
      <c r="AX479" s="1946"/>
      <c r="AY479" s="1946"/>
      <c r="AZ479" s="1946"/>
      <c r="BA479" s="1946"/>
      <c r="BB479" s="1946"/>
      <c r="BC479" s="1946"/>
      <c r="BD479" s="1946"/>
      <c r="BE479" s="1946"/>
      <c r="BF479" s="1946"/>
      <c r="BG479" s="7213"/>
    </row>
    <row customHeight="1" ht="11.25">
      <c r="A480" s="1290" t="s">
        <v>1235</v>
      </c>
      <c r="B480" s="1290"/>
      <c r="C480" s="1290"/>
      <c r="D480" s="1284"/>
      <c r="E480" s="1294"/>
      <c r="F480" s="1952"/>
      <c r="G480" s="1953"/>
      <c r="H480" s="2652" t="s">
        <v>488</v>
      </c>
      <c r="I480" s="2653"/>
      <c r="J480" s="2622"/>
      <c r="K480" s="2654"/>
      <c r="L480" s="2244"/>
      <c r="M480" s="2245"/>
      <c r="N480" s="2645"/>
      <c r="O480" s="2646"/>
      <c r="P480" s="2649"/>
      <c r="Q480" s="11136"/>
      <c r="R480" s="2650"/>
      <c r="S480" s="2651"/>
      <c r="T480" s="2650"/>
      <c r="U480" s="2650"/>
      <c r="V480" s="2650"/>
      <c r="W480" s="2650"/>
      <c r="X480" s="2650"/>
      <c r="Y480" s="2650"/>
      <c r="Z480" s="1299"/>
      <c r="AA480" s="1300"/>
      <c r="AB480" s="1365" t="s">
        <v>1309</v>
      </c>
      <c r="AC480" s="1304"/>
      <c r="AD480" s="1304"/>
      <c r="AE480" s="1306"/>
      <c r="AF480" s="2643"/>
      <c r="AG480" s="2644"/>
      <c r="AH480" s="2644"/>
      <c r="AI480" s="2643"/>
      <c r="AJ480" s="2644"/>
      <c r="AK480" s="2644"/>
      <c r="AL480" s="2109"/>
      <c r="AM480" s="1946"/>
      <c r="AN480" s="1946"/>
      <c r="AO480" s="1946"/>
      <c r="AP480" s="1946"/>
      <c r="AQ480" s="1946"/>
      <c r="AR480" s="1946"/>
      <c r="AS480" s="1946"/>
      <c r="AT480" s="1946"/>
      <c r="AU480" s="1946"/>
      <c r="AV480" s="1946"/>
      <c r="AW480" s="1946"/>
      <c r="AX480" s="1946"/>
      <c r="AY480" s="1946"/>
      <c r="AZ480" s="1946"/>
      <c r="BA480" s="1946"/>
      <c r="BB480" s="1946"/>
      <c r="BC480" s="1946"/>
      <c r="BD480" s="1946"/>
      <c r="BE480" s="1946"/>
      <c r="BF480" s="1946"/>
      <c r="BG480" s="7213"/>
    </row>
    <row customHeight="1" ht="11.25">
      <c r="A481" s="1290" t="s">
        <v>1235</v>
      </c>
      <c r="B481" s="1290"/>
      <c r="C481" s="1290"/>
      <c r="D481" s="1284"/>
      <c r="E481" s="1294"/>
      <c r="F481" s="1952"/>
      <c r="G481" s="1953"/>
      <c r="H481" s="2652" t="s">
        <v>488</v>
      </c>
      <c r="I481" s="2653"/>
      <c r="J481" s="2622"/>
      <c r="K481" s="2654"/>
      <c r="L481" s="2244"/>
      <c r="M481" s="2245"/>
      <c r="N481" s="1299"/>
      <c r="O481" s="1300"/>
      <c r="P481" s="1292" t="s">
        <v>1310</v>
      </c>
      <c r="Q481" s="1300"/>
      <c r="R481" s="1300"/>
      <c r="S481" s="1300"/>
      <c r="T481" s="1300"/>
      <c r="U481" s="1300"/>
      <c r="V481" s="1300"/>
      <c r="W481" s="1300"/>
      <c r="X481" s="1300"/>
      <c r="Y481" s="1300"/>
      <c r="Z481" s="1300"/>
      <c r="AA481" s="1300"/>
      <c r="AB481" s="1300"/>
      <c r="AC481" s="1300"/>
      <c r="AD481" s="1300"/>
      <c r="AE481" s="1307"/>
      <c r="AF481" s="2643"/>
      <c r="AG481" s="2644"/>
      <c r="AH481" s="2644"/>
      <c r="AI481" s="2643"/>
      <c r="AJ481" s="2644"/>
      <c r="AK481" s="2644"/>
      <c r="AL481" s="2109"/>
      <c r="AM481" s="1946"/>
      <c r="AN481" s="1946"/>
      <c r="AO481" s="1946"/>
      <c r="AP481" s="1946"/>
      <c r="AQ481" s="1946"/>
      <c r="AR481" s="1946"/>
      <c r="AS481" s="1946"/>
      <c r="AT481" s="1946"/>
      <c r="AU481" s="1946"/>
      <c r="AV481" s="1946"/>
      <c r="AW481" s="1946"/>
      <c r="AX481" s="1946"/>
      <c r="AY481" s="1946"/>
      <c r="AZ481" s="1946"/>
      <c r="BA481" s="1946"/>
      <c r="BB481" s="1946"/>
      <c r="BC481" s="1946"/>
      <c r="BD481" s="1946"/>
      <c r="BE481" s="1946"/>
      <c r="BF481" s="1946"/>
      <c r="BG481" s="7213"/>
    </row>
    <row customHeight="1" ht="12">
      <c r="A482" s="1290" t="s">
        <v>1235</v>
      </c>
      <c r="B482" s="1290"/>
      <c r="C482" s="1290"/>
      <c r="D482" s="1284"/>
      <c r="E482" s="1294"/>
      <c r="F482" s="2674"/>
      <c r="G482" s="1314"/>
      <c r="H482" s="1314"/>
      <c r="I482" s="2672" t="s">
        <v>1294</v>
      </c>
      <c r="J482" s="2672"/>
      <c r="K482" s="2672"/>
      <c r="L482" s="1297"/>
      <c r="M482" s="1297"/>
      <c r="N482" s="1298"/>
      <c r="O482" s="1298"/>
      <c r="P482" s="1298"/>
      <c r="Q482" s="1298"/>
      <c r="R482" s="1298"/>
      <c r="S482" s="1298"/>
      <c r="T482" s="1298"/>
      <c r="U482" s="1298"/>
      <c r="V482" s="1298"/>
      <c r="W482" s="1298"/>
      <c r="X482" s="1298"/>
      <c r="Y482" s="1298"/>
      <c r="Z482" s="1298"/>
      <c r="AA482" s="1298"/>
      <c r="AB482" s="1298"/>
      <c r="AC482" s="1298"/>
      <c r="AD482" s="1298"/>
      <c r="AE482" s="1298"/>
      <c r="AF482" s="1298"/>
      <c r="AG482" s="1297"/>
      <c r="AH482" s="1297"/>
      <c r="AI482" s="1298"/>
      <c r="AJ482" s="1297"/>
      <c r="AK482" s="1298"/>
      <c r="AL482" s="2109"/>
      <c r="AM482" s="1946"/>
      <c r="AN482" s="1946"/>
      <c r="AO482" s="1946"/>
      <c r="AP482" s="1946"/>
      <c r="AQ482" s="1946"/>
      <c r="AR482" s="1946"/>
      <c r="AS482" s="1946"/>
      <c r="AT482" s="1946"/>
      <c r="AU482" s="1946"/>
      <c r="AV482" s="1946"/>
      <c r="AW482" s="1946"/>
      <c r="AX482" s="1946"/>
      <c r="AY482" s="1946"/>
      <c r="AZ482" s="1946"/>
      <c r="BA482" s="1946"/>
      <c r="BB482" s="1946"/>
      <c r="BC482" s="1946"/>
      <c r="BD482" s="1946"/>
      <c r="BE482" s="1946"/>
      <c r="BF482" s="1946"/>
      <c r="BG482" s="7213"/>
    </row>
    <row customHeight="1" ht="0.75">
      <c r="A483" s="1290" t="s">
        <v>1235</v>
      </c>
      <c r="B483" s="1290"/>
      <c r="C483" s="1290"/>
      <c r="D483" s="1284"/>
      <c r="E483" s="1294"/>
      <c r="F483" s="2673">
        <v>2025</v>
      </c>
      <c r="G483" s="2652"/>
      <c r="H483" s="2677" t="s">
        <v>488</v>
      </c>
      <c r="I483" s="2678"/>
      <c r="J483" s="2679"/>
      <c r="K483" s="2679"/>
      <c r="L483" s="2671"/>
      <c r="M483" s="2405"/>
      <c r="N483" s="2157"/>
      <c r="O483" s="2156"/>
      <c r="P483" s="2157"/>
      <c r="Q483" s="2157"/>
      <c r="R483" s="2157"/>
      <c r="S483" s="2157"/>
      <c r="T483" s="2157"/>
      <c r="U483" s="2157"/>
      <c r="V483" s="2157"/>
      <c r="W483" s="2157"/>
      <c r="X483" s="2157"/>
      <c r="Y483" s="2157"/>
      <c r="Z483" s="2157"/>
      <c r="AA483" s="2157"/>
      <c r="AB483" s="2157"/>
      <c r="AC483" s="2157"/>
      <c r="AD483" s="2157"/>
      <c r="AE483" s="2157"/>
      <c r="AF483" s="2675"/>
      <c r="AG483" s="2671"/>
      <c r="AH483" s="2671"/>
      <c r="AI483" s="2675"/>
      <c r="AJ483" s="2671"/>
      <c r="AK483" s="2671"/>
      <c r="AL483" s="2109"/>
      <c r="AM483" s="1946"/>
      <c r="AN483" s="1946"/>
      <c r="AO483" s="1946"/>
      <c r="AP483" s="1946"/>
      <c r="AQ483" s="1946"/>
      <c r="AR483" s="1946"/>
      <c r="AS483" s="1946"/>
      <c r="AT483" s="1946"/>
      <c r="AU483" s="1946"/>
      <c r="AV483" s="1946"/>
      <c r="AW483" s="1946"/>
      <c r="AX483" s="1946"/>
      <c r="AY483" s="1946"/>
      <c r="AZ483" s="1946"/>
      <c r="BA483" s="1946"/>
      <c r="BB483" s="1946"/>
      <c r="BC483" s="1946"/>
      <c r="BD483" s="1946"/>
      <c r="BE483" s="1946"/>
      <c r="BF483" s="1946"/>
      <c r="BG483" s="7213"/>
    </row>
    <row customHeight="1" ht="0.75">
      <c r="A484" s="1290" t="s">
        <v>1235</v>
      </c>
      <c r="B484" s="1290"/>
      <c r="C484" s="1290"/>
      <c r="D484" s="1284"/>
      <c r="E484" s="1294"/>
      <c r="F484" s="2673"/>
      <c r="G484" s="2652"/>
      <c r="H484" s="2677"/>
      <c r="I484" s="2678"/>
      <c r="J484" s="2679"/>
      <c r="K484" s="2679"/>
      <c r="L484" s="2671"/>
      <c r="M484" s="2405"/>
      <c r="N484" s="2680"/>
      <c r="O484" s="2681"/>
      <c r="P484" s="2725"/>
      <c r="Q484" s="2676"/>
      <c r="R484" s="2676"/>
      <c r="S484" s="2676"/>
      <c r="T484" s="2676"/>
      <c r="U484" s="2676"/>
      <c r="V484" s="2676"/>
      <c r="W484" s="2676"/>
      <c r="X484" s="2676"/>
      <c r="Y484" s="2676"/>
      <c r="Z484" s="2158"/>
      <c r="AA484" s="2159"/>
      <c r="AB484" s="2159"/>
      <c r="AC484" s="2160"/>
      <c r="AD484" s="2160"/>
      <c r="AE484" s="2161"/>
      <c r="AF484" s="2675"/>
      <c r="AG484" s="2671"/>
      <c r="AH484" s="2671"/>
      <c r="AI484" s="2675"/>
      <c r="AJ484" s="2671"/>
      <c r="AK484" s="2671"/>
      <c r="AL484" s="2109"/>
      <c r="AM484" s="1946"/>
      <c r="AN484" s="1946"/>
      <c r="AO484" s="1946"/>
      <c r="AP484" s="1946"/>
      <c r="AQ484" s="1946"/>
      <c r="AR484" s="1946"/>
      <c r="AS484" s="1946"/>
      <c r="AT484" s="1946"/>
      <c r="AU484" s="1946"/>
      <c r="AV484" s="1946"/>
      <c r="AW484" s="1946"/>
      <c r="AX484" s="1946"/>
      <c r="AY484" s="1946"/>
      <c r="AZ484" s="1946"/>
      <c r="BA484" s="1946"/>
      <c r="BB484" s="1946"/>
      <c r="BC484" s="1946"/>
      <c r="BD484" s="1946"/>
      <c r="BE484" s="1946"/>
      <c r="BF484" s="1946"/>
      <c r="BG484" s="7213"/>
    </row>
    <row customHeight="1" ht="0.75">
      <c r="A485" s="1290" t="s">
        <v>1235</v>
      </c>
      <c r="B485" s="1290"/>
      <c r="C485" s="1290"/>
      <c r="D485" s="1284"/>
      <c r="E485" s="1294"/>
      <c r="F485" s="2673"/>
      <c r="G485" s="2652"/>
      <c r="H485" s="2677"/>
      <c r="I485" s="2678"/>
      <c r="J485" s="2679"/>
      <c r="K485" s="2679"/>
      <c r="L485" s="2671"/>
      <c r="M485" s="2405"/>
      <c r="N485" s="2680"/>
      <c r="O485" s="2681"/>
      <c r="P485" s="2726"/>
      <c r="Q485" s="2676"/>
      <c r="R485" s="2676"/>
      <c r="S485" s="2676"/>
      <c r="T485" s="2676"/>
      <c r="U485" s="2676"/>
      <c r="V485" s="2676"/>
      <c r="W485" s="2676"/>
      <c r="X485" s="2676"/>
      <c r="Y485" s="2676"/>
      <c r="Z485" s="2162"/>
      <c r="AA485" s="2163"/>
      <c r="AB485" s="2164"/>
      <c r="AC485" s="2165"/>
      <c r="AD485" s="2164"/>
      <c r="AE485" s="2165"/>
      <c r="AF485" s="2675"/>
      <c r="AG485" s="2671"/>
      <c r="AH485" s="2671"/>
      <c r="AI485" s="2675"/>
      <c r="AJ485" s="2671"/>
      <c r="AK485" s="2671"/>
      <c r="AL485" s="2109"/>
      <c r="AM485" s="1946"/>
      <c r="AN485" s="1946"/>
      <c r="AO485" s="1946"/>
      <c r="AP485" s="1946"/>
      <c r="AQ485" s="1946"/>
      <c r="AR485" s="1946"/>
      <c r="AS485" s="1946"/>
      <c r="AT485" s="1946"/>
      <c r="AU485" s="1946"/>
      <c r="AV485" s="1946"/>
      <c r="AW485" s="1946"/>
      <c r="AX485" s="1946"/>
      <c r="AY485" s="1946"/>
      <c r="AZ485" s="1946"/>
      <c r="BA485" s="1946"/>
      <c r="BB485" s="1946"/>
      <c r="BC485" s="1946"/>
      <c r="BD485" s="1946"/>
      <c r="BE485" s="1946"/>
      <c r="BF485" s="1946"/>
      <c r="BG485" s="7213"/>
    </row>
    <row customHeight="1" ht="0.75">
      <c r="A486" s="1290" t="s">
        <v>1235</v>
      </c>
      <c r="B486" s="1290"/>
      <c r="C486" s="1290"/>
      <c r="D486" s="1284"/>
      <c r="E486" s="1294"/>
      <c r="F486" s="2673"/>
      <c r="G486" s="2652"/>
      <c r="H486" s="2677"/>
      <c r="I486" s="2678"/>
      <c r="J486" s="2679"/>
      <c r="K486" s="2679"/>
      <c r="L486" s="2671"/>
      <c r="M486" s="2405"/>
      <c r="N486" s="2680"/>
      <c r="O486" s="2681"/>
      <c r="P486" s="2727"/>
      <c r="Q486" s="2676"/>
      <c r="R486" s="2676"/>
      <c r="S486" s="2676"/>
      <c r="T486" s="2676"/>
      <c r="U486" s="2676"/>
      <c r="V486" s="2676"/>
      <c r="W486" s="2676"/>
      <c r="X486" s="2676"/>
      <c r="Y486" s="2676"/>
      <c r="Z486" s="2158"/>
      <c r="AA486" s="2159"/>
      <c r="AB486" s="2166"/>
      <c r="AC486" s="2160"/>
      <c r="AD486" s="2160"/>
      <c r="AE486" s="2167"/>
      <c r="AF486" s="2675"/>
      <c r="AG486" s="2671"/>
      <c r="AH486" s="2671"/>
      <c r="AI486" s="2675"/>
      <c r="AJ486" s="2671"/>
      <c r="AK486" s="2671"/>
      <c r="AL486" s="2109"/>
      <c r="AM486" s="1946"/>
      <c r="AN486" s="1946"/>
      <c r="AO486" s="1946"/>
      <c r="AP486" s="1946"/>
      <c r="AQ486" s="1946"/>
      <c r="AR486" s="1946"/>
      <c r="AS486" s="1946"/>
      <c r="AT486" s="1946"/>
      <c r="AU486" s="1946"/>
      <c r="AV486" s="1946"/>
      <c r="AW486" s="1946"/>
      <c r="AX486" s="1946"/>
      <c r="AY486" s="1946"/>
      <c r="AZ486" s="1946"/>
      <c r="BA486" s="1946"/>
      <c r="BB486" s="1946"/>
      <c r="BC486" s="1946"/>
      <c r="BD486" s="1946"/>
      <c r="BE486" s="1946"/>
      <c r="BF486" s="1946"/>
      <c r="BG486" s="7213"/>
    </row>
    <row customHeight="1" ht="0.75">
      <c r="A487" s="1290" t="s">
        <v>1235</v>
      </c>
      <c r="B487" s="1290"/>
      <c r="C487" s="1290"/>
      <c r="D487" s="1284"/>
      <c r="E487" s="1294"/>
      <c r="F487" s="2673"/>
      <c r="G487" s="2652"/>
      <c r="H487" s="2677"/>
      <c r="I487" s="2678"/>
      <c r="J487" s="2679"/>
      <c r="K487" s="2679"/>
      <c r="L487" s="2671"/>
      <c r="M487" s="2405"/>
      <c r="N487" s="2159"/>
      <c r="O487" s="2159"/>
      <c r="P487" s="2166"/>
      <c r="Q487" s="2159"/>
      <c r="R487" s="2159"/>
      <c r="S487" s="2159"/>
      <c r="T487" s="2159"/>
      <c r="U487" s="2159"/>
      <c r="V487" s="2159"/>
      <c r="W487" s="2159"/>
      <c r="X487" s="2159"/>
      <c r="Y487" s="2159"/>
      <c r="Z487" s="2159"/>
      <c r="AA487" s="2159"/>
      <c r="AB487" s="2159"/>
      <c r="AC487" s="2159"/>
      <c r="AD487" s="2159"/>
      <c r="AE487" s="2168"/>
      <c r="AF487" s="2675"/>
      <c r="AG487" s="2671"/>
      <c r="AH487" s="2671"/>
      <c r="AI487" s="2675"/>
      <c r="AJ487" s="2671"/>
      <c r="AK487" s="2671"/>
      <c r="AL487" s="2109"/>
      <c r="AM487" s="1946"/>
      <c r="AN487" s="1946"/>
      <c r="AO487" s="1946"/>
      <c r="AP487" s="1946"/>
      <c r="AQ487" s="1946"/>
      <c r="AR487" s="1946"/>
      <c r="AS487" s="1946"/>
      <c r="AT487" s="1946"/>
      <c r="AU487" s="1946"/>
      <c r="AV487" s="1946"/>
      <c r="AW487" s="1946"/>
      <c r="AX487" s="1946"/>
      <c r="AY487" s="1946"/>
      <c r="AZ487" s="1946"/>
      <c r="BA487" s="1946"/>
      <c r="BB487" s="1946"/>
      <c r="BC487" s="1946"/>
      <c r="BD487" s="1946"/>
      <c r="BE487" s="1946"/>
      <c r="BF487" s="1946"/>
      <c r="BG487" s="7213"/>
    </row>
    <row customHeight="1" ht="12">
      <c r="A488" s="1290" t="s">
        <v>1235</v>
      </c>
      <c r="B488" s="1290"/>
      <c r="C488" s="1290"/>
      <c r="D488" s="1284"/>
      <c r="E488" s="1294"/>
      <c r="F488" s="2674"/>
      <c r="G488" s="1314"/>
      <c r="H488" s="1314"/>
      <c r="I488" s="2672" t="s">
        <v>1294</v>
      </c>
      <c r="J488" s="2672"/>
      <c r="K488" s="2672"/>
      <c r="L488" s="1297"/>
      <c r="M488" s="1297"/>
      <c r="N488" s="1298"/>
      <c r="O488" s="1298"/>
      <c r="P488" s="1298"/>
      <c r="Q488" s="1298"/>
      <c r="R488" s="1298"/>
      <c r="S488" s="1298"/>
      <c r="T488" s="1298"/>
      <c r="U488" s="1298"/>
      <c r="V488" s="1298"/>
      <c r="W488" s="1298"/>
      <c r="X488" s="1298"/>
      <c r="Y488" s="1298"/>
      <c r="Z488" s="1298"/>
      <c r="AA488" s="1298"/>
      <c r="AB488" s="1298"/>
      <c r="AC488" s="1298"/>
      <c r="AD488" s="1298"/>
      <c r="AE488" s="1298"/>
      <c r="AF488" s="1298"/>
      <c r="AG488" s="1297"/>
      <c r="AH488" s="1297"/>
      <c r="AI488" s="1298"/>
      <c r="AJ488" s="1297"/>
      <c r="AK488" s="1298"/>
      <c r="AL488" s="2109"/>
      <c r="AM488" s="1946"/>
      <c r="AN488" s="1946"/>
      <c r="AO488" s="1946"/>
      <c r="AP488" s="1946"/>
      <c r="AQ488" s="1946"/>
      <c r="AR488" s="1946"/>
      <c r="AS488" s="1946"/>
      <c r="AT488" s="1946"/>
      <c r="AU488" s="1946"/>
      <c r="AV488" s="1946"/>
      <c r="AW488" s="1946"/>
      <c r="AX488" s="1946"/>
      <c r="AY488" s="1946"/>
      <c r="AZ488" s="1946"/>
      <c r="BA488" s="1946"/>
      <c r="BB488" s="1946"/>
      <c r="BC488" s="1946"/>
      <c r="BD488" s="1946"/>
      <c r="BE488" s="1946"/>
      <c r="BF488" s="1946"/>
      <c r="BG488" s="7213"/>
    </row>
    <row customHeight="1" ht="0.75">
      <c r="A489" s="1290" t="s">
        <v>1235</v>
      </c>
      <c r="B489" s="1290"/>
      <c r="C489" s="1290"/>
      <c r="D489" s="1284"/>
      <c r="E489" s="1294"/>
      <c r="F489" s="2673">
        <v>2026</v>
      </c>
      <c r="G489" s="2652"/>
      <c r="H489" s="2677" t="s">
        <v>488</v>
      </c>
      <c r="I489" s="2678"/>
      <c r="J489" s="2679"/>
      <c r="K489" s="2679"/>
      <c r="L489" s="2671"/>
      <c r="M489" s="2405"/>
      <c r="N489" s="2157"/>
      <c r="O489" s="2156"/>
      <c r="P489" s="2157"/>
      <c r="Q489" s="2157"/>
      <c r="R489" s="2157"/>
      <c r="S489" s="2157"/>
      <c r="T489" s="2157"/>
      <c r="U489" s="2157"/>
      <c r="V489" s="2157"/>
      <c r="W489" s="2157"/>
      <c r="X489" s="2157"/>
      <c r="Y489" s="2157"/>
      <c r="Z489" s="2157"/>
      <c r="AA489" s="2157"/>
      <c r="AB489" s="2157"/>
      <c r="AC489" s="2157"/>
      <c r="AD489" s="2157"/>
      <c r="AE489" s="2157"/>
      <c r="AF489" s="2675"/>
      <c r="AG489" s="2671"/>
      <c r="AH489" s="2671"/>
      <c r="AI489" s="2675"/>
      <c r="AJ489" s="2671"/>
      <c r="AK489" s="2671"/>
      <c r="AL489" s="2109"/>
      <c r="AM489" s="1946"/>
      <c r="AN489" s="1946"/>
      <c r="AO489" s="1946"/>
      <c r="AP489" s="1946"/>
      <c r="AQ489" s="1946"/>
      <c r="AR489" s="1946"/>
      <c r="AS489" s="1946"/>
      <c r="AT489" s="1946"/>
      <c r="AU489" s="1946"/>
      <c r="AV489" s="1946"/>
      <c r="AW489" s="1946"/>
      <c r="AX489" s="1946"/>
      <c r="AY489" s="1946"/>
      <c r="AZ489" s="1946"/>
      <c r="BA489" s="1946"/>
      <c r="BB489" s="1946"/>
      <c r="BC489" s="1946"/>
      <c r="BD489" s="1946"/>
      <c r="BE489" s="1946"/>
      <c r="BF489" s="1946"/>
      <c r="BG489" s="7213"/>
    </row>
    <row customHeight="1" ht="0.75">
      <c r="A490" s="1290" t="s">
        <v>1235</v>
      </c>
      <c r="B490" s="1290"/>
      <c r="C490" s="1290"/>
      <c r="D490" s="1284"/>
      <c r="E490" s="1294"/>
      <c r="F490" s="2673"/>
      <c r="G490" s="2652"/>
      <c r="H490" s="2677"/>
      <c r="I490" s="2678"/>
      <c r="J490" s="2679"/>
      <c r="K490" s="2679"/>
      <c r="L490" s="2671"/>
      <c r="M490" s="2405"/>
      <c r="N490" s="2680"/>
      <c r="O490" s="2681"/>
      <c r="P490" s="2725"/>
      <c r="Q490" s="2676"/>
      <c r="R490" s="2676"/>
      <c r="S490" s="2676"/>
      <c r="T490" s="2676"/>
      <c r="U490" s="2676"/>
      <c r="V490" s="2676"/>
      <c r="W490" s="2676"/>
      <c r="X490" s="2676"/>
      <c r="Y490" s="2676"/>
      <c r="Z490" s="2158"/>
      <c r="AA490" s="2159"/>
      <c r="AB490" s="2159"/>
      <c r="AC490" s="2160"/>
      <c r="AD490" s="2160"/>
      <c r="AE490" s="2161"/>
      <c r="AF490" s="2675"/>
      <c r="AG490" s="2671"/>
      <c r="AH490" s="2671"/>
      <c r="AI490" s="2675"/>
      <c r="AJ490" s="2671"/>
      <c r="AK490" s="2671"/>
      <c r="AL490" s="2109"/>
      <c r="AM490" s="1946"/>
      <c r="AN490" s="1946"/>
      <c r="AO490" s="1946"/>
      <c r="AP490" s="1946"/>
      <c r="AQ490" s="1946"/>
      <c r="AR490" s="1946"/>
      <c r="AS490" s="1946"/>
      <c r="AT490" s="1946"/>
      <c r="AU490" s="1946"/>
      <c r="AV490" s="1946"/>
      <c r="AW490" s="1946"/>
      <c r="AX490" s="1946"/>
      <c r="AY490" s="1946"/>
      <c r="AZ490" s="1946"/>
      <c r="BA490" s="1946"/>
      <c r="BB490" s="1946"/>
      <c r="BC490" s="1946"/>
      <c r="BD490" s="1946"/>
      <c r="BE490" s="1946"/>
      <c r="BF490" s="1946"/>
      <c r="BG490" s="7213"/>
    </row>
    <row customHeight="1" ht="0.75">
      <c r="A491" s="1290" t="s">
        <v>1235</v>
      </c>
      <c r="B491" s="1290"/>
      <c r="C491" s="1290"/>
      <c r="D491" s="1284"/>
      <c r="E491" s="1294"/>
      <c r="F491" s="2673"/>
      <c r="G491" s="2652"/>
      <c r="H491" s="2677"/>
      <c r="I491" s="2678"/>
      <c r="J491" s="2679"/>
      <c r="K491" s="2679"/>
      <c r="L491" s="2671"/>
      <c r="M491" s="2405"/>
      <c r="N491" s="2680"/>
      <c r="O491" s="2681"/>
      <c r="P491" s="2726"/>
      <c r="Q491" s="2676"/>
      <c r="R491" s="2676"/>
      <c r="S491" s="2676"/>
      <c r="T491" s="2676"/>
      <c r="U491" s="2676"/>
      <c r="V491" s="2676"/>
      <c r="W491" s="2676"/>
      <c r="X491" s="2676"/>
      <c r="Y491" s="2676"/>
      <c r="Z491" s="2162"/>
      <c r="AA491" s="2163"/>
      <c r="AB491" s="2164"/>
      <c r="AC491" s="2165"/>
      <c r="AD491" s="2164"/>
      <c r="AE491" s="2165"/>
      <c r="AF491" s="2675"/>
      <c r="AG491" s="2671"/>
      <c r="AH491" s="2671"/>
      <c r="AI491" s="2675"/>
      <c r="AJ491" s="2671"/>
      <c r="AK491" s="2671"/>
      <c r="AL491" s="2109"/>
      <c r="AM491" s="1946"/>
      <c r="AN491" s="1946"/>
      <c r="AO491" s="1946"/>
      <c r="AP491" s="1946"/>
      <c r="AQ491" s="1946"/>
      <c r="AR491" s="1946"/>
      <c r="AS491" s="1946"/>
      <c r="AT491" s="1946"/>
      <c r="AU491" s="1946"/>
      <c r="AV491" s="1946"/>
      <c r="AW491" s="1946"/>
      <c r="AX491" s="1946"/>
      <c r="AY491" s="1946"/>
      <c r="AZ491" s="1946"/>
      <c r="BA491" s="1946"/>
      <c r="BB491" s="1946"/>
      <c r="BC491" s="1946"/>
      <c r="BD491" s="1946"/>
      <c r="BE491" s="1946"/>
      <c r="BF491" s="1946"/>
      <c r="BG491" s="7213"/>
    </row>
    <row customHeight="1" ht="0.75">
      <c r="A492" s="1290" t="s">
        <v>1235</v>
      </c>
      <c r="B492" s="1290"/>
      <c r="C492" s="1290"/>
      <c r="D492" s="1284"/>
      <c r="E492" s="1294"/>
      <c r="F492" s="2673"/>
      <c r="G492" s="2652"/>
      <c r="H492" s="2677"/>
      <c r="I492" s="2678"/>
      <c r="J492" s="2679"/>
      <c r="K492" s="2679"/>
      <c r="L492" s="2671"/>
      <c r="M492" s="2405"/>
      <c r="N492" s="2680"/>
      <c r="O492" s="2681"/>
      <c r="P492" s="2727"/>
      <c r="Q492" s="2676"/>
      <c r="R492" s="2676"/>
      <c r="S492" s="2676"/>
      <c r="T492" s="2676"/>
      <c r="U492" s="2676"/>
      <c r="V492" s="2676"/>
      <c r="W492" s="2676"/>
      <c r="X492" s="2676"/>
      <c r="Y492" s="2676"/>
      <c r="Z492" s="2158"/>
      <c r="AA492" s="2159"/>
      <c r="AB492" s="2166"/>
      <c r="AC492" s="2160"/>
      <c r="AD492" s="2160"/>
      <c r="AE492" s="2167"/>
      <c r="AF492" s="2675"/>
      <c r="AG492" s="2671"/>
      <c r="AH492" s="2671"/>
      <c r="AI492" s="2675"/>
      <c r="AJ492" s="2671"/>
      <c r="AK492" s="2671"/>
      <c r="AL492" s="2109"/>
      <c r="AM492" s="1946"/>
      <c r="AN492" s="1946"/>
      <c r="AO492" s="1946"/>
      <c r="AP492" s="1946"/>
      <c r="AQ492" s="1946"/>
      <c r="AR492" s="1946"/>
      <c r="AS492" s="1946"/>
      <c r="AT492" s="1946"/>
      <c r="AU492" s="1946"/>
      <c r="AV492" s="1946"/>
      <c r="AW492" s="1946"/>
      <c r="AX492" s="1946"/>
      <c r="AY492" s="1946"/>
      <c r="AZ492" s="1946"/>
      <c r="BA492" s="1946"/>
      <c r="BB492" s="1946"/>
      <c r="BC492" s="1946"/>
      <c r="BD492" s="1946"/>
      <c r="BE492" s="1946"/>
      <c r="BF492" s="1946"/>
      <c r="BG492" s="7213"/>
    </row>
    <row customHeight="1" ht="0.75">
      <c r="A493" s="1290" t="s">
        <v>1235</v>
      </c>
      <c r="B493" s="1290"/>
      <c r="C493" s="1290"/>
      <c r="D493" s="1284"/>
      <c r="E493" s="1294"/>
      <c r="F493" s="2673"/>
      <c r="G493" s="2652"/>
      <c r="H493" s="2677"/>
      <c r="I493" s="2678"/>
      <c r="J493" s="2679"/>
      <c r="K493" s="2679"/>
      <c r="L493" s="2671"/>
      <c r="M493" s="2405"/>
      <c r="N493" s="2159"/>
      <c r="O493" s="2159"/>
      <c r="P493" s="2166"/>
      <c r="Q493" s="2159"/>
      <c r="R493" s="2159"/>
      <c r="S493" s="2159"/>
      <c r="T493" s="2159"/>
      <c r="U493" s="2159"/>
      <c r="V493" s="2159"/>
      <c r="W493" s="2159"/>
      <c r="X493" s="2159"/>
      <c r="Y493" s="2159"/>
      <c r="Z493" s="2159"/>
      <c r="AA493" s="2159"/>
      <c r="AB493" s="2159"/>
      <c r="AC493" s="2159"/>
      <c r="AD493" s="2159"/>
      <c r="AE493" s="2168"/>
      <c r="AF493" s="2675"/>
      <c r="AG493" s="2671"/>
      <c r="AH493" s="2671"/>
      <c r="AI493" s="2675"/>
      <c r="AJ493" s="2671"/>
      <c r="AK493" s="2671"/>
      <c r="AL493" s="2109"/>
      <c r="AM493" s="1946"/>
      <c r="AN493" s="1946"/>
      <c r="AO493" s="1946"/>
      <c r="AP493" s="1946"/>
      <c r="AQ493" s="1946"/>
      <c r="AR493" s="1946"/>
      <c r="AS493" s="1946"/>
      <c r="AT493" s="1946"/>
      <c r="AU493" s="1946"/>
      <c r="AV493" s="1946"/>
      <c r="AW493" s="1946"/>
      <c r="AX493" s="1946"/>
      <c r="AY493" s="1946"/>
      <c r="AZ493" s="1946"/>
      <c r="BA493" s="1946"/>
      <c r="BB493" s="1946"/>
      <c r="BC493" s="1946"/>
      <c r="BD493" s="1946"/>
      <c r="BE493" s="1946"/>
      <c r="BF493" s="1946"/>
      <c r="BG493" s="7213"/>
    </row>
    <row customHeight="1" ht="12">
      <c r="A494" s="1290" t="s">
        <v>1235</v>
      </c>
      <c r="B494" s="1290"/>
      <c r="C494" s="1290"/>
      <c r="D494" s="1284"/>
      <c r="E494" s="1294"/>
      <c r="F494" s="2674"/>
      <c r="G494" s="1314"/>
      <c r="H494" s="1314"/>
      <c r="I494" s="2672" t="s">
        <v>1294</v>
      </c>
      <c r="J494" s="2672"/>
      <c r="K494" s="2672"/>
      <c r="L494" s="1297"/>
      <c r="M494" s="1297"/>
      <c r="N494" s="1298"/>
      <c r="O494" s="1298"/>
      <c r="P494" s="1298"/>
      <c r="Q494" s="1298"/>
      <c r="R494" s="1298"/>
      <c r="S494" s="1298"/>
      <c r="T494" s="1298"/>
      <c r="U494" s="1298"/>
      <c r="V494" s="1298"/>
      <c r="W494" s="1298"/>
      <c r="X494" s="1298"/>
      <c r="Y494" s="1298"/>
      <c r="Z494" s="1298"/>
      <c r="AA494" s="1298"/>
      <c r="AB494" s="1298"/>
      <c r="AC494" s="1298"/>
      <c r="AD494" s="1298"/>
      <c r="AE494" s="1298"/>
      <c r="AF494" s="1298"/>
      <c r="AG494" s="1297"/>
      <c r="AH494" s="1297"/>
      <c r="AI494" s="1298"/>
      <c r="AJ494" s="1297"/>
      <c r="AK494" s="1298"/>
      <c r="AL494" s="2109"/>
      <c r="AM494" s="1946"/>
      <c r="AN494" s="1946"/>
      <c r="AO494" s="1946"/>
      <c r="AP494" s="1946"/>
      <c r="AQ494" s="1946"/>
      <c r="AR494" s="1946"/>
      <c r="AS494" s="1946"/>
      <c r="AT494" s="1946"/>
      <c r="AU494" s="1946"/>
      <c r="AV494" s="1946"/>
      <c r="AW494" s="1946"/>
      <c r="AX494" s="1946"/>
      <c r="AY494" s="1946"/>
      <c r="AZ494" s="1946"/>
      <c r="BA494" s="1946"/>
      <c r="BB494" s="1946"/>
      <c r="BC494" s="1946"/>
      <c r="BD494" s="1946"/>
      <c r="BE494" s="1946"/>
      <c r="BF494" s="1946"/>
      <c r="BG494" s="7213"/>
    </row>
    <row customHeight="1" ht="0.75">
      <c r="A495" s="1290" t="s">
        <v>1235</v>
      </c>
      <c r="B495" s="1290"/>
      <c r="C495" s="1290"/>
      <c r="D495" s="1284"/>
      <c r="E495" s="1294"/>
      <c r="F495" s="2673">
        <v>2027</v>
      </c>
      <c r="G495" s="2652"/>
      <c r="H495" s="2677" t="s">
        <v>488</v>
      </c>
      <c r="I495" s="2678"/>
      <c r="J495" s="2679"/>
      <c r="K495" s="2679"/>
      <c r="L495" s="2671"/>
      <c r="M495" s="2405"/>
      <c r="N495" s="2157"/>
      <c r="O495" s="2156"/>
      <c r="P495" s="2157"/>
      <c r="Q495" s="2157"/>
      <c r="R495" s="2157"/>
      <c r="S495" s="2157"/>
      <c r="T495" s="2157"/>
      <c r="U495" s="2157"/>
      <c r="V495" s="2157"/>
      <c r="W495" s="2157"/>
      <c r="X495" s="2157"/>
      <c r="Y495" s="2157"/>
      <c r="Z495" s="2157"/>
      <c r="AA495" s="2157"/>
      <c r="AB495" s="2157"/>
      <c r="AC495" s="2157"/>
      <c r="AD495" s="2157"/>
      <c r="AE495" s="2157"/>
      <c r="AF495" s="2675"/>
      <c r="AG495" s="2671"/>
      <c r="AH495" s="2671"/>
      <c r="AI495" s="2675"/>
      <c r="AJ495" s="2671"/>
      <c r="AK495" s="2671"/>
      <c r="AL495" s="2109"/>
      <c r="AM495" s="1946"/>
      <c r="AN495" s="1946"/>
      <c r="AO495" s="1946"/>
      <c r="AP495" s="1946"/>
      <c r="AQ495" s="1946"/>
      <c r="AR495" s="1946"/>
      <c r="AS495" s="1946"/>
      <c r="AT495" s="1946"/>
      <c r="AU495" s="1946"/>
      <c r="AV495" s="1946"/>
      <c r="AW495" s="1946"/>
      <c r="AX495" s="1946"/>
      <c r="AY495" s="1946"/>
      <c r="AZ495" s="1946"/>
      <c r="BA495" s="1946"/>
      <c r="BB495" s="1946"/>
      <c r="BC495" s="1946"/>
      <c r="BD495" s="1946"/>
      <c r="BE495" s="1946"/>
      <c r="BF495" s="1946"/>
      <c r="BG495" s="7213"/>
    </row>
    <row customHeight="1" ht="0.75">
      <c r="A496" s="1290" t="s">
        <v>1235</v>
      </c>
      <c r="B496" s="1290"/>
      <c r="C496" s="1290"/>
      <c r="D496" s="1284"/>
      <c r="E496" s="1294"/>
      <c r="F496" s="2673"/>
      <c r="G496" s="2652"/>
      <c r="H496" s="2677"/>
      <c r="I496" s="2678"/>
      <c r="J496" s="2679"/>
      <c r="K496" s="2679"/>
      <c r="L496" s="2671"/>
      <c r="M496" s="2405"/>
      <c r="N496" s="2680"/>
      <c r="O496" s="2681"/>
      <c r="P496" s="2725"/>
      <c r="Q496" s="2676"/>
      <c r="R496" s="2676"/>
      <c r="S496" s="2676"/>
      <c r="T496" s="2676"/>
      <c r="U496" s="2676"/>
      <c r="V496" s="2676"/>
      <c r="W496" s="2676"/>
      <c r="X496" s="2676"/>
      <c r="Y496" s="2676"/>
      <c r="Z496" s="2158"/>
      <c r="AA496" s="2159"/>
      <c r="AB496" s="2159"/>
      <c r="AC496" s="2160"/>
      <c r="AD496" s="2160"/>
      <c r="AE496" s="2161"/>
      <c r="AF496" s="2675"/>
      <c r="AG496" s="2671"/>
      <c r="AH496" s="2671"/>
      <c r="AI496" s="2675"/>
      <c r="AJ496" s="2671"/>
      <c r="AK496" s="2671"/>
      <c r="AL496" s="2109"/>
      <c r="AM496" s="1946"/>
      <c r="AN496" s="1946"/>
      <c r="AO496" s="1946"/>
      <c r="AP496" s="1946"/>
      <c r="AQ496" s="1946"/>
      <c r="AR496" s="1946"/>
      <c r="AS496" s="1946"/>
      <c r="AT496" s="1946"/>
      <c r="AU496" s="1946"/>
      <c r="AV496" s="1946"/>
      <c r="AW496" s="1946"/>
      <c r="AX496" s="1946"/>
      <c r="AY496" s="1946"/>
      <c r="AZ496" s="1946"/>
      <c r="BA496" s="1946"/>
      <c r="BB496" s="1946"/>
      <c r="BC496" s="1946"/>
      <c r="BD496" s="1946"/>
      <c r="BE496" s="1946"/>
      <c r="BF496" s="1946"/>
      <c r="BG496" s="7213"/>
    </row>
    <row customHeight="1" ht="0.75">
      <c r="A497" s="1290" t="s">
        <v>1235</v>
      </c>
      <c r="B497" s="1290"/>
      <c r="C497" s="1290"/>
      <c r="D497" s="1284"/>
      <c r="E497" s="1294"/>
      <c r="F497" s="2673"/>
      <c r="G497" s="2652"/>
      <c r="H497" s="2677"/>
      <c r="I497" s="2678"/>
      <c r="J497" s="2679"/>
      <c r="K497" s="2679"/>
      <c r="L497" s="2671"/>
      <c r="M497" s="2405"/>
      <c r="N497" s="2680"/>
      <c r="O497" s="2681"/>
      <c r="P497" s="2726"/>
      <c r="Q497" s="2676"/>
      <c r="R497" s="2676"/>
      <c r="S497" s="2676"/>
      <c r="T497" s="2676"/>
      <c r="U497" s="2676"/>
      <c r="V497" s="2676"/>
      <c r="W497" s="2676"/>
      <c r="X497" s="2676"/>
      <c r="Y497" s="2676"/>
      <c r="Z497" s="2162"/>
      <c r="AA497" s="2163"/>
      <c r="AB497" s="2164"/>
      <c r="AC497" s="2165"/>
      <c r="AD497" s="2164"/>
      <c r="AE497" s="2165"/>
      <c r="AF497" s="2675"/>
      <c r="AG497" s="2671"/>
      <c r="AH497" s="2671"/>
      <c r="AI497" s="2675"/>
      <c r="AJ497" s="2671"/>
      <c r="AK497" s="2671"/>
      <c r="AL497" s="2109"/>
      <c r="AM497" s="1946"/>
      <c r="AN497" s="1946"/>
      <c r="AO497" s="1946"/>
      <c r="AP497" s="1946"/>
      <c r="AQ497" s="1946"/>
      <c r="AR497" s="1946"/>
      <c r="AS497" s="1946"/>
      <c r="AT497" s="1946"/>
      <c r="AU497" s="1946"/>
      <c r="AV497" s="1946"/>
      <c r="AW497" s="1946"/>
      <c r="AX497" s="1946"/>
      <c r="AY497" s="1946"/>
      <c r="AZ497" s="1946"/>
      <c r="BA497" s="1946"/>
      <c r="BB497" s="1946"/>
      <c r="BC497" s="1946"/>
      <c r="BD497" s="1946"/>
      <c r="BE497" s="1946"/>
      <c r="BF497" s="1946"/>
      <c r="BG497" s="7213"/>
    </row>
    <row customHeight="1" ht="0.75">
      <c r="A498" s="1290" t="s">
        <v>1235</v>
      </c>
      <c r="B498" s="1290"/>
      <c r="C498" s="1290"/>
      <c r="D498" s="1284"/>
      <c r="E498" s="1294"/>
      <c r="F498" s="2673"/>
      <c r="G498" s="2652"/>
      <c r="H498" s="2677"/>
      <c r="I498" s="2678"/>
      <c r="J498" s="2679"/>
      <c r="K498" s="2679"/>
      <c r="L498" s="2671"/>
      <c r="M498" s="2405"/>
      <c r="N498" s="2680"/>
      <c r="O498" s="2681"/>
      <c r="P498" s="2727"/>
      <c r="Q498" s="2676"/>
      <c r="R498" s="2676"/>
      <c r="S498" s="2676"/>
      <c r="T498" s="2676"/>
      <c r="U498" s="2676"/>
      <c r="V498" s="2676"/>
      <c r="W498" s="2676"/>
      <c r="X498" s="2676"/>
      <c r="Y498" s="2676"/>
      <c r="Z498" s="2158"/>
      <c r="AA498" s="2159"/>
      <c r="AB498" s="2166"/>
      <c r="AC498" s="2160"/>
      <c r="AD498" s="2160"/>
      <c r="AE498" s="2167"/>
      <c r="AF498" s="2675"/>
      <c r="AG498" s="2671"/>
      <c r="AH498" s="2671"/>
      <c r="AI498" s="2675"/>
      <c r="AJ498" s="2671"/>
      <c r="AK498" s="2671"/>
      <c r="AL498" s="2109"/>
      <c r="AM498" s="1946"/>
      <c r="AN498" s="1946"/>
      <c r="AO498" s="1946"/>
      <c r="AP498" s="1946"/>
      <c r="AQ498" s="1946"/>
      <c r="AR498" s="1946"/>
      <c r="AS498" s="1946"/>
      <c r="AT498" s="1946"/>
      <c r="AU498" s="1946"/>
      <c r="AV498" s="1946"/>
      <c r="AW498" s="1946"/>
      <c r="AX498" s="1946"/>
      <c r="AY498" s="1946"/>
      <c r="AZ498" s="1946"/>
      <c r="BA498" s="1946"/>
      <c r="BB498" s="1946"/>
      <c r="BC498" s="1946"/>
      <c r="BD498" s="1946"/>
      <c r="BE498" s="1946"/>
      <c r="BF498" s="1946"/>
      <c r="BG498" s="7213"/>
    </row>
    <row customHeight="1" ht="0.75">
      <c r="A499" s="1290" t="s">
        <v>1235</v>
      </c>
      <c r="B499" s="1290"/>
      <c r="C499" s="1290"/>
      <c r="D499" s="1284"/>
      <c r="E499" s="1294"/>
      <c r="F499" s="2673"/>
      <c r="G499" s="2652"/>
      <c r="H499" s="2677"/>
      <c r="I499" s="2678"/>
      <c r="J499" s="2679"/>
      <c r="K499" s="2679"/>
      <c r="L499" s="2671"/>
      <c r="M499" s="2405"/>
      <c r="N499" s="2159"/>
      <c r="O499" s="2159"/>
      <c r="P499" s="2166"/>
      <c r="Q499" s="2159"/>
      <c r="R499" s="2159"/>
      <c r="S499" s="2159"/>
      <c r="T499" s="2159"/>
      <c r="U499" s="2159"/>
      <c r="V499" s="2159"/>
      <c r="W499" s="2159"/>
      <c r="X499" s="2159"/>
      <c r="Y499" s="2159"/>
      <c r="Z499" s="2159"/>
      <c r="AA499" s="2159"/>
      <c r="AB499" s="2159"/>
      <c r="AC499" s="2159"/>
      <c r="AD499" s="2159"/>
      <c r="AE499" s="2168"/>
      <c r="AF499" s="2675"/>
      <c r="AG499" s="2671"/>
      <c r="AH499" s="2671"/>
      <c r="AI499" s="2675"/>
      <c r="AJ499" s="2671"/>
      <c r="AK499" s="2671"/>
      <c r="AL499" s="2109"/>
      <c r="AM499" s="1946"/>
      <c r="AN499" s="1946"/>
      <c r="AO499" s="1946"/>
      <c r="AP499" s="1946"/>
      <c r="AQ499" s="1946"/>
      <c r="AR499" s="1946"/>
      <c r="AS499" s="1946"/>
      <c r="AT499" s="1946"/>
      <c r="AU499" s="1946"/>
      <c r="AV499" s="1946"/>
      <c r="AW499" s="1946"/>
      <c r="AX499" s="1946"/>
      <c r="AY499" s="1946"/>
      <c r="AZ499" s="1946"/>
      <c r="BA499" s="1946"/>
      <c r="BB499" s="1946"/>
      <c r="BC499" s="1946"/>
      <c r="BD499" s="1946"/>
      <c r="BE499" s="1946"/>
      <c r="BF499" s="1946"/>
      <c r="BG499" s="7213"/>
    </row>
    <row customHeight="1" ht="12">
      <c r="A500" s="1290" t="s">
        <v>1235</v>
      </c>
      <c r="B500" s="1290"/>
      <c r="C500" s="1290"/>
      <c r="D500" s="1284"/>
      <c r="E500" s="1294"/>
      <c r="F500" s="2674"/>
      <c r="G500" s="1314"/>
      <c r="H500" s="1314"/>
      <c r="I500" s="2672" t="s">
        <v>1294</v>
      </c>
      <c r="J500" s="2672"/>
      <c r="K500" s="2672"/>
      <c r="L500" s="1297"/>
      <c r="M500" s="1297"/>
      <c r="N500" s="1298"/>
      <c r="O500" s="1298"/>
      <c r="P500" s="1298"/>
      <c r="Q500" s="1298"/>
      <c r="R500" s="1298"/>
      <c r="S500" s="1298"/>
      <c r="T500" s="1298"/>
      <c r="U500" s="1298"/>
      <c r="V500" s="1298"/>
      <c r="W500" s="1298"/>
      <c r="X500" s="1298"/>
      <c r="Y500" s="1298"/>
      <c r="Z500" s="1298"/>
      <c r="AA500" s="1298"/>
      <c r="AB500" s="1298"/>
      <c r="AC500" s="1298"/>
      <c r="AD500" s="1298"/>
      <c r="AE500" s="1298"/>
      <c r="AF500" s="1298"/>
      <c r="AG500" s="1297"/>
      <c r="AH500" s="1297"/>
      <c r="AI500" s="1298"/>
      <c r="AJ500" s="1297"/>
      <c r="AK500" s="1298"/>
      <c r="AL500" s="2109"/>
      <c r="AM500" s="1946"/>
      <c r="AN500" s="1946"/>
      <c r="AO500" s="1946"/>
      <c r="AP500" s="1946"/>
      <c r="AQ500" s="1946"/>
      <c r="AR500" s="1946"/>
      <c r="AS500" s="1946"/>
      <c r="AT500" s="1946"/>
      <c r="AU500" s="1946"/>
      <c r="AV500" s="1946"/>
      <c r="AW500" s="1946"/>
      <c r="AX500" s="1946"/>
      <c r="AY500" s="1946"/>
      <c r="AZ500" s="1946"/>
      <c r="BA500" s="1946"/>
      <c r="BB500" s="1946"/>
      <c r="BC500" s="1946"/>
      <c r="BD500" s="1946"/>
      <c r="BE500" s="1946"/>
      <c r="BF500" s="1946"/>
      <c r="BG500" s="7213"/>
    </row>
    <row customHeight="1" ht="0.75">
      <c r="A501" s="1290" t="s">
        <v>1235</v>
      </c>
      <c r="B501" s="1290"/>
      <c r="C501" s="1290"/>
      <c r="D501" s="1284"/>
      <c r="E501" s="1294"/>
      <c r="F501" s="2673">
        <v>2028</v>
      </c>
      <c r="G501" s="2652"/>
      <c r="H501" s="2677" t="s">
        <v>488</v>
      </c>
      <c r="I501" s="2678"/>
      <c r="J501" s="2679"/>
      <c r="K501" s="2679"/>
      <c r="L501" s="2671"/>
      <c r="M501" s="2405"/>
      <c r="N501" s="2157"/>
      <c r="O501" s="2156"/>
      <c r="P501" s="2157"/>
      <c r="Q501" s="2157"/>
      <c r="R501" s="2157"/>
      <c r="S501" s="2157"/>
      <c r="T501" s="2157"/>
      <c r="U501" s="2157"/>
      <c r="V501" s="2157"/>
      <c r="W501" s="2157"/>
      <c r="X501" s="2157"/>
      <c r="Y501" s="2157"/>
      <c r="Z501" s="2157"/>
      <c r="AA501" s="2157"/>
      <c r="AB501" s="2157"/>
      <c r="AC501" s="2157"/>
      <c r="AD501" s="2157"/>
      <c r="AE501" s="2157"/>
      <c r="AF501" s="2675"/>
      <c r="AG501" s="2671"/>
      <c r="AH501" s="2671"/>
      <c r="AI501" s="2675"/>
      <c r="AJ501" s="2671"/>
      <c r="AK501" s="2671"/>
      <c r="AL501" s="2109"/>
      <c r="AM501" s="1946"/>
      <c r="AN501" s="1946"/>
      <c r="AO501" s="1946"/>
      <c r="AP501" s="1946"/>
      <c r="AQ501" s="1946"/>
      <c r="AR501" s="1946"/>
      <c r="AS501" s="1946"/>
      <c r="AT501" s="1946"/>
      <c r="AU501" s="1946"/>
      <c r="AV501" s="1946"/>
      <c r="AW501" s="1946"/>
      <c r="AX501" s="1946"/>
      <c r="AY501" s="1946"/>
      <c r="AZ501" s="1946"/>
      <c r="BA501" s="1946"/>
      <c r="BB501" s="1946"/>
      <c r="BC501" s="1946"/>
      <c r="BD501" s="1946"/>
      <c r="BE501" s="1946"/>
      <c r="BF501" s="1946"/>
      <c r="BG501" s="7213"/>
    </row>
    <row customHeight="1" ht="0.75">
      <c r="A502" s="1290" t="s">
        <v>1235</v>
      </c>
      <c r="B502" s="1290"/>
      <c r="C502" s="1290"/>
      <c r="D502" s="1284"/>
      <c r="E502" s="1294"/>
      <c r="F502" s="2673"/>
      <c r="G502" s="2652"/>
      <c r="H502" s="2677"/>
      <c r="I502" s="2678"/>
      <c r="J502" s="2679"/>
      <c r="K502" s="2679"/>
      <c r="L502" s="2671"/>
      <c r="M502" s="2405"/>
      <c r="N502" s="2680"/>
      <c r="O502" s="2681"/>
      <c r="P502" s="2725"/>
      <c r="Q502" s="2676"/>
      <c r="R502" s="2676"/>
      <c r="S502" s="2676"/>
      <c r="T502" s="2676"/>
      <c r="U502" s="2676"/>
      <c r="V502" s="2676"/>
      <c r="W502" s="2676"/>
      <c r="X502" s="2676"/>
      <c r="Y502" s="2676"/>
      <c r="Z502" s="2158"/>
      <c r="AA502" s="2159"/>
      <c r="AB502" s="2159"/>
      <c r="AC502" s="2160"/>
      <c r="AD502" s="2160"/>
      <c r="AE502" s="2161"/>
      <c r="AF502" s="2675"/>
      <c r="AG502" s="2671"/>
      <c r="AH502" s="2671"/>
      <c r="AI502" s="2675"/>
      <c r="AJ502" s="2671"/>
      <c r="AK502" s="2671"/>
      <c r="AL502" s="2109"/>
      <c r="AM502" s="1946"/>
      <c r="AN502" s="1946"/>
      <c r="AO502" s="1946"/>
      <c r="AP502" s="1946"/>
      <c r="AQ502" s="1946"/>
      <c r="AR502" s="1946"/>
      <c r="AS502" s="1946"/>
      <c r="AT502" s="1946"/>
      <c r="AU502" s="1946"/>
      <c r="AV502" s="1946"/>
      <c r="AW502" s="1946"/>
      <c r="AX502" s="1946"/>
      <c r="AY502" s="1946"/>
      <c r="AZ502" s="1946"/>
      <c r="BA502" s="1946"/>
      <c r="BB502" s="1946"/>
      <c r="BC502" s="1946"/>
      <c r="BD502" s="1946"/>
      <c r="BE502" s="1946"/>
      <c r="BF502" s="1946"/>
      <c r="BG502" s="7213"/>
    </row>
    <row customHeight="1" ht="0.75">
      <c r="A503" s="1290" t="s">
        <v>1235</v>
      </c>
      <c r="B503" s="1290"/>
      <c r="C503" s="1290"/>
      <c r="D503" s="1284"/>
      <c r="E503" s="1294"/>
      <c r="F503" s="2673"/>
      <c r="G503" s="2652"/>
      <c r="H503" s="2677"/>
      <c r="I503" s="2678"/>
      <c r="J503" s="2679"/>
      <c r="K503" s="2679"/>
      <c r="L503" s="2671"/>
      <c r="M503" s="2405"/>
      <c r="N503" s="2680"/>
      <c r="O503" s="2681"/>
      <c r="P503" s="2726"/>
      <c r="Q503" s="2676"/>
      <c r="R503" s="2676"/>
      <c r="S503" s="2676"/>
      <c r="T503" s="2676"/>
      <c r="U503" s="2676"/>
      <c r="V503" s="2676"/>
      <c r="W503" s="2676"/>
      <c r="X503" s="2676"/>
      <c r="Y503" s="2676"/>
      <c r="Z503" s="2162"/>
      <c r="AA503" s="2163"/>
      <c r="AB503" s="2164"/>
      <c r="AC503" s="2165"/>
      <c r="AD503" s="2164"/>
      <c r="AE503" s="2165"/>
      <c r="AF503" s="2675"/>
      <c r="AG503" s="2671"/>
      <c r="AH503" s="2671"/>
      <c r="AI503" s="2675"/>
      <c r="AJ503" s="2671"/>
      <c r="AK503" s="2671"/>
      <c r="AL503" s="2109"/>
      <c r="AM503" s="1946"/>
      <c r="AN503" s="1946"/>
      <c r="AO503" s="1946"/>
      <c r="AP503" s="1946"/>
      <c r="AQ503" s="1946"/>
      <c r="AR503" s="1946"/>
      <c r="AS503" s="1946"/>
      <c r="AT503" s="1946"/>
      <c r="AU503" s="1946"/>
      <c r="AV503" s="1946"/>
      <c r="AW503" s="1946"/>
      <c r="AX503" s="1946"/>
      <c r="AY503" s="1946"/>
      <c r="AZ503" s="1946"/>
      <c r="BA503" s="1946"/>
      <c r="BB503" s="1946"/>
      <c r="BC503" s="1946"/>
      <c r="BD503" s="1946"/>
      <c r="BE503" s="1946"/>
      <c r="BF503" s="1946"/>
      <c r="BG503" s="7213"/>
    </row>
    <row customHeight="1" ht="0.75">
      <c r="A504" s="1290" t="s">
        <v>1235</v>
      </c>
      <c r="B504" s="1290"/>
      <c r="C504" s="1290"/>
      <c r="D504" s="1284"/>
      <c r="E504" s="1294"/>
      <c r="F504" s="2673"/>
      <c r="G504" s="2652"/>
      <c r="H504" s="2677"/>
      <c r="I504" s="2678"/>
      <c r="J504" s="2679"/>
      <c r="K504" s="2679"/>
      <c r="L504" s="2671"/>
      <c r="M504" s="2405"/>
      <c r="N504" s="2680"/>
      <c r="O504" s="2681"/>
      <c r="P504" s="2727"/>
      <c r="Q504" s="2676"/>
      <c r="R504" s="2676"/>
      <c r="S504" s="2676"/>
      <c r="T504" s="2676"/>
      <c r="U504" s="2676"/>
      <c r="V504" s="2676"/>
      <c r="W504" s="2676"/>
      <c r="X504" s="2676"/>
      <c r="Y504" s="2676"/>
      <c r="Z504" s="2158"/>
      <c r="AA504" s="2159"/>
      <c r="AB504" s="2166"/>
      <c r="AC504" s="2160"/>
      <c r="AD504" s="2160"/>
      <c r="AE504" s="2167"/>
      <c r="AF504" s="2675"/>
      <c r="AG504" s="2671"/>
      <c r="AH504" s="2671"/>
      <c r="AI504" s="2675"/>
      <c r="AJ504" s="2671"/>
      <c r="AK504" s="2671"/>
      <c r="AL504" s="2109"/>
      <c r="AM504" s="1946"/>
      <c r="AN504" s="1946"/>
      <c r="AO504" s="1946"/>
      <c r="AP504" s="1946"/>
      <c r="AQ504" s="1946"/>
      <c r="AR504" s="1946"/>
      <c r="AS504" s="1946"/>
      <c r="AT504" s="1946"/>
      <c r="AU504" s="1946"/>
      <c r="AV504" s="1946"/>
      <c r="AW504" s="1946"/>
      <c r="AX504" s="1946"/>
      <c r="AY504" s="1946"/>
      <c r="AZ504" s="1946"/>
      <c r="BA504" s="1946"/>
      <c r="BB504" s="1946"/>
      <c r="BC504" s="1946"/>
      <c r="BD504" s="1946"/>
      <c r="BE504" s="1946"/>
      <c r="BF504" s="1946"/>
      <c r="BG504" s="7213"/>
    </row>
    <row customHeight="1" ht="0.75">
      <c r="A505" s="1290" t="s">
        <v>1235</v>
      </c>
      <c r="B505" s="1290"/>
      <c r="C505" s="1290"/>
      <c r="D505" s="1284"/>
      <c r="E505" s="1294"/>
      <c r="F505" s="2673"/>
      <c r="G505" s="2652"/>
      <c r="H505" s="2677"/>
      <c r="I505" s="2678"/>
      <c r="J505" s="2679"/>
      <c r="K505" s="2679"/>
      <c r="L505" s="2671"/>
      <c r="M505" s="2405"/>
      <c r="N505" s="2159"/>
      <c r="O505" s="2159"/>
      <c r="P505" s="2166"/>
      <c r="Q505" s="2159"/>
      <c r="R505" s="2159"/>
      <c r="S505" s="2159"/>
      <c r="T505" s="2159"/>
      <c r="U505" s="2159"/>
      <c r="V505" s="2159"/>
      <c r="W505" s="2159"/>
      <c r="X505" s="2159"/>
      <c r="Y505" s="2159"/>
      <c r="Z505" s="2159"/>
      <c r="AA505" s="2159"/>
      <c r="AB505" s="2159"/>
      <c r="AC505" s="2159"/>
      <c r="AD505" s="2159"/>
      <c r="AE505" s="2168"/>
      <c r="AF505" s="2675"/>
      <c r="AG505" s="2671"/>
      <c r="AH505" s="2671"/>
      <c r="AI505" s="2675"/>
      <c r="AJ505" s="2671"/>
      <c r="AK505" s="2671"/>
      <c r="AL505" s="2109"/>
      <c r="AM505" s="1946"/>
      <c r="AN505" s="1946"/>
      <c r="AO505" s="1946"/>
      <c r="AP505" s="1946"/>
      <c r="AQ505" s="1946"/>
      <c r="AR505" s="1946"/>
      <c r="AS505" s="1946"/>
      <c r="AT505" s="1946"/>
      <c r="AU505" s="1946"/>
      <c r="AV505" s="1946"/>
      <c r="AW505" s="1946"/>
      <c r="AX505" s="1946"/>
      <c r="AY505" s="1946"/>
      <c r="AZ505" s="1946"/>
      <c r="BA505" s="1946"/>
      <c r="BB505" s="1946"/>
      <c r="BC505" s="1946"/>
      <c r="BD505" s="1946"/>
      <c r="BE505" s="1946"/>
      <c r="BF505" s="1946"/>
      <c r="BG505" s="7213"/>
    </row>
    <row customHeight="1" ht="12">
      <c r="A506" s="1290" t="s">
        <v>1235</v>
      </c>
      <c r="B506" s="1290"/>
      <c r="C506" s="1290"/>
      <c r="D506" s="1284"/>
      <c r="E506" s="1294"/>
      <c r="F506" s="2674"/>
      <c r="G506" s="1314"/>
      <c r="H506" s="1314"/>
      <c r="I506" s="2672" t="s">
        <v>1294</v>
      </c>
      <c r="J506" s="2672"/>
      <c r="K506" s="2672"/>
      <c r="L506" s="1297"/>
      <c r="M506" s="1297"/>
      <c r="N506" s="1298"/>
      <c r="O506" s="1298"/>
      <c r="P506" s="1298"/>
      <c r="Q506" s="1298"/>
      <c r="R506" s="1298"/>
      <c r="S506" s="1298"/>
      <c r="T506" s="1298"/>
      <c r="U506" s="1298"/>
      <c r="V506" s="1298"/>
      <c r="W506" s="1298"/>
      <c r="X506" s="1298"/>
      <c r="Y506" s="1298"/>
      <c r="Z506" s="1298"/>
      <c r="AA506" s="1298"/>
      <c r="AB506" s="1298"/>
      <c r="AC506" s="1298"/>
      <c r="AD506" s="1298"/>
      <c r="AE506" s="1298"/>
      <c r="AF506" s="1298"/>
      <c r="AG506" s="1297"/>
      <c r="AH506" s="1297"/>
      <c r="AI506" s="1298"/>
      <c r="AJ506" s="1297"/>
      <c r="AK506" s="1298"/>
      <c r="AL506" s="2109"/>
      <c r="AM506" s="1946"/>
      <c r="AN506" s="1946"/>
      <c r="AO506" s="1946"/>
      <c r="AP506" s="1946"/>
      <c r="AQ506" s="1946"/>
      <c r="AR506" s="1946"/>
      <c r="AS506" s="1946"/>
      <c r="AT506" s="1946"/>
      <c r="AU506" s="1946"/>
      <c r="AV506" s="1946"/>
      <c r="AW506" s="1946"/>
      <c r="AX506" s="1946"/>
      <c r="AY506" s="1946"/>
      <c r="AZ506" s="1946"/>
      <c r="BA506" s="1946"/>
      <c r="BB506" s="1946"/>
      <c r="BC506" s="1946"/>
      <c r="BD506" s="1946"/>
      <c r="BE506" s="1946"/>
      <c r="BF506" s="1946"/>
      <c r="BG506" s="7213"/>
    </row>
    <row customHeight="1" ht="21">
      <c r="A507" s="1291" t="s">
        <v>1241</v>
      </c>
      <c r="B507" s="1290"/>
      <c r="C507" s="1290"/>
      <c r="D507" s="1284"/>
      <c r="E507" s="1294" t="s">
        <v>22</v>
      </c>
      <c r="F507" s="1246" t="str">
        <f>INDEX(IP_MAIN_LIST_NAME_IP,MATCH(A507,IP_MAIN_LIST_IP_ID,0))&amp;" ("&amp;INDEX(IP_MAIN_START_DATE,MATCH(A507,IP_MAIN_LIST_IP_ID,0))&amp;"-"&amp;INDEX(IP_MAIN_END_DATE,MATCH(A507,IP_MAIN_LIST_IP_ID,0))&amp;")"</f>
        <v>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 (01.01.2024-31.12.2028)</v>
      </c>
      <c r="G507" s="1247"/>
      <c r="H507" s="1247"/>
      <c r="I507" s="1309"/>
      <c r="J507" s="1309"/>
      <c r="K507" s="1310"/>
      <c r="L507" s="1310"/>
      <c r="M507" s="1310"/>
      <c r="N507" s="1311"/>
      <c r="O507" s="1311"/>
      <c r="P507" s="1311"/>
      <c r="Q507" s="1311"/>
      <c r="R507" s="1311"/>
      <c r="S507" s="1311"/>
      <c r="T507" s="1311"/>
      <c r="U507" s="1311"/>
      <c r="V507" s="1311"/>
      <c r="W507" s="1311"/>
      <c r="X507" s="1311"/>
      <c r="Y507" s="1311"/>
      <c r="Z507" s="1311"/>
      <c r="AA507" s="1311"/>
      <c r="AB507" s="1311"/>
      <c r="AC507" s="1311"/>
      <c r="AD507" s="1311"/>
      <c r="AE507" s="1312"/>
      <c r="AF507" s="1310"/>
      <c r="AG507" s="1310"/>
      <c r="AH507" s="1310"/>
      <c r="AI507" s="1310"/>
      <c r="AJ507" s="1310"/>
      <c r="AK507" s="1310"/>
      <c r="AL507" s="2109"/>
      <c r="AM507" s="1946"/>
      <c r="AN507" s="1946"/>
      <c r="AO507" s="1946"/>
      <c r="AP507" s="1946"/>
      <c r="AQ507" s="1946"/>
      <c r="AR507" s="1946"/>
      <c r="AS507" s="1946"/>
      <c r="AT507" s="1946"/>
      <c r="AU507" s="1946"/>
      <c r="AV507" s="1946"/>
      <c r="AW507" s="1946"/>
      <c r="AX507" s="1946"/>
      <c r="AY507" s="1946"/>
      <c r="AZ507" s="1946"/>
      <c r="BA507" s="1946"/>
      <c r="BB507" s="1946"/>
      <c r="BC507" s="1946"/>
      <c r="BD507" s="1946"/>
      <c r="BE507" s="1946"/>
      <c r="BF507" s="1946"/>
      <c r="BG507" s="7213"/>
    </row>
    <row customHeight="1" ht="0.75">
      <c r="A508" s="1290" t="s">
        <v>1241</v>
      </c>
      <c r="B508" s="1290"/>
      <c r="C508" s="1290"/>
      <c r="D508" s="1284"/>
      <c r="E508" s="1294"/>
      <c r="F508" s="2673">
        <v>2024</v>
      </c>
      <c r="G508" s="2652"/>
      <c r="H508" s="2677" t="s">
        <v>488</v>
      </c>
      <c r="I508" s="2678"/>
      <c r="J508" s="2679"/>
      <c r="K508" s="2679"/>
      <c r="L508" s="2671"/>
      <c r="M508" s="2405"/>
      <c r="N508" s="2157"/>
      <c r="O508" s="2156"/>
      <c r="P508" s="2157"/>
      <c r="Q508" s="2157"/>
      <c r="R508" s="2157"/>
      <c r="S508" s="2157"/>
      <c r="T508" s="2157"/>
      <c r="U508" s="2157"/>
      <c r="V508" s="2157"/>
      <c r="W508" s="2157"/>
      <c r="X508" s="2157"/>
      <c r="Y508" s="2157"/>
      <c r="Z508" s="2157"/>
      <c r="AA508" s="2157"/>
      <c r="AB508" s="2157"/>
      <c r="AC508" s="2157"/>
      <c r="AD508" s="2157"/>
      <c r="AE508" s="2157"/>
      <c r="AF508" s="2675"/>
      <c r="AG508" s="2671"/>
      <c r="AH508" s="2671"/>
      <c r="AI508" s="2675"/>
      <c r="AJ508" s="2671"/>
      <c r="AK508" s="2671"/>
      <c r="AL508" s="2109"/>
      <c r="AM508" s="1946"/>
      <c r="AN508" s="1946"/>
      <c r="AO508" s="1946"/>
      <c r="AP508" s="1946"/>
      <c r="AQ508" s="1946"/>
      <c r="AR508" s="1946"/>
      <c r="AS508" s="1946"/>
      <c r="AT508" s="1946"/>
      <c r="AU508" s="1946"/>
      <c r="AV508" s="1946"/>
      <c r="AW508" s="1946"/>
      <c r="AX508" s="1946"/>
      <c r="AY508" s="1946"/>
      <c r="AZ508" s="1946"/>
      <c r="BA508" s="1946"/>
      <c r="BB508" s="1946"/>
      <c r="BC508" s="1946"/>
      <c r="BD508" s="1946"/>
      <c r="BE508" s="1946"/>
      <c r="BF508" s="1946"/>
      <c r="BG508" s="7213"/>
    </row>
    <row customHeight="1" ht="0.75">
      <c r="A509" s="1290" t="s">
        <v>1241</v>
      </c>
      <c r="B509" s="1290"/>
      <c r="C509" s="1290"/>
      <c r="D509" s="1284"/>
      <c r="E509" s="1294"/>
      <c r="F509" s="2673"/>
      <c r="G509" s="2652"/>
      <c r="H509" s="2677"/>
      <c r="I509" s="2678"/>
      <c r="J509" s="2679"/>
      <c r="K509" s="2679"/>
      <c r="L509" s="2671"/>
      <c r="M509" s="2405"/>
      <c r="N509" s="2680"/>
      <c r="O509" s="2681"/>
      <c r="P509" s="2725"/>
      <c r="Q509" s="2676"/>
      <c r="R509" s="2676"/>
      <c r="S509" s="2676"/>
      <c r="T509" s="2676"/>
      <c r="U509" s="2676"/>
      <c r="V509" s="2676"/>
      <c r="W509" s="2676"/>
      <c r="X509" s="2676"/>
      <c r="Y509" s="2676"/>
      <c r="Z509" s="2158"/>
      <c r="AA509" s="2159"/>
      <c r="AB509" s="2159"/>
      <c r="AC509" s="2160"/>
      <c r="AD509" s="2160"/>
      <c r="AE509" s="2161"/>
      <c r="AF509" s="2675"/>
      <c r="AG509" s="2671"/>
      <c r="AH509" s="2671"/>
      <c r="AI509" s="2675"/>
      <c r="AJ509" s="2671"/>
      <c r="AK509" s="2671"/>
      <c r="AL509" s="2109"/>
      <c r="AM509" s="1946"/>
      <c r="AN509" s="1946"/>
      <c r="AO509" s="1946"/>
      <c r="AP509" s="1946"/>
      <c r="AQ509" s="1946"/>
      <c r="AR509" s="1946"/>
      <c r="AS509" s="1946"/>
      <c r="AT509" s="1946"/>
      <c r="AU509" s="1946"/>
      <c r="AV509" s="1946"/>
      <c r="AW509" s="1946"/>
      <c r="AX509" s="1946"/>
      <c r="AY509" s="1946"/>
      <c r="AZ509" s="1946"/>
      <c r="BA509" s="1946"/>
      <c r="BB509" s="1946"/>
      <c r="BC509" s="1946"/>
      <c r="BD509" s="1946"/>
      <c r="BE509" s="1946"/>
      <c r="BF509" s="1946"/>
      <c r="BG509" s="7213"/>
    </row>
    <row customHeight="1" ht="0.75">
      <c r="A510" s="1290" t="s">
        <v>1241</v>
      </c>
      <c r="B510" s="1290"/>
      <c r="C510" s="1290"/>
      <c r="D510" s="1284"/>
      <c r="E510" s="1294"/>
      <c r="F510" s="2673"/>
      <c r="G510" s="2652"/>
      <c r="H510" s="2677"/>
      <c r="I510" s="2678"/>
      <c r="J510" s="2679"/>
      <c r="K510" s="2679"/>
      <c r="L510" s="2671"/>
      <c r="M510" s="2405"/>
      <c r="N510" s="2680"/>
      <c r="O510" s="2681"/>
      <c r="P510" s="2726"/>
      <c r="Q510" s="2676"/>
      <c r="R510" s="2676"/>
      <c r="S510" s="2676"/>
      <c r="T510" s="2676"/>
      <c r="U510" s="2676"/>
      <c r="V510" s="2676"/>
      <c r="W510" s="2676"/>
      <c r="X510" s="2676"/>
      <c r="Y510" s="2676"/>
      <c r="Z510" s="2162"/>
      <c r="AA510" s="2163"/>
      <c r="AB510" s="2164"/>
      <c r="AC510" s="2165"/>
      <c r="AD510" s="2164"/>
      <c r="AE510" s="2165"/>
      <c r="AF510" s="2675"/>
      <c r="AG510" s="2671"/>
      <c r="AH510" s="2671"/>
      <c r="AI510" s="2675"/>
      <c r="AJ510" s="2671"/>
      <c r="AK510" s="2671"/>
      <c r="AL510" s="2109"/>
      <c r="AM510" s="1946"/>
      <c r="AN510" s="1946"/>
      <c r="AO510" s="1946"/>
      <c r="AP510" s="1946"/>
      <c r="AQ510" s="1946"/>
      <c r="AR510" s="1946"/>
      <c r="AS510" s="1946"/>
      <c r="AT510" s="1946"/>
      <c r="AU510" s="1946"/>
      <c r="AV510" s="1946"/>
      <c r="AW510" s="1946"/>
      <c r="AX510" s="1946"/>
      <c r="AY510" s="1946"/>
      <c r="AZ510" s="1946"/>
      <c r="BA510" s="1946"/>
      <c r="BB510" s="1946"/>
      <c r="BC510" s="1946"/>
      <c r="BD510" s="1946"/>
      <c r="BE510" s="1946"/>
      <c r="BF510" s="1946"/>
      <c r="BG510" s="7213"/>
    </row>
    <row customHeight="1" ht="0.75">
      <c r="A511" s="1290" t="s">
        <v>1241</v>
      </c>
      <c r="B511" s="1290"/>
      <c r="C511" s="1290"/>
      <c r="D511" s="1284"/>
      <c r="E511" s="1294"/>
      <c r="F511" s="2673"/>
      <c r="G511" s="2652"/>
      <c r="H511" s="2677"/>
      <c r="I511" s="2678"/>
      <c r="J511" s="2679"/>
      <c r="K511" s="2679"/>
      <c r="L511" s="2671"/>
      <c r="M511" s="2405"/>
      <c r="N511" s="2680"/>
      <c r="O511" s="2681"/>
      <c r="P511" s="2727"/>
      <c r="Q511" s="2676"/>
      <c r="R511" s="2676"/>
      <c r="S511" s="2676"/>
      <c r="T511" s="2676"/>
      <c r="U511" s="2676"/>
      <c r="V511" s="2676"/>
      <c r="W511" s="2676"/>
      <c r="X511" s="2676"/>
      <c r="Y511" s="2676"/>
      <c r="Z511" s="2158"/>
      <c r="AA511" s="2159"/>
      <c r="AB511" s="2166"/>
      <c r="AC511" s="2160"/>
      <c r="AD511" s="2160"/>
      <c r="AE511" s="2167"/>
      <c r="AF511" s="2675"/>
      <c r="AG511" s="2671"/>
      <c r="AH511" s="2671"/>
      <c r="AI511" s="2675"/>
      <c r="AJ511" s="2671"/>
      <c r="AK511" s="2671"/>
      <c r="AL511" s="2109"/>
      <c r="AM511" s="1946"/>
      <c r="AN511" s="1946"/>
      <c r="AO511" s="1946"/>
      <c r="AP511" s="1946"/>
      <c r="AQ511" s="1946"/>
      <c r="AR511" s="1946"/>
      <c r="AS511" s="1946"/>
      <c r="AT511" s="1946"/>
      <c r="AU511" s="1946"/>
      <c r="AV511" s="1946"/>
      <c r="AW511" s="1946"/>
      <c r="AX511" s="1946"/>
      <c r="AY511" s="1946"/>
      <c r="AZ511" s="1946"/>
      <c r="BA511" s="1946"/>
      <c r="BB511" s="1946"/>
      <c r="BC511" s="1946"/>
      <c r="BD511" s="1946"/>
      <c r="BE511" s="1946"/>
      <c r="BF511" s="1946"/>
      <c r="BG511" s="7213"/>
    </row>
    <row customHeight="1" ht="0.75">
      <c r="A512" s="1290" t="s">
        <v>1241</v>
      </c>
      <c r="B512" s="1290"/>
      <c r="C512" s="1290"/>
      <c r="D512" s="1284"/>
      <c r="E512" s="1294"/>
      <c r="F512" s="2673"/>
      <c r="G512" s="2652"/>
      <c r="H512" s="2677"/>
      <c r="I512" s="2678"/>
      <c r="J512" s="2679"/>
      <c r="K512" s="2679"/>
      <c r="L512" s="2671"/>
      <c r="M512" s="2405"/>
      <c r="N512" s="2159"/>
      <c r="O512" s="2159"/>
      <c r="P512" s="2166"/>
      <c r="Q512" s="2159"/>
      <c r="R512" s="2159"/>
      <c r="S512" s="2159"/>
      <c r="T512" s="2159"/>
      <c r="U512" s="2159"/>
      <c r="V512" s="2159"/>
      <c r="W512" s="2159"/>
      <c r="X512" s="2159"/>
      <c r="Y512" s="2159"/>
      <c r="Z512" s="2159"/>
      <c r="AA512" s="2159"/>
      <c r="AB512" s="2159"/>
      <c r="AC512" s="2159"/>
      <c r="AD512" s="2159"/>
      <c r="AE512" s="2168"/>
      <c r="AF512" s="2675"/>
      <c r="AG512" s="2671"/>
      <c r="AH512" s="2671"/>
      <c r="AI512" s="2675"/>
      <c r="AJ512" s="2671"/>
      <c r="AK512" s="2671"/>
      <c r="AL512" s="2109"/>
      <c r="AM512" s="1946"/>
      <c r="AN512" s="1946"/>
      <c r="AO512" s="1946"/>
      <c r="AP512" s="1946"/>
      <c r="AQ512" s="1946"/>
      <c r="AR512" s="1946"/>
      <c r="AS512" s="1946"/>
      <c r="AT512" s="1946"/>
      <c r="AU512" s="1946"/>
      <c r="AV512" s="1946"/>
      <c r="AW512" s="1946"/>
      <c r="AX512" s="1946"/>
      <c r="AY512" s="1946"/>
      <c r="AZ512" s="1946"/>
      <c r="BA512" s="1946"/>
      <c r="BB512" s="1946"/>
      <c r="BC512" s="1946"/>
      <c r="BD512" s="1946"/>
      <c r="BE512" s="1946"/>
      <c r="BF512" s="1946"/>
      <c r="BG512" s="7213"/>
    </row>
    <row customHeight="1" ht="11.25">
      <c r="A513" s="1290" t="s">
        <v>1241</v>
      </c>
      <c r="B513" s="1290"/>
      <c r="C513" s="1290"/>
      <c r="D513" s="1284"/>
      <c r="E513" s="1294"/>
      <c r="F513" s="1952"/>
      <c r="G513" s="7121" t="s">
        <v>103</v>
      </c>
      <c r="H513" s="2652" t="s">
        <v>210</v>
      </c>
      <c r="I513" s="2653"/>
      <c r="J513" s="2622"/>
      <c r="K513" s="2654" t="s">
        <v>1413</v>
      </c>
      <c r="L513" s="2244" t="s">
        <v>19</v>
      </c>
      <c r="M513" s="2245"/>
      <c r="N513" s="2107"/>
      <c r="O513" s="1301" t="s">
        <v>488</v>
      </c>
      <c r="P513" s="1302"/>
      <c r="Q513" s="1302"/>
      <c r="R513" s="1302"/>
      <c r="S513" s="1302"/>
      <c r="T513" s="1302"/>
      <c r="U513" s="1302"/>
      <c r="V513" s="1302"/>
      <c r="W513" s="1302"/>
      <c r="X513" s="1302"/>
      <c r="Y513" s="1302"/>
      <c r="Z513" s="1302"/>
      <c r="AA513" s="1302"/>
      <c r="AB513" s="1302"/>
      <c r="AC513" s="1302"/>
      <c r="AD513" s="1302"/>
      <c r="AE513" s="1302"/>
      <c r="AF513" s="2643">
        <v>2024</v>
      </c>
      <c r="AG513" s="2644" t="s">
        <v>1296</v>
      </c>
      <c r="AH513" s="2644" t="s">
        <v>1297</v>
      </c>
      <c r="AI513" s="2643">
        <v>2024</v>
      </c>
      <c r="AJ513" s="2644" t="s">
        <v>1296</v>
      </c>
      <c r="AK513" s="2644" t="s">
        <v>1297</v>
      </c>
      <c r="AL513" s="2109"/>
      <c r="AM513" s="1946"/>
      <c r="AN513" s="1946"/>
      <c r="AO513" s="1946"/>
      <c r="AP513" s="1946"/>
      <c r="AQ513" s="1946"/>
      <c r="AR513" s="1946"/>
      <c r="AS513" s="1946"/>
      <c r="AT513" s="1946"/>
      <c r="AU513" s="1946"/>
      <c r="AV513" s="1946"/>
      <c r="AW513" s="1946"/>
      <c r="AX513" s="1946"/>
      <c r="AY513" s="1946"/>
      <c r="AZ513" s="1946"/>
      <c r="BA513" s="1946"/>
      <c r="BB513" s="1946"/>
      <c r="BC513" s="1946"/>
      <c r="BD513" s="1946"/>
      <c r="BE513" s="1946"/>
      <c r="BF513" s="1946"/>
      <c r="BG513" s="7213"/>
    </row>
    <row customHeight="1" ht="11.25">
      <c r="A514" s="1290" t="s">
        <v>1241</v>
      </c>
      <c r="B514" s="1290"/>
      <c r="C514" s="1290"/>
      <c r="D514" s="1284"/>
      <c r="E514" s="1294"/>
      <c r="F514" s="1952"/>
      <c r="G514" s="1953"/>
      <c r="H514" s="2652" t="s">
        <v>488</v>
      </c>
      <c r="I514" s="2653"/>
      <c r="J514" s="2622"/>
      <c r="K514" s="2654"/>
      <c r="L514" s="2244"/>
      <c r="M514" s="2245"/>
      <c r="N514" s="2645"/>
      <c r="O514" s="2646">
        <v>1</v>
      </c>
      <c r="P514" s="2647" t="s">
        <v>62</v>
      </c>
      <c r="Q514" s="11136" t="s">
        <v>1414</v>
      </c>
      <c r="R514" s="11137" t="s">
        <v>1299</v>
      </c>
      <c r="S514" s="11137" t="s">
        <v>167</v>
      </c>
      <c r="T514" s="11137" t="s">
        <v>1415</v>
      </c>
      <c r="U514" s="11137" t="s">
        <v>1416</v>
      </c>
      <c r="V514" s="11137" t="s">
        <v>1417</v>
      </c>
      <c r="W514" s="11137" t="s">
        <v>1418</v>
      </c>
      <c r="X514" s="11137" t="s">
        <v>1419</v>
      </c>
      <c r="Y514" s="11137" t="s">
        <v>1355</v>
      </c>
      <c r="Z514" s="1299"/>
      <c r="AA514" s="1300"/>
      <c r="AB514" s="1300"/>
      <c r="AC514" s="1304"/>
      <c r="AD514" s="1304"/>
      <c r="AE514" s="1305"/>
      <c r="AF514" s="2643"/>
      <c r="AG514" s="2644"/>
      <c r="AH514" s="2644"/>
      <c r="AI514" s="2643"/>
      <c r="AJ514" s="2644"/>
      <c r="AK514" s="2644"/>
      <c r="AL514" s="2109"/>
      <c r="AM514" s="1946"/>
      <c r="AN514" s="1946"/>
      <c r="AO514" s="1946"/>
      <c r="AP514" s="1946"/>
      <c r="AQ514" s="1946"/>
      <c r="AR514" s="1946"/>
      <c r="AS514" s="1946"/>
      <c r="AT514" s="1946"/>
      <c r="AU514" s="1946"/>
      <c r="AV514" s="1946"/>
      <c r="AW514" s="1946"/>
      <c r="AX514" s="1946"/>
      <c r="AY514" s="1946"/>
      <c r="AZ514" s="1946"/>
      <c r="BA514" s="1946"/>
      <c r="BB514" s="1946"/>
      <c r="BC514" s="1946"/>
      <c r="BD514" s="1946"/>
      <c r="BE514" s="1946"/>
      <c r="BF514" s="1946"/>
      <c r="BG514" s="7213"/>
    </row>
    <row customHeight="1" ht="11.25">
      <c r="A515" s="1290" t="s">
        <v>1241</v>
      </c>
      <c r="B515" s="1290"/>
      <c r="C515" s="1290"/>
      <c r="D515" s="1284"/>
      <c r="E515" s="1294"/>
      <c r="F515" s="1952"/>
      <c r="G515" s="1953"/>
      <c r="H515" s="2652" t="s">
        <v>488</v>
      </c>
      <c r="I515" s="2653"/>
      <c r="J515" s="2622"/>
      <c r="K515" s="2654"/>
      <c r="L515" s="2244"/>
      <c r="M515" s="2245"/>
      <c r="N515" s="2645"/>
      <c r="O515" s="2646"/>
      <c r="P515" s="2648"/>
      <c r="Q515" s="11136"/>
      <c r="R515" s="2650"/>
      <c r="S515" s="2651"/>
      <c r="T515" s="2650"/>
      <c r="U515" s="2650"/>
      <c r="V515" s="2650"/>
      <c r="W515" s="2650"/>
      <c r="X515" s="2650"/>
      <c r="Y515" s="2650"/>
      <c r="Z515" s="1951"/>
      <c r="AA515" s="1917">
        <v>1</v>
      </c>
      <c r="AB515" s="1303" t="s">
        <v>1306</v>
      </c>
      <c r="AC515" s="1293">
        <v>236</v>
      </c>
      <c r="AD515" s="1303" t="str">
        <f>AB515</f>
        <v>  Прибыль направляемая на инвестиции</v>
      </c>
      <c r="AE515" s="1293">
        <v>236</v>
      </c>
      <c r="AF515" s="2643"/>
      <c r="AG515" s="2644"/>
      <c r="AH515" s="2644"/>
      <c r="AI515" s="2643"/>
      <c r="AJ515" s="2644"/>
      <c r="AK515" s="2644"/>
      <c r="AL515" s="2109"/>
      <c r="AM515" s="1946"/>
      <c r="AN515" s="1946"/>
      <c r="AO515" s="1946"/>
      <c r="AP515" s="1946"/>
      <c r="AQ515" s="1946"/>
      <c r="AR515" s="1946"/>
      <c r="AS515" s="1946"/>
      <c r="AT515" s="1946"/>
      <c r="AU515" s="1946"/>
      <c r="AV515" s="1946"/>
      <c r="AW515" s="1946"/>
      <c r="AX515" s="1946"/>
      <c r="AY515" s="1946"/>
      <c r="AZ515" s="1946"/>
      <c r="BA515" s="1946"/>
      <c r="BB515" s="1946"/>
      <c r="BC515" s="1946"/>
      <c r="BD515" s="1946"/>
      <c r="BE515" s="1946"/>
      <c r="BF515" s="1946"/>
      <c r="BG515" s="7213"/>
    </row>
    <row customHeight="1" ht="11.25">
      <c r="A516" s="1290" t="s">
        <v>1241</v>
      </c>
      <c r="B516" s="1290"/>
      <c r="C516" s="1290"/>
      <c r="D516" s="1284"/>
      <c r="E516" s="1294"/>
      <c r="F516" s="1952"/>
      <c r="G516" s="1953"/>
      <c r="H516" s="2652" t="s">
        <v>488</v>
      </c>
      <c r="I516" s="2653"/>
      <c r="J516" s="2622"/>
      <c r="K516" s="2654"/>
      <c r="L516" s="2244"/>
      <c r="M516" s="2245"/>
      <c r="N516" s="2645"/>
      <c r="O516" s="2646"/>
      <c r="P516" s="2649"/>
      <c r="Q516" s="11136"/>
      <c r="R516" s="2650"/>
      <c r="S516" s="2651"/>
      <c r="T516" s="2650"/>
      <c r="U516" s="2650"/>
      <c r="V516" s="2650"/>
      <c r="W516" s="2650"/>
      <c r="X516" s="2650"/>
      <c r="Y516" s="2650"/>
      <c r="Z516" s="1299"/>
      <c r="AA516" s="1300"/>
      <c r="AB516" s="1365" t="s">
        <v>1309</v>
      </c>
      <c r="AC516" s="1304"/>
      <c r="AD516" s="1304"/>
      <c r="AE516" s="1306"/>
      <c r="AF516" s="2643"/>
      <c r="AG516" s="2644"/>
      <c r="AH516" s="2644"/>
      <c r="AI516" s="2643"/>
      <c r="AJ516" s="2644"/>
      <c r="AK516" s="2644"/>
      <c r="AL516" s="2109"/>
      <c r="AM516" s="1946"/>
      <c r="AN516" s="1946"/>
      <c r="AO516" s="1946"/>
      <c r="AP516" s="1946"/>
      <c r="AQ516" s="1946"/>
      <c r="AR516" s="1946"/>
      <c r="AS516" s="1946"/>
      <c r="AT516" s="1946"/>
      <c r="AU516" s="1946"/>
      <c r="AV516" s="1946"/>
      <c r="AW516" s="1946"/>
      <c r="AX516" s="1946"/>
      <c r="AY516" s="1946"/>
      <c r="AZ516" s="1946"/>
      <c r="BA516" s="1946"/>
      <c r="BB516" s="1946"/>
      <c r="BC516" s="1946"/>
      <c r="BD516" s="1946"/>
      <c r="BE516" s="1946"/>
      <c r="BF516" s="1946"/>
      <c r="BG516" s="7213"/>
    </row>
    <row customHeight="1" ht="11.25">
      <c r="A517" s="1290" t="s">
        <v>1241</v>
      </c>
      <c r="B517" s="1290"/>
      <c r="C517" s="1290"/>
      <c r="D517" s="1284"/>
      <c r="E517" s="1294"/>
      <c r="F517" s="1952"/>
      <c r="G517" s="1953"/>
      <c r="H517" s="2652" t="s">
        <v>488</v>
      </c>
      <c r="I517" s="2653"/>
      <c r="J517" s="2622"/>
      <c r="K517" s="2654"/>
      <c r="L517" s="2244"/>
      <c r="M517" s="2245"/>
      <c r="N517" s="1299"/>
      <c r="O517" s="1300"/>
      <c r="P517" s="1292" t="s">
        <v>1310</v>
      </c>
      <c r="Q517" s="1300"/>
      <c r="R517" s="1300"/>
      <c r="S517" s="1300"/>
      <c r="T517" s="1300"/>
      <c r="U517" s="1300"/>
      <c r="V517" s="1300"/>
      <c r="W517" s="1300"/>
      <c r="X517" s="1300"/>
      <c r="Y517" s="1300"/>
      <c r="Z517" s="1300"/>
      <c r="AA517" s="1300"/>
      <c r="AB517" s="1300"/>
      <c r="AC517" s="1300"/>
      <c r="AD517" s="1300"/>
      <c r="AE517" s="1307"/>
      <c r="AF517" s="2643"/>
      <c r="AG517" s="2644"/>
      <c r="AH517" s="2644"/>
      <c r="AI517" s="2643"/>
      <c r="AJ517" s="2644"/>
      <c r="AK517" s="2644"/>
      <c r="AL517" s="2109"/>
      <c r="AM517" s="1946"/>
      <c r="AN517" s="1946"/>
      <c r="AO517" s="1946"/>
      <c r="AP517" s="1946"/>
      <c r="AQ517" s="1946"/>
      <c r="AR517" s="1946"/>
      <c r="AS517" s="1946"/>
      <c r="AT517" s="1946"/>
      <c r="AU517" s="1946"/>
      <c r="AV517" s="1946"/>
      <c r="AW517" s="1946"/>
      <c r="AX517" s="1946"/>
      <c r="AY517" s="1946"/>
      <c r="AZ517" s="1946"/>
      <c r="BA517" s="1946"/>
      <c r="BB517" s="1946"/>
      <c r="BC517" s="1946"/>
      <c r="BD517" s="1946"/>
      <c r="BE517" s="1946"/>
      <c r="BF517" s="1946"/>
      <c r="BG517" s="7213"/>
    </row>
    <row customHeight="1" ht="12">
      <c r="A518" s="1290" t="s">
        <v>1241</v>
      </c>
      <c r="B518" s="1290"/>
      <c r="C518" s="1290"/>
      <c r="D518" s="1284"/>
      <c r="E518" s="1294"/>
      <c r="F518" s="2674"/>
      <c r="G518" s="1314"/>
      <c r="H518" s="1314"/>
      <c r="I518" s="2672" t="s">
        <v>1294</v>
      </c>
      <c r="J518" s="2672"/>
      <c r="K518" s="2672"/>
      <c r="L518" s="1297"/>
      <c r="M518" s="1297"/>
      <c r="N518" s="1298"/>
      <c r="O518" s="1298"/>
      <c r="P518" s="1298"/>
      <c r="Q518" s="1298"/>
      <c r="R518" s="1298"/>
      <c r="S518" s="1298"/>
      <c r="T518" s="1298"/>
      <c r="U518" s="1298"/>
      <c r="V518" s="1298"/>
      <c r="W518" s="1298"/>
      <c r="X518" s="1298"/>
      <c r="Y518" s="1298"/>
      <c r="Z518" s="1298"/>
      <c r="AA518" s="1298"/>
      <c r="AB518" s="1298"/>
      <c r="AC518" s="1298"/>
      <c r="AD518" s="1298"/>
      <c r="AE518" s="1298"/>
      <c r="AF518" s="1298"/>
      <c r="AG518" s="1297"/>
      <c r="AH518" s="1297"/>
      <c r="AI518" s="1298"/>
      <c r="AJ518" s="1297"/>
      <c r="AK518" s="1298"/>
      <c r="AL518" s="2109"/>
      <c r="AM518" s="1946"/>
      <c r="AN518" s="1946"/>
      <c r="AO518" s="1946"/>
      <c r="AP518" s="1946"/>
      <c r="AQ518" s="1946"/>
      <c r="AR518" s="1946"/>
      <c r="AS518" s="1946"/>
      <c r="AT518" s="1946"/>
      <c r="AU518" s="1946"/>
      <c r="AV518" s="1946"/>
      <c r="AW518" s="1946"/>
      <c r="AX518" s="1946"/>
      <c r="AY518" s="1946"/>
      <c r="AZ518" s="1946"/>
      <c r="BA518" s="1946"/>
      <c r="BB518" s="1946"/>
      <c r="BC518" s="1946"/>
      <c r="BD518" s="1946"/>
      <c r="BE518" s="1946"/>
      <c r="BF518" s="1946"/>
      <c r="BG518" s="7213"/>
    </row>
    <row customHeight="1" ht="0.75">
      <c r="A519" s="1290" t="s">
        <v>1241</v>
      </c>
      <c r="B519" s="1290"/>
      <c r="C519" s="1290"/>
      <c r="D519" s="1284"/>
      <c r="E519" s="1294"/>
      <c r="F519" s="2673">
        <v>2025</v>
      </c>
      <c r="G519" s="2652"/>
      <c r="H519" s="2677" t="s">
        <v>488</v>
      </c>
      <c r="I519" s="2678"/>
      <c r="J519" s="2679"/>
      <c r="K519" s="2679"/>
      <c r="L519" s="2671"/>
      <c r="M519" s="2405"/>
      <c r="N519" s="2157"/>
      <c r="O519" s="2156"/>
      <c r="P519" s="2157"/>
      <c r="Q519" s="2157"/>
      <c r="R519" s="2157"/>
      <c r="S519" s="2157"/>
      <c r="T519" s="2157"/>
      <c r="U519" s="2157"/>
      <c r="V519" s="2157"/>
      <c r="W519" s="2157"/>
      <c r="X519" s="2157"/>
      <c r="Y519" s="2157"/>
      <c r="Z519" s="2157"/>
      <c r="AA519" s="2157"/>
      <c r="AB519" s="2157"/>
      <c r="AC519" s="2157"/>
      <c r="AD519" s="2157"/>
      <c r="AE519" s="2157"/>
      <c r="AF519" s="2675"/>
      <c r="AG519" s="2671"/>
      <c r="AH519" s="2671"/>
      <c r="AI519" s="2675"/>
      <c r="AJ519" s="2671"/>
      <c r="AK519" s="2671"/>
      <c r="AL519" s="2109"/>
      <c r="AM519" s="1946"/>
      <c r="AN519" s="1946"/>
      <c r="AO519" s="1946"/>
      <c r="AP519" s="1946"/>
      <c r="AQ519" s="1946"/>
      <c r="AR519" s="1946"/>
      <c r="AS519" s="1946"/>
      <c r="AT519" s="1946"/>
      <c r="AU519" s="1946"/>
      <c r="AV519" s="1946"/>
      <c r="AW519" s="1946"/>
      <c r="AX519" s="1946"/>
      <c r="AY519" s="1946"/>
      <c r="AZ519" s="1946"/>
      <c r="BA519" s="1946"/>
      <c r="BB519" s="1946"/>
      <c r="BC519" s="1946"/>
      <c r="BD519" s="1946"/>
      <c r="BE519" s="1946"/>
      <c r="BF519" s="1946"/>
      <c r="BG519" s="7213"/>
    </row>
    <row customHeight="1" ht="0.75">
      <c r="A520" s="1290" t="s">
        <v>1241</v>
      </c>
      <c r="B520" s="1290"/>
      <c r="C520" s="1290"/>
      <c r="D520" s="1284"/>
      <c r="E520" s="1294"/>
      <c r="F520" s="2673"/>
      <c r="G520" s="2652"/>
      <c r="H520" s="2677"/>
      <c r="I520" s="2678"/>
      <c r="J520" s="2679"/>
      <c r="K520" s="2679"/>
      <c r="L520" s="2671"/>
      <c r="M520" s="2405"/>
      <c r="N520" s="2680"/>
      <c r="O520" s="2681"/>
      <c r="P520" s="2725"/>
      <c r="Q520" s="2676"/>
      <c r="R520" s="2676"/>
      <c r="S520" s="2676"/>
      <c r="T520" s="2676"/>
      <c r="U520" s="2676"/>
      <c r="V520" s="2676"/>
      <c r="W520" s="2676"/>
      <c r="X520" s="2676"/>
      <c r="Y520" s="2676"/>
      <c r="Z520" s="2158"/>
      <c r="AA520" s="2159"/>
      <c r="AB520" s="2159"/>
      <c r="AC520" s="2160"/>
      <c r="AD520" s="2160"/>
      <c r="AE520" s="2161"/>
      <c r="AF520" s="2675"/>
      <c r="AG520" s="2671"/>
      <c r="AH520" s="2671"/>
      <c r="AI520" s="2675"/>
      <c r="AJ520" s="2671"/>
      <c r="AK520" s="2671"/>
      <c r="AL520" s="2109"/>
      <c r="AM520" s="1946"/>
      <c r="AN520" s="1946"/>
      <c r="AO520" s="1946"/>
      <c r="AP520" s="1946"/>
      <c r="AQ520" s="1946"/>
      <c r="AR520" s="1946"/>
      <c r="AS520" s="1946"/>
      <c r="AT520" s="1946"/>
      <c r="AU520" s="1946"/>
      <c r="AV520" s="1946"/>
      <c r="AW520" s="1946"/>
      <c r="AX520" s="1946"/>
      <c r="AY520" s="1946"/>
      <c r="AZ520" s="1946"/>
      <c r="BA520" s="1946"/>
      <c r="BB520" s="1946"/>
      <c r="BC520" s="1946"/>
      <c r="BD520" s="1946"/>
      <c r="BE520" s="1946"/>
      <c r="BF520" s="1946"/>
      <c r="BG520" s="7213"/>
    </row>
    <row customHeight="1" ht="0.75">
      <c r="A521" s="1290" t="s">
        <v>1241</v>
      </c>
      <c r="B521" s="1290"/>
      <c r="C521" s="1290"/>
      <c r="D521" s="1284"/>
      <c r="E521" s="1294"/>
      <c r="F521" s="2673"/>
      <c r="G521" s="2652"/>
      <c r="H521" s="2677"/>
      <c r="I521" s="2678"/>
      <c r="J521" s="2679"/>
      <c r="K521" s="2679"/>
      <c r="L521" s="2671"/>
      <c r="M521" s="2405"/>
      <c r="N521" s="2680"/>
      <c r="O521" s="2681"/>
      <c r="P521" s="2726"/>
      <c r="Q521" s="2676"/>
      <c r="R521" s="2676"/>
      <c r="S521" s="2676"/>
      <c r="T521" s="2676"/>
      <c r="U521" s="2676"/>
      <c r="V521" s="2676"/>
      <c r="W521" s="2676"/>
      <c r="X521" s="2676"/>
      <c r="Y521" s="2676"/>
      <c r="Z521" s="2162"/>
      <c r="AA521" s="2163"/>
      <c r="AB521" s="2164"/>
      <c r="AC521" s="2165"/>
      <c r="AD521" s="2164"/>
      <c r="AE521" s="2165"/>
      <c r="AF521" s="2675"/>
      <c r="AG521" s="2671"/>
      <c r="AH521" s="2671"/>
      <c r="AI521" s="2675"/>
      <c r="AJ521" s="2671"/>
      <c r="AK521" s="2671"/>
      <c r="AL521" s="2109"/>
      <c r="AM521" s="1946"/>
      <c r="AN521" s="1946"/>
      <c r="AO521" s="1946"/>
      <c r="AP521" s="1946"/>
      <c r="AQ521" s="1946"/>
      <c r="AR521" s="1946"/>
      <c r="AS521" s="1946"/>
      <c r="AT521" s="1946"/>
      <c r="AU521" s="1946"/>
      <c r="AV521" s="1946"/>
      <c r="AW521" s="1946"/>
      <c r="AX521" s="1946"/>
      <c r="AY521" s="1946"/>
      <c r="AZ521" s="1946"/>
      <c r="BA521" s="1946"/>
      <c r="BB521" s="1946"/>
      <c r="BC521" s="1946"/>
      <c r="BD521" s="1946"/>
      <c r="BE521" s="1946"/>
      <c r="BF521" s="1946"/>
      <c r="BG521" s="7213"/>
    </row>
    <row customHeight="1" ht="0.75">
      <c r="A522" s="1290" t="s">
        <v>1241</v>
      </c>
      <c r="B522" s="1290"/>
      <c r="C522" s="1290"/>
      <c r="D522" s="1284"/>
      <c r="E522" s="1294"/>
      <c r="F522" s="2673"/>
      <c r="G522" s="2652"/>
      <c r="H522" s="2677"/>
      <c r="I522" s="2678"/>
      <c r="J522" s="2679"/>
      <c r="K522" s="2679"/>
      <c r="L522" s="2671"/>
      <c r="M522" s="2405"/>
      <c r="N522" s="2680"/>
      <c r="O522" s="2681"/>
      <c r="P522" s="2727"/>
      <c r="Q522" s="2676"/>
      <c r="R522" s="2676"/>
      <c r="S522" s="2676"/>
      <c r="T522" s="2676"/>
      <c r="U522" s="2676"/>
      <c r="V522" s="2676"/>
      <c r="W522" s="2676"/>
      <c r="X522" s="2676"/>
      <c r="Y522" s="2676"/>
      <c r="Z522" s="2158"/>
      <c r="AA522" s="2159"/>
      <c r="AB522" s="2166"/>
      <c r="AC522" s="2160"/>
      <c r="AD522" s="2160"/>
      <c r="AE522" s="2167"/>
      <c r="AF522" s="2675"/>
      <c r="AG522" s="2671"/>
      <c r="AH522" s="2671"/>
      <c r="AI522" s="2675"/>
      <c r="AJ522" s="2671"/>
      <c r="AK522" s="2671"/>
      <c r="AL522" s="2109"/>
      <c r="AM522" s="1946"/>
      <c r="AN522" s="1946"/>
      <c r="AO522" s="1946"/>
      <c r="AP522" s="1946"/>
      <c r="AQ522" s="1946"/>
      <c r="AR522" s="1946"/>
      <c r="AS522" s="1946"/>
      <c r="AT522" s="1946"/>
      <c r="AU522" s="1946"/>
      <c r="AV522" s="1946"/>
      <c r="AW522" s="1946"/>
      <c r="AX522" s="1946"/>
      <c r="AY522" s="1946"/>
      <c r="AZ522" s="1946"/>
      <c r="BA522" s="1946"/>
      <c r="BB522" s="1946"/>
      <c r="BC522" s="1946"/>
      <c r="BD522" s="1946"/>
      <c r="BE522" s="1946"/>
      <c r="BF522" s="1946"/>
      <c r="BG522" s="7213"/>
    </row>
    <row customHeight="1" ht="0.75">
      <c r="A523" s="1290" t="s">
        <v>1241</v>
      </c>
      <c r="B523" s="1290"/>
      <c r="C523" s="1290"/>
      <c r="D523" s="1284"/>
      <c r="E523" s="1294"/>
      <c r="F523" s="2673"/>
      <c r="G523" s="2652"/>
      <c r="H523" s="2677"/>
      <c r="I523" s="2678"/>
      <c r="J523" s="2679"/>
      <c r="K523" s="2679"/>
      <c r="L523" s="2671"/>
      <c r="M523" s="2405"/>
      <c r="N523" s="2159"/>
      <c r="O523" s="2159"/>
      <c r="P523" s="2166"/>
      <c r="Q523" s="2159"/>
      <c r="R523" s="2159"/>
      <c r="S523" s="2159"/>
      <c r="T523" s="2159"/>
      <c r="U523" s="2159"/>
      <c r="V523" s="2159"/>
      <c r="W523" s="2159"/>
      <c r="X523" s="2159"/>
      <c r="Y523" s="2159"/>
      <c r="Z523" s="2159"/>
      <c r="AA523" s="2159"/>
      <c r="AB523" s="2159"/>
      <c r="AC523" s="2159"/>
      <c r="AD523" s="2159"/>
      <c r="AE523" s="2168"/>
      <c r="AF523" s="2675"/>
      <c r="AG523" s="2671"/>
      <c r="AH523" s="2671"/>
      <c r="AI523" s="2675"/>
      <c r="AJ523" s="2671"/>
      <c r="AK523" s="2671"/>
      <c r="AL523" s="2109"/>
      <c r="AM523" s="1946"/>
      <c r="AN523" s="1946"/>
      <c r="AO523" s="1946"/>
      <c r="AP523" s="1946"/>
      <c r="AQ523" s="1946"/>
      <c r="AR523" s="1946"/>
      <c r="AS523" s="1946"/>
      <c r="AT523" s="1946"/>
      <c r="AU523" s="1946"/>
      <c r="AV523" s="1946"/>
      <c r="AW523" s="1946"/>
      <c r="AX523" s="1946"/>
      <c r="AY523" s="1946"/>
      <c r="AZ523" s="1946"/>
      <c r="BA523" s="1946"/>
      <c r="BB523" s="1946"/>
      <c r="BC523" s="1946"/>
      <c r="BD523" s="1946"/>
      <c r="BE523" s="1946"/>
      <c r="BF523" s="1946"/>
      <c r="BG523" s="7213"/>
    </row>
    <row customHeight="1" ht="12">
      <c r="A524" s="1290" t="s">
        <v>1241</v>
      </c>
      <c r="B524" s="1290"/>
      <c r="C524" s="1290"/>
      <c r="D524" s="1284"/>
      <c r="E524" s="1294"/>
      <c r="F524" s="2674"/>
      <c r="G524" s="1314"/>
      <c r="H524" s="1314"/>
      <c r="I524" s="2672" t="s">
        <v>1294</v>
      </c>
      <c r="J524" s="2672"/>
      <c r="K524" s="2672"/>
      <c r="L524" s="1297"/>
      <c r="M524" s="1297"/>
      <c r="N524" s="1298"/>
      <c r="O524" s="1298"/>
      <c r="P524" s="1298"/>
      <c r="Q524" s="1298"/>
      <c r="R524" s="1298"/>
      <c r="S524" s="1298"/>
      <c r="T524" s="1298"/>
      <c r="U524" s="1298"/>
      <c r="V524" s="1298"/>
      <c r="W524" s="1298"/>
      <c r="X524" s="1298"/>
      <c r="Y524" s="1298"/>
      <c r="Z524" s="1298"/>
      <c r="AA524" s="1298"/>
      <c r="AB524" s="1298"/>
      <c r="AC524" s="1298"/>
      <c r="AD524" s="1298"/>
      <c r="AE524" s="1298"/>
      <c r="AF524" s="1298"/>
      <c r="AG524" s="1297"/>
      <c r="AH524" s="1297"/>
      <c r="AI524" s="1298"/>
      <c r="AJ524" s="1297"/>
      <c r="AK524" s="1298"/>
      <c r="AL524" s="2109"/>
      <c r="AM524" s="1946"/>
      <c r="AN524" s="1946"/>
      <c r="AO524" s="1946"/>
      <c r="AP524" s="1946"/>
      <c r="AQ524" s="1946"/>
      <c r="AR524" s="1946"/>
      <c r="AS524" s="1946"/>
      <c r="AT524" s="1946"/>
      <c r="AU524" s="1946"/>
      <c r="AV524" s="1946"/>
      <c r="AW524" s="1946"/>
      <c r="AX524" s="1946"/>
      <c r="AY524" s="1946"/>
      <c r="AZ524" s="1946"/>
      <c r="BA524" s="1946"/>
      <c r="BB524" s="1946"/>
      <c r="BC524" s="1946"/>
      <c r="BD524" s="1946"/>
      <c r="BE524" s="1946"/>
      <c r="BF524" s="1946"/>
      <c r="BG524" s="7213"/>
    </row>
    <row customHeight="1" ht="0.75">
      <c r="A525" s="1290" t="s">
        <v>1241</v>
      </c>
      <c r="B525" s="1290"/>
      <c r="C525" s="1290"/>
      <c r="D525" s="1284"/>
      <c r="E525" s="1294"/>
      <c r="F525" s="2673">
        <v>2026</v>
      </c>
      <c r="G525" s="2652"/>
      <c r="H525" s="2677" t="s">
        <v>488</v>
      </c>
      <c r="I525" s="2678"/>
      <c r="J525" s="2679"/>
      <c r="K525" s="2679"/>
      <c r="L525" s="2671"/>
      <c r="M525" s="2405"/>
      <c r="N525" s="2157"/>
      <c r="O525" s="2156"/>
      <c r="P525" s="2157"/>
      <c r="Q525" s="2157"/>
      <c r="R525" s="2157"/>
      <c r="S525" s="2157"/>
      <c r="T525" s="2157"/>
      <c r="U525" s="2157"/>
      <c r="V525" s="2157"/>
      <c r="W525" s="2157"/>
      <c r="X525" s="2157"/>
      <c r="Y525" s="2157"/>
      <c r="Z525" s="2157"/>
      <c r="AA525" s="2157"/>
      <c r="AB525" s="2157"/>
      <c r="AC525" s="2157"/>
      <c r="AD525" s="2157"/>
      <c r="AE525" s="2157"/>
      <c r="AF525" s="2675"/>
      <c r="AG525" s="2671"/>
      <c r="AH525" s="2671"/>
      <c r="AI525" s="2675"/>
      <c r="AJ525" s="2671"/>
      <c r="AK525" s="2671"/>
      <c r="AL525" s="2109"/>
      <c r="AM525" s="1946"/>
      <c r="AN525" s="1946"/>
      <c r="AO525" s="1946"/>
      <c r="AP525" s="1946"/>
      <c r="AQ525" s="1946"/>
      <c r="AR525" s="1946"/>
      <c r="AS525" s="1946"/>
      <c r="AT525" s="1946"/>
      <c r="AU525" s="1946"/>
      <c r="AV525" s="1946"/>
      <c r="AW525" s="1946"/>
      <c r="AX525" s="1946"/>
      <c r="AY525" s="1946"/>
      <c r="AZ525" s="1946"/>
      <c r="BA525" s="1946"/>
      <c r="BB525" s="1946"/>
      <c r="BC525" s="1946"/>
      <c r="BD525" s="1946"/>
      <c r="BE525" s="1946"/>
      <c r="BF525" s="1946"/>
      <c r="BG525" s="7213"/>
    </row>
    <row customHeight="1" ht="0.75">
      <c r="A526" s="1290" t="s">
        <v>1241</v>
      </c>
      <c r="B526" s="1290"/>
      <c r="C526" s="1290"/>
      <c r="D526" s="1284"/>
      <c r="E526" s="1294"/>
      <c r="F526" s="2673"/>
      <c r="G526" s="2652"/>
      <c r="H526" s="2677"/>
      <c r="I526" s="2678"/>
      <c r="J526" s="2679"/>
      <c r="K526" s="2679"/>
      <c r="L526" s="2671"/>
      <c r="M526" s="2405"/>
      <c r="N526" s="2680"/>
      <c r="O526" s="2681"/>
      <c r="P526" s="2725"/>
      <c r="Q526" s="2676"/>
      <c r="R526" s="2676"/>
      <c r="S526" s="2676"/>
      <c r="T526" s="2676"/>
      <c r="U526" s="2676"/>
      <c r="V526" s="2676"/>
      <c r="W526" s="2676"/>
      <c r="X526" s="2676"/>
      <c r="Y526" s="2676"/>
      <c r="Z526" s="2158"/>
      <c r="AA526" s="2159"/>
      <c r="AB526" s="2159"/>
      <c r="AC526" s="2160"/>
      <c r="AD526" s="2160"/>
      <c r="AE526" s="2161"/>
      <c r="AF526" s="2675"/>
      <c r="AG526" s="2671"/>
      <c r="AH526" s="2671"/>
      <c r="AI526" s="2675"/>
      <c r="AJ526" s="2671"/>
      <c r="AK526" s="2671"/>
      <c r="AL526" s="2109"/>
      <c r="AM526" s="1946"/>
      <c r="AN526" s="1946"/>
      <c r="AO526" s="1946"/>
      <c r="AP526" s="1946"/>
      <c r="AQ526" s="1946"/>
      <c r="AR526" s="1946"/>
      <c r="AS526" s="1946"/>
      <c r="AT526" s="1946"/>
      <c r="AU526" s="1946"/>
      <c r="AV526" s="1946"/>
      <c r="AW526" s="1946"/>
      <c r="AX526" s="1946"/>
      <c r="AY526" s="1946"/>
      <c r="AZ526" s="1946"/>
      <c r="BA526" s="1946"/>
      <c r="BB526" s="1946"/>
      <c r="BC526" s="1946"/>
      <c r="BD526" s="1946"/>
      <c r="BE526" s="1946"/>
      <c r="BF526" s="1946"/>
      <c r="BG526" s="7213"/>
    </row>
    <row customHeight="1" ht="0.75">
      <c r="A527" s="1290" t="s">
        <v>1241</v>
      </c>
      <c r="B527" s="1290"/>
      <c r="C527" s="1290"/>
      <c r="D527" s="1284"/>
      <c r="E527" s="1294"/>
      <c r="F527" s="2673"/>
      <c r="G527" s="2652"/>
      <c r="H527" s="2677"/>
      <c r="I527" s="2678"/>
      <c r="J527" s="2679"/>
      <c r="K527" s="2679"/>
      <c r="L527" s="2671"/>
      <c r="M527" s="2405"/>
      <c r="N527" s="2680"/>
      <c r="O527" s="2681"/>
      <c r="P527" s="2726"/>
      <c r="Q527" s="2676"/>
      <c r="R527" s="2676"/>
      <c r="S527" s="2676"/>
      <c r="T527" s="2676"/>
      <c r="U527" s="2676"/>
      <c r="V527" s="2676"/>
      <c r="W527" s="2676"/>
      <c r="X527" s="2676"/>
      <c r="Y527" s="2676"/>
      <c r="Z527" s="2162"/>
      <c r="AA527" s="2163"/>
      <c r="AB527" s="2164"/>
      <c r="AC527" s="2165"/>
      <c r="AD527" s="2164"/>
      <c r="AE527" s="2165"/>
      <c r="AF527" s="2675"/>
      <c r="AG527" s="2671"/>
      <c r="AH527" s="2671"/>
      <c r="AI527" s="2675"/>
      <c r="AJ527" s="2671"/>
      <c r="AK527" s="2671"/>
      <c r="AL527" s="2109"/>
      <c r="AM527" s="1946"/>
      <c r="AN527" s="1946"/>
      <c r="AO527" s="1946"/>
      <c r="AP527" s="1946"/>
      <c r="AQ527" s="1946"/>
      <c r="AR527" s="1946"/>
      <c r="AS527" s="1946"/>
      <c r="AT527" s="1946"/>
      <c r="AU527" s="1946"/>
      <c r="AV527" s="1946"/>
      <c r="AW527" s="1946"/>
      <c r="AX527" s="1946"/>
      <c r="AY527" s="1946"/>
      <c r="AZ527" s="1946"/>
      <c r="BA527" s="1946"/>
      <c r="BB527" s="1946"/>
      <c r="BC527" s="1946"/>
      <c r="BD527" s="1946"/>
      <c r="BE527" s="1946"/>
      <c r="BF527" s="1946"/>
      <c r="BG527" s="7213"/>
    </row>
    <row customHeight="1" ht="0.75">
      <c r="A528" s="1290" t="s">
        <v>1241</v>
      </c>
      <c r="B528" s="1290"/>
      <c r="C528" s="1290"/>
      <c r="D528" s="1284"/>
      <c r="E528" s="1294"/>
      <c r="F528" s="2673"/>
      <c r="G528" s="2652"/>
      <c r="H528" s="2677"/>
      <c r="I528" s="2678"/>
      <c r="J528" s="2679"/>
      <c r="K528" s="2679"/>
      <c r="L528" s="2671"/>
      <c r="M528" s="2405"/>
      <c r="N528" s="2680"/>
      <c r="O528" s="2681"/>
      <c r="P528" s="2727"/>
      <c r="Q528" s="2676"/>
      <c r="R528" s="2676"/>
      <c r="S528" s="2676"/>
      <c r="T528" s="2676"/>
      <c r="U528" s="2676"/>
      <c r="V528" s="2676"/>
      <c r="W528" s="2676"/>
      <c r="X528" s="2676"/>
      <c r="Y528" s="2676"/>
      <c r="Z528" s="2158"/>
      <c r="AA528" s="2159"/>
      <c r="AB528" s="2166"/>
      <c r="AC528" s="2160"/>
      <c r="AD528" s="2160"/>
      <c r="AE528" s="2167"/>
      <c r="AF528" s="2675"/>
      <c r="AG528" s="2671"/>
      <c r="AH528" s="2671"/>
      <c r="AI528" s="2675"/>
      <c r="AJ528" s="2671"/>
      <c r="AK528" s="2671"/>
      <c r="AL528" s="2109"/>
      <c r="AM528" s="1946"/>
      <c r="AN528" s="1946"/>
      <c r="AO528" s="1946"/>
      <c r="AP528" s="1946"/>
      <c r="AQ528" s="1946"/>
      <c r="AR528" s="1946"/>
      <c r="AS528" s="1946"/>
      <c r="AT528" s="1946"/>
      <c r="AU528" s="1946"/>
      <c r="AV528" s="1946"/>
      <c r="AW528" s="1946"/>
      <c r="AX528" s="1946"/>
      <c r="AY528" s="1946"/>
      <c r="AZ528" s="1946"/>
      <c r="BA528" s="1946"/>
      <c r="BB528" s="1946"/>
      <c r="BC528" s="1946"/>
      <c r="BD528" s="1946"/>
      <c r="BE528" s="1946"/>
      <c r="BF528" s="1946"/>
      <c r="BG528" s="7213"/>
    </row>
    <row customHeight="1" ht="0.75">
      <c r="A529" s="1290" t="s">
        <v>1241</v>
      </c>
      <c r="B529" s="1290"/>
      <c r="C529" s="1290"/>
      <c r="D529" s="1284"/>
      <c r="E529" s="1294"/>
      <c r="F529" s="2673"/>
      <c r="G529" s="2652"/>
      <c r="H529" s="2677"/>
      <c r="I529" s="2678"/>
      <c r="J529" s="2679"/>
      <c r="K529" s="2679"/>
      <c r="L529" s="2671"/>
      <c r="M529" s="2405"/>
      <c r="N529" s="2159"/>
      <c r="O529" s="2159"/>
      <c r="P529" s="2166"/>
      <c r="Q529" s="2159"/>
      <c r="R529" s="2159"/>
      <c r="S529" s="2159"/>
      <c r="T529" s="2159"/>
      <c r="U529" s="2159"/>
      <c r="V529" s="2159"/>
      <c r="W529" s="2159"/>
      <c r="X529" s="2159"/>
      <c r="Y529" s="2159"/>
      <c r="Z529" s="2159"/>
      <c r="AA529" s="2159"/>
      <c r="AB529" s="2159"/>
      <c r="AC529" s="2159"/>
      <c r="AD529" s="2159"/>
      <c r="AE529" s="2168"/>
      <c r="AF529" s="2675"/>
      <c r="AG529" s="2671"/>
      <c r="AH529" s="2671"/>
      <c r="AI529" s="2675"/>
      <c r="AJ529" s="2671"/>
      <c r="AK529" s="2671"/>
      <c r="AL529" s="2109"/>
      <c r="AM529" s="1946"/>
      <c r="AN529" s="1946"/>
      <c r="AO529" s="1946"/>
      <c r="AP529" s="1946"/>
      <c r="AQ529" s="1946"/>
      <c r="AR529" s="1946"/>
      <c r="AS529" s="1946"/>
      <c r="AT529" s="1946"/>
      <c r="AU529" s="1946"/>
      <c r="AV529" s="1946"/>
      <c r="AW529" s="1946"/>
      <c r="AX529" s="1946"/>
      <c r="AY529" s="1946"/>
      <c r="AZ529" s="1946"/>
      <c r="BA529" s="1946"/>
      <c r="BB529" s="1946"/>
      <c r="BC529" s="1946"/>
      <c r="BD529" s="1946"/>
      <c r="BE529" s="1946"/>
      <c r="BF529" s="1946"/>
      <c r="BG529" s="7213"/>
    </row>
    <row customHeight="1" ht="12">
      <c r="A530" s="1290" t="s">
        <v>1241</v>
      </c>
      <c r="B530" s="1290"/>
      <c r="C530" s="1290"/>
      <c r="D530" s="1284"/>
      <c r="E530" s="1294"/>
      <c r="F530" s="2674"/>
      <c r="G530" s="1314"/>
      <c r="H530" s="1314"/>
      <c r="I530" s="2672" t="s">
        <v>1294</v>
      </c>
      <c r="J530" s="2672"/>
      <c r="K530" s="2672"/>
      <c r="L530" s="1297"/>
      <c r="M530" s="1297"/>
      <c r="N530" s="1298"/>
      <c r="O530" s="1298"/>
      <c r="P530" s="1298"/>
      <c r="Q530" s="1298"/>
      <c r="R530" s="1298"/>
      <c r="S530" s="1298"/>
      <c r="T530" s="1298"/>
      <c r="U530" s="1298"/>
      <c r="V530" s="1298"/>
      <c r="W530" s="1298"/>
      <c r="X530" s="1298"/>
      <c r="Y530" s="1298"/>
      <c r="Z530" s="1298"/>
      <c r="AA530" s="1298"/>
      <c r="AB530" s="1298"/>
      <c r="AC530" s="1298"/>
      <c r="AD530" s="1298"/>
      <c r="AE530" s="1298"/>
      <c r="AF530" s="1298"/>
      <c r="AG530" s="1297"/>
      <c r="AH530" s="1297"/>
      <c r="AI530" s="1298"/>
      <c r="AJ530" s="1297"/>
      <c r="AK530" s="1298"/>
      <c r="AL530" s="2109"/>
      <c r="AM530" s="1946"/>
      <c r="AN530" s="1946"/>
      <c r="AO530" s="1946"/>
      <c r="AP530" s="1946"/>
      <c r="AQ530" s="1946"/>
      <c r="AR530" s="1946"/>
      <c r="AS530" s="1946"/>
      <c r="AT530" s="1946"/>
      <c r="AU530" s="1946"/>
      <c r="AV530" s="1946"/>
      <c r="AW530" s="1946"/>
      <c r="AX530" s="1946"/>
      <c r="AY530" s="1946"/>
      <c r="AZ530" s="1946"/>
      <c r="BA530" s="1946"/>
      <c r="BB530" s="1946"/>
      <c r="BC530" s="1946"/>
      <c r="BD530" s="1946"/>
      <c r="BE530" s="1946"/>
      <c r="BF530" s="1946"/>
      <c r="BG530" s="7213"/>
    </row>
    <row customHeight="1" ht="0.75">
      <c r="A531" s="1290" t="s">
        <v>1241</v>
      </c>
      <c r="B531" s="1290"/>
      <c r="C531" s="1290"/>
      <c r="D531" s="1284"/>
      <c r="E531" s="1294"/>
      <c r="F531" s="2673">
        <v>2027</v>
      </c>
      <c r="G531" s="2652"/>
      <c r="H531" s="2677" t="s">
        <v>488</v>
      </c>
      <c r="I531" s="2678"/>
      <c r="J531" s="2679"/>
      <c r="K531" s="2679"/>
      <c r="L531" s="2671"/>
      <c r="M531" s="2405"/>
      <c r="N531" s="2157"/>
      <c r="O531" s="2156"/>
      <c r="P531" s="2157"/>
      <c r="Q531" s="2157"/>
      <c r="R531" s="2157"/>
      <c r="S531" s="2157"/>
      <c r="T531" s="2157"/>
      <c r="U531" s="2157"/>
      <c r="V531" s="2157"/>
      <c r="W531" s="2157"/>
      <c r="X531" s="2157"/>
      <c r="Y531" s="2157"/>
      <c r="Z531" s="2157"/>
      <c r="AA531" s="2157"/>
      <c r="AB531" s="2157"/>
      <c r="AC531" s="2157"/>
      <c r="AD531" s="2157"/>
      <c r="AE531" s="2157"/>
      <c r="AF531" s="2675"/>
      <c r="AG531" s="2671"/>
      <c r="AH531" s="2671"/>
      <c r="AI531" s="2675"/>
      <c r="AJ531" s="2671"/>
      <c r="AK531" s="2671"/>
      <c r="AL531" s="2109"/>
      <c r="AM531" s="1946"/>
      <c r="AN531" s="1946"/>
      <c r="AO531" s="1946"/>
      <c r="AP531" s="1946"/>
      <c r="AQ531" s="1946"/>
      <c r="AR531" s="1946"/>
      <c r="AS531" s="1946"/>
      <c r="AT531" s="1946"/>
      <c r="AU531" s="1946"/>
      <c r="AV531" s="1946"/>
      <c r="AW531" s="1946"/>
      <c r="AX531" s="1946"/>
      <c r="AY531" s="1946"/>
      <c r="AZ531" s="1946"/>
      <c r="BA531" s="1946"/>
      <c r="BB531" s="1946"/>
      <c r="BC531" s="1946"/>
      <c r="BD531" s="1946"/>
      <c r="BE531" s="1946"/>
      <c r="BF531" s="1946"/>
      <c r="BG531" s="7213"/>
    </row>
    <row customHeight="1" ht="0.75">
      <c r="A532" s="1290" t="s">
        <v>1241</v>
      </c>
      <c r="B532" s="1290"/>
      <c r="C532" s="1290"/>
      <c r="D532" s="1284"/>
      <c r="E532" s="1294"/>
      <c r="F532" s="2673"/>
      <c r="G532" s="2652"/>
      <c r="H532" s="2677"/>
      <c r="I532" s="2678"/>
      <c r="J532" s="2679"/>
      <c r="K532" s="2679"/>
      <c r="L532" s="2671"/>
      <c r="M532" s="2405"/>
      <c r="N532" s="2680"/>
      <c r="O532" s="2681"/>
      <c r="P532" s="2725"/>
      <c r="Q532" s="2676"/>
      <c r="R532" s="2676"/>
      <c r="S532" s="2676"/>
      <c r="T532" s="2676"/>
      <c r="U532" s="2676"/>
      <c r="V532" s="2676"/>
      <c r="W532" s="2676"/>
      <c r="X532" s="2676"/>
      <c r="Y532" s="2676"/>
      <c r="Z532" s="2158"/>
      <c r="AA532" s="2159"/>
      <c r="AB532" s="2159"/>
      <c r="AC532" s="2160"/>
      <c r="AD532" s="2160"/>
      <c r="AE532" s="2161"/>
      <c r="AF532" s="2675"/>
      <c r="AG532" s="2671"/>
      <c r="AH532" s="2671"/>
      <c r="AI532" s="2675"/>
      <c r="AJ532" s="2671"/>
      <c r="AK532" s="2671"/>
      <c r="AL532" s="2109"/>
      <c r="AM532" s="1946"/>
      <c r="AN532" s="1946"/>
      <c r="AO532" s="1946"/>
      <c r="AP532" s="1946"/>
      <c r="AQ532" s="1946"/>
      <c r="AR532" s="1946"/>
      <c r="AS532" s="1946"/>
      <c r="AT532" s="1946"/>
      <c r="AU532" s="1946"/>
      <c r="AV532" s="1946"/>
      <c r="AW532" s="1946"/>
      <c r="AX532" s="1946"/>
      <c r="AY532" s="1946"/>
      <c r="AZ532" s="1946"/>
      <c r="BA532" s="1946"/>
      <c r="BB532" s="1946"/>
      <c r="BC532" s="1946"/>
      <c r="BD532" s="1946"/>
      <c r="BE532" s="1946"/>
      <c r="BF532" s="1946"/>
      <c r="BG532" s="7213"/>
    </row>
    <row customHeight="1" ht="0.75">
      <c r="A533" s="1290" t="s">
        <v>1241</v>
      </c>
      <c r="B533" s="1290"/>
      <c r="C533" s="1290"/>
      <c r="D533" s="1284"/>
      <c r="E533" s="1294"/>
      <c r="F533" s="2673"/>
      <c r="G533" s="2652"/>
      <c r="H533" s="2677"/>
      <c r="I533" s="2678"/>
      <c r="J533" s="2679"/>
      <c r="K533" s="2679"/>
      <c r="L533" s="2671"/>
      <c r="M533" s="2405"/>
      <c r="N533" s="2680"/>
      <c r="O533" s="2681"/>
      <c r="P533" s="2726"/>
      <c r="Q533" s="2676"/>
      <c r="R533" s="2676"/>
      <c r="S533" s="2676"/>
      <c r="T533" s="2676"/>
      <c r="U533" s="2676"/>
      <c r="V533" s="2676"/>
      <c r="W533" s="2676"/>
      <c r="X533" s="2676"/>
      <c r="Y533" s="2676"/>
      <c r="Z533" s="2162"/>
      <c r="AA533" s="2163"/>
      <c r="AB533" s="2164"/>
      <c r="AC533" s="2165"/>
      <c r="AD533" s="2164"/>
      <c r="AE533" s="2165"/>
      <c r="AF533" s="2675"/>
      <c r="AG533" s="2671"/>
      <c r="AH533" s="2671"/>
      <c r="AI533" s="2675"/>
      <c r="AJ533" s="2671"/>
      <c r="AK533" s="2671"/>
      <c r="AL533" s="2109"/>
      <c r="AM533" s="1946"/>
      <c r="AN533" s="1946"/>
      <c r="AO533" s="1946"/>
      <c r="AP533" s="1946"/>
      <c r="AQ533" s="1946"/>
      <c r="AR533" s="1946"/>
      <c r="AS533" s="1946"/>
      <c r="AT533" s="1946"/>
      <c r="AU533" s="1946"/>
      <c r="AV533" s="1946"/>
      <c r="AW533" s="1946"/>
      <c r="AX533" s="1946"/>
      <c r="AY533" s="1946"/>
      <c r="AZ533" s="1946"/>
      <c r="BA533" s="1946"/>
      <c r="BB533" s="1946"/>
      <c r="BC533" s="1946"/>
      <c r="BD533" s="1946"/>
      <c r="BE533" s="1946"/>
      <c r="BF533" s="1946"/>
      <c r="BG533" s="7213"/>
    </row>
    <row customHeight="1" ht="0.75">
      <c r="A534" s="1290" t="s">
        <v>1241</v>
      </c>
      <c r="B534" s="1290"/>
      <c r="C534" s="1290"/>
      <c r="D534" s="1284"/>
      <c r="E534" s="1294"/>
      <c r="F534" s="2673"/>
      <c r="G534" s="2652"/>
      <c r="H534" s="2677"/>
      <c r="I534" s="2678"/>
      <c r="J534" s="2679"/>
      <c r="K534" s="2679"/>
      <c r="L534" s="2671"/>
      <c r="M534" s="2405"/>
      <c r="N534" s="2680"/>
      <c r="O534" s="2681"/>
      <c r="P534" s="2727"/>
      <c r="Q534" s="2676"/>
      <c r="R534" s="2676"/>
      <c r="S534" s="2676"/>
      <c r="T534" s="2676"/>
      <c r="U534" s="2676"/>
      <c r="V534" s="2676"/>
      <c r="W534" s="2676"/>
      <c r="X534" s="2676"/>
      <c r="Y534" s="2676"/>
      <c r="Z534" s="2158"/>
      <c r="AA534" s="2159"/>
      <c r="AB534" s="2166"/>
      <c r="AC534" s="2160"/>
      <c r="AD534" s="2160"/>
      <c r="AE534" s="2167"/>
      <c r="AF534" s="2675"/>
      <c r="AG534" s="2671"/>
      <c r="AH534" s="2671"/>
      <c r="AI534" s="2675"/>
      <c r="AJ534" s="2671"/>
      <c r="AK534" s="2671"/>
      <c r="AL534" s="2109"/>
      <c r="AM534" s="1946"/>
      <c r="AN534" s="1946"/>
      <c r="AO534" s="1946"/>
      <c r="AP534" s="1946"/>
      <c r="AQ534" s="1946"/>
      <c r="AR534" s="1946"/>
      <c r="AS534" s="1946"/>
      <c r="AT534" s="1946"/>
      <c r="AU534" s="1946"/>
      <c r="AV534" s="1946"/>
      <c r="AW534" s="1946"/>
      <c r="AX534" s="1946"/>
      <c r="AY534" s="1946"/>
      <c r="AZ534" s="1946"/>
      <c r="BA534" s="1946"/>
      <c r="BB534" s="1946"/>
      <c r="BC534" s="1946"/>
      <c r="BD534" s="1946"/>
      <c r="BE534" s="1946"/>
      <c r="BF534" s="1946"/>
      <c r="BG534" s="7213"/>
    </row>
    <row customHeight="1" ht="0.75">
      <c r="A535" s="1290" t="s">
        <v>1241</v>
      </c>
      <c r="B535" s="1290"/>
      <c r="C535" s="1290"/>
      <c r="D535" s="1284"/>
      <c r="E535" s="1294"/>
      <c r="F535" s="2673"/>
      <c r="G535" s="2652"/>
      <c r="H535" s="2677"/>
      <c r="I535" s="2678"/>
      <c r="J535" s="2679"/>
      <c r="K535" s="2679"/>
      <c r="L535" s="2671"/>
      <c r="M535" s="2405"/>
      <c r="N535" s="2159"/>
      <c r="O535" s="2159"/>
      <c r="P535" s="2166"/>
      <c r="Q535" s="2159"/>
      <c r="R535" s="2159"/>
      <c r="S535" s="2159"/>
      <c r="T535" s="2159"/>
      <c r="U535" s="2159"/>
      <c r="V535" s="2159"/>
      <c r="W535" s="2159"/>
      <c r="X535" s="2159"/>
      <c r="Y535" s="2159"/>
      <c r="Z535" s="2159"/>
      <c r="AA535" s="2159"/>
      <c r="AB535" s="2159"/>
      <c r="AC535" s="2159"/>
      <c r="AD535" s="2159"/>
      <c r="AE535" s="2168"/>
      <c r="AF535" s="2675"/>
      <c r="AG535" s="2671"/>
      <c r="AH535" s="2671"/>
      <c r="AI535" s="2675"/>
      <c r="AJ535" s="2671"/>
      <c r="AK535" s="2671"/>
      <c r="AL535" s="2109"/>
      <c r="AM535" s="1946"/>
      <c r="AN535" s="1946"/>
      <c r="AO535" s="1946"/>
      <c r="AP535" s="1946"/>
      <c r="AQ535" s="1946"/>
      <c r="AR535" s="1946"/>
      <c r="AS535" s="1946"/>
      <c r="AT535" s="1946"/>
      <c r="AU535" s="1946"/>
      <c r="AV535" s="1946"/>
      <c r="AW535" s="1946"/>
      <c r="AX535" s="1946"/>
      <c r="AY535" s="1946"/>
      <c r="AZ535" s="1946"/>
      <c r="BA535" s="1946"/>
      <c r="BB535" s="1946"/>
      <c r="BC535" s="1946"/>
      <c r="BD535" s="1946"/>
      <c r="BE535" s="1946"/>
      <c r="BF535" s="1946"/>
      <c r="BG535" s="7213"/>
    </row>
    <row customHeight="1" ht="12">
      <c r="A536" s="1290" t="s">
        <v>1241</v>
      </c>
      <c r="B536" s="1290"/>
      <c r="C536" s="1290"/>
      <c r="D536" s="1284"/>
      <c r="E536" s="1294"/>
      <c r="F536" s="2674"/>
      <c r="G536" s="1314"/>
      <c r="H536" s="1314"/>
      <c r="I536" s="2672" t="s">
        <v>1294</v>
      </c>
      <c r="J536" s="2672"/>
      <c r="K536" s="2672"/>
      <c r="L536" s="1297"/>
      <c r="M536" s="1297"/>
      <c r="N536" s="1298"/>
      <c r="O536" s="1298"/>
      <c r="P536" s="1298"/>
      <c r="Q536" s="1298"/>
      <c r="R536" s="1298"/>
      <c r="S536" s="1298"/>
      <c r="T536" s="1298"/>
      <c r="U536" s="1298"/>
      <c r="V536" s="1298"/>
      <c r="W536" s="1298"/>
      <c r="X536" s="1298"/>
      <c r="Y536" s="1298"/>
      <c r="Z536" s="1298"/>
      <c r="AA536" s="1298"/>
      <c r="AB536" s="1298"/>
      <c r="AC536" s="1298"/>
      <c r="AD536" s="1298"/>
      <c r="AE536" s="1298"/>
      <c r="AF536" s="1298"/>
      <c r="AG536" s="1297"/>
      <c r="AH536" s="1297"/>
      <c r="AI536" s="1298"/>
      <c r="AJ536" s="1297"/>
      <c r="AK536" s="1298"/>
      <c r="AL536" s="2109"/>
      <c r="AM536" s="1946"/>
      <c r="AN536" s="1946"/>
      <c r="AO536" s="1946"/>
      <c r="AP536" s="1946"/>
      <c r="AQ536" s="1946"/>
      <c r="AR536" s="1946"/>
      <c r="AS536" s="1946"/>
      <c r="AT536" s="1946"/>
      <c r="AU536" s="1946"/>
      <c r="AV536" s="1946"/>
      <c r="AW536" s="1946"/>
      <c r="AX536" s="1946"/>
      <c r="AY536" s="1946"/>
      <c r="AZ536" s="1946"/>
      <c r="BA536" s="1946"/>
      <c r="BB536" s="1946"/>
      <c r="BC536" s="1946"/>
      <c r="BD536" s="1946"/>
      <c r="BE536" s="1946"/>
      <c r="BF536" s="1946"/>
      <c r="BG536" s="7213"/>
    </row>
    <row customHeight="1" ht="0.75">
      <c r="A537" s="1290" t="s">
        <v>1241</v>
      </c>
      <c r="B537" s="1290"/>
      <c r="C537" s="1290"/>
      <c r="D537" s="1284"/>
      <c r="E537" s="1294"/>
      <c r="F537" s="2673">
        <v>2028</v>
      </c>
      <c r="G537" s="2652"/>
      <c r="H537" s="2677" t="s">
        <v>488</v>
      </c>
      <c r="I537" s="2678"/>
      <c r="J537" s="2679"/>
      <c r="K537" s="2679"/>
      <c r="L537" s="2671"/>
      <c r="M537" s="2405"/>
      <c r="N537" s="2157"/>
      <c r="O537" s="2156"/>
      <c r="P537" s="2157"/>
      <c r="Q537" s="2157"/>
      <c r="R537" s="2157"/>
      <c r="S537" s="2157"/>
      <c r="T537" s="2157"/>
      <c r="U537" s="2157"/>
      <c r="V537" s="2157"/>
      <c r="W537" s="2157"/>
      <c r="X537" s="2157"/>
      <c r="Y537" s="2157"/>
      <c r="Z537" s="2157"/>
      <c r="AA537" s="2157"/>
      <c r="AB537" s="2157"/>
      <c r="AC537" s="2157"/>
      <c r="AD537" s="2157"/>
      <c r="AE537" s="2157"/>
      <c r="AF537" s="2675"/>
      <c r="AG537" s="2671"/>
      <c r="AH537" s="2671"/>
      <c r="AI537" s="2675"/>
      <c r="AJ537" s="2671"/>
      <c r="AK537" s="2671"/>
      <c r="AL537" s="2109"/>
      <c r="AM537" s="1946"/>
      <c r="AN537" s="1946"/>
      <c r="AO537" s="1946"/>
      <c r="AP537" s="1946"/>
      <c r="AQ537" s="1946"/>
      <c r="AR537" s="1946"/>
      <c r="AS537" s="1946"/>
      <c r="AT537" s="1946"/>
      <c r="AU537" s="1946"/>
      <c r="AV537" s="1946"/>
      <c r="AW537" s="1946"/>
      <c r="AX537" s="1946"/>
      <c r="AY537" s="1946"/>
      <c r="AZ537" s="1946"/>
      <c r="BA537" s="1946"/>
      <c r="BB537" s="1946"/>
      <c r="BC537" s="1946"/>
      <c r="BD537" s="1946"/>
      <c r="BE537" s="1946"/>
      <c r="BF537" s="1946"/>
      <c r="BG537" s="7213"/>
    </row>
    <row customHeight="1" ht="0.75">
      <c r="A538" s="1290" t="s">
        <v>1241</v>
      </c>
      <c r="B538" s="1290"/>
      <c r="C538" s="1290"/>
      <c r="D538" s="1284"/>
      <c r="E538" s="1294"/>
      <c r="F538" s="2673"/>
      <c r="G538" s="2652"/>
      <c r="H538" s="2677"/>
      <c r="I538" s="2678"/>
      <c r="J538" s="2679"/>
      <c r="K538" s="2679"/>
      <c r="L538" s="2671"/>
      <c r="M538" s="2405"/>
      <c r="N538" s="2680"/>
      <c r="O538" s="2681"/>
      <c r="P538" s="2725"/>
      <c r="Q538" s="2676"/>
      <c r="R538" s="2676"/>
      <c r="S538" s="2676"/>
      <c r="T538" s="2676"/>
      <c r="U538" s="2676"/>
      <c r="V538" s="2676"/>
      <c r="W538" s="2676"/>
      <c r="X538" s="2676"/>
      <c r="Y538" s="2676"/>
      <c r="Z538" s="2158"/>
      <c r="AA538" s="2159"/>
      <c r="AB538" s="2159"/>
      <c r="AC538" s="2160"/>
      <c r="AD538" s="2160"/>
      <c r="AE538" s="2161"/>
      <c r="AF538" s="2675"/>
      <c r="AG538" s="2671"/>
      <c r="AH538" s="2671"/>
      <c r="AI538" s="2675"/>
      <c r="AJ538" s="2671"/>
      <c r="AK538" s="2671"/>
      <c r="AL538" s="2109"/>
      <c r="AM538" s="1946"/>
      <c r="AN538" s="1946"/>
      <c r="AO538" s="1946"/>
      <c r="AP538" s="1946"/>
      <c r="AQ538" s="1946"/>
      <c r="AR538" s="1946"/>
      <c r="AS538" s="1946"/>
      <c r="AT538" s="1946"/>
      <c r="AU538" s="1946"/>
      <c r="AV538" s="1946"/>
      <c r="AW538" s="1946"/>
      <c r="AX538" s="1946"/>
      <c r="AY538" s="1946"/>
      <c r="AZ538" s="1946"/>
      <c r="BA538" s="1946"/>
      <c r="BB538" s="1946"/>
      <c r="BC538" s="1946"/>
      <c r="BD538" s="1946"/>
      <c r="BE538" s="1946"/>
      <c r="BF538" s="1946"/>
      <c r="BG538" s="7213"/>
    </row>
    <row customHeight="1" ht="0.75">
      <c r="A539" s="1290" t="s">
        <v>1241</v>
      </c>
      <c r="B539" s="1290"/>
      <c r="C539" s="1290"/>
      <c r="D539" s="1284"/>
      <c r="E539" s="1294"/>
      <c r="F539" s="2673"/>
      <c r="G539" s="2652"/>
      <c r="H539" s="2677"/>
      <c r="I539" s="2678"/>
      <c r="J539" s="2679"/>
      <c r="K539" s="2679"/>
      <c r="L539" s="2671"/>
      <c r="M539" s="2405"/>
      <c r="N539" s="2680"/>
      <c r="O539" s="2681"/>
      <c r="P539" s="2726"/>
      <c r="Q539" s="2676"/>
      <c r="R539" s="2676"/>
      <c r="S539" s="2676"/>
      <c r="T539" s="2676"/>
      <c r="U539" s="2676"/>
      <c r="V539" s="2676"/>
      <c r="W539" s="2676"/>
      <c r="X539" s="2676"/>
      <c r="Y539" s="2676"/>
      <c r="Z539" s="2162"/>
      <c r="AA539" s="2163"/>
      <c r="AB539" s="2164"/>
      <c r="AC539" s="2165"/>
      <c r="AD539" s="2164"/>
      <c r="AE539" s="2165"/>
      <c r="AF539" s="2675"/>
      <c r="AG539" s="2671"/>
      <c r="AH539" s="2671"/>
      <c r="AI539" s="2675"/>
      <c r="AJ539" s="2671"/>
      <c r="AK539" s="2671"/>
      <c r="AL539" s="2109"/>
      <c r="AM539" s="1946"/>
      <c r="AN539" s="1946"/>
      <c r="AO539" s="1946"/>
      <c r="AP539" s="1946"/>
      <c r="AQ539" s="1946"/>
      <c r="AR539" s="1946"/>
      <c r="AS539" s="1946"/>
      <c r="AT539" s="1946"/>
      <c r="AU539" s="1946"/>
      <c r="AV539" s="1946"/>
      <c r="AW539" s="1946"/>
      <c r="AX539" s="1946"/>
      <c r="AY539" s="1946"/>
      <c r="AZ539" s="1946"/>
      <c r="BA539" s="1946"/>
      <c r="BB539" s="1946"/>
      <c r="BC539" s="1946"/>
      <c r="BD539" s="1946"/>
      <c r="BE539" s="1946"/>
      <c r="BF539" s="1946"/>
      <c r="BG539" s="7213"/>
    </row>
    <row customHeight="1" ht="0.75">
      <c r="A540" s="1290" t="s">
        <v>1241</v>
      </c>
      <c r="B540" s="1290"/>
      <c r="C540" s="1290"/>
      <c r="D540" s="1284"/>
      <c r="E540" s="1294"/>
      <c r="F540" s="2673"/>
      <c r="G540" s="2652"/>
      <c r="H540" s="2677"/>
      <c r="I540" s="2678"/>
      <c r="J540" s="2679"/>
      <c r="K540" s="2679"/>
      <c r="L540" s="2671"/>
      <c r="M540" s="2405"/>
      <c r="N540" s="2680"/>
      <c r="O540" s="2681"/>
      <c r="P540" s="2727"/>
      <c r="Q540" s="2676"/>
      <c r="R540" s="2676"/>
      <c r="S540" s="2676"/>
      <c r="T540" s="2676"/>
      <c r="U540" s="2676"/>
      <c r="V540" s="2676"/>
      <c r="W540" s="2676"/>
      <c r="X540" s="2676"/>
      <c r="Y540" s="2676"/>
      <c r="Z540" s="2158"/>
      <c r="AA540" s="2159"/>
      <c r="AB540" s="2166"/>
      <c r="AC540" s="2160"/>
      <c r="AD540" s="2160"/>
      <c r="AE540" s="2167"/>
      <c r="AF540" s="2675"/>
      <c r="AG540" s="2671"/>
      <c r="AH540" s="2671"/>
      <c r="AI540" s="2675"/>
      <c r="AJ540" s="2671"/>
      <c r="AK540" s="2671"/>
      <c r="AL540" s="2109"/>
      <c r="AM540" s="1946"/>
      <c r="AN540" s="1946"/>
      <c r="AO540" s="1946"/>
      <c r="AP540" s="1946"/>
      <c r="AQ540" s="1946"/>
      <c r="AR540" s="1946"/>
      <c r="AS540" s="1946"/>
      <c r="AT540" s="1946"/>
      <c r="AU540" s="1946"/>
      <c r="AV540" s="1946"/>
      <c r="AW540" s="1946"/>
      <c r="AX540" s="1946"/>
      <c r="AY540" s="1946"/>
      <c r="AZ540" s="1946"/>
      <c r="BA540" s="1946"/>
      <c r="BB540" s="1946"/>
      <c r="BC540" s="1946"/>
      <c r="BD540" s="1946"/>
      <c r="BE540" s="1946"/>
      <c r="BF540" s="1946"/>
      <c r="BG540" s="7213"/>
    </row>
    <row customHeight="1" ht="0.75">
      <c r="A541" s="1290" t="s">
        <v>1241</v>
      </c>
      <c r="B541" s="1290"/>
      <c r="C541" s="1290"/>
      <c r="D541" s="1284"/>
      <c r="E541" s="1294"/>
      <c r="F541" s="2673"/>
      <c r="G541" s="2652"/>
      <c r="H541" s="2677"/>
      <c r="I541" s="2678"/>
      <c r="J541" s="2679"/>
      <c r="K541" s="2679"/>
      <c r="L541" s="2671"/>
      <c r="M541" s="2405"/>
      <c r="N541" s="2159"/>
      <c r="O541" s="2159"/>
      <c r="P541" s="2166"/>
      <c r="Q541" s="2159"/>
      <c r="R541" s="2159"/>
      <c r="S541" s="2159"/>
      <c r="T541" s="2159"/>
      <c r="U541" s="2159"/>
      <c r="V541" s="2159"/>
      <c r="W541" s="2159"/>
      <c r="X541" s="2159"/>
      <c r="Y541" s="2159"/>
      <c r="Z541" s="2159"/>
      <c r="AA541" s="2159"/>
      <c r="AB541" s="2159"/>
      <c r="AC541" s="2159"/>
      <c r="AD541" s="2159"/>
      <c r="AE541" s="2168"/>
      <c r="AF541" s="2675"/>
      <c r="AG541" s="2671"/>
      <c r="AH541" s="2671"/>
      <c r="AI541" s="2675"/>
      <c r="AJ541" s="2671"/>
      <c r="AK541" s="2671"/>
      <c r="AL541" s="2109"/>
      <c r="AM541" s="1946"/>
      <c r="AN541" s="1946"/>
      <c r="AO541" s="1946"/>
      <c r="AP541" s="1946"/>
      <c r="AQ541" s="1946"/>
      <c r="AR541" s="1946"/>
      <c r="AS541" s="1946"/>
      <c r="AT541" s="1946"/>
      <c r="AU541" s="1946"/>
      <c r="AV541" s="1946"/>
      <c r="AW541" s="1946"/>
      <c r="AX541" s="1946"/>
      <c r="AY541" s="1946"/>
      <c r="AZ541" s="1946"/>
      <c r="BA541" s="1946"/>
      <c r="BB541" s="1946"/>
      <c r="BC541" s="1946"/>
      <c r="BD541" s="1946"/>
      <c r="BE541" s="1946"/>
      <c r="BF541" s="1946"/>
      <c r="BG541" s="7213"/>
    </row>
    <row customHeight="1" ht="12">
      <c r="A542" s="1290" t="s">
        <v>1241</v>
      </c>
      <c r="B542" s="1290"/>
      <c r="C542" s="1290"/>
      <c r="D542" s="1284"/>
      <c r="E542" s="1294"/>
      <c r="F542" s="2674"/>
      <c r="G542" s="1314"/>
      <c r="H542" s="1314"/>
      <c r="I542" s="2672" t="s">
        <v>1294</v>
      </c>
      <c r="J542" s="2672"/>
      <c r="K542" s="2672"/>
      <c r="L542" s="1297"/>
      <c r="M542" s="1297"/>
      <c r="N542" s="1298"/>
      <c r="O542" s="1298"/>
      <c r="P542" s="1298"/>
      <c r="Q542" s="1298"/>
      <c r="R542" s="1298"/>
      <c r="S542" s="1298"/>
      <c r="T542" s="1298"/>
      <c r="U542" s="1298"/>
      <c r="V542" s="1298"/>
      <c r="W542" s="1298"/>
      <c r="X542" s="1298"/>
      <c r="Y542" s="1298"/>
      <c r="Z542" s="1298"/>
      <c r="AA542" s="1298"/>
      <c r="AB542" s="1298"/>
      <c r="AC542" s="1298"/>
      <c r="AD542" s="1298"/>
      <c r="AE542" s="1298"/>
      <c r="AF542" s="1298"/>
      <c r="AG542" s="1297"/>
      <c r="AH542" s="1297"/>
      <c r="AI542" s="1298"/>
      <c r="AJ542" s="1297"/>
      <c r="AK542" s="1298"/>
      <c r="AL542" s="2109"/>
      <c r="AM542" s="1946"/>
      <c r="AN542" s="1946"/>
      <c r="AO542" s="1946"/>
      <c r="AP542" s="1946"/>
      <c r="AQ542" s="1946"/>
      <c r="AR542" s="1946"/>
      <c r="AS542" s="1946"/>
      <c r="AT542" s="1946"/>
      <c r="AU542" s="1946"/>
      <c r="AV542" s="1946"/>
      <c r="AW542" s="1946"/>
      <c r="AX542" s="1946"/>
      <c r="AY542" s="1946"/>
      <c r="AZ542" s="1946"/>
      <c r="BA542" s="1946"/>
      <c r="BB542" s="1946"/>
      <c r="BC542" s="1946"/>
      <c r="BD542" s="1946"/>
      <c r="BE542" s="1946"/>
      <c r="BF542" s="1946"/>
      <c r="BG542" s="7213"/>
    </row>
    <row customHeight="1" ht="21">
      <c r="A543" s="1291" t="s">
        <v>1247</v>
      </c>
      <c r="B543" s="1290"/>
      <c r="C543" s="1290"/>
      <c r="D543" s="1284"/>
      <c r="E543" s="1294" t="s">
        <v>22</v>
      </c>
      <c r="F543" s="1246" t="str">
        <f>INDEX(IP_MAIN_LIST_NAME_IP,MATCH(A543,IP_MAIN_LIST_IP_ID,0))&amp;" ("&amp;INDEX(IP_MAIN_START_DATE,MATCH(A543,IP_MAIN_LIST_IP_ID,0))&amp;"-"&amp;INDEX(IP_MAIN_END_DATE,MATCH(A543,IP_MAIN_LIST_IP_ID,0))&amp;")"</f>
        <v>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 (01.01.2024-31.12.2028)</v>
      </c>
      <c r="G543" s="1247"/>
      <c r="H543" s="1247"/>
      <c r="I543" s="1309"/>
      <c r="J543" s="1309"/>
      <c r="K543" s="1310"/>
      <c r="L543" s="1310"/>
      <c r="M543" s="1310"/>
      <c r="N543" s="1311"/>
      <c r="O543" s="1311"/>
      <c r="P543" s="1311"/>
      <c r="Q543" s="1311"/>
      <c r="R543" s="1311"/>
      <c r="S543" s="1311"/>
      <c r="T543" s="1311"/>
      <c r="U543" s="1311"/>
      <c r="V543" s="1311"/>
      <c r="W543" s="1311"/>
      <c r="X543" s="1311"/>
      <c r="Y543" s="1311"/>
      <c r="Z543" s="1311"/>
      <c r="AA543" s="1311"/>
      <c r="AB543" s="1311"/>
      <c r="AC543" s="1311"/>
      <c r="AD543" s="1311"/>
      <c r="AE543" s="1312"/>
      <c r="AF543" s="1310"/>
      <c r="AG543" s="1310"/>
      <c r="AH543" s="1310"/>
      <c r="AI543" s="1310"/>
      <c r="AJ543" s="1310"/>
      <c r="AK543" s="1310"/>
      <c r="AL543" s="2109"/>
      <c r="AM543" s="1946"/>
      <c r="AN543" s="1946"/>
      <c r="AO543" s="1946"/>
      <c r="AP543" s="1946"/>
      <c r="AQ543" s="1946"/>
      <c r="AR543" s="1946"/>
      <c r="AS543" s="1946"/>
      <c r="AT543" s="1946"/>
      <c r="AU543" s="1946"/>
      <c r="AV543" s="1946"/>
      <c r="AW543" s="1946"/>
      <c r="AX543" s="1946"/>
      <c r="AY543" s="1946"/>
      <c r="AZ543" s="1946"/>
      <c r="BA543" s="1946"/>
      <c r="BB543" s="1946"/>
      <c r="BC543" s="1946"/>
      <c r="BD543" s="1946"/>
      <c r="BE543" s="1946"/>
      <c r="BF543" s="1946"/>
      <c r="BG543" s="7213"/>
    </row>
    <row customHeight="1" ht="0.75">
      <c r="A544" s="1290" t="s">
        <v>1247</v>
      </c>
      <c r="B544" s="1290"/>
      <c r="C544" s="1290"/>
      <c r="D544" s="1284"/>
      <c r="E544" s="1294"/>
      <c r="F544" s="2673">
        <v>2024</v>
      </c>
      <c r="G544" s="2652"/>
      <c r="H544" s="2677" t="s">
        <v>488</v>
      </c>
      <c r="I544" s="2678"/>
      <c r="J544" s="2679"/>
      <c r="K544" s="2679"/>
      <c r="L544" s="2671"/>
      <c r="M544" s="2405"/>
      <c r="N544" s="2157"/>
      <c r="O544" s="2156"/>
      <c r="P544" s="2157"/>
      <c r="Q544" s="2157"/>
      <c r="R544" s="2157"/>
      <c r="S544" s="2157"/>
      <c r="T544" s="2157"/>
      <c r="U544" s="2157"/>
      <c r="V544" s="2157"/>
      <c r="W544" s="2157"/>
      <c r="X544" s="2157"/>
      <c r="Y544" s="2157"/>
      <c r="Z544" s="2157"/>
      <c r="AA544" s="2157"/>
      <c r="AB544" s="2157"/>
      <c r="AC544" s="2157"/>
      <c r="AD544" s="2157"/>
      <c r="AE544" s="2157"/>
      <c r="AF544" s="2675"/>
      <c r="AG544" s="2671"/>
      <c r="AH544" s="2671"/>
      <c r="AI544" s="2675"/>
      <c r="AJ544" s="2671"/>
      <c r="AK544" s="2671"/>
      <c r="AL544" s="2109"/>
      <c r="AM544" s="1946"/>
      <c r="AN544" s="1946"/>
      <c r="AO544" s="1946"/>
      <c r="AP544" s="1946"/>
      <c r="AQ544" s="1946"/>
      <c r="AR544" s="1946"/>
      <c r="AS544" s="1946"/>
      <c r="AT544" s="1946"/>
      <c r="AU544" s="1946"/>
      <c r="AV544" s="1946"/>
      <c r="AW544" s="1946"/>
      <c r="AX544" s="1946"/>
      <c r="AY544" s="1946"/>
      <c r="AZ544" s="1946"/>
      <c r="BA544" s="1946"/>
      <c r="BB544" s="1946"/>
      <c r="BC544" s="1946"/>
      <c r="BD544" s="1946"/>
      <c r="BE544" s="1946"/>
      <c r="BF544" s="1946"/>
      <c r="BG544" s="7213"/>
    </row>
    <row customHeight="1" ht="0.75">
      <c r="A545" s="1290" t="s">
        <v>1247</v>
      </c>
      <c r="B545" s="1290"/>
      <c r="C545" s="1290"/>
      <c r="D545" s="1284"/>
      <c r="E545" s="1294"/>
      <c r="F545" s="2673"/>
      <c r="G545" s="2652"/>
      <c r="H545" s="2677"/>
      <c r="I545" s="2678"/>
      <c r="J545" s="2679"/>
      <c r="K545" s="2679"/>
      <c r="L545" s="2671"/>
      <c r="M545" s="2405"/>
      <c r="N545" s="2680"/>
      <c r="O545" s="2681"/>
      <c r="P545" s="2725"/>
      <c r="Q545" s="2676"/>
      <c r="R545" s="2676"/>
      <c r="S545" s="2676"/>
      <c r="T545" s="2676"/>
      <c r="U545" s="2676"/>
      <c r="V545" s="2676"/>
      <c r="W545" s="2676"/>
      <c r="X545" s="2676"/>
      <c r="Y545" s="2676"/>
      <c r="Z545" s="2158"/>
      <c r="AA545" s="2159"/>
      <c r="AB545" s="2159"/>
      <c r="AC545" s="2160"/>
      <c r="AD545" s="2160"/>
      <c r="AE545" s="2161"/>
      <c r="AF545" s="2675"/>
      <c r="AG545" s="2671"/>
      <c r="AH545" s="2671"/>
      <c r="AI545" s="2675"/>
      <c r="AJ545" s="2671"/>
      <c r="AK545" s="2671"/>
      <c r="AL545" s="2109"/>
      <c r="AM545" s="1946"/>
      <c r="AN545" s="1946"/>
      <c r="AO545" s="1946"/>
      <c r="AP545" s="1946"/>
      <c r="AQ545" s="1946"/>
      <c r="AR545" s="1946"/>
      <c r="AS545" s="1946"/>
      <c r="AT545" s="1946"/>
      <c r="AU545" s="1946"/>
      <c r="AV545" s="1946"/>
      <c r="AW545" s="1946"/>
      <c r="AX545" s="1946"/>
      <c r="AY545" s="1946"/>
      <c r="AZ545" s="1946"/>
      <c r="BA545" s="1946"/>
      <c r="BB545" s="1946"/>
      <c r="BC545" s="1946"/>
      <c r="BD545" s="1946"/>
      <c r="BE545" s="1946"/>
      <c r="BF545" s="1946"/>
      <c r="BG545" s="7213"/>
    </row>
    <row customHeight="1" ht="0.75">
      <c r="A546" s="1290" t="s">
        <v>1247</v>
      </c>
      <c r="B546" s="1290"/>
      <c r="C546" s="1290"/>
      <c r="D546" s="1284"/>
      <c r="E546" s="1294"/>
      <c r="F546" s="2673"/>
      <c r="G546" s="2652"/>
      <c r="H546" s="2677"/>
      <c r="I546" s="2678"/>
      <c r="J546" s="2679"/>
      <c r="K546" s="2679"/>
      <c r="L546" s="2671"/>
      <c r="M546" s="2405"/>
      <c r="N546" s="2680"/>
      <c r="O546" s="2681"/>
      <c r="P546" s="2726"/>
      <c r="Q546" s="2676"/>
      <c r="R546" s="2676"/>
      <c r="S546" s="2676"/>
      <c r="T546" s="2676"/>
      <c r="U546" s="2676"/>
      <c r="V546" s="2676"/>
      <c r="W546" s="2676"/>
      <c r="X546" s="2676"/>
      <c r="Y546" s="2676"/>
      <c r="Z546" s="2162"/>
      <c r="AA546" s="2163"/>
      <c r="AB546" s="2164"/>
      <c r="AC546" s="2165"/>
      <c r="AD546" s="2164"/>
      <c r="AE546" s="2165"/>
      <c r="AF546" s="2675"/>
      <c r="AG546" s="2671"/>
      <c r="AH546" s="2671"/>
      <c r="AI546" s="2675"/>
      <c r="AJ546" s="2671"/>
      <c r="AK546" s="2671"/>
      <c r="AL546" s="2109"/>
      <c r="AM546" s="1946"/>
      <c r="AN546" s="1946"/>
      <c r="AO546" s="1946"/>
      <c r="AP546" s="1946"/>
      <c r="AQ546" s="1946"/>
      <c r="AR546" s="1946"/>
      <c r="AS546" s="1946"/>
      <c r="AT546" s="1946"/>
      <c r="AU546" s="1946"/>
      <c r="AV546" s="1946"/>
      <c r="AW546" s="1946"/>
      <c r="AX546" s="1946"/>
      <c r="AY546" s="1946"/>
      <c r="AZ546" s="1946"/>
      <c r="BA546" s="1946"/>
      <c r="BB546" s="1946"/>
      <c r="BC546" s="1946"/>
      <c r="BD546" s="1946"/>
      <c r="BE546" s="1946"/>
      <c r="BF546" s="1946"/>
      <c r="BG546" s="7213"/>
    </row>
    <row customHeight="1" ht="0.75">
      <c r="A547" s="1290" t="s">
        <v>1247</v>
      </c>
      <c r="B547" s="1290"/>
      <c r="C547" s="1290"/>
      <c r="D547" s="1284"/>
      <c r="E547" s="1294"/>
      <c r="F547" s="2673"/>
      <c r="G547" s="2652"/>
      <c r="H547" s="2677"/>
      <c r="I547" s="2678"/>
      <c r="J547" s="2679"/>
      <c r="K547" s="2679"/>
      <c r="L547" s="2671"/>
      <c r="M547" s="2405"/>
      <c r="N547" s="2680"/>
      <c r="O547" s="2681"/>
      <c r="P547" s="2727"/>
      <c r="Q547" s="2676"/>
      <c r="R547" s="2676"/>
      <c r="S547" s="2676"/>
      <c r="T547" s="2676"/>
      <c r="U547" s="2676"/>
      <c r="V547" s="2676"/>
      <c r="W547" s="2676"/>
      <c r="X547" s="2676"/>
      <c r="Y547" s="2676"/>
      <c r="Z547" s="2158"/>
      <c r="AA547" s="2159"/>
      <c r="AB547" s="2166"/>
      <c r="AC547" s="2160"/>
      <c r="AD547" s="2160"/>
      <c r="AE547" s="2167"/>
      <c r="AF547" s="2675"/>
      <c r="AG547" s="2671"/>
      <c r="AH547" s="2671"/>
      <c r="AI547" s="2675"/>
      <c r="AJ547" s="2671"/>
      <c r="AK547" s="2671"/>
      <c r="AL547" s="2109"/>
      <c r="AM547" s="1946"/>
      <c r="AN547" s="1946"/>
      <c r="AO547" s="1946"/>
      <c r="AP547" s="1946"/>
      <c r="AQ547" s="1946"/>
      <c r="AR547" s="1946"/>
      <c r="AS547" s="1946"/>
      <c r="AT547" s="1946"/>
      <c r="AU547" s="1946"/>
      <c r="AV547" s="1946"/>
      <c r="AW547" s="1946"/>
      <c r="AX547" s="1946"/>
      <c r="AY547" s="1946"/>
      <c r="AZ547" s="1946"/>
      <c r="BA547" s="1946"/>
      <c r="BB547" s="1946"/>
      <c r="BC547" s="1946"/>
      <c r="BD547" s="1946"/>
      <c r="BE547" s="1946"/>
      <c r="BF547" s="1946"/>
      <c r="BG547" s="7213"/>
    </row>
    <row customHeight="1" ht="0.75">
      <c r="A548" s="1290" t="s">
        <v>1247</v>
      </c>
      <c r="B548" s="1290"/>
      <c r="C548" s="1290"/>
      <c r="D548" s="1284"/>
      <c r="E548" s="1294"/>
      <c r="F548" s="2673"/>
      <c r="G548" s="2652"/>
      <c r="H548" s="2677"/>
      <c r="I548" s="2678"/>
      <c r="J548" s="2679"/>
      <c r="K548" s="2679"/>
      <c r="L548" s="2671"/>
      <c r="M548" s="2405"/>
      <c r="N548" s="2159"/>
      <c r="O548" s="2159"/>
      <c r="P548" s="2166"/>
      <c r="Q548" s="2159"/>
      <c r="R548" s="2159"/>
      <c r="S548" s="2159"/>
      <c r="T548" s="2159"/>
      <c r="U548" s="2159"/>
      <c r="V548" s="2159"/>
      <c r="W548" s="2159"/>
      <c r="X548" s="2159"/>
      <c r="Y548" s="2159"/>
      <c r="Z548" s="2159"/>
      <c r="AA548" s="2159"/>
      <c r="AB548" s="2159"/>
      <c r="AC548" s="2159"/>
      <c r="AD548" s="2159"/>
      <c r="AE548" s="2168"/>
      <c r="AF548" s="2675"/>
      <c r="AG548" s="2671"/>
      <c r="AH548" s="2671"/>
      <c r="AI548" s="2675"/>
      <c r="AJ548" s="2671"/>
      <c r="AK548" s="2671"/>
      <c r="AL548" s="2109"/>
      <c r="AM548" s="1946"/>
      <c r="AN548" s="1946"/>
      <c r="AO548" s="1946"/>
      <c r="AP548" s="1946"/>
      <c r="AQ548" s="1946"/>
      <c r="AR548" s="1946"/>
      <c r="AS548" s="1946"/>
      <c r="AT548" s="1946"/>
      <c r="AU548" s="1946"/>
      <c r="AV548" s="1946"/>
      <c r="AW548" s="1946"/>
      <c r="AX548" s="1946"/>
      <c r="AY548" s="1946"/>
      <c r="AZ548" s="1946"/>
      <c r="BA548" s="1946"/>
      <c r="BB548" s="1946"/>
      <c r="BC548" s="1946"/>
      <c r="BD548" s="1946"/>
      <c r="BE548" s="1946"/>
      <c r="BF548" s="1946"/>
      <c r="BG548" s="7213"/>
    </row>
    <row customHeight="1" ht="11.25">
      <c r="A549" s="1290" t="s">
        <v>1247</v>
      </c>
      <c r="B549" s="1290"/>
      <c r="C549" s="1290"/>
      <c r="D549" s="1284"/>
      <c r="E549" s="1294"/>
      <c r="F549" s="1952"/>
      <c r="G549" s="7121" t="s">
        <v>103</v>
      </c>
      <c r="H549" s="2652" t="s">
        <v>210</v>
      </c>
      <c r="I549" s="2653"/>
      <c r="J549" s="2622"/>
      <c r="K549" s="2654" t="s">
        <v>1420</v>
      </c>
      <c r="L549" s="2244" t="s">
        <v>19</v>
      </c>
      <c r="M549" s="2245"/>
      <c r="N549" s="2107"/>
      <c r="O549" s="1301" t="s">
        <v>488</v>
      </c>
      <c r="P549" s="1302"/>
      <c r="Q549" s="1302"/>
      <c r="R549" s="1302"/>
      <c r="S549" s="1302"/>
      <c r="T549" s="1302"/>
      <c r="U549" s="1302"/>
      <c r="V549" s="1302"/>
      <c r="W549" s="1302"/>
      <c r="X549" s="1302"/>
      <c r="Y549" s="1302"/>
      <c r="Z549" s="1302"/>
      <c r="AA549" s="1302"/>
      <c r="AB549" s="1302"/>
      <c r="AC549" s="1302"/>
      <c r="AD549" s="1302"/>
      <c r="AE549" s="1302"/>
      <c r="AF549" s="2643">
        <v>2024</v>
      </c>
      <c r="AG549" s="2644" t="s">
        <v>1296</v>
      </c>
      <c r="AH549" s="2644" t="s">
        <v>1297</v>
      </c>
      <c r="AI549" s="2643">
        <v>2024</v>
      </c>
      <c r="AJ549" s="2644" t="s">
        <v>1296</v>
      </c>
      <c r="AK549" s="2644" t="s">
        <v>1297</v>
      </c>
      <c r="AL549" s="2109"/>
      <c r="AM549" s="1946"/>
      <c r="AN549" s="1946"/>
      <c r="AO549" s="1946"/>
      <c r="AP549" s="1946"/>
      <c r="AQ549" s="1946"/>
      <c r="AR549" s="1946"/>
      <c r="AS549" s="1946"/>
      <c r="AT549" s="1946"/>
      <c r="AU549" s="1946"/>
      <c r="AV549" s="1946"/>
      <c r="AW549" s="1946"/>
      <c r="AX549" s="1946"/>
      <c r="AY549" s="1946"/>
      <c r="AZ549" s="1946"/>
      <c r="BA549" s="1946"/>
      <c r="BB549" s="1946"/>
      <c r="BC549" s="1946"/>
      <c r="BD549" s="1946"/>
      <c r="BE549" s="1946"/>
      <c r="BF549" s="1946"/>
      <c r="BG549" s="7213"/>
    </row>
    <row customHeight="1" ht="11.25">
      <c r="A550" s="1290" t="s">
        <v>1247</v>
      </c>
      <c r="B550" s="1290"/>
      <c r="C550" s="1290"/>
      <c r="D550" s="1284"/>
      <c r="E550" s="1294"/>
      <c r="F550" s="1952"/>
      <c r="G550" s="1953"/>
      <c r="H550" s="2652" t="s">
        <v>488</v>
      </c>
      <c r="I550" s="2653"/>
      <c r="J550" s="2622"/>
      <c r="K550" s="2654"/>
      <c r="L550" s="2244"/>
      <c r="M550" s="2245"/>
      <c r="N550" s="2645"/>
      <c r="O550" s="2646">
        <v>1</v>
      </c>
      <c r="P550" s="2647" t="s">
        <v>62</v>
      </c>
      <c r="Q550" s="11136" t="s">
        <v>1421</v>
      </c>
      <c r="R550" s="11137" t="s">
        <v>1299</v>
      </c>
      <c r="S550" s="11137" t="s">
        <v>114</v>
      </c>
      <c r="T550" s="11137" t="s">
        <v>1422</v>
      </c>
      <c r="U550" s="11137" t="s">
        <v>1423</v>
      </c>
      <c r="V550" s="11137" t="s">
        <v>1424</v>
      </c>
      <c r="W550" s="11137" t="s">
        <v>1425</v>
      </c>
      <c r="X550" s="11137" t="s">
        <v>1426</v>
      </c>
      <c r="Y550" s="11137" t="s">
        <v>129</v>
      </c>
      <c r="Z550" s="1299"/>
      <c r="AA550" s="1300"/>
      <c r="AB550" s="1300"/>
      <c r="AC550" s="1304"/>
      <c r="AD550" s="1304"/>
      <c r="AE550" s="1305"/>
      <c r="AF550" s="2643"/>
      <c r="AG550" s="2644"/>
      <c r="AH550" s="2644"/>
      <c r="AI550" s="2643"/>
      <c r="AJ550" s="2644"/>
      <c r="AK550" s="2644"/>
      <c r="AL550" s="2109"/>
      <c r="AM550" s="1946"/>
      <c r="AN550" s="1946"/>
      <c r="AO550" s="1946"/>
      <c r="AP550" s="1946"/>
      <c r="AQ550" s="1946"/>
      <c r="AR550" s="1946"/>
      <c r="AS550" s="1946"/>
      <c r="AT550" s="1946"/>
      <c r="AU550" s="1946"/>
      <c r="AV550" s="1946"/>
      <c r="AW550" s="1946"/>
      <c r="AX550" s="1946"/>
      <c r="AY550" s="1946"/>
      <c r="AZ550" s="1946"/>
      <c r="BA550" s="1946"/>
      <c r="BB550" s="1946"/>
      <c r="BC550" s="1946"/>
      <c r="BD550" s="1946"/>
      <c r="BE550" s="1946"/>
      <c r="BF550" s="1946"/>
      <c r="BG550" s="7213"/>
    </row>
    <row customHeight="1" ht="11.25">
      <c r="A551" s="1290" t="s">
        <v>1247</v>
      </c>
      <c r="B551" s="1290"/>
      <c r="C551" s="1290"/>
      <c r="D551" s="1284"/>
      <c r="E551" s="1294"/>
      <c r="F551" s="1952"/>
      <c r="G551" s="1953"/>
      <c r="H551" s="2652" t="s">
        <v>488</v>
      </c>
      <c r="I551" s="2653"/>
      <c r="J551" s="2622"/>
      <c r="K551" s="2654"/>
      <c r="L551" s="2244"/>
      <c r="M551" s="2245"/>
      <c r="N551" s="2645"/>
      <c r="O551" s="2646"/>
      <c r="P551" s="2648"/>
      <c r="Q551" s="11136"/>
      <c r="R551" s="2650"/>
      <c r="S551" s="2651"/>
      <c r="T551" s="2650"/>
      <c r="U551" s="2650"/>
      <c r="V551" s="2650"/>
      <c r="W551" s="2650"/>
      <c r="X551" s="2650"/>
      <c r="Y551" s="2650"/>
      <c r="Z551" s="1951"/>
      <c r="AA551" s="1917">
        <v>1</v>
      </c>
      <c r="AB551" s="1303" t="s">
        <v>1306</v>
      </c>
      <c r="AC551" s="1293">
        <v>110</v>
      </c>
      <c r="AD551" s="1303" t="str">
        <f>AB551</f>
        <v>  Прибыль направляемая на инвестиции</v>
      </c>
      <c r="AE551" s="1293">
        <v>110</v>
      </c>
      <c r="AF551" s="2643"/>
      <c r="AG551" s="2644"/>
      <c r="AH551" s="2644"/>
      <c r="AI551" s="2643"/>
      <c r="AJ551" s="2644"/>
      <c r="AK551" s="2644"/>
      <c r="AL551" s="2109"/>
      <c r="AM551" s="1946"/>
      <c r="AN551" s="1946"/>
      <c r="AO551" s="1946"/>
      <c r="AP551" s="1946"/>
      <c r="AQ551" s="1946"/>
      <c r="AR551" s="1946"/>
      <c r="AS551" s="1946"/>
      <c r="AT551" s="1946"/>
      <c r="AU551" s="1946"/>
      <c r="AV551" s="1946"/>
      <c r="AW551" s="1946"/>
      <c r="AX551" s="1946"/>
      <c r="AY551" s="1946"/>
      <c r="AZ551" s="1946"/>
      <c r="BA551" s="1946"/>
      <c r="BB551" s="1946"/>
      <c r="BC551" s="1946"/>
      <c r="BD551" s="1946"/>
      <c r="BE551" s="1946"/>
      <c r="BF551" s="1946"/>
      <c r="BG551" s="7213"/>
    </row>
    <row customHeight="1" ht="11.25">
      <c r="A552" s="1290" t="s">
        <v>1247</v>
      </c>
      <c r="B552" s="1290"/>
      <c r="C552" s="1290"/>
      <c r="D552" s="1284"/>
      <c r="E552" s="1294"/>
      <c r="F552" s="1952"/>
      <c r="G552" s="1953"/>
      <c r="H552" s="2652" t="s">
        <v>488</v>
      </c>
      <c r="I552" s="2653"/>
      <c r="J552" s="2622"/>
      <c r="K552" s="2654"/>
      <c r="L552" s="2244"/>
      <c r="M552" s="2245"/>
      <c r="N552" s="2645"/>
      <c r="O552" s="2646"/>
      <c r="P552" s="2649"/>
      <c r="Q552" s="11136"/>
      <c r="R552" s="2650"/>
      <c r="S552" s="2651"/>
      <c r="T552" s="2650"/>
      <c r="U552" s="2650"/>
      <c r="V552" s="2650"/>
      <c r="W552" s="2650"/>
      <c r="X552" s="2650"/>
      <c r="Y552" s="2650"/>
      <c r="Z552" s="1299"/>
      <c r="AA552" s="1300"/>
      <c r="AB552" s="1365" t="s">
        <v>1309</v>
      </c>
      <c r="AC552" s="1304"/>
      <c r="AD552" s="1304"/>
      <c r="AE552" s="1306"/>
      <c r="AF552" s="2643"/>
      <c r="AG552" s="2644"/>
      <c r="AH552" s="2644"/>
      <c r="AI552" s="2643"/>
      <c r="AJ552" s="2644"/>
      <c r="AK552" s="2644"/>
      <c r="AL552" s="2109"/>
      <c r="AM552" s="1946"/>
      <c r="AN552" s="1946"/>
      <c r="AO552" s="1946"/>
      <c r="AP552" s="1946"/>
      <c r="AQ552" s="1946"/>
      <c r="AR552" s="1946"/>
      <c r="AS552" s="1946"/>
      <c r="AT552" s="1946"/>
      <c r="AU552" s="1946"/>
      <c r="AV552" s="1946"/>
      <c r="AW552" s="1946"/>
      <c r="AX552" s="1946"/>
      <c r="AY552" s="1946"/>
      <c r="AZ552" s="1946"/>
      <c r="BA552" s="1946"/>
      <c r="BB552" s="1946"/>
      <c r="BC552" s="1946"/>
      <c r="BD552" s="1946"/>
      <c r="BE552" s="1946"/>
      <c r="BF552" s="1946"/>
      <c r="BG552" s="7213"/>
    </row>
    <row customHeight="1" ht="11.25">
      <c r="A553" s="1290" t="s">
        <v>1247</v>
      </c>
      <c r="B553" s="1290"/>
      <c r="C553" s="1290"/>
      <c r="D553" s="1284"/>
      <c r="E553" s="1294"/>
      <c r="F553" s="1952"/>
      <c r="G553" s="1953"/>
      <c r="H553" s="2652" t="s">
        <v>488</v>
      </c>
      <c r="I553" s="2653"/>
      <c r="J553" s="2622"/>
      <c r="K553" s="2654"/>
      <c r="L553" s="2244"/>
      <c r="M553" s="2245"/>
      <c r="N553" s="1299"/>
      <c r="O553" s="1300"/>
      <c r="P553" s="1292" t="s">
        <v>1310</v>
      </c>
      <c r="Q553" s="1300"/>
      <c r="R553" s="1300"/>
      <c r="S553" s="1300"/>
      <c r="T553" s="1300"/>
      <c r="U553" s="1300"/>
      <c r="V553" s="1300"/>
      <c r="W553" s="1300"/>
      <c r="X553" s="1300"/>
      <c r="Y553" s="1300"/>
      <c r="Z553" s="1300"/>
      <c r="AA553" s="1300"/>
      <c r="AB553" s="1300"/>
      <c r="AC553" s="1300"/>
      <c r="AD553" s="1300"/>
      <c r="AE553" s="1307"/>
      <c r="AF553" s="2643"/>
      <c r="AG553" s="2644"/>
      <c r="AH553" s="2644"/>
      <c r="AI553" s="2643"/>
      <c r="AJ553" s="2644"/>
      <c r="AK553" s="2644"/>
      <c r="AL553" s="2109"/>
      <c r="AM553" s="1946"/>
      <c r="AN553" s="1946"/>
      <c r="AO553" s="1946"/>
      <c r="AP553" s="1946"/>
      <c r="AQ553" s="1946"/>
      <c r="AR553" s="1946"/>
      <c r="AS553" s="1946"/>
      <c r="AT553" s="1946"/>
      <c r="AU553" s="1946"/>
      <c r="AV553" s="1946"/>
      <c r="AW553" s="1946"/>
      <c r="AX553" s="1946"/>
      <c r="AY553" s="1946"/>
      <c r="AZ553" s="1946"/>
      <c r="BA553" s="1946"/>
      <c r="BB553" s="1946"/>
      <c r="BC553" s="1946"/>
      <c r="BD553" s="1946"/>
      <c r="BE553" s="1946"/>
      <c r="BF553" s="1946"/>
      <c r="BG553" s="7213"/>
    </row>
    <row customHeight="1" ht="12">
      <c r="A554" s="1290" t="s">
        <v>1247</v>
      </c>
      <c r="B554" s="1290"/>
      <c r="C554" s="1290"/>
      <c r="D554" s="1284"/>
      <c r="E554" s="1294"/>
      <c r="F554" s="2674"/>
      <c r="G554" s="1314"/>
      <c r="H554" s="1314"/>
      <c r="I554" s="2672" t="s">
        <v>1294</v>
      </c>
      <c r="J554" s="2672"/>
      <c r="K554" s="2672"/>
      <c r="L554" s="1297"/>
      <c r="M554" s="1297"/>
      <c r="N554" s="1298"/>
      <c r="O554" s="1298"/>
      <c r="P554" s="1298"/>
      <c r="Q554" s="1298"/>
      <c r="R554" s="1298"/>
      <c r="S554" s="1298"/>
      <c r="T554" s="1298"/>
      <c r="U554" s="1298"/>
      <c r="V554" s="1298"/>
      <c r="W554" s="1298"/>
      <c r="X554" s="1298"/>
      <c r="Y554" s="1298"/>
      <c r="Z554" s="1298"/>
      <c r="AA554" s="1298"/>
      <c r="AB554" s="1298"/>
      <c r="AC554" s="1298"/>
      <c r="AD554" s="1298"/>
      <c r="AE554" s="1298"/>
      <c r="AF554" s="1298"/>
      <c r="AG554" s="1297"/>
      <c r="AH554" s="1297"/>
      <c r="AI554" s="1298"/>
      <c r="AJ554" s="1297"/>
      <c r="AK554" s="1298"/>
      <c r="AL554" s="2109"/>
      <c r="AM554" s="1946"/>
      <c r="AN554" s="1946"/>
      <c r="AO554" s="1946"/>
      <c r="AP554" s="1946"/>
      <c r="AQ554" s="1946"/>
      <c r="AR554" s="1946"/>
      <c r="AS554" s="1946"/>
      <c r="AT554" s="1946"/>
      <c r="AU554" s="1946"/>
      <c r="AV554" s="1946"/>
      <c r="AW554" s="1946"/>
      <c r="AX554" s="1946"/>
      <c r="AY554" s="1946"/>
      <c r="AZ554" s="1946"/>
      <c r="BA554" s="1946"/>
      <c r="BB554" s="1946"/>
      <c r="BC554" s="1946"/>
      <c r="BD554" s="1946"/>
      <c r="BE554" s="1946"/>
      <c r="BF554" s="1946"/>
      <c r="BG554" s="7213"/>
    </row>
    <row customHeight="1" ht="0.75">
      <c r="A555" s="1290" t="s">
        <v>1247</v>
      </c>
      <c r="B555" s="1290"/>
      <c r="C555" s="1290"/>
      <c r="D555" s="1284"/>
      <c r="E555" s="1294"/>
      <c r="F555" s="2673">
        <v>2025</v>
      </c>
      <c r="G555" s="2652"/>
      <c r="H555" s="2677" t="s">
        <v>488</v>
      </c>
      <c r="I555" s="2678"/>
      <c r="J555" s="2679"/>
      <c r="K555" s="2679"/>
      <c r="L555" s="2671"/>
      <c r="M555" s="2405"/>
      <c r="N555" s="2157"/>
      <c r="O555" s="2156"/>
      <c r="P555" s="2157"/>
      <c r="Q555" s="2157"/>
      <c r="R555" s="2157"/>
      <c r="S555" s="2157"/>
      <c r="T555" s="2157"/>
      <c r="U555" s="2157"/>
      <c r="V555" s="2157"/>
      <c r="W555" s="2157"/>
      <c r="X555" s="2157"/>
      <c r="Y555" s="2157"/>
      <c r="Z555" s="2157"/>
      <c r="AA555" s="2157"/>
      <c r="AB555" s="2157"/>
      <c r="AC555" s="2157"/>
      <c r="AD555" s="2157"/>
      <c r="AE555" s="2157"/>
      <c r="AF555" s="2675"/>
      <c r="AG555" s="2671"/>
      <c r="AH555" s="2671"/>
      <c r="AI555" s="2675"/>
      <c r="AJ555" s="2671"/>
      <c r="AK555" s="2671"/>
      <c r="AL555" s="2109"/>
      <c r="AM555" s="1946"/>
      <c r="AN555" s="1946"/>
      <c r="AO555" s="1946"/>
      <c r="AP555" s="1946"/>
      <c r="AQ555" s="1946"/>
      <c r="AR555" s="1946"/>
      <c r="AS555" s="1946"/>
      <c r="AT555" s="1946"/>
      <c r="AU555" s="1946"/>
      <c r="AV555" s="1946"/>
      <c r="AW555" s="1946"/>
      <c r="AX555" s="1946"/>
      <c r="AY555" s="1946"/>
      <c r="AZ555" s="1946"/>
      <c r="BA555" s="1946"/>
      <c r="BB555" s="1946"/>
      <c r="BC555" s="1946"/>
      <c r="BD555" s="1946"/>
      <c r="BE555" s="1946"/>
      <c r="BF555" s="1946"/>
      <c r="BG555" s="7213"/>
    </row>
    <row customHeight="1" ht="0.75">
      <c r="A556" s="1290" t="s">
        <v>1247</v>
      </c>
      <c r="B556" s="1290"/>
      <c r="C556" s="1290"/>
      <c r="D556" s="1284"/>
      <c r="E556" s="1294"/>
      <c r="F556" s="2673"/>
      <c r="G556" s="2652"/>
      <c r="H556" s="2677"/>
      <c r="I556" s="2678"/>
      <c r="J556" s="2679"/>
      <c r="K556" s="2679"/>
      <c r="L556" s="2671"/>
      <c r="M556" s="2405"/>
      <c r="N556" s="2680"/>
      <c r="O556" s="2681"/>
      <c r="P556" s="2725"/>
      <c r="Q556" s="2676"/>
      <c r="R556" s="2676"/>
      <c r="S556" s="2676"/>
      <c r="T556" s="2676"/>
      <c r="U556" s="2676"/>
      <c r="V556" s="2676"/>
      <c r="W556" s="2676"/>
      <c r="X556" s="2676"/>
      <c r="Y556" s="2676"/>
      <c r="Z556" s="2158"/>
      <c r="AA556" s="2159"/>
      <c r="AB556" s="2159"/>
      <c r="AC556" s="2160"/>
      <c r="AD556" s="2160"/>
      <c r="AE556" s="2161"/>
      <c r="AF556" s="2675"/>
      <c r="AG556" s="2671"/>
      <c r="AH556" s="2671"/>
      <c r="AI556" s="2675"/>
      <c r="AJ556" s="2671"/>
      <c r="AK556" s="2671"/>
      <c r="AL556" s="2109"/>
      <c r="AM556" s="1946"/>
      <c r="AN556" s="1946"/>
      <c r="AO556" s="1946"/>
      <c r="AP556" s="1946"/>
      <c r="AQ556" s="1946"/>
      <c r="AR556" s="1946"/>
      <c r="AS556" s="1946"/>
      <c r="AT556" s="1946"/>
      <c r="AU556" s="1946"/>
      <c r="AV556" s="1946"/>
      <c r="AW556" s="1946"/>
      <c r="AX556" s="1946"/>
      <c r="AY556" s="1946"/>
      <c r="AZ556" s="1946"/>
      <c r="BA556" s="1946"/>
      <c r="BB556" s="1946"/>
      <c r="BC556" s="1946"/>
      <c r="BD556" s="1946"/>
      <c r="BE556" s="1946"/>
      <c r="BF556" s="1946"/>
      <c r="BG556" s="7213"/>
    </row>
    <row customHeight="1" ht="0.75">
      <c r="A557" s="1290" t="s">
        <v>1247</v>
      </c>
      <c r="B557" s="1290"/>
      <c r="C557" s="1290"/>
      <c r="D557" s="1284"/>
      <c r="E557" s="1294"/>
      <c r="F557" s="2673"/>
      <c r="G557" s="2652"/>
      <c r="H557" s="2677"/>
      <c r="I557" s="2678"/>
      <c r="J557" s="2679"/>
      <c r="K557" s="2679"/>
      <c r="L557" s="2671"/>
      <c r="M557" s="2405"/>
      <c r="N557" s="2680"/>
      <c r="O557" s="2681"/>
      <c r="P557" s="2726"/>
      <c r="Q557" s="2676"/>
      <c r="R557" s="2676"/>
      <c r="S557" s="2676"/>
      <c r="T557" s="2676"/>
      <c r="U557" s="2676"/>
      <c r="V557" s="2676"/>
      <c r="W557" s="2676"/>
      <c r="X557" s="2676"/>
      <c r="Y557" s="2676"/>
      <c r="Z557" s="2162"/>
      <c r="AA557" s="2163"/>
      <c r="AB557" s="2164"/>
      <c r="AC557" s="2165"/>
      <c r="AD557" s="2164"/>
      <c r="AE557" s="2165"/>
      <c r="AF557" s="2675"/>
      <c r="AG557" s="2671"/>
      <c r="AH557" s="2671"/>
      <c r="AI557" s="2675"/>
      <c r="AJ557" s="2671"/>
      <c r="AK557" s="2671"/>
      <c r="AL557" s="2109"/>
      <c r="AM557" s="1946"/>
      <c r="AN557" s="1946"/>
      <c r="AO557" s="1946"/>
      <c r="AP557" s="1946"/>
      <c r="AQ557" s="1946"/>
      <c r="AR557" s="1946"/>
      <c r="AS557" s="1946"/>
      <c r="AT557" s="1946"/>
      <c r="AU557" s="1946"/>
      <c r="AV557" s="1946"/>
      <c r="AW557" s="1946"/>
      <c r="AX557" s="1946"/>
      <c r="AY557" s="1946"/>
      <c r="AZ557" s="1946"/>
      <c r="BA557" s="1946"/>
      <c r="BB557" s="1946"/>
      <c r="BC557" s="1946"/>
      <c r="BD557" s="1946"/>
      <c r="BE557" s="1946"/>
      <c r="BF557" s="1946"/>
      <c r="BG557" s="7213"/>
    </row>
    <row customHeight="1" ht="0.75">
      <c r="A558" s="1290" t="s">
        <v>1247</v>
      </c>
      <c r="B558" s="1290"/>
      <c r="C558" s="1290"/>
      <c r="D558" s="1284"/>
      <c r="E558" s="1294"/>
      <c r="F558" s="2673"/>
      <c r="G558" s="2652"/>
      <c r="H558" s="2677"/>
      <c r="I558" s="2678"/>
      <c r="J558" s="2679"/>
      <c r="K558" s="2679"/>
      <c r="L558" s="2671"/>
      <c r="M558" s="2405"/>
      <c r="N558" s="2680"/>
      <c r="O558" s="2681"/>
      <c r="P558" s="2727"/>
      <c r="Q558" s="2676"/>
      <c r="R558" s="2676"/>
      <c r="S558" s="2676"/>
      <c r="T558" s="2676"/>
      <c r="U558" s="2676"/>
      <c r="V558" s="2676"/>
      <c r="W558" s="2676"/>
      <c r="X558" s="2676"/>
      <c r="Y558" s="2676"/>
      <c r="Z558" s="2158"/>
      <c r="AA558" s="2159"/>
      <c r="AB558" s="2166"/>
      <c r="AC558" s="2160"/>
      <c r="AD558" s="2160"/>
      <c r="AE558" s="2167"/>
      <c r="AF558" s="2675"/>
      <c r="AG558" s="2671"/>
      <c r="AH558" s="2671"/>
      <c r="AI558" s="2675"/>
      <c r="AJ558" s="2671"/>
      <c r="AK558" s="2671"/>
      <c r="AL558" s="2109"/>
      <c r="AM558" s="1946"/>
      <c r="AN558" s="1946"/>
      <c r="AO558" s="1946"/>
      <c r="AP558" s="1946"/>
      <c r="AQ558" s="1946"/>
      <c r="AR558" s="1946"/>
      <c r="AS558" s="1946"/>
      <c r="AT558" s="1946"/>
      <c r="AU558" s="1946"/>
      <c r="AV558" s="1946"/>
      <c r="AW558" s="1946"/>
      <c r="AX558" s="1946"/>
      <c r="AY558" s="1946"/>
      <c r="AZ558" s="1946"/>
      <c r="BA558" s="1946"/>
      <c r="BB558" s="1946"/>
      <c r="BC558" s="1946"/>
      <c r="BD558" s="1946"/>
      <c r="BE558" s="1946"/>
      <c r="BF558" s="1946"/>
      <c r="BG558" s="7213"/>
    </row>
    <row customHeight="1" ht="0.75">
      <c r="A559" s="1290" t="s">
        <v>1247</v>
      </c>
      <c r="B559" s="1290"/>
      <c r="C559" s="1290"/>
      <c r="D559" s="1284"/>
      <c r="E559" s="1294"/>
      <c r="F559" s="2673"/>
      <c r="G559" s="2652"/>
      <c r="H559" s="2677"/>
      <c r="I559" s="2678"/>
      <c r="J559" s="2679"/>
      <c r="K559" s="2679"/>
      <c r="L559" s="2671"/>
      <c r="M559" s="2405"/>
      <c r="N559" s="2159"/>
      <c r="O559" s="2159"/>
      <c r="P559" s="2166"/>
      <c r="Q559" s="2159"/>
      <c r="R559" s="2159"/>
      <c r="S559" s="2159"/>
      <c r="T559" s="2159"/>
      <c r="U559" s="2159"/>
      <c r="V559" s="2159"/>
      <c r="W559" s="2159"/>
      <c r="X559" s="2159"/>
      <c r="Y559" s="2159"/>
      <c r="Z559" s="2159"/>
      <c r="AA559" s="2159"/>
      <c r="AB559" s="2159"/>
      <c r="AC559" s="2159"/>
      <c r="AD559" s="2159"/>
      <c r="AE559" s="2168"/>
      <c r="AF559" s="2675"/>
      <c r="AG559" s="2671"/>
      <c r="AH559" s="2671"/>
      <c r="AI559" s="2675"/>
      <c r="AJ559" s="2671"/>
      <c r="AK559" s="2671"/>
      <c r="AL559" s="2109"/>
      <c r="AM559" s="1946"/>
      <c r="AN559" s="1946"/>
      <c r="AO559" s="1946"/>
      <c r="AP559" s="1946"/>
      <c r="AQ559" s="1946"/>
      <c r="AR559" s="1946"/>
      <c r="AS559" s="1946"/>
      <c r="AT559" s="1946"/>
      <c r="AU559" s="1946"/>
      <c r="AV559" s="1946"/>
      <c r="AW559" s="1946"/>
      <c r="AX559" s="1946"/>
      <c r="AY559" s="1946"/>
      <c r="AZ559" s="1946"/>
      <c r="BA559" s="1946"/>
      <c r="BB559" s="1946"/>
      <c r="BC559" s="1946"/>
      <c r="BD559" s="1946"/>
      <c r="BE559" s="1946"/>
      <c r="BF559" s="1946"/>
      <c r="BG559" s="7213"/>
    </row>
    <row customHeight="1" ht="12">
      <c r="A560" s="1290" t="s">
        <v>1247</v>
      </c>
      <c r="B560" s="1290"/>
      <c r="C560" s="1290"/>
      <c r="D560" s="1284"/>
      <c r="E560" s="1294"/>
      <c r="F560" s="2674"/>
      <c r="G560" s="1314"/>
      <c r="H560" s="1314"/>
      <c r="I560" s="2672" t="s">
        <v>1294</v>
      </c>
      <c r="J560" s="2672"/>
      <c r="K560" s="2672"/>
      <c r="L560" s="1297"/>
      <c r="M560" s="1297"/>
      <c r="N560" s="1298"/>
      <c r="O560" s="1298"/>
      <c r="P560" s="1298"/>
      <c r="Q560" s="1298"/>
      <c r="R560" s="1298"/>
      <c r="S560" s="1298"/>
      <c r="T560" s="1298"/>
      <c r="U560" s="1298"/>
      <c r="V560" s="1298"/>
      <c r="W560" s="1298"/>
      <c r="X560" s="1298"/>
      <c r="Y560" s="1298"/>
      <c r="Z560" s="1298"/>
      <c r="AA560" s="1298"/>
      <c r="AB560" s="1298"/>
      <c r="AC560" s="1298"/>
      <c r="AD560" s="1298"/>
      <c r="AE560" s="1298"/>
      <c r="AF560" s="1298"/>
      <c r="AG560" s="1297"/>
      <c r="AH560" s="1297"/>
      <c r="AI560" s="1298"/>
      <c r="AJ560" s="1297"/>
      <c r="AK560" s="1298"/>
      <c r="AL560" s="2109"/>
      <c r="AM560" s="1946"/>
      <c r="AN560" s="1946"/>
      <c r="AO560" s="1946"/>
      <c r="AP560" s="1946"/>
      <c r="AQ560" s="1946"/>
      <c r="AR560" s="1946"/>
      <c r="AS560" s="1946"/>
      <c r="AT560" s="1946"/>
      <c r="AU560" s="1946"/>
      <c r="AV560" s="1946"/>
      <c r="AW560" s="1946"/>
      <c r="AX560" s="1946"/>
      <c r="AY560" s="1946"/>
      <c r="AZ560" s="1946"/>
      <c r="BA560" s="1946"/>
      <c r="BB560" s="1946"/>
      <c r="BC560" s="1946"/>
      <c r="BD560" s="1946"/>
      <c r="BE560" s="1946"/>
      <c r="BF560" s="1946"/>
      <c r="BG560" s="7213"/>
    </row>
    <row customHeight="1" ht="0.75">
      <c r="A561" s="1290" t="s">
        <v>1247</v>
      </c>
      <c r="B561" s="1290"/>
      <c r="C561" s="1290"/>
      <c r="D561" s="1284"/>
      <c r="E561" s="1294"/>
      <c r="F561" s="2673">
        <v>2026</v>
      </c>
      <c r="G561" s="2652"/>
      <c r="H561" s="2677" t="s">
        <v>488</v>
      </c>
      <c r="I561" s="2678"/>
      <c r="J561" s="2679"/>
      <c r="K561" s="2679"/>
      <c r="L561" s="2671"/>
      <c r="M561" s="2405"/>
      <c r="N561" s="2157"/>
      <c r="O561" s="2156"/>
      <c r="P561" s="2157"/>
      <c r="Q561" s="2157"/>
      <c r="R561" s="2157"/>
      <c r="S561" s="2157"/>
      <c r="T561" s="2157"/>
      <c r="U561" s="2157"/>
      <c r="V561" s="2157"/>
      <c r="W561" s="2157"/>
      <c r="X561" s="2157"/>
      <c r="Y561" s="2157"/>
      <c r="Z561" s="2157"/>
      <c r="AA561" s="2157"/>
      <c r="AB561" s="2157"/>
      <c r="AC561" s="2157"/>
      <c r="AD561" s="2157"/>
      <c r="AE561" s="2157"/>
      <c r="AF561" s="2675"/>
      <c r="AG561" s="2671"/>
      <c r="AH561" s="2671"/>
      <c r="AI561" s="2675"/>
      <c r="AJ561" s="2671"/>
      <c r="AK561" s="2671"/>
      <c r="AL561" s="2109"/>
      <c r="AM561" s="1946"/>
      <c r="AN561" s="1946"/>
      <c r="AO561" s="1946"/>
      <c r="AP561" s="1946"/>
      <c r="AQ561" s="1946"/>
      <c r="AR561" s="1946"/>
      <c r="AS561" s="1946"/>
      <c r="AT561" s="1946"/>
      <c r="AU561" s="1946"/>
      <c r="AV561" s="1946"/>
      <c r="AW561" s="1946"/>
      <c r="AX561" s="1946"/>
      <c r="AY561" s="1946"/>
      <c r="AZ561" s="1946"/>
      <c r="BA561" s="1946"/>
      <c r="BB561" s="1946"/>
      <c r="BC561" s="1946"/>
      <c r="BD561" s="1946"/>
      <c r="BE561" s="1946"/>
      <c r="BF561" s="1946"/>
      <c r="BG561" s="7213"/>
    </row>
    <row customHeight="1" ht="0.75">
      <c r="A562" s="1290" t="s">
        <v>1247</v>
      </c>
      <c r="B562" s="1290"/>
      <c r="C562" s="1290"/>
      <c r="D562" s="1284"/>
      <c r="E562" s="1294"/>
      <c r="F562" s="2673"/>
      <c r="G562" s="2652"/>
      <c r="H562" s="2677"/>
      <c r="I562" s="2678"/>
      <c r="J562" s="2679"/>
      <c r="K562" s="2679"/>
      <c r="L562" s="2671"/>
      <c r="M562" s="2405"/>
      <c r="N562" s="2680"/>
      <c r="O562" s="2681"/>
      <c r="P562" s="2725"/>
      <c r="Q562" s="2676"/>
      <c r="R562" s="2676"/>
      <c r="S562" s="2676"/>
      <c r="T562" s="2676"/>
      <c r="U562" s="2676"/>
      <c r="V562" s="2676"/>
      <c r="W562" s="2676"/>
      <c r="X562" s="2676"/>
      <c r="Y562" s="2676"/>
      <c r="Z562" s="2158"/>
      <c r="AA562" s="2159"/>
      <c r="AB562" s="2159"/>
      <c r="AC562" s="2160"/>
      <c r="AD562" s="2160"/>
      <c r="AE562" s="2161"/>
      <c r="AF562" s="2675"/>
      <c r="AG562" s="2671"/>
      <c r="AH562" s="2671"/>
      <c r="AI562" s="2675"/>
      <c r="AJ562" s="2671"/>
      <c r="AK562" s="2671"/>
      <c r="AL562" s="2109"/>
      <c r="AM562" s="1946"/>
      <c r="AN562" s="1946"/>
      <c r="AO562" s="1946"/>
      <c r="AP562" s="1946"/>
      <c r="AQ562" s="1946"/>
      <c r="AR562" s="1946"/>
      <c r="AS562" s="1946"/>
      <c r="AT562" s="1946"/>
      <c r="AU562" s="1946"/>
      <c r="AV562" s="1946"/>
      <c r="AW562" s="1946"/>
      <c r="AX562" s="1946"/>
      <c r="AY562" s="1946"/>
      <c r="AZ562" s="1946"/>
      <c r="BA562" s="1946"/>
      <c r="BB562" s="1946"/>
      <c r="BC562" s="1946"/>
      <c r="BD562" s="1946"/>
      <c r="BE562" s="1946"/>
      <c r="BF562" s="1946"/>
      <c r="BG562" s="7213"/>
    </row>
    <row customHeight="1" ht="0.75">
      <c r="A563" s="1290" t="s">
        <v>1247</v>
      </c>
      <c r="B563" s="1290"/>
      <c r="C563" s="1290"/>
      <c r="D563" s="1284"/>
      <c r="E563" s="1294"/>
      <c r="F563" s="2673"/>
      <c r="G563" s="2652"/>
      <c r="H563" s="2677"/>
      <c r="I563" s="2678"/>
      <c r="J563" s="2679"/>
      <c r="K563" s="2679"/>
      <c r="L563" s="2671"/>
      <c r="M563" s="2405"/>
      <c r="N563" s="2680"/>
      <c r="O563" s="2681"/>
      <c r="P563" s="2726"/>
      <c r="Q563" s="2676"/>
      <c r="R563" s="2676"/>
      <c r="S563" s="2676"/>
      <c r="T563" s="2676"/>
      <c r="U563" s="2676"/>
      <c r="V563" s="2676"/>
      <c r="W563" s="2676"/>
      <c r="X563" s="2676"/>
      <c r="Y563" s="2676"/>
      <c r="Z563" s="2162"/>
      <c r="AA563" s="2163"/>
      <c r="AB563" s="2164"/>
      <c r="AC563" s="2165"/>
      <c r="AD563" s="2164"/>
      <c r="AE563" s="2165"/>
      <c r="AF563" s="2675"/>
      <c r="AG563" s="2671"/>
      <c r="AH563" s="2671"/>
      <c r="AI563" s="2675"/>
      <c r="AJ563" s="2671"/>
      <c r="AK563" s="2671"/>
      <c r="AL563" s="2109"/>
      <c r="AM563" s="1946"/>
      <c r="AN563" s="1946"/>
      <c r="AO563" s="1946"/>
      <c r="AP563" s="1946"/>
      <c r="AQ563" s="1946"/>
      <c r="AR563" s="1946"/>
      <c r="AS563" s="1946"/>
      <c r="AT563" s="1946"/>
      <c r="AU563" s="1946"/>
      <c r="AV563" s="1946"/>
      <c r="AW563" s="1946"/>
      <c r="AX563" s="1946"/>
      <c r="AY563" s="1946"/>
      <c r="AZ563" s="1946"/>
      <c r="BA563" s="1946"/>
      <c r="BB563" s="1946"/>
      <c r="BC563" s="1946"/>
      <c r="BD563" s="1946"/>
      <c r="BE563" s="1946"/>
      <c r="BF563" s="1946"/>
      <c r="BG563" s="7213"/>
    </row>
    <row customHeight="1" ht="0.75">
      <c r="A564" s="1290" t="s">
        <v>1247</v>
      </c>
      <c r="B564" s="1290"/>
      <c r="C564" s="1290"/>
      <c r="D564" s="1284"/>
      <c r="E564" s="1294"/>
      <c r="F564" s="2673"/>
      <c r="G564" s="2652"/>
      <c r="H564" s="2677"/>
      <c r="I564" s="2678"/>
      <c r="J564" s="2679"/>
      <c r="K564" s="2679"/>
      <c r="L564" s="2671"/>
      <c r="M564" s="2405"/>
      <c r="N564" s="2680"/>
      <c r="O564" s="2681"/>
      <c r="P564" s="2727"/>
      <c r="Q564" s="2676"/>
      <c r="R564" s="2676"/>
      <c r="S564" s="2676"/>
      <c r="T564" s="2676"/>
      <c r="U564" s="2676"/>
      <c r="V564" s="2676"/>
      <c r="W564" s="2676"/>
      <c r="X564" s="2676"/>
      <c r="Y564" s="2676"/>
      <c r="Z564" s="2158"/>
      <c r="AA564" s="2159"/>
      <c r="AB564" s="2166"/>
      <c r="AC564" s="2160"/>
      <c r="AD564" s="2160"/>
      <c r="AE564" s="2167"/>
      <c r="AF564" s="2675"/>
      <c r="AG564" s="2671"/>
      <c r="AH564" s="2671"/>
      <c r="AI564" s="2675"/>
      <c r="AJ564" s="2671"/>
      <c r="AK564" s="2671"/>
      <c r="AL564" s="2109"/>
      <c r="AM564" s="1946"/>
      <c r="AN564" s="1946"/>
      <c r="AO564" s="1946"/>
      <c r="AP564" s="1946"/>
      <c r="AQ564" s="1946"/>
      <c r="AR564" s="1946"/>
      <c r="AS564" s="1946"/>
      <c r="AT564" s="1946"/>
      <c r="AU564" s="1946"/>
      <c r="AV564" s="1946"/>
      <c r="AW564" s="1946"/>
      <c r="AX564" s="1946"/>
      <c r="AY564" s="1946"/>
      <c r="AZ564" s="1946"/>
      <c r="BA564" s="1946"/>
      <c r="BB564" s="1946"/>
      <c r="BC564" s="1946"/>
      <c r="BD564" s="1946"/>
      <c r="BE564" s="1946"/>
      <c r="BF564" s="1946"/>
      <c r="BG564" s="7213"/>
    </row>
    <row customHeight="1" ht="0.75">
      <c r="A565" s="1290" t="s">
        <v>1247</v>
      </c>
      <c r="B565" s="1290"/>
      <c r="C565" s="1290"/>
      <c r="D565" s="1284"/>
      <c r="E565" s="1294"/>
      <c r="F565" s="2673"/>
      <c r="G565" s="2652"/>
      <c r="H565" s="2677"/>
      <c r="I565" s="2678"/>
      <c r="J565" s="2679"/>
      <c r="K565" s="2679"/>
      <c r="L565" s="2671"/>
      <c r="M565" s="2405"/>
      <c r="N565" s="2159"/>
      <c r="O565" s="2159"/>
      <c r="P565" s="2166"/>
      <c r="Q565" s="2159"/>
      <c r="R565" s="2159"/>
      <c r="S565" s="2159"/>
      <c r="T565" s="2159"/>
      <c r="U565" s="2159"/>
      <c r="V565" s="2159"/>
      <c r="W565" s="2159"/>
      <c r="X565" s="2159"/>
      <c r="Y565" s="2159"/>
      <c r="Z565" s="2159"/>
      <c r="AA565" s="2159"/>
      <c r="AB565" s="2159"/>
      <c r="AC565" s="2159"/>
      <c r="AD565" s="2159"/>
      <c r="AE565" s="2168"/>
      <c r="AF565" s="2675"/>
      <c r="AG565" s="2671"/>
      <c r="AH565" s="2671"/>
      <c r="AI565" s="2675"/>
      <c r="AJ565" s="2671"/>
      <c r="AK565" s="2671"/>
      <c r="AL565" s="2109"/>
      <c r="AM565" s="1946"/>
      <c r="AN565" s="1946"/>
      <c r="AO565" s="1946"/>
      <c r="AP565" s="1946"/>
      <c r="AQ565" s="1946"/>
      <c r="AR565" s="1946"/>
      <c r="AS565" s="1946"/>
      <c r="AT565" s="1946"/>
      <c r="AU565" s="1946"/>
      <c r="AV565" s="1946"/>
      <c r="AW565" s="1946"/>
      <c r="AX565" s="1946"/>
      <c r="AY565" s="1946"/>
      <c r="AZ565" s="1946"/>
      <c r="BA565" s="1946"/>
      <c r="BB565" s="1946"/>
      <c r="BC565" s="1946"/>
      <c r="BD565" s="1946"/>
      <c r="BE565" s="1946"/>
      <c r="BF565" s="1946"/>
      <c r="BG565" s="7213"/>
    </row>
    <row customHeight="1" ht="12">
      <c r="A566" s="1290" t="s">
        <v>1247</v>
      </c>
      <c r="B566" s="1290"/>
      <c r="C566" s="1290"/>
      <c r="D566" s="1284"/>
      <c r="E566" s="1294"/>
      <c r="F566" s="2674"/>
      <c r="G566" s="1314"/>
      <c r="H566" s="1314"/>
      <c r="I566" s="2672" t="s">
        <v>1294</v>
      </c>
      <c r="J566" s="2672"/>
      <c r="K566" s="2672"/>
      <c r="L566" s="1297"/>
      <c r="M566" s="1297"/>
      <c r="N566" s="1298"/>
      <c r="O566" s="1298"/>
      <c r="P566" s="1298"/>
      <c r="Q566" s="1298"/>
      <c r="R566" s="1298"/>
      <c r="S566" s="1298"/>
      <c r="T566" s="1298"/>
      <c r="U566" s="1298"/>
      <c r="V566" s="1298"/>
      <c r="W566" s="1298"/>
      <c r="X566" s="1298"/>
      <c r="Y566" s="1298"/>
      <c r="Z566" s="1298"/>
      <c r="AA566" s="1298"/>
      <c r="AB566" s="1298"/>
      <c r="AC566" s="1298"/>
      <c r="AD566" s="1298"/>
      <c r="AE566" s="1298"/>
      <c r="AF566" s="1298"/>
      <c r="AG566" s="1297"/>
      <c r="AH566" s="1297"/>
      <c r="AI566" s="1298"/>
      <c r="AJ566" s="1297"/>
      <c r="AK566" s="1298"/>
      <c r="AL566" s="2109"/>
      <c r="AM566" s="1946"/>
      <c r="AN566" s="1946"/>
      <c r="AO566" s="1946"/>
      <c r="AP566" s="1946"/>
      <c r="AQ566" s="1946"/>
      <c r="AR566" s="1946"/>
      <c r="AS566" s="1946"/>
      <c r="AT566" s="1946"/>
      <c r="AU566" s="1946"/>
      <c r="AV566" s="1946"/>
      <c r="AW566" s="1946"/>
      <c r="AX566" s="1946"/>
      <c r="AY566" s="1946"/>
      <c r="AZ566" s="1946"/>
      <c r="BA566" s="1946"/>
      <c r="BB566" s="1946"/>
      <c r="BC566" s="1946"/>
      <c r="BD566" s="1946"/>
      <c r="BE566" s="1946"/>
      <c r="BF566" s="1946"/>
      <c r="BG566" s="7213"/>
    </row>
    <row customHeight="1" ht="0.75">
      <c r="A567" s="1290" t="s">
        <v>1247</v>
      </c>
      <c r="B567" s="1290"/>
      <c r="C567" s="1290"/>
      <c r="D567" s="1284"/>
      <c r="E567" s="1294"/>
      <c r="F567" s="2673">
        <v>2027</v>
      </c>
      <c r="G567" s="2652"/>
      <c r="H567" s="2677" t="s">
        <v>488</v>
      </c>
      <c r="I567" s="2678"/>
      <c r="J567" s="2679"/>
      <c r="K567" s="2679"/>
      <c r="L567" s="2671"/>
      <c r="M567" s="2405"/>
      <c r="N567" s="2157"/>
      <c r="O567" s="2156"/>
      <c r="P567" s="2157"/>
      <c r="Q567" s="2157"/>
      <c r="R567" s="2157"/>
      <c r="S567" s="2157"/>
      <c r="T567" s="2157"/>
      <c r="U567" s="2157"/>
      <c r="V567" s="2157"/>
      <c r="W567" s="2157"/>
      <c r="X567" s="2157"/>
      <c r="Y567" s="2157"/>
      <c r="Z567" s="2157"/>
      <c r="AA567" s="2157"/>
      <c r="AB567" s="2157"/>
      <c r="AC567" s="2157"/>
      <c r="AD567" s="2157"/>
      <c r="AE567" s="2157"/>
      <c r="AF567" s="2675"/>
      <c r="AG567" s="2671"/>
      <c r="AH567" s="2671"/>
      <c r="AI567" s="2675"/>
      <c r="AJ567" s="2671"/>
      <c r="AK567" s="2671"/>
      <c r="AL567" s="2109"/>
      <c r="AM567" s="1946"/>
      <c r="AN567" s="1946"/>
      <c r="AO567" s="1946"/>
      <c r="AP567" s="1946"/>
      <c r="AQ567" s="1946"/>
      <c r="AR567" s="1946"/>
      <c r="AS567" s="1946"/>
      <c r="AT567" s="1946"/>
      <c r="AU567" s="1946"/>
      <c r="AV567" s="1946"/>
      <c r="AW567" s="1946"/>
      <c r="AX567" s="1946"/>
      <c r="AY567" s="1946"/>
      <c r="AZ567" s="1946"/>
      <c r="BA567" s="1946"/>
      <c r="BB567" s="1946"/>
      <c r="BC567" s="1946"/>
      <c r="BD567" s="1946"/>
      <c r="BE567" s="1946"/>
      <c r="BF567" s="1946"/>
      <c r="BG567" s="7213"/>
    </row>
    <row customHeight="1" ht="0.75">
      <c r="A568" s="1290" t="s">
        <v>1247</v>
      </c>
      <c r="B568" s="1290"/>
      <c r="C568" s="1290"/>
      <c r="D568" s="1284"/>
      <c r="E568" s="1294"/>
      <c r="F568" s="2673"/>
      <c r="G568" s="2652"/>
      <c r="H568" s="2677"/>
      <c r="I568" s="2678"/>
      <c r="J568" s="2679"/>
      <c r="K568" s="2679"/>
      <c r="L568" s="2671"/>
      <c r="M568" s="2405"/>
      <c r="N568" s="2680"/>
      <c r="O568" s="2681"/>
      <c r="P568" s="2725"/>
      <c r="Q568" s="2676"/>
      <c r="R568" s="2676"/>
      <c r="S568" s="2676"/>
      <c r="T568" s="2676"/>
      <c r="U568" s="2676"/>
      <c r="V568" s="2676"/>
      <c r="W568" s="2676"/>
      <c r="X568" s="2676"/>
      <c r="Y568" s="2676"/>
      <c r="Z568" s="2158"/>
      <c r="AA568" s="2159"/>
      <c r="AB568" s="2159"/>
      <c r="AC568" s="2160"/>
      <c r="AD568" s="2160"/>
      <c r="AE568" s="2161"/>
      <c r="AF568" s="2675"/>
      <c r="AG568" s="2671"/>
      <c r="AH568" s="2671"/>
      <c r="AI568" s="2675"/>
      <c r="AJ568" s="2671"/>
      <c r="AK568" s="2671"/>
      <c r="AL568" s="2109"/>
      <c r="AM568" s="1946"/>
      <c r="AN568" s="1946"/>
      <c r="AO568" s="1946"/>
      <c r="AP568" s="1946"/>
      <c r="AQ568" s="1946"/>
      <c r="AR568" s="1946"/>
      <c r="AS568" s="1946"/>
      <c r="AT568" s="1946"/>
      <c r="AU568" s="1946"/>
      <c r="AV568" s="1946"/>
      <c r="AW568" s="1946"/>
      <c r="AX568" s="1946"/>
      <c r="AY568" s="1946"/>
      <c r="AZ568" s="1946"/>
      <c r="BA568" s="1946"/>
      <c r="BB568" s="1946"/>
      <c r="BC568" s="1946"/>
      <c r="BD568" s="1946"/>
      <c r="BE568" s="1946"/>
      <c r="BF568" s="1946"/>
      <c r="BG568" s="7213"/>
    </row>
    <row customHeight="1" ht="0.75">
      <c r="A569" s="1290" t="s">
        <v>1247</v>
      </c>
      <c r="B569" s="1290"/>
      <c r="C569" s="1290"/>
      <c r="D569" s="1284"/>
      <c r="E569" s="1294"/>
      <c r="F569" s="2673"/>
      <c r="G569" s="2652"/>
      <c r="H569" s="2677"/>
      <c r="I569" s="2678"/>
      <c r="J569" s="2679"/>
      <c r="K569" s="2679"/>
      <c r="L569" s="2671"/>
      <c r="M569" s="2405"/>
      <c r="N569" s="2680"/>
      <c r="O569" s="2681"/>
      <c r="P569" s="2726"/>
      <c r="Q569" s="2676"/>
      <c r="R569" s="2676"/>
      <c r="S569" s="2676"/>
      <c r="T569" s="2676"/>
      <c r="U569" s="2676"/>
      <c r="V569" s="2676"/>
      <c r="W569" s="2676"/>
      <c r="X569" s="2676"/>
      <c r="Y569" s="2676"/>
      <c r="Z569" s="2162"/>
      <c r="AA569" s="2163"/>
      <c r="AB569" s="2164"/>
      <c r="AC569" s="2165"/>
      <c r="AD569" s="2164"/>
      <c r="AE569" s="2165"/>
      <c r="AF569" s="2675"/>
      <c r="AG569" s="2671"/>
      <c r="AH569" s="2671"/>
      <c r="AI569" s="2675"/>
      <c r="AJ569" s="2671"/>
      <c r="AK569" s="2671"/>
      <c r="AL569" s="2109"/>
      <c r="AM569" s="1946"/>
      <c r="AN569" s="1946"/>
      <c r="AO569" s="1946"/>
      <c r="AP569" s="1946"/>
      <c r="AQ569" s="1946"/>
      <c r="AR569" s="1946"/>
      <c r="AS569" s="1946"/>
      <c r="AT569" s="1946"/>
      <c r="AU569" s="1946"/>
      <c r="AV569" s="1946"/>
      <c r="AW569" s="1946"/>
      <c r="AX569" s="1946"/>
      <c r="AY569" s="1946"/>
      <c r="AZ569" s="1946"/>
      <c r="BA569" s="1946"/>
      <c r="BB569" s="1946"/>
      <c r="BC569" s="1946"/>
      <c r="BD569" s="1946"/>
      <c r="BE569" s="1946"/>
      <c r="BF569" s="1946"/>
      <c r="BG569" s="7213"/>
    </row>
    <row customHeight="1" ht="0.75">
      <c r="A570" s="1290" t="s">
        <v>1247</v>
      </c>
      <c r="B570" s="1290"/>
      <c r="C570" s="1290"/>
      <c r="D570" s="1284"/>
      <c r="E570" s="1294"/>
      <c r="F570" s="2673"/>
      <c r="G570" s="2652"/>
      <c r="H570" s="2677"/>
      <c r="I570" s="2678"/>
      <c r="J570" s="2679"/>
      <c r="K570" s="2679"/>
      <c r="L570" s="2671"/>
      <c r="M570" s="2405"/>
      <c r="N570" s="2680"/>
      <c r="O570" s="2681"/>
      <c r="P570" s="2727"/>
      <c r="Q570" s="2676"/>
      <c r="R570" s="2676"/>
      <c r="S570" s="2676"/>
      <c r="T570" s="2676"/>
      <c r="U570" s="2676"/>
      <c r="V570" s="2676"/>
      <c r="W570" s="2676"/>
      <c r="X570" s="2676"/>
      <c r="Y570" s="2676"/>
      <c r="Z570" s="2158"/>
      <c r="AA570" s="2159"/>
      <c r="AB570" s="2166"/>
      <c r="AC570" s="2160"/>
      <c r="AD570" s="2160"/>
      <c r="AE570" s="2167"/>
      <c r="AF570" s="2675"/>
      <c r="AG570" s="2671"/>
      <c r="AH570" s="2671"/>
      <c r="AI570" s="2675"/>
      <c r="AJ570" s="2671"/>
      <c r="AK570" s="2671"/>
      <c r="AL570" s="2109"/>
      <c r="AM570" s="1946"/>
      <c r="AN570" s="1946"/>
      <c r="AO570" s="1946"/>
      <c r="AP570" s="1946"/>
      <c r="AQ570" s="1946"/>
      <c r="AR570" s="1946"/>
      <c r="AS570" s="1946"/>
      <c r="AT570" s="1946"/>
      <c r="AU570" s="1946"/>
      <c r="AV570" s="1946"/>
      <c r="AW570" s="1946"/>
      <c r="AX570" s="1946"/>
      <c r="AY570" s="1946"/>
      <c r="AZ570" s="1946"/>
      <c r="BA570" s="1946"/>
      <c r="BB570" s="1946"/>
      <c r="BC570" s="1946"/>
      <c r="BD570" s="1946"/>
      <c r="BE570" s="1946"/>
      <c r="BF570" s="1946"/>
      <c r="BG570" s="7213"/>
    </row>
    <row customHeight="1" ht="0.75">
      <c r="A571" s="1290" t="s">
        <v>1247</v>
      </c>
      <c r="B571" s="1290"/>
      <c r="C571" s="1290"/>
      <c r="D571" s="1284"/>
      <c r="E571" s="1294"/>
      <c r="F571" s="2673"/>
      <c r="G571" s="2652"/>
      <c r="H571" s="2677"/>
      <c r="I571" s="2678"/>
      <c r="J571" s="2679"/>
      <c r="K571" s="2679"/>
      <c r="L571" s="2671"/>
      <c r="M571" s="2405"/>
      <c r="N571" s="2159"/>
      <c r="O571" s="2159"/>
      <c r="P571" s="2166"/>
      <c r="Q571" s="2159"/>
      <c r="R571" s="2159"/>
      <c r="S571" s="2159"/>
      <c r="T571" s="2159"/>
      <c r="U571" s="2159"/>
      <c r="V571" s="2159"/>
      <c r="W571" s="2159"/>
      <c r="X571" s="2159"/>
      <c r="Y571" s="2159"/>
      <c r="Z571" s="2159"/>
      <c r="AA571" s="2159"/>
      <c r="AB571" s="2159"/>
      <c r="AC571" s="2159"/>
      <c r="AD571" s="2159"/>
      <c r="AE571" s="2168"/>
      <c r="AF571" s="2675"/>
      <c r="AG571" s="2671"/>
      <c r="AH571" s="2671"/>
      <c r="AI571" s="2675"/>
      <c r="AJ571" s="2671"/>
      <c r="AK571" s="2671"/>
      <c r="AL571" s="2109"/>
      <c r="AM571" s="1946"/>
      <c r="AN571" s="1946"/>
      <c r="AO571" s="1946"/>
      <c r="AP571" s="1946"/>
      <c r="AQ571" s="1946"/>
      <c r="AR571" s="1946"/>
      <c r="AS571" s="1946"/>
      <c r="AT571" s="1946"/>
      <c r="AU571" s="1946"/>
      <c r="AV571" s="1946"/>
      <c r="AW571" s="1946"/>
      <c r="AX571" s="1946"/>
      <c r="AY571" s="1946"/>
      <c r="AZ571" s="1946"/>
      <c r="BA571" s="1946"/>
      <c r="BB571" s="1946"/>
      <c r="BC571" s="1946"/>
      <c r="BD571" s="1946"/>
      <c r="BE571" s="1946"/>
      <c r="BF571" s="1946"/>
      <c r="BG571" s="7213"/>
    </row>
    <row customHeight="1" ht="12">
      <c r="A572" s="1290" t="s">
        <v>1247</v>
      </c>
      <c r="B572" s="1290"/>
      <c r="C572" s="1290"/>
      <c r="D572" s="1284"/>
      <c r="E572" s="1294"/>
      <c r="F572" s="2674"/>
      <c r="G572" s="1314"/>
      <c r="H572" s="1314"/>
      <c r="I572" s="2672" t="s">
        <v>1294</v>
      </c>
      <c r="J572" s="2672"/>
      <c r="K572" s="2672"/>
      <c r="L572" s="1297"/>
      <c r="M572" s="1297"/>
      <c r="N572" s="1298"/>
      <c r="O572" s="1298"/>
      <c r="P572" s="1298"/>
      <c r="Q572" s="1298"/>
      <c r="R572" s="1298"/>
      <c r="S572" s="1298"/>
      <c r="T572" s="1298"/>
      <c r="U572" s="1298"/>
      <c r="V572" s="1298"/>
      <c r="W572" s="1298"/>
      <c r="X572" s="1298"/>
      <c r="Y572" s="1298"/>
      <c r="Z572" s="1298"/>
      <c r="AA572" s="1298"/>
      <c r="AB572" s="1298"/>
      <c r="AC572" s="1298"/>
      <c r="AD572" s="1298"/>
      <c r="AE572" s="1298"/>
      <c r="AF572" s="1298"/>
      <c r="AG572" s="1297"/>
      <c r="AH572" s="1297"/>
      <c r="AI572" s="1298"/>
      <c r="AJ572" s="1297"/>
      <c r="AK572" s="1298"/>
      <c r="AL572" s="2109"/>
      <c r="AM572" s="1946"/>
      <c r="AN572" s="1946"/>
      <c r="AO572" s="1946"/>
      <c r="AP572" s="1946"/>
      <c r="AQ572" s="1946"/>
      <c r="AR572" s="1946"/>
      <c r="AS572" s="1946"/>
      <c r="AT572" s="1946"/>
      <c r="AU572" s="1946"/>
      <c r="AV572" s="1946"/>
      <c r="AW572" s="1946"/>
      <c r="AX572" s="1946"/>
      <c r="AY572" s="1946"/>
      <c r="AZ572" s="1946"/>
      <c r="BA572" s="1946"/>
      <c r="BB572" s="1946"/>
      <c r="BC572" s="1946"/>
      <c r="BD572" s="1946"/>
      <c r="BE572" s="1946"/>
      <c r="BF572" s="1946"/>
      <c r="BG572" s="7213"/>
    </row>
    <row customHeight="1" ht="0.75">
      <c r="A573" s="1290" t="s">
        <v>1247</v>
      </c>
      <c r="B573" s="1290"/>
      <c r="C573" s="1290"/>
      <c r="D573" s="1284"/>
      <c r="E573" s="1294"/>
      <c r="F573" s="2673">
        <v>2028</v>
      </c>
      <c r="G573" s="2652"/>
      <c r="H573" s="2677" t="s">
        <v>488</v>
      </c>
      <c r="I573" s="2678"/>
      <c r="J573" s="2679"/>
      <c r="K573" s="2679"/>
      <c r="L573" s="2671"/>
      <c r="M573" s="2405"/>
      <c r="N573" s="2157"/>
      <c r="O573" s="2156"/>
      <c r="P573" s="2157"/>
      <c r="Q573" s="2157"/>
      <c r="R573" s="2157"/>
      <c r="S573" s="2157"/>
      <c r="T573" s="2157"/>
      <c r="U573" s="2157"/>
      <c r="V573" s="2157"/>
      <c r="W573" s="2157"/>
      <c r="X573" s="2157"/>
      <c r="Y573" s="2157"/>
      <c r="Z573" s="2157"/>
      <c r="AA573" s="2157"/>
      <c r="AB573" s="2157"/>
      <c r="AC573" s="2157"/>
      <c r="AD573" s="2157"/>
      <c r="AE573" s="2157"/>
      <c r="AF573" s="2675"/>
      <c r="AG573" s="2671"/>
      <c r="AH573" s="2671"/>
      <c r="AI573" s="2675"/>
      <c r="AJ573" s="2671"/>
      <c r="AK573" s="2671"/>
      <c r="AL573" s="2109"/>
      <c r="AM573" s="1946"/>
      <c r="AN573" s="1946"/>
      <c r="AO573" s="1946"/>
      <c r="AP573" s="1946"/>
      <c r="AQ573" s="1946"/>
      <c r="AR573" s="1946"/>
      <c r="AS573" s="1946"/>
      <c r="AT573" s="1946"/>
      <c r="AU573" s="1946"/>
      <c r="AV573" s="1946"/>
      <c r="AW573" s="1946"/>
      <c r="AX573" s="1946"/>
      <c r="AY573" s="1946"/>
      <c r="AZ573" s="1946"/>
      <c r="BA573" s="1946"/>
      <c r="BB573" s="1946"/>
      <c r="BC573" s="1946"/>
      <c r="BD573" s="1946"/>
      <c r="BE573" s="1946"/>
      <c r="BF573" s="1946"/>
      <c r="BG573" s="7213"/>
    </row>
    <row customHeight="1" ht="0.75">
      <c r="A574" s="1290" t="s">
        <v>1247</v>
      </c>
      <c r="B574" s="1290"/>
      <c r="C574" s="1290"/>
      <c r="D574" s="1284"/>
      <c r="E574" s="1294"/>
      <c r="F574" s="2673"/>
      <c r="G574" s="2652"/>
      <c r="H574" s="2677"/>
      <c r="I574" s="2678"/>
      <c r="J574" s="2679"/>
      <c r="K574" s="2679"/>
      <c r="L574" s="2671"/>
      <c r="M574" s="2405"/>
      <c r="N574" s="2680"/>
      <c r="O574" s="2681"/>
      <c r="P574" s="2725"/>
      <c r="Q574" s="2676"/>
      <c r="R574" s="2676"/>
      <c r="S574" s="2676"/>
      <c r="T574" s="2676"/>
      <c r="U574" s="2676"/>
      <c r="V574" s="2676"/>
      <c r="W574" s="2676"/>
      <c r="X574" s="2676"/>
      <c r="Y574" s="2676"/>
      <c r="Z574" s="2158"/>
      <c r="AA574" s="2159"/>
      <c r="AB574" s="2159"/>
      <c r="AC574" s="2160"/>
      <c r="AD574" s="2160"/>
      <c r="AE574" s="2161"/>
      <c r="AF574" s="2675"/>
      <c r="AG574" s="2671"/>
      <c r="AH574" s="2671"/>
      <c r="AI574" s="2675"/>
      <c r="AJ574" s="2671"/>
      <c r="AK574" s="2671"/>
      <c r="AL574" s="2109"/>
      <c r="AM574" s="1946"/>
      <c r="AN574" s="1946"/>
      <c r="AO574" s="1946"/>
      <c r="AP574" s="1946"/>
      <c r="AQ574" s="1946"/>
      <c r="AR574" s="1946"/>
      <c r="AS574" s="1946"/>
      <c r="AT574" s="1946"/>
      <c r="AU574" s="1946"/>
      <c r="AV574" s="1946"/>
      <c r="AW574" s="1946"/>
      <c r="AX574" s="1946"/>
      <c r="AY574" s="1946"/>
      <c r="AZ574" s="1946"/>
      <c r="BA574" s="1946"/>
      <c r="BB574" s="1946"/>
      <c r="BC574" s="1946"/>
      <c r="BD574" s="1946"/>
      <c r="BE574" s="1946"/>
      <c r="BF574" s="1946"/>
      <c r="BG574" s="7213"/>
    </row>
    <row customHeight="1" ht="0.75">
      <c r="A575" s="1290" t="s">
        <v>1247</v>
      </c>
      <c r="B575" s="1290"/>
      <c r="C575" s="1290"/>
      <c r="D575" s="1284"/>
      <c r="E575" s="1294"/>
      <c r="F575" s="2673"/>
      <c r="G575" s="2652"/>
      <c r="H575" s="2677"/>
      <c r="I575" s="2678"/>
      <c r="J575" s="2679"/>
      <c r="K575" s="2679"/>
      <c r="L575" s="2671"/>
      <c r="M575" s="2405"/>
      <c r="N575" s="2680"/>
      <c r="O575" s="2681"/>
      <c r="P575" s="2726"/>
      <c r="Q575" s="2676"/>
      <c r="R575" s="2676"/>
      <c r="S575" s="2676"/>
      <c r="T575" s="2676"/>
      <c r="U575" s="2676"/>
      <c r="V575" s="2676"/>
      <c r="W575" s="2676"/>
      <c r="X575" s="2676"/>
      <c r="Y575" s="2676"/>
      <c r="Z575" s="2162"/>
      <c r="AA575" s="2163"/>
      <c r="AB575" s="2164"/>
      <c r="AC575" s="2165"/>
      <c r="AD575" s="2164"/>
      <c r="AE575" s="2165"/>
      <c r="AF575" s="2675"/>
      <c r="AG575" s="2671"/>
      <c r="AH575" s="2671"/>
      <c r="AI575" s="2675"/>
      <c r="AJ575" s="2671"/>
      <c r="AK575" s="2671"/>
      <c r="AL575" s="2109"/>
      <c r="AM575" s="1946"/>
      <c r="AN575" s="1946"/>
      <c r="AO575" s="1946"/>
      <c r="AP575" s="1946"/>
      <c r="AQ575" s="1946"/>
      <c r="AR575" s="1946"/>
      <c r="AS575" s="1946"/>
      <c r="AT575" s="1946"/>
      <c r="AU575" s="1946"/>
      <c r="AV575" s="1946"/>
      <c r="AW575" s="1946"/>
      <c r="AX575" s="1946"/>
      <c r="AY575" s="1946"/>
      <c r="AZ575" s="1946"/>
      <c r="BA575" s="1946"/>
      <c r="BB575" s="1946"/>
      <c r="BC575" s="1946"/>
      <c r="BD575" s="1946"/>
      <c r="BE575" s="1946"/>
      <c r="BF575" s="1946"/>
      <c r="BG575" s="7213"/>
    </row>
    <row customHeight="1" ht="0.75">
      <c r="A576" s="1290" t="s">
        <v>1247</v>
      </c>
      <c r="B576" s="1290"/>
      <c r="C576" s="1290"/>
      <c r="D576" s="1284"/>
      <c r="E576" s="1294"/>
      <c r="F576" s="2673"/>
      <c r="G576" s="2652"/>
      <c r="H576" s="2677"/>
      <c r="I576" s="2678"/>
      <c r="J576" s="2679"/>
      <c r="K576" s="2679"/>
      <c r="L576" s="2671"/>
      <c r="M576" s="2405"/>
      <c r="N576" s="2680"/>
      <c r="O576" s="2681"/>
      <c r="P576" s="2727"/>
      <c r="Q576" s="2676"/>
      <c r="R576" s="2676"/>
      <c r="S576" s="2676"/>
      <c r="T576" s="2676"/>
      <c r="U576" s="2676"/>
      <c r="V576" s="2676"/>
      <c r="W576" s="2676"/>
      <c r="X576" s="2676"/>
      <c r="Y576" s="2676"/>
      <c r="Z576" s="2158"/>
      <c r="AA576" s="2159"/>
      <c r="AB576" s="2166"/>
      <c r="AC576" s="2160"/>
      <c r="AD576" s="2160"/>
      <c r="AE576" s="2167"/>
      <c r="AF576" s="2675"/>
      <c r="AG576" s="2671"/>
      <c r="AH576" s="2671"/>
      <c r="AI576" s="2675"/>
      <c r="AJ576" s="2671"/>
      <c r="AK576" s="2671"/>
      <c r="AL576" s="2109"/>
      <c r="AM576" s="1946"/>
      <c r="AN576" s="1946"/>
      <c r="AO576" s="1946"/>
      <c r="AP576" s="1946"/>
      <c r="AQ576" s="1946"/>
      <c r="AR576" s="1946"/>
      <c r="AS576" s="1946"/>
      <c r="AT576" s="1946"/>
      <c r="AU576" s="1946"/>
      <c r="AV576" s="1946"/>
      <c r="AW576" s="1946"/>
      <c r="AX576" s="1946"/>
      <c r="AY576" s="1946"/>
      <c r="AZ576" s="1946"/>
      <c r="BA576" s="1946"/>
      <c r="BB576" s="1946"/>
      <c r="BC576" s="1946"/>
      <c r="BD576" s="1946"/>
      <c r="BE576" s="1946"/>
      <c r="BF576" s="1946"/>
      <c r="BG576" s="7213"/>
    </row>
    <row customHeight="1" ht="0.75">
      <c r="A577" s="1290" t="s">
        <v>1247</v>
      </c>
      <c r="B577" s="1290"/>
      <c r="C577" s="1290"/>
      <c r="D577" s="1284"/>
      <c r="E577" s="1294"/>
      <c r="F577" s="2673"/>
      <c r="G577" s="2652"/>
      <c r="H577" s="2677"/>
      <c r="I577" s="2678"/>
      <c r="J577" s="2679"/>
      <c r="K577" s="2679"/>
      <c r="L577" s="2671"/>
      <c r="M577" s="2405"/>
      <c r="N577" s="2159"/>
      <c r="O577" s="2159"/>
      <c r="P577" s="2166"/>
      <c r="Q577" s="2159"/>
      <c r="R577" s="2159"/>
      <c r="S577" s="2159"/>
      <c r="T577" s="2159"/>
      <c r="U577" s="2159"/>
      <c r="V577" s="2159"/>
      <c r="W577" s="2159"/>
      <c r="X577" s="2159"/>
      <c r="Y577" s="2159"/>
      <c r="Z577" s="2159"/>
      <c r="AA577" s="2159"/>
      <c r="AB577" s="2159"/>
      <c r="AC577" s="2159"/>
      <c r="AD577" s="2159"/>
      <c r="AE577" s="2168"/>
      <c r="AF577" s="2675"/>
      <c r="AG577" s="2671"/>
      <c r="AH577" s="2671"/>
      <c r="AI577" s="2675"/>
      <c r="AJ577" s="2671"/>
      <c r="AK577" s="2671"/>
      <c r="AL577" s="2109"/>
      <c r="AM577" s="1946"/>
      <c r="AN577" s="1946"/>
      <c r="AO577" s="1946"/>
      <c r="AP577" s="1946"/>
      <c r="AQ577" s="1946"/>
      <c r="AR577" s="1946"/>
      <c r="AS577" s="1946"/>
      <c r="AT577" s="1946"/>
      <c r="AU577" s="1946"/>
      <c r="AV577" s="1946"/>
      <c r="AW577" s="1946"/>
      <c r="AX577" s="1946"/>
      <c r="AY577" s="1946"/>
      <c r="AZ577" s="1946"/>
      <c r="BA577" s="1946"/>
      <c r="BB577" s="1946"/>
      <c r="BC577" s="1946"/>
      <c r="BD577" s="1946"/>
      <c r="BE577" s="1946"/>
      <c r="BF577" s="1946"/>
      <c r="BG577" s="7213"/>
    </row>
    <row customHeight="1" ht="12">
      <c r="A578" s="1290" t="s">
        <v>1247</v>
      </c>
      <c r="B578" s="1290"/>
      <c r="C578" s="1290"/>
      <c r="D578" s="1284"/>
      <c r="E578" s="1294"/>
      <c r="F578" s="2674"/>
      <c r="G578" s="1314"/>
      <c r="H578" s="1314"/>
      <c r="I578" s="2672" t="s">
        <v>1294</v>
      </c>
      <c r="J578" s="2672"/>
      <c r="K578" s="2672"/>
      <c r="L578" s="1297"/>
      <c r="M578" s="1297"/>
      <c r="N578" s="1298"/>
      <c r="O578" s="1298"/>
      <c r="P578" s="1298"/>
      <c r="Q578" s="1298"/>
      <c r="R578" s="1298"/>
      <c r="S578" s="1298"/>
      <c r="T578" s="1298"/>
      <c r="U578" s="1298"/>
      <c r="V578" s="1298"/>
      <c r="W578" s="1298"/>
      <c r="X578" s="1298"/>
      <c r="Y578" s="1298"/>
      <c r="Z578" s="1298"/>
      <c r="AA578" s="1298"/>
      <c r="AB578" s="1298"/>
      <c r="AC578" s="1298"/>
      <c r="AD578" s="1298"/>
      <c r="AE578" s="1298"/>
      <c r="AF578" s="1298"/>
      <c r="AG578" s="1297"/>
      <c r="AH578" s="1297"/>
      <c r="AI578" s="1298"/>
      <c r="AJ578" s="1297"/>
      <c r="AK578" s="1298"/>
      <c r="AL578" s="2109"/>
      <c r="AM578" s="1946"/>
      <c r="AN578" s="1946"/>
      <c r="AO578" s="1946"/>
      <c r="AP578" s="1946"/>
      <c r="AQ578" s="1946"/>
      <c r="AR578" s="1946"/>
      <c r="AS578" s="1946"/>
      <c r="AT578" s="1946"/>
      <c r="AU578" s="1946"/>
      <c r="AV578" s="1946"/>
      <c r="AW578" s="1946"/>
      <c r="AX578" s="1946"/>
      <c r="AY578" s="1946"/>
      <c r="AZ578" s="1946"/>
      <c r="BA578" s="1946"/>
      <c r="BB578" s="1946"/>
      <c r="BC578" s="1946"/>
      <c r="BD578" s="1946"/>
      <c r="BE578" s="1946"/>
      <c r="BF578" s="1946"/>
      <c r="BG578" s="7213"/>
    </row>
    <row customHeight="1" ht="21">
      <c r="A579" s="1291" t="s">
        <v>1253</v>
      </c>
      <c r="B579" s="1290"/>
      <c r="C579" s="1290"/>
      <c r="D579" s="1284"/>
      <c r="E579" s="1294" t="s">
        <v>22</v>
      </c>
      <c r="F579" s="1246" t="str">
        <f>INDEX(IP_MAIN_LIST_NAME_IP,MATCH(A579,IP_MAIN_LIST_IP_ID,0))&amp;" ("&amp;INDEX(IP_MAIN_START_DATE,MATCH(A579,IP_MAIN_LIST_IP_ID,0))&amp;"-"&amp;INDEX(IP_MAIN_END_DATE,MATCH(A579,IP_MAIN_LIST_IP_ID,0))&amp;")"</f>
        <v>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 (01.01.2024-31.12.2028)</v>
      </c>
      <c r="G579" s="1247"/>
      <c r="H579" s="1247"/>
      <c r="I579" s="1309"/>
      <c r="J579" s="1309"/>
      <c r="K579" s="1310"/>
      <c r="L579" s="1310"/>
      <c r="M579" s="1310"/>
      <c r="N579" s="1311"/>
      <c r="O579" s="1311"/>
      <c r="P579" s="1311"/>
      <c r="Q579" s="1311"/>
      <c r="R579" s="1311"/>
      <c r="S579" s="1311"/>
      <c r="T579" s="1311"/>
      <c r="U579" s="1311"/>
      <c r="V579" s="1311"/>
      <c r="W579" s="1311"/>
      <c r="X579" s="1311"/>
      <c r="Y579" s="1311"/>
      <c r="Z579" s="1311"/>
      <c r="AA579" s="1311"/>
      <c r="AB579" s="1311"/>
      <c r="AC579" s="1311"/>
      <c r="AD579" s="1311"/>
      <c r="AE579" s="1312"/>
      <c r="AF579" s="1310"/>
      <c r="AG579" s="1310"/>
      <c r="AH579" s="1310"/>
      <c r="AI579" s="1310"/>
      <c r="AJ579" s="1310"/>
      <c r="AK579" s="1310"/>
      <c r="AL579" s="2109"/>
      <c r="AM579" s="1946"/>
      <c r="AN579" s="1946"/>
      <c r="AO579" s="1946"/>
      <c r="AP579" s="1946"/>
      <c r="AQ579" s="1946"/>
      <c r="AR579" s="1946"/>
      <c r="AS579" s="1946"/>
      <c r="AT579" s="1946"/>
      <c r="AU579" s="1946"/>
      <c r="AV579" s="1946"/>
      <c r="AW579" s="1946"/>
      <c r="AX579" s="1946"/>
      <c r="AY579" s="1946"/>
      <c r="AZ579" s="1946"/>
      <c r="BA579" s="1946"/>
      <c r="BB579" s="1946"/>
      <c r="BC579" s="1946"/>
      <c r="BD579" s="1946"/>
      <c r="BE579" s="1946"/>
      <c r="BF579" s="1946"/>
      <c r="BG579" s="7213"/>
    </row>
    <row customHeight="1" ht="0.75">
      <c r="A580" s="1290" t="s">
        <v>1253</v>
      </c>
      <c r="B580" s="1290"/>
      <c r="C580" s="1290"/>
      <c r="D580" s="1284"/>
      <c r="E580" s="1294"/>
      <c r="F580" s="2673">
        <v>2024</v>
      </c>
      <c r="G580" s="2652"/>
      <c r="H580" s="2677" t="s">
        <v>488</v>
      </c>
      <c r="I580" s="2678"/>
      <c r="J580" s="2679"/>
      <c r="K580" s="2679"/>
      <c r="L580" s="2671"/>
      <c r="M580" s="2405"/>
      <c r="N580" s="2157"/>
      <c r="O580" s="2156"/>
      <c r="P580" s="2157"/>
      <c r="Q580" s="2157"/>
      <c r="R580" s="2157"/>
      <c r="S580" s="2157"/>
      <c r="T580" s="2157"/>
      <c r="U580" s="2157"/>
      <c r="V580" s="2157"/>
      <c r="W580" s="2157"/>
      <c r="X580" s="2157"/>
      <c r="Y580" s="2157"/>
      <c r="Z580" s="2157"/>
      <c r="AA580" s="2157"/>
      <c r="AB580" s="2157"/>
      <c r="AC580" s="2157"/>
      <c r="AD580" s="2157"/>
      <c r="AE580" s="2157"/>
      <c r="AF580" s="2675"/>
      <c r="AG580" s="2671"/>
      <c r="AH580" s="2671"/>
      <c r="AI580" s="2675"/>
      <c r="AJ580" s="2671"/>
      <c r="AK580" s="2671"/>
      <c r="AL580" s="2109"/>
      <c r="AM580" s="1946"/>
      <c r="AN580" s="1946"/>
      <c r="AO580" s="1946"/>
      <c r="AP580" s="1946"/>
      <c r="AQ580" s="1946"/>
      <c r="AR580" s="1946"/>
      <c r="AS580" s="1946"/>
      <c r="AT580" s="1946"/>
      <c r="AU580" s="1946"/>
      <c r="AV580" s="1946"/>
      <c r="AW580" s="1946"/>
      <c r="AX580" s="1946"/>
      <c r="AY580" s="1946"/>
      <c r="AZ580" s="1946"/>
      <c r="BA580" s="1946"/>
      <c r="BB580" s="1946"/>
      <c r="BC580" s="1946"/>
      <c r="BD580" s="1946"/>
      <c r="BE580" s="1946"/>
      <c r="BF580" s="1946"/>
      <c r="BG580" s="7213"/>
    </row>
    <row customHeight="1" ht="0.75">
      <c r="A581" s="1290" t="s">
        <v>1253</v>
      </c>
      <c r="B581" s="1290"/>
      <c r="C581" s="1290"/>
      <c r="D581" s="1284"/>
      <c r="E581" s="1294"/>
      <c r="F581" s="2673"/>
      <c r="G581" s="2652"/>
      <c r="H581" s="2677"/>
      <c r="I581" s="2678"/>
      <c r="J581" s="2679"/>
      <c r="K581" s="2679"/>
      <c r="L581" s="2671"/>
      <c r="M581" s="2405"/>
      <c r="N581" s="2680"/>
      <c r="O581" s="2681"/>
      <c r="P581" s="2725"/>
      <c r="Q581" s="2676"/>
      <c r="R581" s="2676"/>
      <c r="S581" s="2676"/>
      <c r="T581" s="2676"/>
      <c r="U581" s="2676"/>
      <c r="V581" s="2676"/>
      <c r="W581" s="2676"/>
      <c r="X581" s="2676"/>
      <c r="Y581" s="2676"/>
      <c r="Z581" s="2158"/>
      <c r="AA581" s="2159"/>
      <c r="AB581" s="2159"/>
      <c r="AC581" s="2160"/>
      <c r="AD581" s="2160"/>
      <c r="AE581" s="2161"/>
      <c r="AF581" s="2675"/>
      <c r="AG581" s="2671"/>
      <c r="AH581" s="2671"/>
      <c r="AI581" s="2675"/>
      <c r="AJ581" s="2671"/>
      <c r="AK581" s="2671"/>
      <c r="AL581" s="2109"/>
      <c r="AM581" s="1946"/>
      <c r="AN581" s="1946"/>
      <c r="AO581" s="1946"/>
      <c r="AP581" s="1946"/>
      <c r="AQ581" s="1946"/>
      <c r="AR581" s="1946"/>
      <c r="AS581" s="1946"/>
      <c r="AT581" s="1946"/>
      <c r="AU581" s="1946"/>
      <c r="AV581" s="1946"/>
      <c r="AW581" s="1946"/>
      <c r="AX581" s="1946"/>
      <c r="AY581" s="1946"/>
      <c r="AZ581" s="1946"/>
      <c r="BA581" s="1946"/>
      <c r="BB581" s="1946"/>
      <c r="BC581" s="1946"/>
      <c r="BD581" s="1946"/>
      <c r="BE581" s="1946"/>
      <c r="BF581" s="1946"/>
      <c r="BG581" s="7213"/>
    </row>
    <row customHeight="1" ht="0.75">
      <c r="A582" s="1290" t="s">
        <v>1253</v>
      </c>
      <c r="B582" s="1290"/>
      <c r="C582" s="1290"/>
      <c r="D582" s="1284"/>
      <c r="E582" s="1294"/>
      <c r="F582" s="2673"/>
      <c r="G582" s="2652"/>
      <c r="H582" s="2677"/>
      <c r="I582" s="2678"/>
      <c r="J582" s="2679"/>
      <c r="K582" s="2679"/>
      <c r="L582" s="2671"/>
      <c r="M582" s="2405"/>
      <c r="N582" s="2680"/>
      <c r="O582" s="2681"/>
      <c r="P582" s="2726"/>
      <c r="Q582" s="2676"/>
      <c r="R582" s="2676"/>
      <c r="S582" s="2676"/>
      <c r="T582" s="2676"/>
      <c r="U582" s="2676"/>
      <c r="V582" s="2676"/>
      <c r="W582" s="2676"/>
      <c r="X582" s="2676"/>
      <c r="Y582" s="2676"/>
      <c r="Z582" s="2162"/>
      <c r="AA582" s="2163"/>
      <c r="AB582" s="2164"/>
      <c r="AC582" s="2165"/>
      <c r="AD582" s="2164"/>
      <c r="AE582" s="2165"/>
      <c r="AF582" s="2675"/>
      <c r="AG582" s="2671"/>
      <c r="AH582" s="2671"/>
      <c r="AI582" s="2675"/>
      <c r="AJ582" s="2671"/>
      <c r="AK582" s="2671"/>
      <c r="AL582" s="2109"/>
      <c r="AM582" s="1946"/>
      <c r="AN582" s="1946"/>
      <c r="AO582" s="1946"/>
      <c r="AP582" s="1946"/>
      <c r="AQ582" s="1946"/>
      <c r="AR582" s="1946"/>
      <c r="AS582" s="1946"/>
      <c r="AT582" s="1946"/>
      <c r="AU582" s="1946"/>
      <c r="AV582" s="1946"/>
      <c r="AW582" s="1946"/>
      <c r="AX582" s="1946"/>
      <c r="AY582" s="1946"/>
      <c r="AZ582" s="1946"/>
      <c r="BA582" s="1946"/>
      <c r="BB582" s="1946"/>
      <c r="BC582" s="1946"/>
      <c r="BD582" s="1946"/>
      <c r="BE582" s="1946"/>
      <c r="BF582" s="1946"/>
      <c r="BG582" s="7213"/>
    </row>
    <row customHeight="1" ht="0.75">
      <c r="A583" s="1290" t="s">
        <v>1253</v>
      </c>
      <c r="B583" s="1290"/>
      <c r="C583" s="1290"/>
      <c r="D583" s="1284"/>
      <c r="E583" s="1294"/>
      <c r="F583" s="2673"/>
      <c r="G583" s="2652"/>
      <c r="H583" s="2677"/>
      <c r="I583" s="2678"/>
      <c r="J583" s="2679"/>
      <c r="K583" s="2679"/>
      <c r="L583" s="2671"/>
      <c r="M583" s="2405"/>
      <c r="N583" s="2680"/>
      <c r="O583" s="2681"/>
      <c r="P583" s="2727"/>
      <c r="Q583" s="2676"/>
      <c r="R583" s="2676"/>
      <c r="S583" s="2676"/>
      <c r="T583" s="2676"/>
      <c r="U583" s="2676"/>
      <c r="V583" s="2676"/>
      <c r="W583" s="2676"/>
      <c r="X583" s="2676"/>
      <c r="Y583" s="2676"/>
      <c r="Z583" s="2158"/>
      <c r="AA583" s="2159"/>
      <c r="AB583" s="2166"/>
      <c r="AC583" s="2160"/>
      <c r="AD583" s="2160"/>
      <c r="AE583" s="2167"/>
      <c r="AF583" s="2675"/>
      <c r="AG583" s="2671"/>
      <c r="AH583" s="2671"/>
      <c r="AI583" s="2675"/>
      <c r="AJ583" s="2671"/>
      <c r="AK583" s="2671"/>
      <c r="AL583" s="2109"/>
      <c r="AM583" s="1946"/>
      <c r="AN583" s="1946"/>
      <c r="AO583" s="1946"/>
      <c r="AP583" s="1946"/>
      <c r="AQ583" s="1946"/>
      <c r="AR583" s="1946"/>
      <c r="AS583" s="1946"/>
      <c r="AT583" s="1946"/>
      <c r="AU583" s="1946"/>
      <c r="AV583" s="1946"/>
      <c r="AW583" s="1946"/>
      <c r="AX583" s="1946"/>
      <c r="AY583" s="1946"/>
      <c r="AZ583" s="1946"/>
      <c r="BA583" s="1946"/>
      <c r="BB583" s="1946"/>
      <c r="BC583" s="1946"/>
      <c r="BD583" s="1946"/>
      <c r="BE583" s="1946"/>
      <c r="BF583" s="1946"/>
      <c r="BG583" s="7213"/>
    </row>
    <row customHeight="1" ht="0.75">
      <c r="A584" s="1290" t="s">
        <v>1253</v>
      </c>
      <c r="B584" s="1290"/>
      <c r="C584" s="1290"/>
      <c r="D584" s="1284"/>
      <c r="E584" s="1294"/>
      <c r="F584" s="2673"/>
      <c r="G584" s="2652"/>
      <c r="H584" s="2677"/>
      <c r="I584" s="2678"/>
      <c r="J584" s="2679"/>
      <c r="K584" s="2679"/>
      <c r="L584" s="2671"/>
      <c r="M584" s="2405"/>
      <c r="N584" s="2159"/>
      <c r="O584" s="2159"/>
      <c r="P584" s="2166"/>
      <c r="Q584" s="2159"/>
      <c r="R584" s="2159"/>
      <c r="S584" s="2159"/>
      <c r="T584" s="2159"/>
      <c r="U584" s="2159"/>
      <c r="V584" s="2159"/>
      <c r="W584" s="2159"/>
      <c r="X584" s="2159"/>
      <c r="Y584" s="2159"/>
      <c r="Z584" s="2159"/>
      <c r="AA584" s="2159"/>
      <c r="AB584" s="2159"/>
      <c r="AC584" s="2159"/>
      <c r="AD584" s="2159"/>
      <c r="AE584" s="2168"/>
      <c r="AF584" s="2675"/>
      <c r="AG584" s="2671"/>
      <c r="AH584" s="2671"/>
      <c r="AI584" s="2675"/>
      <c r="AJ584" s="2671"/>
      <c r="AK584" s="2671"/>
      <c r="AL584" s="2109"/>
      <c r="AM584" s="1946"/>
      <c r="AN584" s="1946"/>
      <c r="AO584" s="1946"/>
      <c r="AP584" s="1946"/>
      <c r="AQ584" s="1946"/>
      <c r="AR584" s="1946"/>
      <c r="AS584" s="1946"/>
      <c r="AT584" s="1946"/>
      <c r="AU584" s="1946"/>
      <c r="AV584" s="1946"/>
      <c r="AW584" s="1946"/>
      <c r="AX584" s="1946"/>
      <c r="AY584" s="1946"/>
      <c r="AZ584" s="1946"/>
      <c r="BA584" s="1946"/>
      <c r="BB584" s="1946"/>
      <c r="BC584" s="1946"/>
      <c r="BD584" s="1946"/>
      <c r="BE584" s="1946"/>
      <c r="BF584" s="1946"/>
      <c r="BG584" s="7213"/>
    </row>
    <row customHeight="1" ht="11.25">
      <c r="A585" s="1290" t="s">
        <v>1253</v>
      </c>
      <c r="B585" s="1290"/>
      <c r="C585" s="1290"/>
      <c r="D585" s="1284"/>
      <c r="E585" s="1294"/>
      <c r="F585" s="1952"/>
      <c r="G585" s="7121" t="s">
        <v>103</v>
      </c>
      <c r="H585" s="2652" t="s">
        <v>210</v>
      </c>
      <c r="I585" s="2653"/>
      <c r="J585" s="2622"/>
      <c r="K585" s="2654" t="s">
        <v>1427</v>
      </c>
      <c r="L585" s="2244" t="s">
        <v>19</v>
      </c>
      <c r="M585" s="2245"/>
      <c r="N585" s="2107"/>
      <c r="O585" s="1301" t="s">
        <v>488</v>
      </c>
      <c r="P585" s="1302"/>
      <c r="Q585" s="1302"/>
      <c r="R585" s="1302"/>
      <c r="S585" s="1302"/>
      <c r="T585" s="1302"/>
      <c r="U585" s="1302"/>
      <c r="V585" s="1302"/>
      <c r="W585" s="1302"/>
      <c r="X585" s="1302"/>
      <c r="Y585" s="1302"/>
      <c r="Z585" s="1302"/>
      <c r="AA585" s="1302"/>
      <c r="AB585" s="1302"/>
      <c r="AC585" s="1302"/>
      <c r="AD585" s="1302"/>
      <c r="AE585" s="1302"/>
      <c r="AF585" s="2643">
        <v>2024</v>
      </c>
      <c r="AG585" s="2644" t="s">
        <v>1296</v>
      </c>
      <c r="AH585" s="2644" t="s">
        <v>1297</v>
      </c>
      <c r="AI585" s="2643">
        <v>2024</v>
      </c>
      <c r="AJ585" s="2644" t="s">
        <v>1296</v>
      </c>
      <c r="AK585" s="2644" t="s">
        <v>1297</v>
      </c>
      <c r="AL585" s="2109"/>
      <c r="AM585" s="1946"/>
      <c r="AN585" s="1946"/>
      <c r="AO585" s="1946"/>
      <c r="AP585" s="1946"/>
      <c r="AQ585" s="1946"/>
      <c r="AR585" s="1946"/>
      <c r="AS585" s="1946"/>
      <c r="AT585" s="1946"/>
      <c r="AU585" s="1946"/>
      <c r="AV585" s="1946"/>
      <c r="AW585" s="1946"/>
      <c r="AX585" s="1946"/>
      <c r="AY585" s="1946"/>
      <c r="AZ585" s="1946"/>
      <c r="BA585" s="1946"/>
      <c r="BB585" s="1946"/>
      <c r="BC585" s="1946"/>
      <c r="BD585" s="1946"/>
      <c r="BE585" s="1946"/>
      <c r="BF585" s="1946"/>
      <c r="BG585" s="7213"/>
    </row>
    <row customHeight="1" ht="11.25">
      <c r="A586" s="1290" t="s">
        <v>1253</v>
      </c>
      <c r="B586" s="1290"/>
      <c r="C586" s="1290"/>
      <c r="D586" s="1284"/>
      <c r="E586" s="1294"/>
      <c r="F586" s="1952"/>
      <c r="G586" s="1953"/>
      <c r="H586" s="2652" t="s">
        <v>488</v>
      </c>
      <c r="I586" s="2653"/>
      <c r="J586" s="2622"/>
      <c r="K586" s="2654"/>
      <c r="L586" s="2244"/>
      <c r="M586" s="2245"/>
      <c r="N586" s="2645"/>
      <c r="O586" s="2646">
        <v>1</v>
      </c>
      <c r="P586" s="2647" t="s">
        <v>62</v>
      </c>
      <c r="Q586" s="11136" t="s">
        <v>1428</v>
      </c>
      <c r="R586" s="11137" t="s">
        <v>1299</v>
      </c>
      <c r="S586" s="11137" t="s">
        <v>157</v>
      </c>
      <c r="T586" s="11137" t="s">
        <v>1429</v>
      </c>
      <c r="U586" s="11137" t="s">
        <v>1430</v>
      </c>
      <c r="V586" s="11137" t="s">
        <v>1431</v>
      </c>
      <c r="W586" s="11137" t="s">
        <v>1432</v>
      </c>
      <c r="X586" s="11137" t="s">
        <v>1433</v>
      </c>
      <c r="Y586" s="11137" t="s">
        <v>1355</v>
      </c>
      <c r="Z586" s="1299"/>
      <c r="AA586" s="1300"/>
      <c r="AB586" s="1300"/>
      <c r="AC586" s="1304"/>
      <c r="AD586" s="1304"/>
      <c r="AE586" s="1305"/>
      <c r="AF586" s="2643"/>
      <c r="AG586" s="2644"/>
      <c r="AH586" s="2644"/>
      <c r="AI586" s="2643"/>
      <c r="AJ586" s="2644"/>
      <c r="AK586" s="2644"/>
      <c r="AL586" s="2109"/>
      <c r="AM586" s="1946"/>
      <c r="AN586" s="1946"/>
      <c r="AO586" s="1946"/>
      <c r="AP586" s="1946"/>
      <c r="AQ586" s="1946"/>
      <c r="AR586" s="1946"/>
      <c r="AS586" s="1946"/>
      <c r="AT586" s="1946"/>
      <c r="AU586" s="1946"/>
      <c r="AV586" s="1946"/>
      <c r="AW586" s="1946"/>
      <c r="AX586" s="1946"/>
      <c r="AY586" s="1946"/>
      <c r="AZ586" s="1946"/>
      <c r="BA586" s="1946"/>
      <c r="BB586" s="1946"/>
      <c r="BC586" s="1946"/>
      <c r="BD586" s="1946"/>
      <c r="BE586" s="1946"/>
      <c r="BF586" s="1946"/>
      <c r="BG586" s="7213"/>
    </row>
    <row customHeight="1" ht="11.25">
      <c r="A587" s="1290" t="s">
        <v>1253</v>
      </c>
      <c r="B587" s="1290"/>
      <c r="C587" s="1290"/>
      <c r="D587" s="1284"/>
      <c r="E587" s="1294"/>
      <c r="F587" s="1952"/>
      <c r="G587" s="1953"/>
      <c r="H587" s="2652" t="s">
        <v>488</v>
      </c>
      <c r="I587" s="2653"/>
      <c r="J587" s="2622"/>
      <c r="K587" s="2654"/>
      <c r="L587" s="2244"/>
      <c r="M587" s="2245"/>
      <c r="N587" s="2645"/>
      <c r="O587" s="2646"/>
      <c r="P587" s="2648"/>
      <c r="Q587" s="11136"/>
      <c r="R587" s="2650"/>
      <c r="S587" s="2651"/>
      <c r="T587" s="2650"/>
      <c r="U587" s="2650"/>
      <c r="V587" s="2650"/>
      <c r="W587" s="2650"/>
      <c r="X587" s="2650"/>
      <c r="Y587" s="2650"/>
      <c r="Z587" s="1951"/>
      <c r="AA587" s="1917">
        <v>1</v>
      </c>
      <c r="AB587" s="1303" t="s">
        <v>1306</v>
      </c>
      <c r="AC587" s="1293">
        <v>143</v>
      </c>
      <c r="AD587" s="1303" t="str">
        <f>AB587</f>
        <v>  Прибыль направляемая на инвестиции</v>
      </c>
      <c r="AE587" s="1293">
        <v>143</v>
      </c>
      <c r="AF587" s="2643"/>
      <c r="AG587" s="2644"/>
      <c r="AH587" s="2644"/>
      <c r="AI587" s="2643"/>
      <c r="AJ587" s="2644"/>
      <c r="AK587" s="2644"/>
      <c r="AL587" s="2109"/>
      <c r="AM587" s="1946"/>
      <c r="AN587" s="1946"/>
      <c r="AO587" s="1946"/>
      <c r="AP587" s="1946"/>
      <c r="AQ587" s="1946"/>
      <c r="AR587" s="1946"/>
      <c r="AS587" s="1946"/>
      <c r="AT587" s="1946"/>
      <c r="AU587" s="1946"/>
      <c r="AV587" s="1946"/>
      <c r="AW587" s="1946"/>
      <c r="AX587" s="1946"/>
      <c r="AY587" s="1946"/>
      <c r="AZ587" s="1946"/>
      <c r="BA587" s="1946"/>
      <c r="BB587" s="1946"/>
      <c r="BC587" s="1946"/>
      <c r="BD587" s="1946"/>
      <c r="BE587" s="1946"/>
      <c r="BF587" s="1946"/>
      <c r="BG587" s="7213"/>
    </row>
    <row customHeight="1" ht="11.25">
      <c r="A588" s="1290" t="s">
        <v>1253</v>
      </c>
      <c r="B588" s="1290"/>
      <c r="C588" s="1290"/>
      <c r="D588" s="1284"/>
      <c r="E588" s="1294"/>
      <c r="F588" s="1952"/>
      <c r="G588" s="1953"/>
      <c r="H588" s="2652" t="s">
        <v>488</v>
      </c>
      <c r="I588" s="2653"/>
      <c r="J588" s="2622"/>
      <c r="K588" s="2654"/>
      <c r="L588" s="2244"/>
      <c r="M588" s="2245"/>
      <c r="N588" s="2645"/>
      <c r="O588" s="2646"/>
      <c r="P588" s="2649"/>
      <c r="Q588" s="11136"/>
      <c r="R588" s="2650"/>
      <c r="S588" s="2651"/>
      <c r="T588" s="2650"/>
      <c r="U588" s="2650"/>
      <c r="V588" s="2650"/>
      <c r="W588" s="2650"/>
      <c r="X588" s="2650"/>
      <c r="Y588" s="2650"/>
      <c r="Z588" s="1299"/>
      <c r="AA588" s="1300"/>
      <c r="AB588" s="1365" t="s">
        <v>1309</v>
      </c>
      <c r="AC588" s="1304"/>
      <c r="AD588" s="1304"/>
      <c r="AE588" s="1306"/>
      <c r="AF588" s="2643"/>
      <c r="AG588" s="2644"/>
      <c r="AH588" s="2644"/>
      <c r="AI588" s="2643"/>
      <c r="AJ588" s="2644"/>
      <c r="AK588" s="2644"/>
      <c r="AL588" s="2109"/>
      <c r="AM588" s="1946"/>
      <c r="AN588" s="1946"/>
      <c r="AO588" s="1946"/>
      <c r="AP588" s="1946"/>
      <c r="AQ588" s="1946"/>
      <c r="AR588" s="1946"/>
      <c r="AS588" s="1946"/>
      <c r="AT588" s="1946"/>
      <c r="AU588" s="1946"/>
      <c r="AV588" s="1946"/>
      <c r="AW588" s="1946"/>
      <c r="AX588" s="1946"/>
      <c r="AY588" s="1946"/>
      <c r="AZ588" s="1946"/>
      <c r="BA588" s="1946"/>
      <c r="BB588" s="1946"/>
      <c r="BC588" s="1946"/>
      <c r="BD588" s="1946"/>
      <c r="BE588" s="1946"/>
      <c r="BF588" s="1946"/>
      <c r="BG588" s="7213"/>
    </row>
    <row customHeight="1" ht="11.25">
      <c r="A589" s="1290" t="s">
        <v>1253</v>
      </c>
      <c r="B589" s="1290"/>
      <c r="C589" s="1290"/>
      <c r="D589" s="1284"/>
      <c r="E589" s="1294"/>
      <c r="F589" s="1952"/>
      <c r="G589" s="1953"/>
      <c r="H589" s="2652" t="s">
        <v>488</v>
      </c>
      <c r="I589" s="2653"/>
      <c r="J589" s="2622"/>
      <c r="K589" s="2654"/>
      <c r="L589" s="2244"/>
      <c r="M589" s="2245"/>
      <c r="N589" s="1299"/>
      <c r="O589" s="1300"/>
      <c r="P589" s="1292" t="s">
        <v>1310</v>
      </c>
      <c r="Q589" s="1300"/>
      <c r="R589" s="1300"/>
      <c r="S589" s="1300"/>
      <c r="T589" s="1300"/>
      <c r="U589" s="1300"/>
      <c r="V589" s="1300"/>
      <c r="W589" s="1300"/>
      <c r="X589" s="1300"/>
      <c r="Y589" s="1300"/>
      <c r="Z589" s="1300"/>
      <c r="AA589" s="1300"/>
      <c r="AB589" s="1300"/>
      <c r="AC589" s="1300"/>
      <c r="AD589" s="1300"/>
      <c r="AE589" s="1307"/>
      <c r="AF589" s="2643"/>
      <c r="AG589" s="2644"/>
      <c r="AH589" s="2644"/>
      <c r="AI589" s="2643"/>
      <c r="AJ589" s="2644"/>
      <c r="AK589" s="2644"/>
      <c r="AL589" s="2109"/>
      <c r="AM589" s="1946"/>
      <c r="AN589" s="1946"/>
      <c r="AO589" s="1946"/>
      <c r="AP589" s="1946"/>
      <c r="AQ589" s="1946"/>
      <c r="AR589" s="1946"/>
      <c r="AS589" s="1946"/>
      <c r="AT589" s="1946"/>
      <c r="AU589" s="1946"/>
      <c r="AV589" s="1946"/>
      <c r="AW589" s="1946"/>
      <c r="AX589" s="1946"/>
      <c r="AY589" s="1946"/>
      <c r="AZ589" s="1946"/>
      <c r="BA589" s="1946"/>
      <c r="BB589" s="1946"/>
      <c r="BC589" s="1946"/>
      <c r="BD589" s="1946"/>
      <c r="BE589" s="1946"/>
      <c r="BF589" s="1946"/>
      <c r="BG589" s="7213"/>
    </row>
    <row customHeight="1" ht="12">
      <c r="A590" s="1290" t="s">
        <v>1253</v>
      </c>
      <c r="B590" s="1290"/>
      <c r="C590" s="1290"/>
      <c r="D590" s="1284"/>
      <c r="E590" s="1294"/>
      <c r="F590" s="2674"/>
      <c r="G590" s="1314"/>
      <c r="H590" s="1314"/>
      <c r="I590" s="2672" t="s">
        <v>1294</v>
      </c>
      <c r="J590" s="2672"/>
      <c r="K590" s="2672"/>
      <c r="L590" s="1297"/>
      <c r="M590" s="1297"/>
      <c r="N590" s="1298"/>
      <c r="O590" s="1298"/>
      <c r="P590" s="1298"/>
      <c r="Q590" s="1298"/>
      <c r="R590" s="1298"/>
      <c r="S590" s="1298"/>
      <c r="T590" s="1298"/>
      <c r="U590" s="1298"/>
      <c r="V590" s="1298"/>
      <c r="W590" s="1298"/>
      <c r="X590" s="1298"/>
      <c r="Y590" s="1298"/>
      <c r="Z590" s="1298"/>
      <c r="AA590" s="1298"/>
      <c r="AB590" s="1298"/>
      <c r="AC590" s="1298"/>
      <c r="AD590" s="1298"/>
      <c r="AE590" s="1298"/>
      <c r="AF590" s="1298"/>
      <c r="AG590" s="1297"/>
      <c r="AH590" s="1297"/>
      <c r="AI590" s="1298"/>
      <c r="AJ590" s="1297"/>
      <c r="AK590" s="1298"/>
      <c r="AL590" s="2109"/>
      <c r="AM590" s="1946"/>
      <c r="AN590" s="1946"/>
      <c r="AO590" s="1946"/>
      <c r="AP590" s="1946"/>
      <c r="AQ590" s="1946"/>
      <c r="AR590" s="1946"/>
      <c r="AS590" s="1946"/>
      <c r="AT590" s="1946"/>
      <c r="AU590" s="1946"/>
      <c r="AV590" s="1946"/>
      <c r="AW590" s="1946"/>
      <c r="AX590" s="1946"/>
      <c r="AY590" s="1946"/>
      <c r="AZ590" s="1946"/>
      <c r="BA590" s="1946"/>
      <c r="BB590" s="1946"/>
      <c r="BC590" s="1946"/>
      <c r="BD590" s="1946"/>
      <c r="BE590" s="1946"/>
      <c r="BF590" s="1946"/>
      <c r="BG590" s="7213"/>
    </row>
    <row customHeight="1" ht="0.75">
      <c r="A591" s="1290" t="s">
        <v>1253</v>
      </c>
      <c r="B591" s="1290"/>
      <c r="C591" s="1290"/>
      <c r="D591" s="1284"/>
      <c r="E591" s="1294"/>
      <c r="F591" s="2673">
        <v>2025</v>
      </c>
      <c r="G591" s="2652"/>
      <c r="H591" s="2677" t="s">
        <v>488</v>
      </c>
      <c r="I591" s="2678"/>
      <c r="J591" s="2679"/>
      <c r="K591" s="2679"/>
      <c r="L591" s="2671"/>
      <c r="M591" s="2405"/>
      <c r="N591" s="2157"/>
      <c r="O591" s="2156"/>
      <c r="P591" s="2157"/>
      <c r="Q591" s="2157"/>
      <c r="R591" s="2157"/>
      <c r="S591" s="2157"/>
      <c r="T591" s="2157"/>
      <c r="U591" s="2157"/>
      <c r="V591" s="2157"/>
      <c r="W591" s="2157"/>
      <c r="X591" s="2157"/>
      <c r="Y591" s="2157"/>
      <c r="Z591" s="2157"/>
      <c r="AA591" s="2157"/>
      <c r="AB591" s="2157"/>
      <c r="AC591" s="2157"/>
      <c r="AD591" s="2157"/>
      <c r="AE591" s="2157"/>
      <c r="AF591" s="2675"/>
      <c r="AG591" s="2671"/>
      <c r="AH591" s="2671"/>
      <c r="AI591" s="2675"/>
      <c r="AJ591" s="2671"/>
      <c r="AK591" s="2671"/>
      <c r="AL591" s="2109"/>
      <c r="AM591" s="1946"/>
      <c r="AN591" s="1946"/>
      <c r="AO591" s="1946"/>
      <c r="AP591" s="1946"/>
      <c r="AQ591" s="1946"/>
      <c r="AR591" s="1946"/>
      <c r="AS591" s="1946"/>
      <c r="AT591" s="1946"/>
      <c r="AU591" s="1946"/>
      <c r="AV591" s="1946"/>
      <c r="AW591" s="1946"/>
      <c r="AX591" s="1946"/>
      <c r="AY591" s="1946"/>
      <c r="AZ591" s="1946"/>
      <c r="BA591" s="1946"/>
      <c r="BB591" s="1946"/>
      <c r="BC591" s="1946"/>
      <c r="BD591" s="1946"/>
      <c r="BE591" s="1946"/>
      <c r="BF591" s="1946"/>
      <c r="BG591" s="7213"/>
    </row>
    <row customHeight="1" ht="0.75">
      <c r="A592" s="1290" t="s">
        <v>1253</v>
      </c>
      <c r="B592" s="1290"/>
      <c r="C592" s="1290"/>
      <c r="D592" s="1284"/>
      <c r="E592" s="1294"/>
      <c r="F592" s="2673"/>
      <c r="G592" s="2652"/>
      <c r="H592" s="2677"/>
      <c r="I592" s="2678"/>
      <c r="J592" s="2679"/>
      <c r="K592" s="2679"/>
      <c r="L592" s="2671"/>
      <c r="M592" s="2405"/>
      <c r="N592" s="2680"/>
      <c r="O592" s="2681"/>
      <c r="P592" s="2725"/>
      <c r="Q592" s="2676"/>
      <c r="R592" s="2676"/>
      <c r="S592" s="2676"/>
      <c r="T592" s="2676"/>
      <c r="U592" s="2676"/>
      <c r="V592" s="2676"/>
      <c r="W592" s="2676"/>
      <c r="X592" s="2676"/>
      <c r="Y592" s="2676"/>
      <c r="Z592" s="2158"/>
      <c r="AA592" s="2159"/>
      <c r="AB592" s="2159"/>
      <c r="AC592" s="2160"/>
      <c r="AD592" s="2160"/>
      <c r="AE592" s="2161"/>
      <c r="AF592" s="2675"/>
      <c r="AG592" s="2671"/>
      <c r="AH592" s="2671"/>
      <c r="AI592" s="2675"/>
      <c r="AJ592" s="2671"/>
      <c r="AK592" s="2671"/>
      <c r="AL592" s="2109"/>
      <c r="AM592" s="1946"/>
      <c r="AN592" s="1946"/>
      <c r="AO592" s="1946"/>
      <c r="AP592" s="1946"/>
      <c r="AQ592" s="1946"/>
      <c r="AR592" s="1946"/>
      <c r="AS592" s="1946"/>
      <c r="AT592" s="1946"/>
      <c r="AU592" s="1946"/>
      <c r="AV592" s="1946"/>
      <c r="AW592" s="1946"/>
      <c r="AX592" s="1946"/>
      <c r="AY592" s="1946"/>
      <c r="AZ592" s="1946"/>
      <c r="BA592" s="1946"/>
      <c r="BB592" s="1946"/>
      <c r="BC592" s="1946"/>
      <c r="BD592" s="1946"/>
      <c r="BE592" s="1946"/>
      <c r="BF592" s="1946"/>
      <c r="BG592" s="7213"/>
    </row>
    <row customHeight="1" ht="0.75">
      <c r="A593" s="1290" t="s">
        <v>1253</v>
      </c>
      <c r="B593" s="1290"/>
      <c r="C593" s="1290"/>
      <c r="D593" s="1284"/>
      <c r="E593" s="1294"/>
      <c r="F593" s="2673"/>
      <c r="G593" s="2652"/>
      <c r="H593" s="2677"/>
      <c r="I593" s="2678"/>
      <c r="J593" s="2679"/>
      <c r="K593" s="2679"/>
      <c r="L593" s="2671"/>
      <c r="M593" s="2405"/>
      <c r="N593" s="2680"/>
      <c r="O593" s="2681"/>
      <c r="P593" s="2726"/>
      <c r="Q593" s="2676"/>
      <c r="R593" s="2676"/>
      <c r="S593" s="2676"/>
      <c r="T593" s="2676"/>
      <c r="U593" s="2676"/>
      <c r="V593" s="2676"/>
      <c r="W593" s="2676"/>
      <c r="X593" s="2676"/>
      <c r="Y593" s="2676"/>
      <c r="Z593" s="2162"/>
      <c r="AA593" s="2163"/>
      <c r="AB593" s="2164"/>
      <c r="AC593" s="2165"/>
      <c r="AD593" s="2164"/>
      <c r="AE593" s="2165"/>
      <c r="AF593" s="2675"/>
      <c r="AG593" s="2671"/>
      <c r="AH593" s="2671"/>
      <c r="AI593" s="2675"/>
      <c r="AJ593" s="2671"/>
      <c r="AK593" s="2671"/>
      <c r="AL593" s="2109"/>
      <c r="AM593" s="1946"/>
      <c r="AN593" s="1946"/>
      <c r="AO593" s="1946"/>
      <c r="AP593" s="1946"/>
      <c r="AQ593" s="1946"/>
      <c r="AR593" s="1946"/>
      <c r="AS593" s="1946"/>
      <c r="AT593" s="1946"/>
      <c r="AU593" s="1946"/>
      <c r="AV593" s="1946"/>
      <c r="AW593" s="1946"/>
      <c r="AX593" s="1946"/>
      <c r="AY593" s="1946"/>
      <c r="AZ593" s="1946"/>
      <c r="BA593" s="1946"/>
      <c r="BB593" s="1946"/>
      <c r="BC593" s="1946"/>
      <c r="BD593" s="1946"/>
      <c r="BE593" s="1946"/>
      <c r="BF593" s="1946"/>
      <c r="BG593" s="7213"/>
    </row>
    <row customHeight="1" ht="0.75">
      <c r="A594" s="1290" t="s">
        <v>1253</v>
      </c>
      <c r="B594" s="1290"/>
      <c r="C594" s="1290"/>
      <c r="D594" s="1284"/>
      <c r="E594" s="1294"/>
      <c r="F594" s="2673"/>
      <c r="G594" s="2652"/>
      <c r="H594" s="2677"/>
      <c r="I594" s="2678"/>
      <c r="J594" s="2679"/>
      <c r="K594" s="2679"/>
      <c r="L594" s="2671"/>
      <c r="M594" s="2405"/>
      <c r="N594" s="2680"/>
      <c r="O594" s="2681"/>
      <c r="P594" s="2727"/>
      <c r="Q594" s="2676"/>
      <c r="R594" s="2676"/>
      <c r="S594" s="2676"/>
      <c r="T594" s="2676"/>
      <c r="U594" s="2676"/>
      <c r="V594" s="2676"/>
      <c r="W594" s="2676"/>
      <c r="X594" s="2676"/>
      <c r="Y594" s="2676"/>
      <c r="Z594" s="2158"/>
      <c r="AA594" s="2159"/>
      <c r="AB594" s="2166"/>
      <c r="AC594" s="2160"/>
      <c r="AD594" s="2160"/>
      <c r="AE594" s="2167"/>
      <c r="AF594" s="2675"/>
      <c r="AG594" s="2671"/>
      <c r="AH594" s="2671"/>
      <c r="AI594" s="2675"/>
      <c r="AJ594" s="2671"/>
      <c r="AK594" s="2671"/>
      <c r="AL594" s="2109"/>
      <c r="AM594" s="1946"/>
      <c r="AN594" s="1946"/>
      <c r="AO594" s="1946"/>
      <c r="AP594" s="1946"/>
      <c r="AQ594" s="1946"/>
      <c r="AR594" s="1946"/>
      <c r="AS594" s="1946"/>
      <c r="AT594" s="1946"/>
      <c r="AU594" s="1946"/>
      <c r="AV594" s="1946"/>
      <c r="AW594" s="1946"/>
      <c r="AX594" s="1946"/>
      <c r="AY594" s="1946"/>
      <c r="AZ594" s="1946"/>
      <c r="BA594" s="1946"/>
      <c r="BB594" s="1946"/>
      <c r="BC594" s="1946"/>
      <c r="BD594" s="1946"/>
      <c r="BE594" s="1946"/>
      <c r="BF594" s="1946"/>
      <c r="BG594" s="7213"/>
    </row>
    <row customHeight="1" ht="0.75">
      <c r="A595" s="1290" t="s">
        <v>1253</v>
      </c>
      <c r="B595" s="1290"/>
      <c r="C595" s="1290"/>
      <c r="D595" s="1284"/>
      <c r="E595" s="1294"/>
      <c r="F595" s="2673"/>
      <c r="G595" s="2652"/>
      <c r="H595" s="2677"/>
      <c r="I595" s="2678"/>
      <c r="J595" s="2679"/>
      <c r="K595" s="2679"/>
      <c r="L595" s="2671"/>
      <c r="M595" s="2405"/>
      <c r="N595" s="2159"/>
      <c r="O595" s="2159"/>
      <c r="P595" s="2166"/>
      <c r="Q595" s="2159"/>
      <c r="R595" s="2159"/>
      <c r="S595" s="2159"/>
      <c r="T595" s="2159"/>
      <c r="U595" s="2159"/>
      <c r="V595" s="2159"/>
      <c r="W595" s="2159"/>
      <c r="X595" s="2159"/>
      <c r="Y595" s="2159"/>
      <c r="Z595" s="2159"/>
      <c r="AA595" s="2159"/>
      <c r="AB595" s="2159"/>
      <c r="AC595" s="2159"/>
      <c r="AD595" s="2159"/>
      <c r="AE595" s="2168"/>
      <c r="AF595" s="2675"/>
      <c r="AG595" s="2671"/>
      <c r="AH595" s="2671"/>
      <c r="AI595" s="2675"/>
      <c r="AJ595" s="2671"/>
      <c r="AK595" s="2671"/>
      <c r="AL595" s="2109"/>
      <c r="AM595" s="1946"/>
      <c r="AN595" s="1946"/>
      <c r="AO595" s="1946"/>
      <c r="AP595" s="1946"/>
      <c r="AQ595" s="1946"/>
      <c r="AR595" s="1946"/>
      <c r="AS595" s="1946"/>
      <c r="AT595" s="1946"/>
      <c r="AU595" s="1946"/>
      <c r="AV595" s="1946"/>
      <c r="AW595" s="1946"/>
      <c r="AX595" s="1946"/>
      <c r="AY595" s="1946"/>
      <c r="AZ595" s="1946"/>
      <c r="BA595" s="1946"/>
      <c r="BB595" s="1946"/>
      <c r="BC595" s="1946"/>
      <c r="BD595" s="1946"/>
      <c r="BE595" s="1946"/>
      <c r="BF595" s="1946"/>
      <c r="BG595" s="7213"/>
    </row>
    <row customHeight="1" ht="12">
      <c r="A596" s="1290" t="s">
        <v>1253</v>
      </c>
      <c r="B596" s="1290"/>
      <c r="C596" s="1290"/>
      <c r="D596" s="1284"/>
      <c r="E596" s="1294"/>
      <c r="F596" s="2674"/>
      <c r="G596" s="1314"/>
      <c r="H596" s="1314"/>
      <c r="I596" s="2672" t="s">
        <v>1294</v>
      </c>
      <c r="J596" s="2672"/>
      <c r="K596" s="2672"/>
      <c r="L596" s="1297"/>
      <c r="M596" s="1297"/>
      <c r="N596" s="1298"/>
      <c r="O596" s="1298"/>
      <c r="P596" s="1298"/>
      <c r="Q596" s="1298"/>
      <c r="R596" s="1298"/>
      <c r="S596" s="1298"/>
      <c r="T596" s="1298"/>
      <c r="U596" s="1298"/>
      <c r="V596" s="1298"/>
      <c r="W596" s="1298"/>
      <c r="X596" s="1298"/>
      <c r="Y596" s="1298"/>
      <c r="Z596" s="1298"/>
      <c r="AA596" s="1298"/>
      <c r="AB596" s="1298"/>
      <c r="AC596" s="1298"/>
      <c r="AD596" s="1298"/>
      <c r="AE596" s="1298"/>
      <c r="AF596" s="1298"/>
      <c r="AG596" s="1297"/>
      <c r="AH596" s="1297"/>
      <c r="AI596" s="1298"/>
      <c r="AJ596" s="1297"/>
      <c r="AK596" s="1298"/>
      <c r="AL596" s="2109"/>
      <c r="AM596" s="1946"/>
      <c r="AN596" s="1946"/>
      <c r="AO596" s="1946"/>
      <c r="AP596" s="1946"/>
      <c r="AQ596" s="1946"/>
      <c r="AR596" s="1946"/>
      <c r="AS596" s="1946"/>
      <c r="AT596" s="1946"/>
      <c r="AU596" s="1946"/>
      <c r="AV596" s="1946"/>
      <c r="AW596" s="1946"/>
      <c r="AX596" s="1946"/>
      <c r="AY596" s="1946"/>
      <c r="AZ596" s="1946"/>
      <c r="BA596" s="1946"/>
      <c r="BB596" s="1946"/>
      <c r="BC596" s="1946"/>
      <c r="BD596" s="1946"/>
      <c r="BE596" s="1946"/>
      <c r="BF596" s="1946"/>
      <c r="BG596" s="7213"/>
    </row>
    <row customHeight="1" ht="0.75">
      <c r="A597" s="1290" t="s">
        <v>1253</v>
      </c>
      <c r="B597" s="1290"/>
      <c r="C597" s="1290"/>
      <c r="D597" s="1284"/>
      <c r="E597" s="1294"/>
      <c r="F597" s="2673">
        <v>2026</v>
      </c>
      <c r="G597" s="2652"/>
      <c r="H597" s="2677" t="s">
        <v>488</v>
      </c>
      <c r="I597" s="2678"/>
      <c r="J597" s="2679"/>
      <c r="K597" s="2679"/>
      <c r="L597" s="2671"/>
      <c r="M597" s="2405"/>
      <c r="N597" s="2157"/>
      <c r="O597" s="2156"/>
      <c r="P597" s="2157"/>
      <c r="Q597" s="2157"/>
      <c r="R597" s="2157"/>
      <c r="S597" s="2157"/>
      <c r="T597" s="2157"/>
      <c r="U597" s="2157"/>
      <c r="V597" s="2157"/>
      <c r="W597" s="2157"/>
      <c r="X597" s="2157"/>
      <c r="Y597" s="2157"/>
      <c r="Z597" s="2157"/>
      <c r="AA597" s="2157"/>
      <c r="AB597" s="2157"/>
      <c r="AC597" s="2157"/>
      <c r="AD597" s="2157"/>
      <c r="AE597" s="2157"/>
      <c r="AF597" s="2675"/>
      <c r="AG597" s="2671"/>
      <c r="AH597" s="2671"/>
      <c r="AI597" s="2675"/>
      <c r="AJ597" s="2671"/>
      <c r="AK597" s="2671"/>
      <c r="AL597" s="2109"/>
      <c r="AM597" s="1946"/>
      <c r="AN597" s="1946"/>
      <c r="AO597" s="1946"/>
      <c r="AP597" s="1946"/>
      <c r="AQ597" s="1946"/>
      <c r="AR597" s="1946"/>
      <c r="AS597" s="1946"/>
      <c r="AT597" s="1946"/>
      <c r="AU597" s="1946"/>
      <c r="AV597" s="1946"/>
      <c r="AW597" s="1946"/>
      <c r="AX597" s="1946"/>
      <c r="AY597" s="1946"/>
      <c r="AZ597" s="1946"/>
      <c r="BA597" s="1946"/>
      <c r="BB597" s="1946"/>
      <c r="BC597" s="1946"/>
      <c r="BD597" s="1946"/>
      <c r="BE597" s="1946"/>
      <c r="BF597" s="1946"/>
      <c r="BG597" s="7213"/>
    </row>
    <row customHeight="1" ht="0.75">
      <c r="A598" s="1290" t="s">
        <v>1253</v>
      </c>
      <c r="B598" s="1290"/>
      <c r="C598" s="1290"/>
      <c r="D598" s="1284"/>
      <c r="E598" s="1294"/>
      <c r="F598" s="2673"/>
      <c r="G598" s="2652"/>
      <c r="H598" s="2677"/>
      <c r="I598" s="2678"/>
      <c r="J598" s="2679"/>
      <c r="K598" s="2679"/>
      <c r="L598" s="2671"/>
      <c r="M598" s="2405"/>
      <c r="N598" s="2680"/>
      <c r="O598" s="2681"/>
      <c r="P598" s="2725"/>
      <c r="Q598" s="2676"/>
      <c r="R598" s="2676"/>
      <c r="S598" s="2676"/>
      <c r="T598" s="2676"/>
      <c r="U598" s="2676"/>
      <c r="V598" s="2676"/>
      <c r="W598" s="2676"/>
      <c r="X598" s="2676"/>
      <c r="Y598" s="2676"/>
      <c r="Z598" s="2158"/>
      <c r="AA598" s="2159"/>
      <c r="AB598" s="2159"/>
      <c r="AC598" s="2160"/>
      <c r="AD598" s="2160"/>
      <c r="AE598" s="2161"/>
      <c r="AF598" s="2675"/>
      <c r="AG598" s="2671"/>
      <c r="AH598" s="2671"/>
      <c r="AI598" s="2675"/>
      <c r="AJ598" s="2671"/>
      <c r="AK598" s="2671"/>
      <c r="AL598" s="2109"/>
      <c r="AM598" s="1946"/>
      <c r="AN598" s="1946"/>
      <c r="AO598" s="1946"/>
      <c r="AP598" s="1946"/>
      <c r="AQ598" s="1946"/>
      <c r="AR598" s="1946"/>
      <c r="AS598" s="1946"/>
      <c r="AT598" s="1946"/>
      <c r="AU598" s="1946"/>
      <c r="AV598" s="1946"/>
      <c r="AW598" s="1946"/>
      <c r="AX598" s="1946"/>
      <c r="AY598" s="1946"/>
      <c r="AZ598" s="1946"/>
      <c r="BA598" s="1946"/>
      <c r="BB598" s="1946"/>
      <c r="BC598" s="1946"/>
      <c r="BD598" s="1946"/>
      <c r="BE598" s="1946"/>
      <c r="BF598" s="1946"/>
      <c r="BG598" s="7213"/>
    </row>
    <row customHeight="1" ht="0.75">
      <c r="A599" s="1290" t="s">
        <v>1253</v>
      </c>
      <c r="B599" s="1290"/>
      <c r="C599" s="1290"/>
      <c r="D599" s="1284"/>
      <c r="E599" s="1294"/>
      <c r="F599" s="2673"/>
      <c r="G599" s="2652"/>
      <c r="H599" s="2677"/>
      <c r="I599" s="2678"/>
      <c r="J599" s="2679"/>
      <c r="K599" s="2679"/>
      <c r="L599" s="2671"/>
      <c r="M599" s="2405"/>
      <c r="N599" s="2680"/>
      <c r="O599" s="2681"/>
      <c r="P599" s="2726"/>
      <c r="Q599" s="2676"/>
      <c r="R599" s="2676"/>
      <c r="S599" s="2676"/>
      <c r="T599" s="2676"/>
      <c r="U599" s="2676"/>
      <c r="V599" s="2676"/>
      <c r="W599" s="2676"/>
      <c r="X599" s="2676"/>
      <c r="Y599" s="2676"/>
      <c r="Z599" s="2162"/>
      <c r="AA599" s="2163"/>
      <c r="AB599" s="2164"/>
      <c r="AC599" s="2165"/>
      <c r="AD599" s="2164"/>
      <c r="AE599" s="2165"/>
      <c r="AF599" s="2675"/>
      <c r="AG599" s="2671"/>
      <c r="AH599" s="2671"/>
      <c r="AI599" s="2675"/>
      <c r="AJ599" s="2671"/>
      <c r="AK599" s="2671"/>
      <c r="AL599" s="2109"/>
      <c r="AM599" s="1946"/>
      <c r="AN599" s="1946"/>
      <c r="AO599" s="1946"/>
      <c r="AP599" s="1946"/>
      <c r="AQ599" s="1946"/>
      <c r="AR599" s="1946"/>
      <c r="AS599" s="1946"/>
      <c r="AT599" s="1946"/>
      <c r="AU599" s="1946"/>
      <c r="AV599" s="1946"/>
      <c r="AW599" s="1946"/>
      <c r="AX599" s="1946"/>
      <c r="AY599" s="1946"/>
      <c r="AZ599" s="1946"/>
      <c r="BA599" s="1946"/>
      <c r="BB599" s="1946"/>
      <c r="BC599" s="1946"/>
      <c r="BD599" s="1946"/>
      <c r="BE599" s="1946"/>
      <c r="BF599" s="1946"/>
      <c r="BG599" s="7213"/>
    </row>
    <row customHeight="1" ht="0.75">
      <c r="A600" s="1290" t="s">
        <v>1253</v>
      </c>
      <c r="B600" s="1290"/>
      <c r="C600" s="1290"/>
      <c r="D600" s="1284"/>
      <c r="E600" s="1294"/>
      <c r="F600" s="2673"/>
      <c r="G600" s="2652"/>
      <c r="H600" s="2677"/>
      <c r="I600" s="2678"/>
      <c r="J600" s="2679"/>
      <c r="K600" s="2679"/>
      <c r="L600" s="2671"/>
      <c r="M600" s="2405"/>
      <c r="N600" s="2680"/>
      <c r="O600" s="2681"/>
      <c r="P600" s="2727"/>
      <c r="Q600" s="2676"/>
      <c r="R600" s="2676"/>
      <c r="S600" s="2676"/>
      <c r="T600" s="2676"/>
      <c r="U600" s="2676"/>
      <c r="V600" s="2676"/>
      <c r="W600" s="2676"/>
      <c r="X600" s="2676"/>
      <c r="Y600" s="2676"/>
      <c r="Z600" s="2158"/>
      <c r="AA600" s="2159"/>
      <c r="AB600" s="2166"/>
      <c r="AC600" s="2160"/>
      <c r="AD600" s="2160"/>
      <c r="AE600" s="2167"/>
      <c r="AF600" s="2675"/>
      <c r="AG600" s="2671"/>
      <c r="AH600" s="2671"/>
      <c r="AI600" s="2675"/>
      <c r="AJ600" s="2671"/>
      <c r="AK600" s="2671"/>
      <c r="AL600" s="2109"/>
      <c r="AM600" s="1946"/>
      <c r="AN600" s="1946"/>
      <c r="AO600" s="1946"/>
      <c r="AP600" s="1946"/>
      <c r="AQ600" s="1946"/>
      <c r="AR600" s="1946"/>
      <c r="AS600" s="1946"/>
      <c r="AT600" s="1946"/>
      <c r="AU600" s="1946"/>
      <c r="AV600" s="1946"/>
      <c r="AW600" s="1946"/>
      <c r="AX600" s="1946"/>
      <c r="AY600" s="1946"/>
      <c r="AZ600" s="1946"/>
      <c r="BA600" s="1946"/>
      <c r="BB600" s="1946"/>
      <c r="BC600" s="1946"/>
      <c r="BD600" s="1946"/>
      <c r="BE600" s="1946"/>
      <c r="BF600" s="1946"/>
      <c r="BG600" s="7213"/>
    </row>
    <row customHeight="1" ht="0.75">
      <c r="A601" s="1290" t="s">
        <v>1253</v>
      </c>
      <c r="B601" s="1290"/>
      <c r="C601" s="1290"/>
      <c r="D601" s="1284"/>
      <c r="E601" s="1294"/>
      <c r="F601" s="2673"/>
      <c r="G601" s="2652"/>
      <c r="H601" s="2677"/>
      <c r="I601" s="2678"/>
      <c r="J601" s="2679"/>
      <c r="K601" s="2679"/>
      <c r="L601" s="2671"/>
      <c r="M601" s="2405"/>
      <c r="N601" s="2159"/>
      <c r="O601" s="2159"/>
      <c r="P601" s="2166"/>
      <c r="Q601" s="2159"/>
      <c r="R601" s="2159"/>
      <c r="S601" s="2159"/>
      <c r="T601" s="2159"/>
      <c r="U601" s="2159"/>
      <c r="V601" s="2159"/>
      <c r="W601" s="2159"/>
      <c r="X601" s="2159"/>
      <c r="Y601" s="2159"/>
      <c r="Z601" s="2159"/>
      <c r="AA601" s="2159"/>
      <c r="AB601" s="2159"/>
      <c r="AC601" s="2159"/>
      <c r="AD601" s="2159"/>
      <c r="AE601" s="2168"/>
      <c r="AF601" s="2675"/>
      <c r="AG601" s="2671"/>
      <c r="AH601" s="2671"/>
      <c r="AI601" s="2675"/>
      <c r="AJ601" s="2671"/>
      <c r="AK601" s="2671"/>
      <c r="AL601" s="2109"/>
      <c r="AM601" s="1946"/>
      <c r="AN601" s="1946"/>
      <c r="AO601" s="1946"/>
      <c r="AP601" s="1946"/>
      <c r="AQ601" s="1946"/>
      <c r="AR601" s="1946"/>
      <c r="AS601" s="1946"/>
      <c r="AT601" s="1946"/>
      <c r="AU601" s="1946"/>
      <c r="AV601" s="1946"/>
      <c r="AW601" s="1946"/>
      <c r="AX601" s="1946"/>
      <c r="AY601" s="1946"/>
      <c r="AZ601" s="1946"/>
      <c r="BA601" s="1946"/>
      <c r="BB601" s="1946"/>
      <c r="BC601" s="1946"/>
      <c r="BD601" s="1946"/>
      <c r="BE601" s="1946"/>
      <c r="BF601" s="1946"/>
      <c r="BG601" s="7213"/>
    </row>
    <row customHeight="1" ht="12">
      <c r="A602" s="1290" t="s">
        <v>1253</v>
      </c>
      <c r="B602" s="1290"/>
      <c r="C602" s="1290"/>
      <c r="D602" s="1284"/>
      <c r="E602" s="1294"/>
      <c r="F602" s="2674"/>
      <c r="G602" s="1314"/>
      <c r="H602" s="1314"/>
      <c r="I602" s="2672" t="s">
        <v>1294</v>
      </c>
      <c r="J602" s="2672"/>
      <c r="K602" s="2672"/>
      <c r="L602" s="1297"/>
      <c r="M602" s="1297"/>
      <c r="N602" s="1298"/>
      <c r="O602" s="1298"/>
      <c r="P602" s="1298"/>
      <c r="Q602" s="1298"/>
      <c r="R602" s="1298"/>
      <c r="S602" s="1298"/>
      <c r="T602" s="1298"/>
      <c r="U602" s="1298"/>
      <c r="V602" s="1298"/>
      <c r="W602" s="1298"/>
      <c r="X602" s="1298"/>
      <c r="Y602" s="1298"/>
      <c r="Z602" s="1298"/>
      <c r="AA602" s="1298"/>
      <c r="AB602" s="1298"/>
      <c r="AC602" s="1298"/>
      <c r="AD602" s="1298"/>
      <c r="AE602" s="1298"/>
      <c r="AF602" s="1298"/>
      <c r="AG602" s="1297"/>
      <c r="AH602" s="1297"/>
      <c r="AI602" s="1298"/>
      <c r="AJ602" s="1297"/>
      <c r="AK602" s="1298"/>
      <c r="AL602" s="2109"/>
      <c r="AM602" s="1946"/>
      <c r="AN602" s="1946"/>
      <c r="AO602" s="1946"/>
      <c r="AP602" s="1946"/>
      <c r="AQ602" s="1946"/>
      <c r="AR602" s="1946"/>
      <c r="AS602" s="1946"/>
      <c r="AT602" s="1946"/>
      <c r="AU602" s="1946"/>
      <c r="AV602" s="1946"/>
      <c r="AW602" s="1946"/>
      <c r="AX602" s="1946"/>
      <c r="AY602" s="1946"/>
      <c r="AZ602" s="1946"/>
      <c r="BA602" s="1946"/>
      <c r="BB602" s="1946"/>
      <c r="BC602" s="1946"/>
      <c r="BD602" s="1946"/>
      <c r="BE602" s="1946"/>
      <c r="BF602" s="1946"/>
      <c r="BG602" s="7213"/>
    </row>
    <row customHeight="1" ht="0.75">
      <c r="A603" s="1290" t="s">
        <v>1253</v>
      </c>
      <c r="B603" s="1290"/>
      <c r="C603" s="1290"/>
      <c r="D603" s="1284"/>
      <c r="E603" s="1294"/>
      <c r="F603" s="2673">
        <v>2027</v>
      </c>
      <c r="G603" s="2652"/>
      <c r="H603" s="2677" t="s">
        <v>488</v>
      </c>
      <c r="I603" s="2678"/>
      <c r="J603" s="2679"/>
      <c r="K603" s="2679"/>
      <c r="L603" s="2671"/>
      <c r="M603" s="2405"/>
      <c r="N603" s="2157"/>
      <c r="O603" s="2156"/>
      <c r="P603" s="2157"/>
      <c r="Q603" s="2157"/>
      <c r="R603" s="2157"/>
      <c r="S603" s="2157"/>
      <c r="T603" s="2157"/>
      <c r="U603" s="2157"/>
      <c r="V603" s="2157"/>
      <c r="W603" s="2157"/>
      <c r="X603" s="2157"/>
      <c r="Y603" s="2157"/>
      <c r="Z603" s="2157"/>
      <c r="AA603" s="2157"/>
      <c r="AB603" s="2157"/>
      <c r="AC603" s="2157"/>
      <c r="AD603" s="2157"/>
      <c r="AE603" s="2157"/>
      <c r="AF603" s="2675"/>
      <c r="AG603" s="2671"/>
      <c r="AH603" s="2671"/>
      <c r="AI603" s="2675"/>
      <c r="AJ603" s="2671"/>
      <c r="AK603" s="2671"/>
      <c r="AL603" s="2109"/>
      <c r="AM603" s="1946"/>
      <c r="AN603" s="1946"/>
      <c r="AO603" s="1946"/>
      <c r="AP603" s="1946"/>
      <c r="AQ603" s="1946"/>
      <c r="AR603" s="1946"/>
      <c r="AS603" s="1946"/>
      <c r="AT603" s="1946"/>
      <c r="AU603" s="1946"/>
      <c r="AV603" s="1946"/>
      <c r="AW603" s="1946"/>
      <c r="AX603" s="1946"/>
      <c r="AY603" s="1946"/>
      <c r="AZ603" s="1946"/>
      <c r="BA603" s="1946"/>
      <c r="BB603" s="1946"/>
      <c r="BC603" s="1946"/>
      <c r="BD603" s="1946"/>
      <c r="BE603" s="1946"/>
      <c r="BF603" s="1946"/>
      <c r="BG603" s="7213"/>
    </row>
    <row customHeight="1" ht="0.75">
      <c r="A604" s="1290" t="s">
        <v>1253</v>
      </c>
      <c r="B604" s="1290"/>
      <c r="C604" s="1290"/>
      <c r="D604" s="1284"/>
      <c r="E604" s="1294"/>
      <c r="F604" s="2673"/>
      <c r="G604" s="2652"/>
      <c r="H604" s="2677"/>
      <c r="I604" s="2678"/>
      <c r="J604" s="2679"/>
      <c r="K604" s="2679"/>
      <c r="L604" s="2671"/>
      <c r="M604" s="2405"/>
      <c r="N604" s="2680"/>
      <c r="O604" s="2681"/>
      <c r="P604" s="2725"/>
      <c r="Q604" s="2676"/>
      <c r="R604" s="2676"/>
      <c r="S604" s="2676"/>
      <c r="T604" s="2676"/>
      <c r="U604" s="2676"/>
      <c r="V604" s="2676"/>
      <c r="W604" s="2676"/>
      <c r="X604" s="2676"/>
      <c r="Y604" s="2676"/>
      <c r="Z604" s="2158"/>
      <c r="AA604" s="2159"/>
      <c r="AB604" s="2159"/>
      <c r="AC604" s="2160"/>
      <c r="AD604" s="2160"/>
      <c r="AE604" s="2161"/>
      <c r="AF604" s="2675"/>
      <c r="AG604" s="2671"/>
      <c r="AH604" s="2671"/>
      <c r="AI604" s="2675"/>
      <c r="AJ604" s="2671"/>
      <c r="AK604" s="2671"/>
      <c r="AL604" s="2109"/>
      <c r="AM604" s="1946"/>
      <c r="AN604" s="1946"/>
      <c r="AO604" s="1946"/>
      <c r="AP604" s="1946"/>
      <c r="AQ604" s="1946"/>
      <c r="AR604" s="1946"/>
      <c r="AS604" s="1946"/>
      <c r="AT604" s="1946"/>
      <c r="AU604" s="1946"/>
      <c r="AV604" s="1946"/>
      <c r="AW604" s="1946"/>
      <c r="AX604" s="1946"/>
      <c r="AY604" s="1946"/>
      <c r="AZ604" s="1946"/>
      <c r="BA604" s="1946"/>
      <c r="BB604" s="1946"/>
      <c r="BC604" s="1946"/>
      <c r="BD604" s="1946"/>
      <c r="BE604" s="1946"/>
      <c r="BF604" s="1946"/>
      <c r="BG604" s="7213"/>
    </row>
    <row customHeight="1" ht="0.75">
      <c r="A605" s="1290" t="s">
        <v>1253</v>
      </c>
      <c r="B605" s="1290"/>
      <c r="C605" s="1290"/>
      <c r="D605" s="1284"/>
      <c r="E605" s="1294"/>
      <c r="F605" s="2673"/>
      <c r="G605" s="2652"/>
      <c r="H605" s="2677"/>
      <c r="I605" s="2678"/>
      <c r="J605" s="2679"/>
      <c r="K605" s="2679"/>
      <c r="L605" s="2671"/>
      <c r="M605" s="2405"/>
      <c r="N605" s="2680"/>
      <c r="O605" s="2681"/>
      <c r="P605" s="2726"/>
      <c r="Q605" s="2676"/>
      <c r="R605" s="2676"/>
      <c r="S605" s="2676"/>
      <c r="T605" s="2676"/>
      <c r="U605" s="2676"/>
      <c r="V605" s="2676"/>
      <c r="W605" s="2676"/>
      <c r="X605" s="2676"/>
      <c r="Y605" s="2676"/>
      <c r="Z605" s="2162"/>
      <c r="AA605" s="2163"/>
      <c r="AB605" s="2164"/>
      <c r="AC605" s="2165"/>
      <c r="AD605" s="2164"/>
      <c r="AE605" s="2165"/>
      <c r="AF605" s="2675"/>
      <c r="AG605" s="2671"/>
      <c r="AH605" s="2671"/>
      <c r="AI605" s="2675"/>
      <c r="AJ605" s="2671"/>
      <c r="AK605" s="2671"/>
      <c r="AL605" s="2109"/>
      <c r="AM605" s="1946"/>
      <c r="AN605" s="1946"/>
      <c r="AO605" s="1946"/>
      <c r="AP605" s="1946"/>
      <c r="AQ605" s="1946"/>
      <c r="AR605" s="1946"/>
      <c r="AS605" s="1946"/>
      <c r="AT605" s="1946"/>
      <c r="AU605" s="1946"/>
      <c r="AV605" s="1946"/>
      <c r="AW605" s="1946"/>
      <c r="AX605" s="1946"/>
      <c r="AY605" s="1946"/>
      <c r="AZ605" s="1946"/>
      <c r="BA605" s="1946"/>
      <c r="BB605" s="1946"/>
      <c r="BC605" s="1946"/>
      <c r="BD605" s="1946"/>
      <c r="BE605" s="1946"/>
      <c r="BF605" s="1946"/>
      <c r="BG605" s="7213"/>
    </row>
    <row customHeight="1" ht="0.75">
      <c r="A606" s="1290" t="s">
        <v>1253</v>
      </c>
      <c r="B606" s="1290"/>
      <c r="C606" s="1290"/>
      <c r="D606" s="1284"/>
      <c r="E606" s="1294"/>
      <c r="F606" s="2673"/>
      <c r="G606" s="2652"/>
      <c r="H606" s="2677"/>
      <c r="I606" s="2678"/>
      <c r="J606" s="2679"/>
      <c r="K606" s="2679"/>
      <c r="L606" s="2671"/>
      <c r="M606" s="2405"/>
      <c r="N606" s="2680"/>
      <c r="O606" s="2681"/>
      <c r="P606" s="2727"/>
      <c r="Q606" s="2676"/>
      <c r="R606" s="2676"/>
      <c r="S606" s="2676"/>
      <c r="T606" s="2676"/>
      <c r="U606" s="2676"/>
      <c r="V606" s="2676"/>
      <c r="W606" s="2676"/>
      <c r="X606" s="2676"/>
      <c r="Y606" s="2676"/>
      <c r="Z606" s="2158"/>
      <c r="AA606" s="2159"/>
      <c r="AB606" s="2166"/>
      <c r="AC606" s="2160"/>
      <c r="AD606" s="2160"/>
      <c r="AE606" s="2167"/>
      <c r="AF606" s="2675"/>
      <c r="AG606" s="2671"/>
      <c r="AH606" s="2671"/>
      <c r="AI606" s="2675"/>
      <c r="AJ606" s="2671"/>
      <c r="AK606" s="2671"/>
      <c r="AL606" s="2109"/>
      <c r="AM606" s="1946"/>
      <c r="AN606" s="1946"/>
      <c r="AO606" s="1946"/>
      <c r="AP606" s="1946"/>
      <c r="AQ606" s="1946"/>
      <c r="AR606" s="1946"/>
      <c r="AS606" s="1946"/>
      <c r="AT606" s="1946"/>
      <c r="AU606" s="1946"/>
      <c r="AV606" s="1946"/>
      <c r="AW606" s="1946"/>
      <c r="AX606" s="1946"/>
      <c r="AY606" s="1946"/>
      <c r="AZ606" s="1946"/>
      <c r="BA606" s="1946"/>
      <c r="BB606" s="1946"/>
      <c r="BC606" s="1946"/>
      <c r="BD606" s="1946"/>
      <c r="BE606" s="1946"/>
      <c r="BF606" s="1946"/>
      <c r="BG606" s="7213"/>
    </row>
    <row customHeight="1" ht="0.75">
      <c r="A607" s="1290" t="s">
        <v>1253</v>
      </c>
      <c r="B607" s="1290"/>
      <c r="C607" s="1290"/>
      <c r="D607" s="1284"/>
      <c r="E607" s="1294"/>
      <c r="F607" s="2673"/>
      <c r="G607" s="2652"/>
      <c r="H607" s="2677"/>
      <c r="I607" s="2678"/>
      <c r="J607" s="2679"/>
      <c r="K607" s="2679"/>
      <c r="L607" s="2671"/>
      <c r="M607" s="2405"/>
      <c r="N607" s="2159"/>
      <c r="O607" s="2159"/>
      <c r="P607" s="2166"/>
      <c r="Q607" s="2159"/>
      <c r="R607" s="2159"/>
      <c r="S607" s="2159"/>
      <c r="T607" s="2159"/>
      <c r="U607" s="2159"/>
      <c r="V607" s="2159"/>
      <c r="W607" s="2159"/>
      <c r="X607" s="2159"/>
      <c r="Y607" s="2159"/>
      <c r="Z607" s="2159"/>
      <c r="AA607" s="2159"/>
      <c r="AB607" s="2159"/>
      <c r="AC607" s="2159"/>
      <c r="AD607" s="2159"/>
      <c r="AE607" s="2168"/>
      <c r="AF607" s="2675"/>
      <c r="AG607" s="2671"/>
      <c r="AH607" s="2671"/>
      <c r="AI607" s="2675"/>
      <c r="AJ607" s="2671"/>
      <c r="AK607" s="2671"/>
      <c r="AL607" s="2109"/>
      <c r="AM607" s="1946"/>
      <c r="AN607" s="1946"/>
      <c r="AO607" s="1946"/>
      <c r="AP607" s="1946"/>
      <c r="AQ607" s="1946"/>
      <c r="AR607" s="1946"/>
      <c r="AS607" s="1946"/>
      <c r="AT607" s="1946"/>
      <c r="AU607" s="1946"/>
      <c r="AV607" s="1946"/>
      <c r="AW607" s="1946"/>
      <c r="AX607" s="1946"/>
      <c r="AY607" s="1946"/>
      <c r="AZ607" s="1946"/>
      <c r="BA607" s="1946"/>
      <c r="BB607" s="1946"/>
      <c r="BC607" s="1946"/>
      <c r="BD607" s="1946"/>
      <c r="BE607" s="1946"/>
      <c r="BF607" s="1946"/>
      <c r="BG607" s="7213"/>
    </row>
    <row customHeight="1" ht="12">
      <c r="A608" s="1290" t="s">
        <v>1253</v>
      </c>
      <c r="B608" s="1290"/>
      <c r="C608" s="1290"/>
      <c r="D608" s="1284"/>
      <c r="E608" s="1294"/>
      <c r="F608" s="2674"/>
      <c r="G608" s="1314"/>
      <c r="H608" s="1314"/>
      <c r="I608" s="2672" t="s">
        <v>1294</v>
      </c>
      <c r="J608" s="2672"/>
      <c r="K608" s="2672"/>
      <c r="L608" s="1297"/>
      <c r="M608" s="1297"/>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7"/>
      <c r="AH608" s="1297"/>
      <c r="AI608" s="1298"/>
      <c r="AJ608" s="1297"/>
      <c r="AK608" s="1298"/>
      <c r="AL608" s="2109"/>
      <c r="AM608" s="1946"/>
      <c r="AN608" s="1946"/>
      <c r="AO608" s="1946"/>
      <c r="AP608" s="1946"/>
      <c r="AQ608" s="1946"/>
      <c r="AR608" s="1946"/>
      <c r="AS608" s="1946"/>
      <c r="AT608" s="1946"/>
      <c r="AU608" s="1946"/>
      <c r="AV608" s="1946"/>
      <c r="AW608" s="1946"/>
      <c r="AX608" s="1946"/>
      <c r="AY608" s="1946"/>
      <c r="AZ608" s="1946"/>
      <c r="BA608" s="1946"/>
      <c r="BB608" s="1946"/>
      <c r="BC608" s="1946"/>
      <c r="BD608" s="1946"/>
      <c r="BE608" s="1946"/>
      <c r="BF608" s="1946"/>
      <c r="BG608" s="7213"/>
    </row>
    <row customHeight="1" ht="0.75">
      <c r="A609" s="1290" t="s">
        <v>1253</v>
      </c>
      <c r="B609" s="1290"/>
      <c r="C609" s="1290"/>
      <c r="D609" s="1284"/>
      <c r="E609" s="1294"/>
      <c r="F609" s="2673">
        <v>2028</v>
      </c>
      <c r="G609" s="2652"/>
      <c r="H609" s="2677" t="s">
        <v>488</v>
      </c>
      <c r="I609" s="2678"/>
      <c r="J609" s="2679"/>
      <c r="K609" s="2679"/>
      <c r="L609" s="2671"/>
      <c r="M609" s="2405"/>
      <c r="N609" s="2157"/>
      <c r="O609" s="2156"/>
      <c r="P609" s="2157"/>
      <c r="Q609" s="2157"/>
      <c r="R609" s="2157"/>
      <c r="S609" s="2157"/>
      <c r="T609" s="2157"/>
      <c r="U609" s="2157"/>
      <c r="V609" s="2157"/>
      <c r="W609" s="2157"/>
      <c r="X609" s="2157"/>
      <c r="Y609" s="2157"/>
      <c r="Z609" s="2157"/>
      <c r="AA609" s="2157"/>
      <c r="AB609" s="2157"/>
      <c r="AC609" s="2157"/>
      <c r="AD609" s="2157"/>
      <c r="AE609" s="2157"/>
      <c r="AF609" s="2675"/>
      <c r="AG609" s="2671"/>
      <c r="AH609" s="2671"/>
      <c r="AI609" s="2675"/>
      <c r="AJ609" s="2671"/>
      <c r="AK609" s="2671"/>
      <c r="AL609" s="2109"/>
      <c r="AM609" s="1946"/>
      <c r="AN609" s="1946"/>
      <c r="AO609" s="1946"/>
      <c r="AP609" s="1946"/>
      <c r="AQ609" s="1946"/>
      <c r="AR609" s="1946"/>
      <c r="AS609" s="1946"/>
      <c r="AT609" s="1946"/>
      <c r="AU609" s="1946"/>
      <c r="AV609" s="1946"/>
      <c r="AW609" s="1946"/>
      <c r="AX609" s="1946"/>
      <c r="AY609" s="1946"/>
      <c r="AZ609" s="1946"/>
      <c r="BA609" s="1946"/>
      <c r="BB609" s="1946"/>
      <c r="BC609" s="1946"/>
      <c r="BD609" s="1946"/>
      <c r="BE609" s="1946"/>
      <c r="BF609" s="1946"/>
      <c r="BG609" s="7213"/>
    </row>
    <row customHeight="1" ht="0.75">
      <c r="A610" s="1290" t="s">
        <v>1253</v>
      </c>
      <c r="B610" s="1290"/>
      <c r="C610" s="1290"/>
      <c r="D610" s="1284"/>
      <c r="E610" s="1294"/>
      <c r="F610" s="2673"/>
      <c r="G610" s="2652"/>
      <c r="H610" s="2677"/>
      <c r="I610" s="2678"/>
      <c r="J610" s="2679"/>
      <c r="K610" s="2679"/>
      <c r="L610" s="2671"/>
      <c r="M610" s="2405"/>
      <c r="N610" s="2680"/>
      <c r="O610" s="2681"/>
      <c r="P610" s="2725"/>
      <c r="Q610" s="2676"/>
      <c r="R610" s="2676"/>
      <c r="S610" s="2676"/>
      <c r="T610" s="2676"/>
      <c r="U610" s="2676"/>
      <c r="V610" s="2676"/>
      <c r="W610" s="2676"/>
      <c r="X610" s="2676"/>
      <c r="Y610" s="2676"/>
      <c r="Z610" s="2158"/>
      <c r="AA610" s="2159"/>
      <c r="AB610" s="2159"/>
      <c r="AC610" s="2160"/>
      <c r="AD610" s="2160"/>
      <c r="AE610" s="2161"/>
      <c r="AF610" s="2675"/>
      <c r="AG610" s="2671"/>
      <c r="AH610" s="2671"/>
      <c r="AI610" s="2675"/>
      <c r="AJ610" s="2671"/>
      <c r="AK610" s="2671"/>
      <c r="AL610" s="2109"/>
      <c r="AM610" s="1946"/>
      <c r="AN610" s="1946"/>
      <c r="AO610" s="1946"/>
      <c r="AP610" s="1946"/>
      <c r="AQ610" s="1946"/>
      <c r="AR610" s="1946"/>
      <c r="AS610" s="1946"/>
      <c r="AT610" s="1946"/>
      <c r="AU610" s="1946"/>
      <c r="AV610" s="1946"/>
      <c r="AW610" s="1946"/>
      <c r="AX610" s="1946"/>
      <c r="AY610" s="1946"/>
      <c r="AZ610" s="1946"/>
      <c r="BA610" s="1946"/>
      <c r="BB610" s="1946"/>
      <c r="BC610" s="1946"/>
      <c r="BD610" s="1946"/>
      <c r="BE610" s="1946"/>
      <c r="BF610" s="1946"/>
      <c r="BG610" s="7213"/>
    </row>
    <row customHeight="1" ht="0.75">
      <c r="A611" s="1290" t="s">
        <v>1253</v>
      </c>
      <c r="B611" s="1290"/>
      <c r="C611" s="1290"/>
      <c r="D611" s="1284"/>
      <c r="E611" s="1294"/>
      <c r="F611" s="2673"/>
      <c r="G611" s="2652"/>
      <c r="H611" s="2677"/>
      <c r="I611" s="2678"/>
      <c r="J611" s="2679"/>
      <c r="K611" s="2679"/>
      <c r="L611" s="2671"/>
      <c r="M611" s="2405"/>
      <c r="N611" s="2680"/>
      <c r="O611" s="2681"/>
      <c r="P611" s="2726"/>
      <c r="Q611" s="2676"/>
      <c r="R611" s="2676"/>
      <c r="S611" s="2676"/>
      <c r="T611" s="2676"/>
      <c r="U611" s="2676"/>
      <c r="V611" s="2676"/>
      <c r="W611" s="2676"/>
      <c r="X611" s="2676"/>
      <c r="Y611" s="2676"/>
      <c r="Z611" s="2162"/>
      <c r="AA611" s="2163"/>
      <c r="AB611" s="2164"/>
      <c r="AC611" s="2165"/>
      <c r="AD611" s="2164"/>
      <c r="AE611" s="2165"/>
      <c r="AF611" s="2675"/>
      <c r="AG611" s="2671"/>
      <c r="AH611" s="2671"/>
      <c r="AI611" s="2675"/>
      <c r="AJ611" s="2671"/>
      <c r="AK611" s="2671"/>
      <c r="AL611" s="2109"/>
      <c r="AM611" s="1946"/>
      <c r="AN611" s="1946"/>
      <c r="AO611" s="1946"/>
      <c r="AP611" s="1946"/>
      <c r="AQ611" s="1946"/>
      <c r="AR611" s="1946"/>
      <c r="AS611" s="1946"/>
      <c r="AT611" s="1946"/>
      <c r="AU611" s="1946"/>
      <c r="AV611" s="1946"/>
      <c r="AW611" s="1946"/>
      <c r="AX611" s="1946"/>
      <c r="AY611" s="1946"/>
      <c r="AZ611" s="1946"/>
      <c r="BA611" s="1946"/>
      <c r="BB611" s="1946"/>
      <c r="BC611" s="1946"/>
      <c r="BD611" s="1946"/>
      <c r="BE611" s="1946"/>
      <c r="BF611" s="1946"/>
      <c r="BG611" s="7213"/>
    </row>
    <row customHeight="1" ht="0.75">
      <c r="A612" s="1290" t="s">
        <v>1253</v>
      </c>
      <c r="B612" s="1290"/>
      <c r="C612" s="1290"/>
      <c r="D612" s="1284"/>
      <c r="E612" s="1294"/>
      <c r="F612" s="2673"/>
      <c r="G612" s="2652"/>
      <c r="H612" s="2677"/>
      <c r="I612" s="2678"/>
      <c r="J612" s="2679"/>
      <c r="K612" s="2679"/>
      <c r="L612" s="2671"/>
      <c r="M612" s="2405"/>
      <c r="N612" s="2680"/>
      <c r="O612" s="2681"/>
      <c r="P612" s="2727"/>
      <c r="Q612" s="2676"/>
      <c r="R612" s="2676"/>
      <c r="S612" s="2676"/>
      <c r="T612" s="2676"/>
      <c r="U612" s="2676"/>
      <c r="V612" s="2676"/>
      <c r="W612" s="2676"/>
      <c r="X612" s="2676"/>
      <c r="Y612" s="2676"/>
      <c r="Z612" s="2158"/>
      <c r="AA612" s="2159"/>
      <c r="AB612" s="2166"/>
      <c r="AC612" s="2160"/>
      <c r="AD612" s="2160"/>
      <c r="AE612" s="2167"/>
      <c r="AF612" s="2675"/>
      <c r="AG612" s="2671"/>
      <c r="AH612" s="2671"/>
      <c r="AI612" s="2675"/>
      <c r="AJ612" s="2671"/>
      <c r="AK612" s="2671"/>
      <c r="AL612" s="2109"/>
      <c r="AM612" s="1946"/>
      <c r="AN612" s="1946"/>
      <c r="AO612" s="1946"/>
      <c r="AP612" s="1946"/>
      <c r="AQ612" s="1946"/>
      <c r="AR612" s="1946"/>
      <c r="AS612" s="1946"/>
      <c r="AT612" s="1946"/>
      <c r="AU612" s="1946"/>
      <c r="AV612" s="1946"/>
      <c r="AW612" s="1946"/>
      <c r="AX612" s="1946"/>
      <c r="AY612" s="1946"/>
      <c r="AZ612" s="1946"/>
      <c r="BA612" s="1946"/>
      <c r="BB612" s="1946"/>
      <c r="BC612" s="1946"/>
      <c r="BD612" s="1946"/>
      <c r="BE612" s="1946"/>
      <c r="BF612" s="1946"/>
      <c r="BG612" s="7213"/>
    </row>
    <row customHeight="1" ht="0.75">
      <c r="A613" s="1290" t="s">
        <v>1253</v>
      </c>
      <c r="B613" s="1290"/>
      <c r="C613" s="1290"/>
      <c r="D613" s="1284"/>
      <c r="E613" s="1294"/>
      <c r="F613" s="2673"/>
      <c r="G613" s="2652"/>
      <c r="H613" s="2677"/>
      <c r="I613" s="2678"/>
      <c r="J613" s="2679"/>
      <c r="K613" s="2679"/>
      <c r="L613" s="2671"/>
      <c r="M613" s="2405"/>
      <c r="N613" s="2159"/>
      <c r="O613" s="2159"/>
      <c r="P613" s="2166"/>
      <c r="Q613" s="2159"/>
      <c r="R613" s="2159"/>
      <c r="S613" s="2159"/>
      <c r="T613" s="2159"/>
      <c r="U613" s="2159"/>
      <c r="V613" s="2159"/>
      <c r="W613" s="2159"/>
      <c r="X613" s="2159"/>
      <c r="Y613" s="2159"/>
      <c r="Z613" s="2159"/>
      <c r="AA613" s="2159"/>
      <c r="AB613" s="2159"/>
      <c r="AC613" s="2159"/>
      <c r="AD613" s="2159"/>
      <c r="AE613" s="2168"/>
      <c r="AF613" s="2675"/>
      <c r="AG613" s="2671"/>
      <c r="AH613" s="2671"/>
      <c r="AI613" s="2675"/>
      <c r="AJ613" s="2671"/>
      <c r="AK613" s="2671"/>
      <c r="AL613" s="2109"/>
      <c r="AM613" s="1946"/>
      <c r="AN613" s="1946"/>
      <c r="AO613" s="1946"/>
      <c r="AP613" s="1946"/>
      <c r="AQ613" s="1946"/>
      <c r="AR613" s="1946"/>
      <c r="AS613" s="1946"/>
      <c r="AT613" s="1946"/>
      <c r="AU613" s="1946"/>
      <c r="AV613" s="1946"/>
      <c r="AW613" s="1946"/>
      <c r="AX613" s="1946"/>
      <c r="AY613" s="1946"/>
      <c r="AZ613" s="1946"/>
      <c r="BA613" s="1946"/>
      <c r="BB613" s="1946"/>
      <c r="BC613" s="1946"/>
      <c r="BD613" s="1946"/>
      <c r="BE613" s="1946"/>
      <c r="BF613" s="1946"/>
      <c r="BG613" s="7213"/>
    </row>
    <row customHeight="1" ht="12">
      <c r="A614" s="1290" t="s">
        <v>1253</v>
      </c>
      <c r="B614" s="1290"/>
      <c r="C614" s="1290"/>
      <c r="D614" s="1284"/>
      <c r="E614" s="1294"/>
      <c r="F614" s="2674"/>
      <c r="G614" s="1314"/>
      <c r="H614" s="1314"/>
      <c r="I614" s="2672" t="s">
        <v>1294</v>
      </c>
      <c r="J614" s="2672"/>
      <c r="K614" s="2672"/>
      <c r="L614" s="1297"/>
      <c r="M614" s="1297"/>
      <c r="N614" s="1298"/>
      <c r="O614" s="1298"/>
      <c r="P614" s="1298"/>
      <c r="Q614" s="1298"/>
      <c r="R614" s="1298"/>
      <c r="S614" s="1298"/>
      <c r="T614" s="1298"/>
      <c r="U614" s="1298"/>
      <c r="V614" s="1298"/>
      <c r="W614" s="1298"/>
      <c r="X614" s="1298"/>
      <c r="Y614" s="1298"/>
      <c r="Z614" s="1298"/>
      <c r="AA614" s="1298"/>
      <c r="AB614" s="1298"/>
      <c r="AC614" s="1298"/>
      <c r="AD614" s="1298"/>
      <c r="AE614" s="1298"/>
      <c r="AF614" s="1298"/>
      <c r="AG614" s="1297"/>
      <c r="AH614" s="1297"/>
      <c r="AI614" s="1298"/>
      <c r="AJ614" s="1297"/>
      <c r="AK614" s="1298"/>
      <c r="AL614" s="2109"/>
      <c r="AM614" s="1946"/>
      <c r="AN614" s="1946"/>
      <c r="AO614" s="1946"/>
      <c r="AP614" s="1946"/>
      <c r="AQ614" s="1946"/>
      <c r="AR614" s="1946"/>
      <c r="AS614" s="1946"/>
      <c r="AT614" s="1946"/>
      <c r="AU614" s="1946"/>
      <c r="AV614" s="1946"/>
      <c r="AW614" s="1946"/>
      <c r="AX614" s="1946"/>
      <c r="AY614" s="1946"/>
      <c r="AZ614" s="1946"/>
      <c r="BA614" s="1946"/>
      <c r="BB614" s="1946"/>
      <c r="BC614" s="1946"/>
      <c r="BD614" s="1946"/>
      <c r="BE614" s="1946"/>
      <c r="BF614" s="1946"/>
      <c r="BG614" s="7213"/>
    </row>
    <row customHeight="1" ht="21">
      <c r="A615" s="1291" t="s">
        <v>1258</v>
      </c>
      <c r="B615" s="1290"/>
      <c r="C615" s="1290"/>
      <c r="D615" s="1284"/>
      <c r="E615" s="1294" t="s">
        <v>22</v>
      </c>
      <c r="F615" s="1246" t="str">
        <f>INDEX(IP_MAIN_LIST_NAME_IP,MATCH(A615,IP_MAIN_LIST_IP_ID,0))&amp;" ("&amp;INDEX(IP_MAIN_START_DATE,MATCH(A615,IP_MAIN_LIST_IP_ID,0))&amp;"-"&amp;INDEX(IP_MAIN_END_DATE,MATCH(A615,IP_MAIN_LIST_IP_ID,0))&amp;")"</f>
        <v>Инвестиционная программа № 209 от 15.11.2024 ООО "СамРЭК-Эксплуатация" в сфере теплоснабжения по модернизации системы теплоснабжения, на территории городского округа Октябрьск на 2024-2028 годы (15.11.2024-31.12.2028)</v>
      </c>
      <c r="G615" s="1247"/>
      <c r="H615" s="1247"/>
      <c r="I615" s="1309"/>
      <c r="J615" s="1309"/>
      <c r="K615" s="1310"/>
      <c r="L615" s="1310"/>
      <c r="M615" s="1310"/>
      <c r="N615" s="1311"/>
      <c r="O615" s="1311"/>
      <c r="P615" s="1311"/>
      <c r="Q615" s="1311"/>
      <c r="R615" s="1311"/>
      <c r="S615" s="1311"/>
      <c r="T615" s="1311"/>
      <c r="U615" s="1311"/>
      <c r="V615" s="1311"/>
      <c r="W615" s="1311"/>
      <c r="X615" s="1311"/>
      <c r="Y615" s="1311"/>
      <c r="Z615" s="1311"/>
      <c r="AA615" s="1311"/>
      <c r="AB615" s="1311"/>
      <c r="AC615" s="1311"/>
      <c r="AD615" s="1311"/>
      <c r="AE615" s="1312"/>
      <c r="AF615" s="1310"/>
      <c r="AG615" s="1310"/>
      <c r="AH615" s="1310"/>
      <c r="AI615" s="1310"/>
      <c r="AJ615" s="1310"/>
      <c r="AK615" s="1310"/>
      <c r="AL615" s="2109"/>
      <c r="AM615" s="1946"/>
      <c r="AN615" s="1946"/>
      <c r="AO615" s="1946"/>
      <c r="AP615" s="1946"/>
      <c r="AQ615" s="1946"/>
      <c r="AR615" s="1946"/>
      <c r="AS615" s="1946"/>
      <c r="AT615" s="1946"/>
      <c r="AU615" s="1946"/>
      <c r="AV615" s="1946"/>
      <c r="AW615" s="1946"/>
      <c r="AX615" s="1946"/>
      <c r="AY615" s="1946"/>
      <c r="AZ615" s="1946"/>
      <c r="BA615" s="1946"/>
      <c r="BB615" s="1946"/>
      <c r="BC615" s="1946"/>
      <c r="BD615" s="1946"/>
      <c r="BE615" s="1946"/>
      <c r="BF615" s="1946"/>
      <c r="BG615" s="7213"/>
    </row>
    <row customHeight="1" ht="0.75">
      <c r="A616" s="1290" t="s">
        <v>1258</v>
      </c>
      <c r="B616" s="1290"/>
      <c r="C616" s="1290"/>
      <c r="D616" s="1284"/>
      <c r="E616" s="1294"/>
      <c r="F616" s="2673">
        <v>2024</v>
      </c>
      <c r="G616" s="2652"/>
      <c r="H616" s="2677" t="s">
        <v>488</v>
      </c>
      <c r="I616" s="2678"/>
      <c r="J616" s="2679"/>
      <c r="K616" s="2679"/>
      <c r="L616" s="2671"/>
      <c r="M616" s="2405"/>
      <c r="N616" s="2157"/>
      <c r="O616" s="2156"/>
      <c r="P616" s="2157"/>
      <c r="Q616" s="2157"/>
      <c r="R616" s="2157"/>
      <c r="S616" s="2157"/>
      <c r="T616" s="2157"/>
      <c r="U616" s="2157"/>
      <c r="V616" s="2157"/>
      <c r="W616" s="2157"/>
      <c r="X616" s="2157"/>
      <c r="Y616" s="2157"/>
      <c r="Z616" s="2157"/>
      <c r="AA616" s="2157"/>
      <c r="AB616" s="2157"/>
      <c r="AC616" s="2157"/>
      <c r="AD616" s="2157"/>
      <c r="AE616" s="2157"/>
      <c r="AF616" s="2675"/>
      <c r="AG616" s="2671"/>
      <c r="AH616" s="2671"/>
      <c r="AI616" s="2675"/>
      <c r="AJ616" s="2671"/>
      <c r="AK616" s="2671"/>
      <c r="AL616" s="2109"/>
      <c r="AM616" s="1946"/>
      <c r="AN616" s="1946"/>
      <c r="AO616" s="1946"/>
      <c r="AP616" s="1946"/>
      <c r="AQ616" s="1946"/>
      <c r="AR616" s="1946"/>
      <c r="AS616" s="1946"/>
      <c r="AT616" s="1946"/>
      <c r="AU616" s="1946"/>
      <c r="AV616" s="1946"/>
      <c r="AW616" s="1946"/>
      <c r="AX616" s="1946"/>
      <c r="AY616" s="1946"/>
      <c r="AZ616" s="1946"/>
      <c r="BA616" s="1946"/>
      <c r="BB616" s="1946"/>
      <c r="BC616" s="1946"/>
      <c r="BD616" s="1946"/>
      <c r="BE616" s="1946"/>
      <c r="BF616" s="1946"/>
      <c r="BG616" s="7213"/>
    </row>
    <row customHeight="1" ht="0.75">
      <c r="A617" s="1290" t="s">
        <v>1258</v>
      </c>
      <c r="B617" s="1290"/>
      <c r="C617" s="1290"/>
      <c r="D617" s="1284"/>
      <c r="E617" s="1294"/>
      <c r="F617" s="2673"/>
      <c r="G617" s="2652"/>
      <c r="H617" s="2677"/>
      <c r="I617" s="2678"/>
      <c r="J617" s="2679"/>
      <c r="K617" s="2679"/>
      <c r="L617" s="2671"/>
      <c r="M617" s="2405"/>
      <c r="N617" s="2680"/>
      <c r="O617" s="2681"/>
      <c r="P617" s="2725"/>
      <c r="Q617" s="2676"/>
      <c r="R617" s="2676"/>
      <c r="S617" s="2676"/>
      <c r="T617" s="2676"/>
      <c r="U617" s="2676"/>
      <c r="V617" s="2676"/>
      <c r="W617" s="2676"/>
      <c r="X617" s="2676"/>
      <c r="Y617" s="2676"/>
      <c r="Z617" s="2158"/>
      <c r="AA617" s="2159"/>
      <c r="AB617" s="2159"/>
      <c r="AC617" s="2160"/>
      <c r="AD617" s="2160"/>
      <c r="AE617" s="2161"/>
      <c r="AF617" s="2675"/>
      <c r="AG617" s="2671"/>
      <c r="AH617" s="2671"/>
      <c r="AI617" s="2675"/>
      <c r="AJ617" s="2671"/>
      <c r="AK617" s="2671"/>
      <c r="AL617" s="2109"/>
      <c r="AM617" s="1946"/>
      <c r="AN617" s="1946"/>
      <c r="AO617" s="1946"/>
      <c r="AP617" s="1946"/>
      <c r="AQ617" s="1946"/>
      <c r="AR617" s="1946"/>
      <c r="AS617" s="1946"/>
      <c r="AT617" s="1946"/>
      <c r="AU617" s="1946"/>
      <c r="AV617" s="1946"/>
      <c r="AW617" s="1946"/>
      <c r="AX617" s="1946"/>
      <c r="AY617" s="1946"/>
      <c r="AZ617" s="1946"/>
      <c r="BA617" s="1946"/>
      <c r="BB617" s="1946"/>
      <c r="BC617" s="1946"/>
      <c r="BD617" s="1946"/>
      <c r="BE617" s="1946"/>
      <c r="BF617" s="1946"/>
      <c r="BG617" s="7213"/>
    </row>
    <row customHeight="1" ht="0.75">
      <c r="A618" s="1290" t="s">
        <v>1258</v>
      </c>
      <c r="B618" s="1290"/>
      <c r="C618" s="1290"/>
      <c r="D618" s="1284"/>
      <c r="E618" s="1294"/>
      <c r="F618" s="2673"/>
      <c r="G618" s="2652"/>
      <c r="H618" s="2677"/>
      <c r="I618" s="2678"/>
      <c r="J618" s="2679"/>
      <c r="K618" s="2679"/>
      <c r="L618" s="2671"/>
      <c r="M618" s="2405"/>
      <c r="N618" s="2680"/>
      <c r="O618" s="2681"/>
      <c r="P618" s="2726"/>
      <c r="Q618" s="2676"/>
      <c r="R618" s="2676"/>
      <c r="S618" s="2676"/>
      <c r="T618" s="2676"/>
      <c r="U618" s="2676"/>
      <c r="V618" s="2676"/>
      <c r="W618" s="2676"/>
      <c r="X618" s="2676"/>
      <c r="Y618" s="2676"/>
      <c r="Z618" s="2162"/>
      <c r="AA618" s="2163"/>
      <c r="AB618" s="2164"/>
      <c r="AC618" s="2165"/>
      <c r="AD618" s="2164"/>
      <c r="AE618" s="2165"/>
      <c r="AF618" s="2675"/>
      <c r="AG618" s="2671"/>
      <c r="AH618" s="2671"/>
      <c r="AI618" s="2675"/>
      <c r="AJ618" s="2671"/>
      <c r="AK618" s="2671"/>
      <c r="AL618" s="2109"/>
      <c r="AM618" s="1946"/>
      <c r="AN618" s="1946"/>
      <c r="AO618" s="1946"/>
      <c r="AP618" s="1946"/>
      <c r="AQ618" s="1946"/>
      <c r="AR618" s="1946"/>
      <c r="AS618" s="1946"/>
      <c r="AT618" s="1946"/>
      <c r="AU618" s="1946"/>
      <c r="AV618" s="1946"/>
      <c r="AW618" s="1946"/>
      <c r="AX618" s="1946"/>
      <c r="AY618" s="1946"/>
      <c r="AZ618" s="1946"/>
      <c r="BA618" s="1946"/>
      <c r="BB618" s="1946"/>
      <c r="BC618" s="1946"/>
      <c r="BD618" s="1946"/>
      <c r="BE618" s="1946"/>
      <c r="BF618" s="1946"/>
      <c r="BG618" s="7213"/>
    </row>
    <row customHeight="1" ht="0.75">
      <c r="A619" s="1290" t="s">
        <v>1258</v>
      </c>
      <c r="B619" s="1290"/>
      <c r="C619" s="1290"/>
      <c r="D619" s="1284"/>
      <c r="E619" s="1294"/>
      <c r="F619" s="2673"/>
      <c r="G619" s="2652"/>
      <c r="H619" s="2677"/>
      <c r="I619" s="2678"/>
      <c r="J619" s="2679"/>
      <c r="K619" s="2679"/>
      <c r="L619" s="2671"/>
      <c r="M619" s="2405"/>
      <c r="N619" s="2680"/>
      <c r="O619" s="2681"/>
      <c r="P619" s="2727"/>
      <c r="Q619" s="2676"/>
      <c r="R619" s="2676"/>
      <c r="S619" s="2676"/>
      <c r="T619" s="2676"/>
      <c r="U619" s="2676"/>
      <c r="V619" s="2676"/>
      <c r="W619" s="2676"/>
      <c r="X619" s="2676"/>
      <c r="Y619" s="2676"/>
      <c r="Z619" s="2158"/>
      <c r="AA619" s="2159"/>
      <c r="AB619" s="2166"/>
      <c r="AC619" s="2160"/>
      <c r="AD619" s="2160"/>
      <c r="AE619" s="2167"/>
      <c r="AF619" s="2675"/>
      <c r="AG619" s="2671"/>
      <c r="AH619" s="2671"/>
      <c r="AI619" s="2675"/>
      <c r="AJ619" s="2671"/>
      <c r="AK619" s="2671"/>
      <c r="AL619" s="2109"/>
      <c r="AM619" s="1946"/>
      <c r="AN619" s="1946"/>
      <c r="AO619" s="1946"/>
      <c r="AP619" s="1946"/>
      <c r="AQ619" s="1946"/>
      <c r="AR619" s="1946"/>
      <c r="AS619" s="1946"/>
      <c r="AT619" s="1946"/>
      <c r="AU619" s="1946"/>
      <c r="AV619" s="1946"/>
      <c r="AW619" s="1946"/>
      <c r="AX619" s="1946"/>
      <c r="AY619" s="1946"/>
      <c r="AZ619" s="1946"/>
      <c r="BA619" s="1946"/>
      <c r="BB619" s="1946"/>
      <c r="BC619" s="1946"/>
      <c r="BD619" s="1946"/>
      <c r="BE619" s="1946"/>
      <c r="BF619" s="1946"/>
      <c r="BG619" s="7213"/>
    </row>
    <row customHeight="1" ht="0.75">
      <c r="A620" s="1290" t="s">
        <v>1258</v>
      </c>
      <c r="B620" s="1290"/>
      <c r="C620" s="1290"/>
      <c r="D620" s="1284"/>
      <c r="E620" s="1294"/>
      <c r="F620" s="2673"/>
      <c r="G620" s="2652"/>
      <c r="H620" s="2677"/>
      <c r="I620" s="2678"/>
      <c r="J620" s="2679"/>
      <c r="K620" s="2679"/>
      <c r="L620" s="2671"/>
      <c r="M620" s="2405"/>
      <c r="N620" s="2159"/>
      <c r="O620" s="2159"/>
      <c r="P620" s="2166"/>
      <c r="Q620" s="2159"/>
      <c r="R620" s="2159"/>
      <c r="S620" s="2159"/>
      <c r="T620" s="2159"/>
      <c r="U620" s="2159"/>
      <c r="V620" s="2159"/>
      <c r="W620" s="2159"/>
      <c r="X620" s="2159"/>
      <c r="Y620" s="2159"/>
      <c r="Z620" s="2159"/>
      <c r="AA620" s="2159"/>
      <c r="AB620" s="2159"/>
      <c r="AC620" s="2159"/>
      <c r="AD620" s="2159"/>
      <c r="AE620" s="2168"/>
      <c r="AF620" s="2675"/>
      <c r="AG620" s="2671"/>
      <c r="AH620" s="2671"/>
      <c r="AI620" s="2675"/>
      <c r="AJ620" s="2671"/>
      <c r="AK620" s="2671"/>
      <c r="AL620" s="2109"/>
      <c r="AM620" s="1946"/>
      <c r="AN620" s="1946"/>
      <c r="AO620" s="1946"/>
      <c r="AP620" s="1946"/>
      <c r="AQ620" s="1946"/>
      <c r="AR620" s="1946"/>
      <c r="AS620" s="1946"/>
      <c r="AT620" s="1946"/>
      <c r="AU620" s="1946"/>
      <c r="AV620" s="1946"/>
      <c r="AW620" s="1946"/>
      <c r="AX620" s="1946"/>
      <c r="AY620" s="1946"/>
      <c r="AZ620" s="1946"/>
      <c r="BA620" s="1946"/>
      <c r="BB620" s="1946"/>
      <c r="BC620" s="1946"/>
      <c r="BD620" s="1946"/>
      <c r="BE620" s="1946"/>
      <c r="BF620" s="1946"/>
      <c r="BG620" s="7213"/>
    </row>
    <row customHeight="1" ht="11.25">
      <c r="A621" s="1290" t="s">
        <v>1258</v>
      </c>
      <c r="B621" s="1290"/>
      <c r="C621" s="1290"/>
      <c r="D621" s="1284"/>
      <c r="E621" s="1294"/>
      <c r="F621" s="1952"/>
      <c r="G621" s="7121" t="s">
        <v>103</v>
      </c>
      <c r="H621" s="2652" t="s">
        <v>210</v>
      </c>
      <c r="I621" s="2653"/>
      <c r="J621" s="2622"/>
      <c r="K621" s="2654" t="s">
        <v>1434</v>
      </c>
      <c r="L621" s="2244" t="s">
        <v>19</v>
      </c>
      <c r="M621" s="2245"/>
      <c r="N621" s="2107"/>
      <c r="O621" s="1301" t="s">
        <v>488</v>
      </c>
      <c r="P621" s="1302"/>
      <c r="Q621" s="1302"/>
      <c r="R621" s="1302"/>
      <c r="S621" s="1302"/>
      <c r="T621" s="1302"/>
      <c r="U621" s="1302"/>
      <c r="V621" s="1302"/>
      <c r="W621" s="1302"/>
      <c r="X621" s="1302"/>
      <c r="Y621" s="1302"/>
      <c r="Z621" s="1302"/>
      <c r="AA621" s="1302"/>
      <c r="AB621" s="1302"/>
      <c r="AC621" s="1302"/>
      <c r="AD621" s="1302"/>
      <c r="AE621" s="1302"/>
      <c r="AF621" s="2643">
        <v>2024</v>
      </c>
      <c r="AG621" s="2644" t="s">
        <v>1296</v>
      </c>
      <c r="AH621" s="2644" t="s">
        <v>1297</v>
      </c>
      <c r="AI621" s="2643">
        <v>2024</v>
      </c>
      <c r="AJ621" s="2644" t="s">
        <v>1296</v>
      </c>
      <c r="AK621" s="2644" t="s">
        <v>1297</v>
      </c>
      <c r="AL621" s="2109"/>
      <c r="AM621" s="1946"/>
      <c r="AN621" s="1946"/>
      <c r="AO621" s="1946"/>
      <c r="AP621" s="1946"/>
      <c r="AQ621" s="1946"/>
      <c r="AR621" s="1946"/>
      <c r="AS621" s="1946"/>
      <c r="AT621" s="1946"/>
      <c r="AU621" s="1946"/>
      <c r="AV621" s="1946"/>
      <c r="AW621" s="1946"/>
      <c r="AX621" s="1946"/>
      <c r="AY621" s="1946"/>
      <c r="AZ621" s="1946"/>
      <c r="BA621" s="1946"/>
      <c r="BB621" s="1946"/>
      <c r="BC621" s="1946"/>
      <c r="BD621" s="1946"/>
      <c r="BE621" s="1946"/>
      <c r="BF621" s="1946"/>
      <c r="BG621" s="7213"/>
    </row>
    <row customHeight="1" ht="11.25">
      <c r="A622" s="1290" t="s">
        <v>1258</v>
      </c>
      <c r="B622" s="1290"/>
      <c r="C622" s="1290"/>
      <c r="D622" s="1284"/>
      <c r="E622" s="1294"/>
      <c r="F622" s="1952"/>
      <c r="G622" s="1953"/>
      <c r="H622" s="2652" t="s">
        <v>488</v>
      </c>
      <c r="I622" s="2653"/>
      <c r="J622" s="2622"/>
      <c r="K622" s="2654"/>
      <c r="L622" s="2244"/>
      <c r="M622" s="2245"/>
      <c r="N622" s="2645"/>
      <c r="O622" s="2646">
        <v>1</v>
      </c>
      <c r="P622" s="2647" t="s">
        <v>62</v>
      </c>
      <c r="Q622" s="11136" t="s">
        <v>1435</v>
      </c>
      <c r="R622" s="11137" t="s">
        <v>1299</v>
      </c>
      <c r="S622" s="11137" t="s">
        <v>177</v>
      </c>
      <c r="T622" s="11137" t="s">
        <v>177</v>
      </c>
      <c r="U622" s="11137" t="s">
        <v>178</v>
      </c>
      <c r="V622" s="11137" t="s">
        <v>1436</v>
      </c>
      <c r="W622" s="11137" t="s">
        <v>1437</v>
      </c>
      <c r="X622" s="11137" t="s">
        <v>1438</v>
      </c>
      <c r="Y622" s="11137" t="s">
        <v>134</v>
      </c>
      <c r="Z622" s="1299"/>
      <c r="AA622" s="1300"/>
      <c r="AB622" s="1300"/>
      <c r="AC622" s="1304"/>
      <c r="AD622" s="1304"/>
      <c r="AE622" s="1305"/>
      <c r="AF622" s="2643"/>
      <c r="AG622" s="2644"/>
      <c r="AH622" s="2644"/>
      <c r="AI622" s="2643"/>
      <c r="AJ622" s="2644"/>
      <c r="AK622" s="2644"/>
      <c r="AL622" s="2109"/>
      <c r="AM622" s="1946"/>
      <c r="AN622" s="1946"/>
      <c r="AO622" s="1946"/>
      <c r="AP622" s="1946"/>
      <c r="AQ622" s="1946"/>
      <c r="AR622" s="1946"/>
      <c r="AS622" s="1946"/>
      <c r="AT622" s="1946"/>
      <c r="AU622" s="1946"/>
      <c r="AV622" s="1946"/>
      <c r="AW622" s="1946"/>
      <c r="AX622" s="1946"/>
      <c r="AY622" s="1946"/>
      <c r="AZ622" s="1946"/>
      <c r="BA622" s="1946"/>
      <c r="BB622" s="1946"/>
      <c r="BC622" s="1946"/>
      <c r="BD622" s="1946"/>
      <c r="BE622" s="1946"/>
      <c r="BF622" s="1946"/>
      <c r="BG622" s="7213"/>
    </row>
    <row customHeight="1" ht="11.25">
      <c r="A623" s="1290" t="s">
        <v>1258</v>
      </c>
      <c r="B623" s="1290"/>
      <c r="C623" s="1290"/>
      <c r="D623" s="1284"/>
      <c r="E623" s="1294"/>
      <c r="F623" s="1952"/>
      <c r="G623" s="1953"/>
      <c r="H623" s="2652" t="s">
        <v>488</v>
      </c>
      <c r="I623" s="2653"/>
      <c r="J623" s="2622"/>
      <c r="K623" s="2654"/>
      <c r="L623" s="2244"/>
      <c r="M623" s="2245"/>
      <c r="N623" s="2645"/>
      <c r="O623" s="2646"/>
      <c r="P623" s="2648"/>
      <c r="Q623" s="11136"/>
      <c r="R623" s="2650"/>
      <c r="S623" s="2651"/>
      <c r="T623" s="2650"/>
      <c r="U623" s="2650"/>
      <c r="V623" s="2650"/>
      <c r="W623" s="2650"/>
      <c r="X623" s="2650"/>
      <c r="Y623" s="2650"/>
      <c r="Z623" s="1951"/>
      <c r="AA623" s="1917">
        <v>1</v>
      </c>
      <c r="AB623" s="1303" t="s">
        <v>1306</v>
      </c>
      <c r="AC623" s="1293">
        <v>50</v>
      </c>
      <c r="AD623" s="1303" t="str">
        <f>AB623</f>
        <v>  Прибыль направляемая на инвестиции</v>
      </c>
      <c r="AE623" s="1293">
        <v>50</v>
      </c>
      <c r="AF623" s="2643"/>
      <c r="AG623" s="2644"/>
      <c r="AH623" s="2644"/>
      <c r="AI623" s="2643"/>
      <c r="AJ623" s="2644"/>
      <c r="AK623" s="2644"/>
      <c r="AL623" s="2109"/>
      <c r="AM623" s="1946"/>
      <c r="AN623" s="1946"/>
      <c r="AO623" s="1946"/>
      <c r="AP623" s="1946"/>
      <c r="AQ623" s="1946"/>
      <c r="AR623" s="1946"/>
      <c r="AS623" s="1946"/>
      <c r="AT623" s="1946"/>
      <c r="AU623" s="1946"/>
      <c r="AV623" s="1946"/>
      <c r="AW623" s="1946"/>
      <c r="AX623" s="1946"/>
      <c r="AY623" s="1946"/>
      <c r="AZ623" s="1946"/>
      <c r="BA623" s="1946"/>
      <c r="BB623" s="1946"/>
      <c r="BC623" s="1946"/>
      <c r="BD623" s="1946"/>
      <c r="BE623" s="1946"/>
      <c r="BF623" s="1946"/>
      <c r="BG623" s="7213"/>
    </row>
    <row customHeight="1" ht="11.25">
      <c r="A624" s="1290" t="s">
        <v>1258</v>
      </c>
      <c r="B624" s="1290"/>
      <c r="C624" s="1290"/>
      <c r="D624" s="1284"/>
      <c r="E624" s="1294"/>
      <c r="F624" s="1952"/>
      <c r="G624" s="1953"/>
      <c r="H624" s="2652" t="s">
        <v>488</v>
      </c>
      <c r="I624" s="2653"/>
      <c r="J624" s="2622"/>
      <c r="K624" s="2654"/>
      <c r="L624" s="2244"/>
      <c r="M624" s="2245"/>
      <c r="N624" s="2645"/>
      <c r="O624" s="2646"/>
      <c r="P624" s="2649"/>
      <c r="Q624" s="11136"/>
      <c r="R624" s="2650"/>
      <c r="S624" s="2651"/>
      <c r="T624" s="2650"/>
      <c r="U624" s="2650"/>
      <c r="V624" s="2650"/>
      <c r="W624" s="2650"/>
      <c r="X624" s="2650"/>
      <c r="Y624" s="2650"/>
      <c r="Z624" s="1299"/>
      <c r="AA624" s="1300"/>
      <c r="AB624" s="1365" t="s">
        <v>1309</v>
      </c>
      <c r="AC624" s="1304"/>
      <c r="AD624" s="1304"/>
      <c r="AE624" s="1306"/>
      <c r="AF624" s="2643"/>
      <c r="AG624" s="2644"/>
      <c r="AH624" s="2644"/>
      <c r="AI624" s="2643"/>
      <c r="AJ624" s="2644"/>
      <c r="AK624" s="2644"/>
      <c r="AL624" s="2109"/>
      <c r="AM624" s="1946"/>
      <c r="AN624" s="1946"/>
      <c r="AO624" s="1946"/>
      <c r="AP624" s="1946"/>
      <c r="AQ624" s="1946"/>
      <c r="AR624" s="1946"/>
      <c r="AS624" s="1946"/>
      <c r="AT624" s="1946"/>
      <c r="AU624" s="1946"/>
      <c r="AV624" s="1946"/>
      <c r="AW624" s="1946"/>
      <c r="AX624" s="1946"/>
      <c r="AY624" s="1946"/>
      <c r="AZ624" s="1946"/>
      <c r="BA624" s="1946"/>
      <c r="BB624" s="1946"/>
      <c r="BC624" s="1946"/>
      <c r="BD624" s="1946"/>
      <c r="BE624" s="1946"/>
      <c r="BF624" s="1946"/>
      <c r="BG624" s="7213"/>
    </row>
    <row customHeight="1" ht="11.25">
      <c r="A625" s="1290" t="s">
        <v>1258</v>
      </c>
      <c r="B625" s="1290"/>
      <c r="C625" s="1290"/>
      <c r="D625" s="1284"/>
      <c r="E625" s="1294"/>
      <c r="F625" s="1952"/>
      <c r="G625" s="1953"/>
      <c r="H625" s="2652" t="s">
        <v>488</v>
      </c>
      <c r="I625" s="2653"/>
      <c r="J625" s="2622"/>
      <c r="K625" s="2654"/>
      <c r="L625" s="2244"/>
      <c r="M625" s="2245"/>
      <c r="N625" s="1299"/>
      <c r="O625" s="1300"/>
      <c r="P625" s="1292" t="s">
        <v>1310</v>
      </c>
      <c r="Q625" s="1300"/>
      <c r="R625" s="1300"/>
      <c r="S625" s="1300"/>
      <c r="T625" s="1300"/>
      <c r="U625" s="1300"/>
      <c r="V625" s="1300"/>
      <c r="W625" s="1300"/>
      <c r="X625" s="1300"/>
      <c r="Y625" s="1300"/>
      <c r="Z625" s="1300"/>
      <c r="AA625" s="1300"/>
      <c r="AB625" s="1300"/>
      <c r="AC625" s="1300"/>
      <c r="AD625" s="1300"/>
      <c r="AE625" s="1307"/>
      <c r="AF625" s="2643"/>
      <c r="AG625" s="2644"/>
      <c r="AH625" s="2644"/>
      <c r="AI625" s="2643"/>
      <c r="AJ625" s="2644"/>
      <c r="AK625" s="2644"/>
      <c r="AL625" s="2109"/>
      <c r="AM625" s="1946"/>
      <c r="AN625" s="1946"/>
      <c r="AO625" s="1946"/>
      <c r="AP625" s="1946"/>
      <c r="AQ625" s="1946"/>
      <c r="AR625" s="1946"/>
      <c r="AS625" s="1946"/>
      <c r="AT625" s="1946"/>
      <c r="AU625" s="1946"/>
      <c r="AV625" s="1946"/>
      <c r="AW625" s="1946"/>
      <c r="AX625" s="1946"/>
      <c r="AY625" s="1946"/>
      <c r="AZ625" s="1946"/>
      <c r="BA625" s="1946"/>
      <c r="BB625" s="1946"/>
      <c r="BC625" s="1946"/>
      <c r="BD625" s="1946"/>
      <c r="BE625" s="1946"/>
      <c r="BF625" s="1946"/>
      <c r="BG625" s="7213"/>
    </row>
    <row customHeight="1" ht="12">
      <c r="A626" s="1290" t="s">
        <v>1258</v>
      </c>
      <c r="B626" s="1290"/>
      <c r="C626" s="1290"/>
      <c r="D626" s="1284"/>
      <c r="E626" s="1294"/>
      <c r="F626" s="2674"/>
      <c r="G626" s="1314"/>
      <c r="H626" s="1314"/>
      <c r="I626" s="2672" t="s">
        <v>1294</v>
      </c>
      <c r="J626" s="2672"/>
      <c r="K626" s="2672"/>
      <c r="L626" s="1297"/>
      <c r="M626" s="1297"/>
      <c r="N626" s="1298"/>
      <c r="O626" s="1298"/>
      <c r="P626" s="1298"/>
      <c r="Q626" s="1298"/>
      <c r="R626" s="1298"/>
      <c r="S626" s="1298"/>
      <c r="T626" s="1298"/>
      <c r="U626" s="1298"/>
      <c r="V626" s="1298"/>
      <c r="W626" s="1298"/>
      <c r="X626" s="1298"/>
      <c r="Y626" s="1298"/>
      <c r="Z626" s="1298"/>
      <c r="AA626" s="1298"/>
      <c r="AB626" s="1298"/>
      <c r="AC626" s="1298"/>
      <c r="AD626" s="1298"/>
      <c r="AE626" s="1298"/>
      <c r="AF626" s="1298"/>
      <c r="AG626" s="1297"/>
      <c r="AH626" s="1297"/>
      <c r="AI626" s="1298"/>
      <c r="AJ626" s="1297"/>
      <c r="AK626" s="1298"/>
      <c r="AL626" s="2109"/>
      <c r="AM626" s="1946"/>
      <c r="AN626" s="1946"/>
      <c r="AO626" s="1946"/>
      <c r="AP626" s="1946"/>
      <c r="AQ626" s="1946"/>
      <c r="AR626" s="1946"/>
      <c r="AS626" s="1946"/>
      <c r="AT626" s="1946"/>
      <c r="AU626" s="1946"/>
      <c r="AV626" s="1946"/>
      <c r="AW626" s="1946"/>
      <c r="AX626" s="1946"/>
      <c r="AY626" s="1946"/>
      <c r="AZ626" s="1946"/>
      <c r="BA626" s="1946"/>
      <c r="BB626" s="1946"/>
      <c r="BC626" s="1946"/>
      <c r="BD626" s="1946"/>
      <c r="BE626" s="1946"/>
      <c r="BF626" s="1946"/>
      <c r="BG626" s="7213"/>
    </row>
    <row customHeight="1" ht="0.75">
      <c r="A627" s="1290" t="s">
        <v>1258</v>
      </c>
      <c r="B627" s="1290"/>
      <c r="C627" s="1290"/>
      <c r="D627" s="1284"/>
      <c r="E627" s="1294"/>
      <c r="F627" s="2673">
        <v>2025</v>
      </c>
      <c r="G627" s="2652"/>
      <c r="H627" s="2677" t="s">
        <v>488</v>
      </c>
      <c r="I627" s="2678"/>
      <c r="J627" s="2679"/>
      <c r="K627" s="2679"/>
      <c r="L627" s="2671"/>
      <c r="M627" s="2405"/>
      <c r="N627" s="2157"/>
      <c r="O627" s="2156"/>
      <c r="P627" s="2157"/>
      <c r="Q627" s="2157"/>
      <c r="R627" s="2157"/>
      <c r="S627" s="2157"/>
      <c r="T627" s="2157"/>
      <c r="U627" s="2157"/>
      <c r="V627" s="2157"/>
      <c r="W627" s="2157"/>
      <c r="X627" s="2157"/>
      <c r="Y627" s="2157"/>
      <c r="Z627" s="2157"/>
      <c r="AA627" s="2157"/>
      <c r="AB627" s="2157"/>
      <c r="AC627" s="2157"/>
      <c r="AD627" s="2157"/>
      <c r="AE627" s="2157"/>
      <c r="AF627" s="2675"/>
      <c r="AG627" s="2671"/>
      <c r="AH627" s="2671"/>
      <c r="AI627" s="2675"/>
      <c r="AJ627" s="2671"/>
      <c r="AK627" s="2671"/>
      <c r="AL627" s="2109"/>
      <c r="AM627" s="1946"/>
      <c r="AN627" s="1946"/>
      <c r="AO627" s="1946"/>
      <c r="AP627" s="1946"/>
      <c r="AQ627" s="1946"/>
      <c r="AR627" s="1946"/>
      <c r="AS627" s="1946"/>
      <c r="AT627" s="1946"/>
      <c r="AU627" s="1946"/>
      <c r="AV627" s="1946"/>
      <c r="AW627" s="1946"/>
      <c r="AX627" s="1946"/>
      <c r="AY627" s="1946"/>
      <c r="AZ627" s="1946"/>
      <c r="BA627" s="1946"/>
      <c r="BB627" s="1946"/>
      <c r="BC627" s="1946"/>
      <c r="BD627" s="1946"/>
      <c r="BE627" s="1946"/>
      <c r="BF627" s="1946"/>
      <c r="BG627" s="7213"/>
    </row>
    <row customHeight="1" ht="0.75">
      <c r="A628" s="1290" t="s">
        <v>1258</v>
      </c>
      <c r="B628" s="1290"/>
      <c r="C628" s="1290"/>
      <c r="D628" s="1284"/>
      <c r="E628" s="1294"/>
      <c r="F628" s="2673"/>
      <c r="G628" s="2652"/>
      <c r="H628" s="2677"/>
      <c r="I628" s="2678"/>
      <c r="J628" s="2679"/>
      <c r="K628" s="2679"/>
      <c r="L628" s="2671"/>
      <c r="M628" s="2405"/>
      <c r="N628" s="2680"/>
      <c r="O628" s="2681"/>
      <c r="P628" s="2725"/>
      <c r="Q628" s="2676"/>
      <c r="R628" s="2676"/>
      <c r="S628" s="2676"/>
      <c r="T628" s="2676"/>
      <c r="U628" s="2676"/>
      <c r="V628" s="2676"/>
      <c r="W628" s="2676"/>
      <c r="X628" s="2676"/>
      <c r="Y628" s="2676"/>
      <c r="Z628" s="2158"/>
      <c r="AA628" s="2159"/>
      <c r="AB628" s="2159"/>
      <c r="AC628" s="2160"/>
      <c r="AD628" s="2160"/>
      <c r="AE628" s="2161"/>
      <c r="AF628" s="2675"/>
      <c r="AG628" s="2671"/>
      <c r="AH628" s="2671"/>
      <c r="AI628" s="2675"/>
      <c r="AJ628" s="2671"/>
      <c r="AK628" s="2671"/>
      <c r="AL628" s="2109"/>
      <c r="AM628" s="1946"/>
      <c r="AN628" s="1946"/>
      <c r="AO628" s="1946"/>
      <c r="AP628" s="1946"/>
      <c r="AQ628" s="1946"/>
      <c r="AR628" s="1946"/>
      <c r="AS628" s="1946"/>
      <c r="AT628" s="1946"/>
      <c r="AU628" s="1946"/>
      <c r="AV628" s="1946"/>
      <c r="AW628" s="1946"/>
      <c r="AX628" s="1946"/>
      <c r="AY628" s="1946"/>
      <c r="AZ628" s="1946"/>
      <c r="BA628" s="1946"/>
      <c r="BB628" s="1946"/>
      <c r="BC628" s="1946"/>
      <c r="BD628" s="1946"/>
      <c r="BE628" s="1946"/>
      <c r="BF628" s="1946"/>
      <c r="BG628" s="7213"/>
    </row>
    <row customHeight="1" ht="0.75">
      <c r="A629" s="1290" t="s">
        <v>1258</v>
      </c>
      <c r="B629" s="1290"/>
      <c r="C629" s="1290"/>
      <c r="D629" s="1284"/>
      <c r="E629" s="1294"/>
      <c r="F629" s="2673"/>
      <c r="G629" s="2652"/>
      <c r="H629" s="2677"/>
      <c r="I629" s="2678"/>
      <c r="J629" s="2679"/>
      <c r="K629" s="2679"/>
      <c r="L629" s="2671"/>
      <c r="M629" s="2405"/>
      <c r="N629" s="2680"/>
      <c r="O629" s="2681"/>
      <c r="P629" s="2726"/>
      <c r="Q629" s="2676"/>
      <c r="R629" s="2676"/>
      <c r="S629" s="2676"/>
      <c r="T629" s="2676"/>
      <c r="U629" s="2676"/>
      <c r="V629" s="2676"/>
      <c r="W629" s="2676"/>
      <c r="X629" s="2676"/>
      <c r="Y629" s="2676"/>
      <c r="Z629" s="2162"/>
      <c r="AA629" s="2163"/>
      <c r="AB629" s="2164"/>
      <c r="AC629" s="2165"/>
      <c r="AD629" s="2164"/>
      <c r="AE629" s="2165"/>
      <c r="AF629" s="2675"/>
      <c r="AG629" s="2671"/>
      <c r="AH629" s="2671"/>
      <c r="AI629" s="2675"/>
      <c r="AJ629" s="2671"/>
      <c r="AK629" s="2671"/>
      <c r="AL629" s="2109"/>
      <c r="AM629" s="1946"/>
      <c r="AN629" s="1946"/>
      <c r="AO629" s="1946"/>
      <c r="AP629" s="1946"/>
      <c r="AQ629" s="1946"/>
      <c r="AR629" s="1946"/>
      <c r="AS629" s="1946"/>
      <c r="AT629" s="1946"/>
      <c r="AU629" s="1946"/>
      <c r="AV629" s="1946"/>
      <c r="AW629" s="1946"/>
      <c r="AX629" s="1946"/>
      <c r="AY629" s="1946"/>
      <c r="AZ629" s="1946"/>
      <c r="BA629" s="1946"/>
      <c r="BB629" s="1946"/>
      <c r="BC629" s="1946"/>
      <c r="BD629" s="1946"/>
      <c r="BE629" s="1946"/>
      <c r="BF629" s="1946"/>
      <c r="BG629" s="7213"/>
    </row>
    <row customHeight="1" ht="0.75">
      <c r="A630" s="1290" t="s">
        <v>1258</v>
      </c>
      <c r="B630" s="1290"/>
      <c r="C630" s="1290"/>
      <c r="D630" s="1284"/>
      <c r="E630" s="1294"/>
      <c r="F630" s="2673"/>
      <c r="G630" s="2652"/>
      <c r="H630" s="2677"/>
      <c r="I630" s="2678"/>
      <c r="J630" s="2679"/>
      <c r="K630" s="2679"/>
      <c r="L630" s="2671"/>
      <c r="M630" s="2405"/>
      <c r="N630" s="2680"/>
      <c r="O630" s="2681"/>
      <c r="P630" s="2727"/>
      <c r="Q630" s="2676"/>
      <c r="R630" s="2676"/>
      <c r="S630" s="2676"/>
      <c r="T630" s="2676"/>
      <c r="U630" s="2676"/>
      <c r="V630" s="2676"/>
      <c r="W630" s="2676"/>
      <c r="X630" s="2676"/>
      <c r="Y630" s="2676"/>
      <c r="Z630" s="2158"/>
      <c r="AA630" s="2159"/>
      <c r="AB630" s="2166"/>
      <c r="AC630" s="2160"/>
      <c r="AD630" s="2160"/>
      <c r="AE630" s="2167"/>
      <c r="AF630" s="2675"/>
      <c r="AG630" s="2671"/>
      <c r="AH630" s="2671"/>
      <c r="AI630" s="2675"/>
      <c r="AJ630" s="2671"/>
      <c r="AK630" s="2671"/>
      <c r="AL630" s="2109"/>
      <c r="AM630" s="1946"/>
      <c r="AN630" s="1946"/>
      <c r="AO630" s="1946"/>
      <c r="AP630" s="1946"/>
      <c r="AQ630" s="1946"/>
      <c r="AR630" s="1946"/>
      <c r="AS630" s="1946"/>
      <c r="AT630" s="1946"/>
      <c r="AU630" s="1946"/>
      <c r="AV630" s="1946"/>
      <c r="AW630" s="1946"/>
      <c r="AX630" s="1946"/>
      <c r="AY630" s="1946"/>
      <c r="AZ630" s="1946"/>
      <c r="BA630" s="1946"/>
      <c r="BB630" s="1946"/>
      <c r="BC630" s="1946"/>
      <c r="BD630" s="1946"/>
      <c r="BE630" s="1946"/>
      <c r="BF630" s="1946"/>
      <c r="BG630" s="7213"/>
    </row>
    <row customHeight="1" ht="0.75">
      <c r="A631" s="1290" t="s">
        <v>1258</v>
      </c>
      <c r="B631" s="1290"/>
      <c r="C631" s="1290"/>
      <c r="D631" s="1284"/>
      <c r="E631" s="1294"/>
      <c r="F631" s="2673"/>
      <c r="G631" s="2652"/>
      <c r="H631" s="2677"/>
      <c r="I631" s="2678"/>
      <c r="J631" s="2679"/>
      <c r="K631" s="2679"/>
      <c r="L631" s="2671"/>
      <c r="M631" s="2405"/>
      <c r="N631" s="2159"/>
      <c r="O631" s="2159"/>
      <c r="P631" s="2166"/>
      <c r="Q631" s="2159"/>
      <c r="R631" s="2159"/>
      <c r="S631" s="2159"/>
      <c r="T631" s="2159"/>
      <c r="U631" s="2159"/>
      <c r="V631" s="2159"/>
      <c r="W631" s="2159"/>
      <c r="X631" s="2159"/>
      <c r="Y631" s="2159"/>
      <c r="Z631" s="2159"/>
      <c r="AA631" s="2159"/>
      <c r="AB631" s="2159"/>
      <c r="AC631" s="2159"/>
      <c r="AD631" s="2159"/>
      <c r="AE631" s="2168"/>
      <c r="AF631" s="2675"/>
      <c r="AG631" s="2671"/>
      <c r="AH631" s="2671"/>
      <c r="AI631" s="2675"/>
      <c r="AJ631" s="2671"/>
      <c r="AK631" s="2671"/>
      <c r="AL631" s="2109"/>
      <c r="AM631" s="1946"/>
      <c r="AN631" s="1946"/>
      <c r="AO631" s="1946"/>
      <c r="AP631" s="1946"/>
      <c r="AQ631" s="1946"/>
      <c r="AR631" s="1946"/>
      <c r="AS631" s="1946"/>
      <c r="AT631" s="1946"/>
      <c r="AU631" s="1946"/>
      <c r="AV631" s="1946"/>
      <c r="AW631" s="1946"/>
      <c r="AX631" s="1946"/>
      <c r="AY631" s="1946"/>
      <c r="AZ631" s="1946"/>
      <c r="BA631" s="1946"/>
      <c r="BB631" s="1946"/>
      <c r="BC631" s="1946"/>
      <c r="BD631" s="1946"/>
      <c r="BE631" s="1946"/>
      <c r="BF631" s="1946"/>
      <c r="BG631" s="7213"/>
    </row>
    <row customHeight="1" ht="12">
      <c r="A632" s="1290" t="s">
        <v>1258</v>
      </c>
      <c r="B632" s="1290"/>
      <c r="C632" s="1290"/>
      <c r="D632" s="1284"/>
      <c r="E632" s="1294"/>
      <c r="F632" s="2674"/>
      <c r="G632" s="1314"/>
      <c r="H632" s="1314"/>
      <c r="I632" s="2672" t="s">
        <v>1294</v>
      </c>
      <c r="J632" s="2672"/>
      <c r="K632" s="2672"/>
      <c r="L632" s="1297"/>
      <c r="M632" s="1297"/>
      <c r="N632" s="1298"/>
      <c r="O632" s="1298"/>
      <c r="P632" s="1298"/>
      <c r="Q632" s="1298"/>
      <c r="R632" s="1298"/>
      <c r="S632" s="1298"/>
      <c r="T632" s="1298"/>
      <c r="U632" s="1298"/>
      <c r="V632" s="1298"/>
      <c r="W632" s="1298"/>
      <c r="X632" s="1298"/>
      <c r="Y632" s="1298"/>
      <c r="Z632" s="1298"/>
      <c r="AA632" s="1298"/>
      <c r="AB632" s="1298"/>
      <c r="AC632" s="1298"/>
      <c r="AD632" s="1298"/>
      <c r="AE632" s="1298"/>
      <c r="AF632" s="1298"/>
      <c r="AG632" s="1297"/>
      <c r="AH632" s="1297"/>
      <c r="AI632" s="1298"/>
      <c r="AJ632" s="1297"/>
      <c r="AK632" s="1298"/>
      <c r="AL632" s="2109"/>
      <c r="AM632" s="1946"/>
      <c r="AN632" s="1946"/>
      <c r="AO632" s="1946"/>
      <c r="AP632" s="1946"/>
      <c r="AQ632" s="1946"/>
      <c r="AR632" s="1946"/>
      <c r="AS632" s="1946"/>
      <c r="AT632" s="1946"/>
      <c r="AU632" s="1946"/>
      <c r="AV632" s="1946"/>
      <c r="AW632" s="1946"/>
      <c r="AX632" s="1946"/>
      <c r="AY632" s="1946"/>
      <c r="AZ632" s="1946"/>
      <c r="BA632" s="1946"/>
      <c r="BB632" s="1946"/>
      <c r="BC632" s="1946"/>
      <c r="BD632" s="1946"/>
      <c r="BE632" s="1946"/>
      <c r="BF632" s="1946"/>
      <c r="BG632" s="7213"/>
    </row>
    <row customHeight="1" ht="0.75">
      <c r="A633" s="1290" t="s">
        <v>1258</v>
      </c>
      <c r="B633" s="1290"/>
      <c r="C633" s="1290"/>
      <c r="D633" s="1284"/>
      <c r="E633" s="1294"/>
      <c r="F633" s="2673">
        <v>2026</v>
      </c>
      <c r="G633" s="2652"/>
      <c r="H633" s="2677" t="s">
        <v>488</v>
      </c>
      <c r="I633" s="2678"/>
      <c r="J633" s="2679"/>
      <c r="K633" s="2679"/>
      <c r="L633" s="2671"/>
      <c r="M633" s="2405"/>
      <c r="N633" s="2157"/>
      <c r="O633" s="2156"/>
      <c r="P633" s="2157"/>
      <c r="Q633" s="2157"/>
      <c r="R633" s="2157"/>
      <c r="S633" s="2157"/>
      <c r="T633" s="2157"/>
      <c r="U633" s="2157"/>
      <c r="V633" s="2157"/>
      <c r="W633" s="2157"/>
      <c r="X633" s="2157"/>
      <c r="Y633" s="2157"/>
      <c r="Z633" s="2157"/>
      <c r="AA633" s="2157"/>
      <c r="AB633" s="2157"/>
      <c r="AC633" s="2157"/>
      <c r="AD633" s="2157"/>
      <c r="AE633" s="2157"/>
      <c r="AF633" s="2675"/>
      <c r="AG633" s="2671"/>
      <c r="AH633" s="2671"/>
      <c r="AI633" s="2675"/>
      <c r="AJ633" s="2671"/>
      <c r="AK633" s="2671"/>
      <c r="AL633" s="2109"/>
      <c r="AM633" s="1946"/>
      <c r="AN633" s="1946"/>
      <c r="AO633" s="1946"/>
      <c r="AP633" s="1946"/>
      <c r="AQ633" s="1946"/>
      <c r="AR633" s="1946"/>
      <c r="AS633" s="1946"/>
      <c r="AT633" s="1946"/>
      <c r="AU633" s="1946"/>
      <c r="AV633" s="1946"/>
      <c r="AW633" s="1946"/>
      <c r="AX633" s="1946"/>
      <c r="AY633" s="1946"/>
      <c r="AZ633" s="1946"/>
      <c r="BA633" s="1946"/>
      <c r="BB633" s="1946"/>
      <c r="BC633" s="1946"/>
      <c r="BD633" s="1946"/>
      <c r="BE633" s="1946"/>
      <c r="BF633" s="1946"/>
      <c r="BG633" s="7213"/>
    </row>
    <row customHeight="1" ht="0.75">
      <c r="A634" s="1290" t="s">
        <v>1258</v>
      </c>
      <c r="B634" s="1290"/>
      <c r="C634" s="1290"/>
      <c r="D634" s="1284"/>
      <c r="E634" s="1294"/>
      <c r="F634" s="2673"/>
      <c r="G634" s="2652"/>
      <c r="H634" s="2677"/>
      <c r="I634" s="2678"/>
      <c r="J634" s="2679"/>
      <c r="K634" s="2679"/>
      <c r="L634" s="2671"/>
      <c r="M634" s="2405"/>
      <c r="N634" s="2680"/>
      <c r="O634" s="2681"/>
      <c r="P634" s="2725"/>
      <c r="Q634" s="2676"/>
      <c r="R634" s="2676"/>
      <c r="S634" s="2676"/>
      <c r="T634" s="2676"/>
      <c r="U634" s="2676"/>
      <c r="V634" s="2676"/>
      <c r="W634" s="2676"/>
      <c r="X634" s="2676"/>
      <c r="Y634" s="2676"/>
      <c r="Z634" s="2158"/>
      <c r="AA634" s="2159"/>
      <c r="AB634" s="2159"/>
      <c r="AC634" s="2160"/>
      <c r="AD634" s="2160"/>
      <c r="AE634" s="2161"/>
      <c r="AF634" s="2675"/>
      <c r="AG634" s="2671"/>
      <c r="AH634" s="2671"/>
      <c r="AI634" s="2675"/>
      <c r="AJ634" s="2671"/>
      <c r="AK634" s="2671"/>
      <c r="AL634" s="2109"/>
      <c r="AM634" s="1946"/>
      <c r="AN634" s="1946"/>
      <c r="AO634" s="1946"/>
      <c r="AP634" s="1946"/>
      <c r="AQ634" s="1946"/>
      <c r="AR634" s="1946"/>
      <c r="AS634" s="1946"/>
      <c r="AT634" s="1946"/>
      <c r="AU634" s="1946"/>
      <c r="AV634" s="1946"/>
      <c r="AW634" s="1946"/>
      <c r="AX634" s="1946"/>
      <c r="AY634" s="1946"/>
      <c r="AZ634" s="1946"/>
      <c r="BA634" s="1946"/>
      <c r="BB634" s="1946"/>
      <c r="BC634" s="1946"/>
      <c r="BD634" s="1946"/>
      <c r="BE634" s="1946"/>
      <c r="BF634" s="1946"/>
      <c r="BG634" s="7213"/>
    </row>
    <row customHeight="1" ht="0.75">
      <c r="A635" s="1290" t="s">
        <v>1258</v>
      </c>
      <c r="B635" s="1290"/>
      <c r="C635" s="1290"/>
      <c r="D635" s="1284"/>
      <c r="E635" s="1294"/>
      <c r="F635" s="2673"/>
      <c r="G635" s="2652"/>
      <c r="H635" s="2677"/>
      <c r="I635" s="2678"/>
      <c r="J635" s="2679"/>
      <c r="K635" s="2679"/>
      <c r="L635" s="2671"/>
      <c r="M635" s="2405"/>
      <c r="N635" s="2680"/>
      <c r="O635" s="2681"/>
      <c r="P635" s="2726"/>
      <c r="Q635" s="2676"/>
      <c r="R635" s="2676"/>
      <c r="S635" s="2676"/>
      <c r="T635" s="2676"/>
      <c r="U635" s="2676"/>
      <c r="V635" s="2676"/>
      <c r="W635" s="2676"/>
      <c r="X635" s="2676"/>
      <c r="Y635" s="2676"/>
      <c r="Z635" s="2162"/>
      <c r="AA635" s="2163"/>
      <c r="AB635" s="2164"/>
      <c r="AC635" s="2165"/>
      <c r="AD635" s="2164"/>
      <c r="AE635" s="2165"/>
      <c r="AF635" s="2675"/>
      <c r="AG635" s="2671"/>
      <c r="AH635" s="2671"/>
      <c r="AI635" s="2675"/>
      <c r="AJ635" s="2671"/>
      <c r="AK635" s="2671"/>
      <c r="AL635" s="2109"/>
      <c r="AM635" s="1946"/>
      <c r="AN635" s="1946"/>
      <c r="AO635" s="1946"/>
      <c r="AP635" s="1946"/>
      <c r="AQ635" s="1946"/>
      <c r="AR635" s="1946"/>
      <c r="AS635" s="1946"/>
      <c r="AT635" s="1946"/>
      <c r="AU635" s="1946"/>
      <c r="AV635" s="1946"/>
      <c r="AW635" s="1946"/>
      <c r="AX635" s="1946"/>
      <c r="AY635" s="1946"/>
      <c r="AZ635" s="1946"/>
      <c r="BA635" s="1946"/>
      <c r="BB635" s="1946"/>
      <c r="BC635" s="1946"/>
      <c r="BD635" s="1946"/>
      <c r="BE635" s="1946"/>
      <c r="BF635" s="1946"/>
      <c r="BG635" s="7213"/>
    </row>
    <row customHeight="1" ht="0.75">
      <c r="A636" s="1290" t="s">
        <v>1258</v>
      </c>
      <c r="B636" s="1290"/>
      <c r="C636" s="1290"/>
      <c r="D636" s="1284"/>
      <c r="E636" s="1294"/>
      <c r="F636" s="2673"/>
      <c r="G636" s="2652"/>
      <c r="H636" s="2677"/>
      <c r="I636" s="2678"/>
      <c r="J636" s="2679"/>
      <c r="K636" s="2679"/>
      <c r="L636" s="2671"/>
      <c r="M636" s="2405"/>
      <c r="N636" s="2680"/>
      <c r="O636" s="2681"/>
      <c r="P636" s="2727"/>
      <c r="Q636" s="2676"/>
      <c r="R636" s="2676"/>
      <c r="S636" s="2676"/>
      <c r="T636" s="2676"/>
      <c r="U636" s="2676"/>
      <c r="V636" s="2676"/>
      <c r="W636" s="2676"/>
      <c r="X636" s="2676"/>
      <c r="Y636" s="2676"/>
      <c r="Z636" s="2158"/>
      <c r="AA636" s="2159"/>
      <c r="AB636" s="2166"/>
      <c r="AC636" s="2160"/>
      <c r="AD636" s="2160"/>
      <c r="AE636" s="2167"/>
      <c r="AF636" s="2675"/>
      <c r="AG636" s="2671"/>
      <c r="AH636" s="2671"/>
      <c r="AI636" s="2675"/>
      <c r="AJ636" s="2671"/>
      <c r="AK636" s="2671"/>
      <c r="AL636" s="2109"/>
      <c r="AM636" s="1946"/>
      <c r="AN636" s="1946"/>
      <c r="AO636" s="1946"/>
      <c r="AP636" s="1946"/>
      <c r="AQ636" s="1946"/>
      <c r="AR636" s="1946"/>
      <c r="AS636" s="1946"/>
      <c r="AT636" s="1946"/>
      <c r="AU636" s="1946"/>
      <c r="AV636" s="1946"/>
      <c r="AW636" s="1946"/>
      <c r="AX636" s="1946"/>
      <c r="AY636" s="1946"/>
      <c r="AZ636" s="1946"/>
      <c r="BA636" s="1946"/>
      <c r="BB636" s="1946"/>
      <c r="BC636" s="1946"/>
      <c r="BD636" s="1946"/>
      <c r="BE636" s="1946"/>
      <c r="BF636" s="1946"/>
      <c r="BG636" s="7213"/>
    </row>
    <row customHeight="1" ht="0.75">
      <c r="A637" s="1290" t="s">
        <v>1258</v>
      </c>
      <c r="B637" s="1290"/>
      <c r="C637" s="1290"/>
      <c r="D637" s="1284"/>
      <c r="E637" s="1294"/>
      <c r="F637" s="2673"/>
      <c r="G637" s="2652"/>
      <c r="H637" s="2677"/>
      <c r="I637" s="2678"/>
      <c r="J637" s="2679"/>
      <c r="K637" s="2679"/>
      <c r="L637" s="2671"/>
      <c r="M637" s="2405"/>
      <c r="N637" s="2159"/>
      <c r="O637" s="2159"/>
      <c r="P637" s="2166"/>
      <c r="Q637" s="2159"/>
      <c r="R637" s="2159"/>
      <c r="S637" s="2159"/>
      <c r="T637" s="2159"/>
      <c r="U637" s="2159"/>
      <c r="V637" s="2159"/>
      <c r="W637" s="2159"/>
      <c r="X637" s="2159"/>
      <c r="Y637" s="2159"/>
      <c r="Z637" s="2159"/>
      <c r="AA637" s="2159"/>
      <c r="AB637" s="2159"/>
      <c r="AC637" s="2159"/>
      <c r="AD637" s="2159"/>
      <c r="AE637" s="2168"/>
      <c r="AF637" s="2675"/>
      <c r="AG637" s="2671"/>
      <c r="AH637" s="2671"/>
      <c r="AI637" s="2675"/>
      <c r="AJ637" s="2671"/>
      <c r="AK637" s="2671"/>
      <c r="AL637" s="2109"/>
      <c r="AM637" s="1946"/>
      <c r="AN637" s="1946"/>
      <c r="AO637" s="1946"/>
      <c r="AP637" s="1946"/>
      <c r="AQ637" s="1946"/>
      <c r="AR637" s="1946"/>
      <c r="AS637" s="1946"/>
      <c r="AT637" s="1946"/>
      <c r="AU637" s="1946"/>
      <c r="AV637" s="1946"/>
      <c r="AW637" s="1946"/>
      <c r="AX637" s="1946"/>
      <c r="AY637" s="1946"/>
      <c r="AZ637" s="1946"/>
      <c r="BA637" s="1946"/>
      <c r="BB637" s="1946"/>
      <c r="BC637" s="1946"/>
      <c r="BD637" s="1946"/>
      <c r="BE637" s="1946"/>
      <c r="BF637" s="1946"/>
      <c r="BG637" s="7213"/>
    </row>
    <row customHeight="1" ht="12">
      <c r="A638" s="1290" t="s">
        <v>1258</v>
      </c>
      <c r="B638" s="1290"/>
      <c r="C638" s="1290"/>
      <c r="D638" s="1284"/>
      <c r="E638" s="1294"/>
      <c r="F638" s="2674"/>
      <c r="G638" s="1314"/>
      <c r="H638" s="1314"/>
      <c r="I638" s="2672" t="s">
        <v>1294</v>
      </c>
      <c r="J638" s="2672"/>
      <c r="K638" s="2672"/>
      <c r="L638" s="1297"/>
      <c r="M638" s="1297"/>
      <c r="N638" s="1298"/>
      <c r="O638" s="1298"/>
      <c r="P638" s="1298"/>
      <c r="Q638" s="1298"/>
      <c r="R638" s="1298"/>
      <c r="S638" s="1298"/>
      <c r="T638" s="1298"/>
      <c r="U638" s="1298"/>
      <c r="V638" s="1298"/>
      <c r="W638" s="1298"/>
      <c r="X638" s="1298"/>
      <c r="Y638" s="1298"/>
      <c r="Z638" s="1298"/>
      <c r="AA638" s="1298"/>
      <c r="AB638" s="1298"/>
      <c r="AC638" s="1298"/>
      <c r="AD638" s="1298"/>
      <c r="AE638" s="1298"/>
      <c r="AF638" s="1298"/>
      <c r="AG638" s="1297"/>
      <c r="AH638" s="1297"/>
      <c r="AI638" s="1298"/>
      <c r="AJ638" s="1297"/>
      <c r="AK638" s="1298"/>
      <c r="AL638" s="2109"/>
      <c r="AM638" s="1946"/>
      <c r="AN638" s="1946"/>
      <c r="AO638" s="1946"/>
      <c r="AP638" s="1946"/>
      <c r="AQ638" s="1946"/>
      <c r="AR638" s="1946"/>
      <c r="AS638" s="1946"/>
      <c r="AT638" s="1946"/>
      <c r="AU638" s="1946"/>
      <c r="AV638" s="1946"/>
      <c r="AW638" s="1946"/>
      <c r="AX638" s="1946"/>
      <c r="AY638" s="1946"/>
      <c r="AZ638" s="1946"/>
      <c r="BA638" s="1946"/>
      <c r="BB638" s="1946"/>
      <c r="BC638" s="1946"/>
      <c r="BD638" s="1946"/>
      <c r="BE638" s="1946"/>
      <c r="BF638" s="1946"/>
      <c r="BG638" s="7213"/>
    </row>
    <row customHeight="1" ht="0.75">
      <c r="A639" s="1290" t="s">
        <v>1258</v>
      </c>
      <c r="B639" s="1290"/>
      <c r="C639" s="1290"/>
      <c r="D639" s="1284"/>
      <c r="E639" s="1294"/>
      <c r="F639" s="2673">
        <v>2027</v>
      </c>
      <c r="G639" s="2652"/>
      <c r="H639" s="2677" t="s">
        <v>488</v>
      </c>
      <c r="I639" s="2678"/>
      <c r="J639" s="2679"/>
      <c r="K639" s="2679"/>
      <c r="L639" s="2671"/>
      <c r="M639" s="2405"/>
      <c r="N639" s="2157"/>
      <c r="O639" s="2156"/>
      <c r="P639" s="2157"/>
      <c r="Q639" s="2157"/>
      <c r="R639" s="2157"/>
      <c r="S639" s="2157"/>
      <c r="T639" s="2157"/>
      <c r="U639" s="2157"/>
      <c r="V639" s="2157"/>
      <c r="W639" s="2157"/>
      <c r="X639" s="2157"/>
      <c r="Y639" s="2157"/>
      <c r="Z639" s="2157"/>
      <c r="AA639" s="2157"/>
      <c r="AB639" s="2157"/>
      <c r="AC639" s="2157"/>
      <c r="AD639" s="2157"/>
      <c r="AE639" s="2157"/>
      <c r="AF639" s="2675"/>
      <c r="AG639" s="2671"/>
      <c r="AH639" s="2671"/>
      <c r="AI639" s="2675"/>
      <c r="AJ639" s="2671"/>
      <c r="AK639" s="2671"/>
      <c r="AL639" s="2109"/>
      <c r="AM639" s="1946"/>
      <c r="AN639" s="1946"/>
      <c r="AO639" s="1946"/>
      <c r="AP639" s="1946"/>
      <c r="AQ639" s="1946"/>
      <c r="AR639" s="1946"/>
      <c r="AS639" s="1946"/>
      <c r="AT639" s="1946"/>
      <c r="AU639" s="1946"/>
      <c r="AV639" s="1946"/>
      <c r="AW639" s="1946"/>
      <c r="AX639" s="1946"/>
      <c r="AY639" s="1946"/>
      <c r="AZ639" s="1946"/>
      <c r="BA639" s="1946"/>
      <c r="BB639" s="1946"/>
      <c r="BC639" s="1946"/>
      <c r="BD639" s="1946"/>
      <c r="BE639" s="1946"/>
      <c r="BF639" s="1946"/>
      <c r="BG639" s="7213"/>
    </row>
    <row customHeight="1" ht="0.75">
      <c r="A640" s="1290" t="s">
        <v>1258</v>
      </c>
      <c r="B640" s="1290"/>
      <c r="C640" s="1290"/>
      <c r="D640" s="1284"/>
      <c r="E640" s="1294"/>
      <c r="F640" s="2673"/>
      <c r="G640" s="2652"/>
      <c r="H640" s="2677"/>
      <c r="I640" s="2678"/>
      <c r="J640" s="2679"/>
      <c r="K640" s="2679"/>
      <c r="L640" s="2671"/>
      <c r="M640" s="2405"/>
      <c r="N640" s="2680"/>
      <c r="O640" s="2681"/>
      <c r="P640" s="2725"/>
      <c r="Q640" s="2676"/>
      <c r="R640" s="2676"/>
      <c r="S640" s="2676"/>
      <c r="T640" s="2676"/>
      <c r="U640" s="2676"/>
      <c r="V640" s="2676"/>
      <c r="W640" s="2676"/>
      <c r="X640" s="2676"/>
      <c r="Y640" s="2676"/>
      <c r="Z640" s="2158"/>
      <c r="AA640" s="2159"/>
      <c r="AB640" s="2159"/>
      <c r="AC640" s="2160"/>
      <c r="AD640" s="2160"/>
      <c r="AE640" s="2161"/>
      <c r="AF640" s="2675"/>
      <c r="AG640" s="2671"/>
      <c r="AH640" s="2671"/>
      <c r="AI640" s="2675"/>
      <c r="AJ640" s="2671"/>
      <c r="AK640" s="2671"/>
      <c r="AL640" s="2109"/>
      <c r="AM640" s="1946"/>
      <c r="AN640" s="1946"/>
      <c r="AO640" s="1946"/>
      <c r="AP640" s="1946"/>
      <c r="AQ640" s="1946"/>
      <c r="AR640" s="1946"/>
      <c r="AS640" s="1946"/>
      <c r="AT640" s="1946"/>
      <c r="AU640" s="1946"/>
      <c r="AV640" s="1946"/>
      <c r="AW640" s="1946"/>
      <c r="AX640" s="1946"/>
      <c r="AY640" s="1946"/>
      <c r="AZ640" s="1946"/>
      <c r="BA640" s="1946"/>
      <c r="BB640" s="1946"/>
      <c r="BC640" s="1946"/>
      <c r="BD640" s="1946"/>
      <c r="BE640" s="1946"/>
      <c r="BF640" s="1946"/>
      <c r="BG640" s="7213"/>
    </row>
    <row customHeight="1" ht="0.75">
      <c r="A641" s="1290" t="s">
        <v>1258</v>
      </c>
      <c r="B641" s="1290"/>
      <c r="C641" s="1290"/>
      <c r="D641" s="1284"/>
      <c r="E641" s="1294"/>
      <c r="F641" s="2673"/>
      <c r="G641" s="2652"/>
      <c r="H641" s="2677"/>
      <c r="I641" s="2678"/>
      <c r="J641" s="2679"/>
      <c r="K641" s="2679"/>
      <c r="L641" s="2671"/>
      <c r="M641" s="2405"/>
      <c r="N641" s="2680"/>
      <c r="O641" s="2681"/>
      <c r="P641" s="2726"/>
      <c r="Q641" s="2676"/>
      <c r="R641" s="2676"/>
      <c r="S641" s="2676"/>
      <c r="T641" s="2676"/>
      <c r="U641" s="2676"/>
      <c r="V641" s="2676"/>
      <c r="W641" s="2676"/>
      <c r="X641" s="2676"/>
      <c r="Y641" s="2676"/>
      <c r="Z641" s="2162"/>
      <c r="AA641" s="2163"/>
      <c r="AB641" s="2164"/>
      <c r="AC641" s="2165"/>
      <c r="AD641" s="2164"/>
      <c r="AE641" s="2165"/>
      <c r="AF641" s="2675"/>
      <c r="AG641" s="2671"/>
      <c r="AH641" s="2671"/>
      <c r="AI641" s="2675"/>
      <c r="AJ641" s="2671"/>
      <c r="AK641" s="2671"/>
      <c r="AL641" s="2109"/>
      <c r="AM641" s="1946"/>
      <c r="AN641" s="1946"/>
      <c r="AO641" s="1946"/>
      <c r="AP641" s="1946"/>
      <c r="AQ641" s="1946"/>
      <c r="AR641" s="1946"/>
      <c r="AS641" s="1946"/>
      <c r="AT641" s="1946"/>
      <c r="AU641" s="1946"/>
      <c r="AV641" s="1946"/>
      <c r="AW641" s="1946"/>
      <c r="AX641" s="1946"/>
      <c r="AY641" s="1946"/>
      <c r="AZ641" s="1946"/>
      <c r="BA641" s="1946"/>
      <c r="BB641" s="1946"/>
      <c r="BC641" s="1946"/>
      <c r="BD641" s="1946"/>
      <c r="BE641" s="1946"/>
      <c r="BF641" s="1946"/>
      <c r="BG641" s="7213"/>
    </row>
    <row customHeight="1" ht="0.75">
      <c r="A642" s="1290" t="s">
        <v>1258</v>
      </c>
      <c r="B642" s="1290"/>
      <c r="C642" s="1290"/>
      <c r="D642" s="1284"/>
      <c r="E642" s="1294"/>
      <c r="F642" s="2673"/>
      <c r="G642" s="2652"/>
      <c r="H642" s="2677"/>
      <c r="I642" s="2678"/>
      <c r="J642" s="2679"/>
      <c r="K642" s="2679"/>
      <c r="L642" s="2671"/>
      <c r="M642" s="2405"/>
      <c r="N642" s="2680"/>
      <c r="O642" s="2681"/>
      <c r="P642" s="2727"/>
      <c r="Q642" s="2676"/>
      <c r="R642" s="2676"/>
      <c r="S642" s="2676"/>
      <c r="T642" s="2676"/>
      <c r="U642" s="2676"/>
      <c r="V642" s="2676"/>
      <c r="W642" s="2676"/>
      <c r="X642" s="2676"/>
      <c r="Y642" s="2676"/>
      <c r="Z642" s="2158"/>
      <c r="AA642" s="2159"/>
      <c r="AB642" s="2166"/>
      <c r="AC642" s="2160"/>
      <c r="AD642" s="2160"/>
      <c r="AE642" s="2167"/>
      <c r="AF642" s="2675"/>
      <c r="AG642" s="2671"/>
      <c r="AH642" s="2671"/>
      <c r="AI642" s="2675"/>
      <c r="AJ642" s="2671"/>
      <c r="AK642" s="2671"/>
      <c r="AL642" s="2109"/>
      <c r="AM642" s="1946"/>
      <c r="AN642" s="1946"/>
      <c r="AO642" s="1946"/>
      <c r="AP642" s="1946"/>
      <c r="AQ642" s="1946"/>
      <c r="AR642" s="1946"/>
      <c r="AS642" s="1946"/>
      <c r="AT642" s="1946"/>
      <c r="AU642" s="1946"/>
      <c r="AV642" s="1946"/>
      <c r="AW642" s="1946"/>
      <c r="AX642" s="1946"/>
      <c r="AY642" s="1946"/>
      <c r="AZ642" s="1946"/>
      <c r="BA642" s="1946"/>
      <c r="BB642" s="1946"/>
      <c r="BC642" s="1946"/>
      <c r="BD642" s="1946"/>
      <c r="BE642" s="1946"/>
      <c r="BF642" s="1946"/>
      <c r="BG642" s="7213"/>
    </row>
    <row customHeight="1" ht="0.75">
      <c r="A643" s="1290" t="s">
        <v>1258</v>
      </c>
      <c r="B643" s="1290"/>
      <c r="C643" s="1290"/>
      <c r="D643" s="1284"/>
      <c r="E643" s="1294"/>
      <c r="F643" s="2673"/>
      <c r="G643" s="2652"/>
      <c r="H643" s="2677"/>
      <c r="I643" s="2678"/>
      <c r="J643" s="2679"/>
      <c r="K643" s="2679"/>
      <c r="L643" s="2671"/>
      <c r="M643" s="2405"/>
      <c r="N643" s="2159"/>
      <c r="O643" s="2159"/>
      <c r="P643" s="2166"/>
      <c r="Q643" s="2159"/>
      <c r="R643" s="2159"/>
      <c r="S643" s="2159"/>
      <c r="T643" s="2159"/>
      <c r="U643" s="2159"/>
      <c r="V643" s="2159"/>
      <c r="W643" s="2159"/>
      <c r="X643" s="2159"/>
      <c r="Y643" s="2159"/>
      <c r="Z643" s="2159"/>
      <c r="AA643" s="2159"/>
      <c r="AB643" s="2159"/>
      <c r="AC643" s="2159"/>
      <c r="AD643" s="2159"/>
      <c r="AE643" s="2168"/>
      <c r="AF643" s="2675"/>
      <c r="AG643" s="2671"/>
      <c r="AH643" s="2671"/>
      <c r="AI643" s="2675"/>
      <c r="AJ643" s="2671"/>
      <c r="AK643" s="2671"/>
      <c r="AL643" s="2109"/>
      <c r="AM643" s="1946"/>
      <c r="AN643" s="1946"/>
      <c r="AO643" s="1946"/>
      <c r="AP643" s="1946"/>
      <c r="AQ643" s="1946"/>
      <c r="AR643" s="1946"/>
      <c r="AS643" s="1946"/>
      <c r="AT643" s="1946"/>
      <c r="AU643" s="1946"/>
      <c r="AV643" s="1946"/>
      <c r="AW643" s="1946"/>
      <c r="AX643" s="1946"/>
      <c r="AY643" s="1946"/>
      <c r="AZ643" s="1946"/>
      <c r="BA643" s="1946"/>
      <c r="BB643" s="1946"/>
      <c r="BC643" s="1946"/>
      <c r="BD643" s="1946"/>
      <c r="BE643" s="1946"/>
      <c r="BF643" s="1946"/>
      <c r="BG643" s="7213"/>
    </row>
    <row customHeight="1" ht="12">
      <c r="A644" s="1290" t="s">
        <v>1258</v>
      </c>
      <c r="B644" s="1290"/>
      <c r="C644" s="1290"/>
      <c r="D644" s="1284"/>
      <c r="E644" s="1294"/>
      <c r="F644" s="2674"/>
      <c r="G644" s="1314"/>
      <c r="H644" s="1314"/>
      <c r="I644" s="2672" t="s">
        <v>1294</v>
      </c>
      <c r="J644" s="2672"/>
      <c r="K644" s="2672"/>
      <c r="L644" s="1297"/>
      <c r="M644" s="1297"/>
      <c r="N644" s="1298"/>
      <c r="O644" s="1298"/>
      <c r="P644" s="1298"/>
      <c r="Q644" s="1298"/>
      <c r="R644" s="1298"/>
      <c r="S644" s="1298"/>
      <c r="T644" s="1298"/>
      <c r="U644" s="1298"/>
      <c r="V644" s="1298"/>
      <c r="W644" s="1298"/>
      <c r="X644" s="1298"/>
      <c r="Y644" s="1298"/>
      <c r="Z644" s="1298"/>
      <c r="AA644" s="1298"/>
      <c r="AB644" s="1298"/>
      <c r="AC644" s="1298"/>
      <c r="AD644" s="1298"/>
      <c r="AE644" s="1298"/>
      <c r="AF644" s="1298"/>
      <c r="AG644" s="1297"/>
      <c r="AH644" s="1297"/>
      <c r="AI644" s="1298"/>
      <c r="AJ644" s="1297"/>
      <c r="AK644" s="1298"/>
      <c r="AL644" s="2109"/>
      <c r="AM644" s="1946"/>
      <c r="AN644" s="1946"/>
      <c r="AO644" s="1946"/>
      <c r="AP644" s="1946"/>
      <c r="AQ644" s="1946"/>
      <c r="AR644" s="1946"/>
      <c r="AS644" s="1946"/>
      <c r="AT644" s="1946"/>
      <c r="AU644" s="1946"/>
      <c r="AV644" s="1946"/>
      <c r="AW644" s="1946"/>
      <c r="AX644" s="1946"/>
      <c r="AY644" s="1946"/>
      <c r="AZ644" s="1946"/>
      <c r="BA644" s="1946"/>
      <c r="BB644" s="1946"/>
      <c r="BC644" s="1946"/>
      <c r="BD644" s="1946"/>
      <c r="BE644" s="1946"/>
      <c r="BF644" s="1946"/>
      <c r="BG644" s="7213"/>
    </row>
    <row customHeight="1" ht="0.75">
      <c r="A645" s="1290" t="s">
        <v>1258</v>
      </c>
      <c r="B645" s="1290"/>
      <c r="C645" s="1290"/>
      <c r="D645" s="1284"/>
      <c r="E645" s="1294"/>
      <c r="F645" s="2673">
        <v>2028</v>
      </c>
      <c r="G645" s="2652"/>
      <c r="H645" s="2677" t="s">
        <v>488</v>
      </c>
      <c r="I645" s="2678"/>
      <c r="J645" s="2679"/>
      <c r="K645" s="2679"/>
      <c r="L645" s="2671"/>
      <c r="M645" s="2405"/>
      <c r="N645" s="2157"/>
      <c r="O645" s="2156"/>
      <c r="P645" s="2157"/>
      <c r="Q645" s="2157"/>
      <c r="R645" s="2157"/>
      <c r="S645" s="2157"/>
      <c r="T645" s="2157"/>
      <c r="U645" s="2157"/>
      <c r="V645" s="2157"/>
      <c r="W645" s="2157"/>
      <c r="X645" s="2157"/>
      <c r="Y645" s="2157"/>
      <c r="Z645" s="2157"/>
      <c r="AA645" s="2157"/>
      <c r="AB645" s="2157"/>
      <c r="AC645" s="2157"/>
      <c r="AD645" s="2157"/>
      <c r="AE645" s="2157"/>
      <c r="AF645" s="2675"/>
      <c r="AG645" s="2671"/>
      <c r="AH645" s="2671"/>
      <c r="AI645" s="2675"/>
      <c r="AJ645" s="2671"/>
      <c r="AK645" s="2671"/>
      <c r="AL645" s="2109"/>
      <c r="AM645" s="1946"/>
      <c r="AN645" s="1946"/>
      <c r="AO645" s="1946"/>
      <c r="AP645" s="1946"/>
      <c r="AQ645" s="1946"/>
      <c r="AR645" s="1946"/>
      <c r="AS645" s="1946"/>
      <c r="AT645" s="1946"/>
      <c r="AU645" s="1946"/>
      <c r="AV645" s="1946"/>
      <c r="AW645" s="1946"/>
      <c r="AX645" s="1946"/>
      <c r="AY645" s="1946"/>
      <c r="AZ645" s="1946"/>
      <c r="BA645" s="1946"/>
      <c r="BB645" s="1946"/>
      <c r="BC645" s="1946"/>
      <c r="BD645" s="1946"/>
      <c r="BE645" s="1946"/>
      <c r="BF645" s="1946"/>
      <c r="BG645" s="7213"/>
    </row>
    <row customHeight="1" ht="0.75">
      <c r="A646" s="1290" t="s">
        <v>1258</v>
      </c>
      <c r="B646" s="1290"/>
      <c r="C646" s="1290"/>
      <c r="D646" s="1284"/>
      <c r="E646" s="1294"/>
      <c r="F646" s="2673"/>
      <c r="G646" s="2652"/>
      <c r="H646" s="2677"/>
      <c r="I646" s="2678"/>
      <c r="J646" s="2679"/>
      <c r="K646" s="2679"/>
      <c r="L646" s="2671"/>
      <c r="M646" s="2405"/>
      <c r="N646" s="2680"/>
      <c r="O646" s="2681"/>
      <c r="P646" s="2725"/>
      <c r="Q646" s="2676"/>
      <c r="R646" s="2676"/>
      <c r="S646" s="2676"/>
      <c r="T646" s="2676"/>
      <c r="U646" s="2676"/>
      <c r="V646" s="2676"/>
      <c r="W646" s="2676"/>
      <c r="X646" s="2676"/>
      <c r="Y646" s="2676"/>
      <c r="Z646" s="2158"/>
      <c r="AA646" s="2159"/>
      <c r="AB646" s="2159"/>
      <c r="AC646" s="2160"/>
      <c r="AD646" s="2160"/>
      <c r="AE646" s="2161"/>
      <c r="AF646" s="2675"/>
      <c r="AG646" s="2671"/>
      <c r="AH646" s="2671"/>
      <c r="AI646" s="2675"/>
      <c r="AJ646" s="2671"/>
      <c r="AK646" s="2671"/>
      <c r="AL646" s="2109"/>
      <c r="AM646" s="1946"/>
      <c r="AN646" s="1946"/>
      <c r="AO646" s="1946"/>
      <c r="AP646" s="1946"/>
      <c r="AQ646" s="1946"/>
      <c r="AR646" s="1946"/>
      <c r="AS646" s="1946"/>
      <c r="AT646" s="1946"/>
      <c r="AU646" s="1946"/>
      <c r="AV646" s="1946"/>
      <c r="AW646" s="1946"/>
      <c r="AX646" s="1946"/>
      <c r="AY646" s="1946"/>
      <c r="AZ646" s="1946"/>
      <c r="BA646" s="1946"/>
      <c r="BB646" s="1946"/>
      <c r="BC646" s="1946"/>
      <c r="BD646" s="1946"/>
      <c r="BE646" s="1946"/>
      <c r="BF646" s="1946"/>
      <c r="BG646" s="7213"/>
    </row>
    <row customHeight="1" ht="0.75">
      <c r="A647" s="1290" t="s">
        <v>1258</v>
      </c>
      <c r="B647" s="1290"/>
      <c r="C647" s="1290"/>
      <c r="D647" s="1284"/>
      <c r="E647" s="1294"/>
      <c r="F647" s="2673"/>
      <c r="G647" s="2652"/>
      <c r="H647" s="2677"/>
      <c r="I647" s="2678"/>
      <c r="J647" s="2679"/>
      <c r="K647" s="2679"/>
      <c r="L647" s="2671"/>
      <c r="M647" s="2405"/>
      <c r="N647" s="2680"/>
      <c r="O647" s="2681"/>
      <c r="P647" s="2726"/>
      <c r="Q647" s="2676"/>
      <c r="R647" s="2676"/>
      <c r="S647" s="2676"/>
      <c r="T647" s="2676"/>
      <c r="U647" s="2676"/>
      <c r="V647" s="2676"/>
      <c r="W647" s="2676"/>
      <c r="X647" s="2676"/>
      <c r="Y647" s="2676"/>
      <c r="Z647" s="2162"/>
      <c r="AA647" s="2163"/>
      <c r="AB647" s="2164"/>
      <c r="AC647" s="2165"/>
      <c r="AD647" s="2164"/>
      <c r="AE647" s="2165"/>
      <c r="AF647" s="2675"/>
      <c r="AG647" s="2671"/>
      <c r="AH647" s="2671"/>
      <c r="AI647" s="2675"/>
      <c r="AJ647" s="2671"/>
      <c r="AK647" s="2671"/>
      <c r="AL647" s="2109"/>
      <c r="AM647" s="1946"/>
      <c r="AN647" s="1946"/>
      <c r="AO647" s="1946"/>
      <c r="AP647" s="1946"/>
      <c r="AQ647" s="1946"/>
      <c r="AR647" s="1946"/>
      <c r="AS647" s="1946"/>
      <c r="AT647" s="1946"/>
      <c r="AU647" s="1946"/>
      <c r="AV647" s="1946"/>
      <c r="AW647" s="1946"/>
      <c r="AX647" s="1946"/>
      <c r="AY647" s="1946"/>
      <c r="AZ647" s="1946"/>
      <c r="BA647" s="1946"/>
      <c r="BB647" s="1946"/>
      <c r="BC647" s="1946"/>
      <c r="BD647" s="1946"/>
      <c r="BE647" s="1946"/>
      <c r="BF647" s="1946"/>
      <c r="BG647" s="7213"/>
    </row>
    <row customHeight="1" ht="0.75">
      <c r="A648" s="1290" t="s">
        <v>1258</v>
      </c>
      <c r="B648" s="1290"/>
      <c r="C648" s="1290"/>
      <c r="D648" s="1284"/>
      <c r="E648" s="1294"/>
      <c r="F648" s="2673"/>
      <c r="G648" s="2652"/>
      <c r="H648" s="2677"/>
      <c r="I648" s="2678"/>
      <c r="J648" s="2679"/>
      <c r="K648" s="2679"/>
      <c r="L648" s="2671"/>
      <c r="M648" s="2405"/>
      <c r="N648" s="2680"/>
      <c r="O648" s="2681"/>
      <c r="P648" s="2727"/>
      <c r="Q648" s="2676"/>
      <c r="R648" s="2676"/>
      <c r="S648" s="2676"/>
      <c r="T648" s="2676"/>
      <c r="U648" s="2676"/>
      <c r="V648" s="2676"/>
      <c r="W648" s="2676"/>
      <c r="X648" s="2676"/>
      <c r="Y648" s="2676"/>
      <c r="Z648" s="2158"/>
      <c r="AA648" s="2159"/>
      <c r="AB648" s="2166"/>
      <c r="AC648" s="2160"/>
      <c r="AD648" s="2160"/>
      <c r="AE648" s="2167"/>
      <c r="AF648" s="2675"/>
      <c r="AG648" s="2671"/>
      <c r="AH648" s="2671"/>
      <c r="AI648" s="2675"/>
      <c r="AJ648" s="2671"/>
      <c r="AK648" s="2671"/>
      <c r="AL648" s="2109"/>
      <c r="AM648" s="1946"/>
      <c r="AN648" s="1946"/>
      <c r="AO648" s="1946"/>
      <c r="AP648" s="1946"/>
      <c r="AQ648" s="1946"/>
      <c r="AR648" s="1946"/>
      <c r="AS648" s="1946"/>
      <c r="AT648" s="1946"/>
      <c r="AU648" s="1946"/>
      <c r="AV648" s="1946"/>
      <c r="AW648" s="1946"/>
      <c r="AX648" s="1946"/>
      <c r="AY648" s="1946"/>
      <c r="AZ648" s="1946"/>
      <c r="BA648" s="1946"/>
      <c r="BB648" s="1946"/>
      <c r="BC648" s="1946"/>
      <c r="BD648" s="1946"/>
      <c r="BE648" s="1946"/>
      <c r="BF648" s="1946"/>
      <c r="BG648" s="7213"/>
    </row>
    <row customHeight="1" ht="0.75">
      <c r="A649" s="1290" t="s">
        <v>1258</v>
      </c>
      <c r="B649" s="1290"/>
      <c r="C649" s="1290"/>
      <c r="D649" s="1284"/>
      <c r="E649" s="1294"/>
      <c r="F649" s="2673"/>
      <c r="G649" s="2652"/>
      <c r="H649" s="2677"/>
      <c r="I649" s="2678"/>
      <c r="J649" s="2679"/>
      <c r="K649" s="2679"/>
      <c r="L649" s="2671"/>
      <c r="M649" s="2405"/>
      <c r="N649" s="2159"/>
      <c r="O649" s="2159"/>
      <c r="P649" s="2166"/>
      <c r="Q649" s="2159"/>
      <c r="R649" s="2159"/>
      <c r="S649" s="2159"/>
      <c r="T649" s="2159"/>
      <c r="U649" s="2159"/>
      <c r="V649" s="2159"/>
      <c r="W649" s="2159"/>
      <c r="X649" s="2159"/>
      <c r="Y649" s="2159"/>
      <c r="Z649" s="2159"/>
      <c r="AA649" s="2159"/>
      <c r="AB649" s="2159"/>
      <c r="AC649" s="2159"/>
      <c r="AD649" s="2159"/>
      <c r="AE649" s="2168"/>
      <c r="AF649" s="2675"/>
      <c r="AG649" s="2671"/>
      <c r="AH649" s="2671"/>
      <c r="AI649" s="2675"/>
      <c r="AJ649" s="2671"/>
      <c r="AK649" s="2671"/>
      <c r="AL649" s="2109"/>
      <c r="AM649" s="1946"/>
      <c r="AN649" s="1946"/>
      <c r="AO649" s="1946"/>
      <c r="AP649" s="1946"/>
      <c r="AQ649" s="1946"/>
      <c r="AR649" s="1946"/>
      <c r="AS649" s="1946"/>
      <c r="AT649" s="1946"/>
      <c r="AU649" s="1946"/>
      <c r="AV649" s="1946"/>
      <c r="AW649" s="1946"/>
      <c r="AX649" s="1946"/>
      <c r="AY649" s="1946"/>
      <c r="AZ649" s="1946"/>
      <c r="BA649" s="1946"/>
      <c r="BB649" s="1946"/>
      <c r="BC649" s="1946"/>
      <c r="BD649" s="1946"/>
      <c r="BE649" s="1946"/>
      <c r="BF649" s="1946"/>
      <c r="BG649" s="7213"/>
    </row>
    <row customHeight="1" ht="12">
      <c r="A650" s="1290" t="s">
        <v>1258</v>
      </c>
      <c r="B650" s="1290"/>
      <c r="C650" s="1290"/>
      <c r="D650" s="1284"/>
      <c r="E650" s="1294"/>
      <c r="F650" s="2674"/>
      <c r="G650" s="1314"/>
      <c r="H650" s="1314"/>
      <c r="I650" s="2672" t="s">
        <v>1294</v>
      </c>
      <c r="J650" s="2672"/>
      <c r="K650" s="2672"/>
      <c r="L650" s="1297"/>
      <c r="M650" s="1297"/>
      <c r="N650" s="1298"/>
      <c r="O650" s="1298"/>
      <c r="P650" s="1298"/>
      <c r="Q650" s="1298"/>
      <c r="R650" s="1298"/>
      <c r="S650" s="1298"/>
      <c r="T650" s="1298"/>
      <c r="U650" s="1298"/>
      <c r="V650" s="1298"/>
      <c r="W650" s="1298"/>
      <c r="X650" s="1298"/>
      <c r="Y650" s="1298"/>
      <c r="Z650" s="1298"/>
      <c r="AA650" s="1298"/>
      <c r="AB650" s="1298"/>
      <c r="AC650" s="1298"/>
      <c r="AD650" s="1298"/>
      <c r="AE650" s="1298"/>
      <c r="AF650" s="1298"/>
      <c r="AG650" s="1297"/>
      <c r="AH650" s="1297"/>
      <c r="AI650" s="1298"/>
      <c r="AJ650" s="1297"/>
      <c r="AK650" s="1298"/>
      <c r="AL650" s="2109"/>
      <c r="AM650" s="1946"/>
      <c r="AN650" s="1946"/>
      <c r="AO650" s="1946"/>
      <c r="AP650" s="1946"/>
      <c r="AQ650" s="1946"/>
      <c r="AR650" s="1946"/>
      <c r="AS650" s="1946"/>
      <c r="AT650" s="1946"/>
      <c r="AU650" s="1946"/>
      <c r="AV650" s="1946"/>
      <c r="AW650" s="1946"/>
      <c r="AX650" s="1946"/>
      <c r="AY650" s="1946"/>
      <c r="AZ650" s="1946"/>
      <c r="BA650" s="1946"/>
      <c r="BB650" s="1946"/>
      <c r="BC650" s="1946"/>
      <c r="BD650" s="1946"/>
      <c r="BE650" s="1946"/>
      <c r="BF650" s="1946"/>
      <c r="BG650" s="7213"/>
    </row>
    <row customHeight="1" ht="21">
      <c r="A651" s="1291" t="s">
        <v>1263</v>
      </c>
      <c r="B651" s="1290"/>
      <c r="C651" s="1290"/>
      <c r="D651" s="1284"/>
      <c r="E651" s="1294" t="s">
        <v>22</v>
      </c>
      <c r="F651" s="1246" t="str">
        <f>INDEX(IP_MAIN_LIST_NAME_IP,MATCH(A651,IP_MAIN_LIST_IP_ID,0))&amp;" ("&amp;INDEX(IP_MAIN_START_DATE,MATCH(A651,IP_MAIN_LIST_IP_ID,0))&amp;"-"&amp;INDEX(IP_MAIN_END_DATE,MATCH(A651,IP_MAIN_LIST_IP_ID,0))&amp;")"</f>
        <v>Инвестиционная программа № 211 от 15.11.2024 ООО "СамРЭК-Эксплуатация" в сфере теплоснабжения по модернизации системы теплоснабжения, на территории муниципального района Приволжский на 2024-2033 годы (15.11.2024-31.12.2033)</v>
      </c>
      <c r="G651" s="1247"/>
      <c r="H651" s="1247"/>
      <c r="I651" s="1309"/>
      <c r="J651" s="1309"/>
      <c r="K651" s="1310"/>
      <c r="L651" s="1310"/>
      <c r="M651" s="1310"/>
      <c r="N651" s="1311"/>
      <c r="O651" s="1311"/>
      <c r="P651" s="1311"/>
      <c r="Q651" s="1311"/>
      <c r="R651" s="1311"/>
      <c r="S651" s="1311"/>
      <c r="T651" s="1311"/>
      <c r="U651" s="1311"/>
      <c r="V651" s="1311"/>
      <c r="W651" s="1311"/>
      <c r="X651" s="1311"/>
      <c r="Y651" s="1311"/>
      <c r="Z651" s="1311"/>
      <c r="AA651" s="1311"/>
      <c r="AB651" s="1311"/>
      <c r="AC651" s="1311"/>
      <c r="AD651" s="1311"/>
      <c r="AE651" s="1312"/>
      <c r="AF651" s="1310"/>
      <c r="AG651" s="1310"/>
      <c r="AH651" s="1310"/>
      <c r="AI651" s="1310"/>
      <c r="AJ651" s="1310"/>
      <c r="AK651" s="1310"/>
      <c r="AL651" s="2109"/>
      <c r="AM651" s="1946"/>
      <c r="AN651" s="1946"/>
      <c r="AO651" s="1946"/>
      <c r="AP651" s="1946"/>
      <c r="AQ651" s="1946"/>
      <c r="AR651" s="1946"/>
      <c r="AS651" s="1946"/>
      <c r="AT651" s="1946"/>
      <c r="AU651" s="1946"/>
      <c r="AV651" s="1946"/>
      <c r="AW651" s="1946"/>
      <c r="AX651" s="1946"/>
      <c r="AY651" s="1946"/>
      <c r="AZ651" s="1946"/>
      <c r="BA651" s="1946"/>
      <c r="BB651" s="1946"/>
      <c r="BC651" s="1946"/>
      <c r="BD651" s="1946"/>
      <c r="BE651" s="1946"/>
      <c r="BF651" s="1946"/>
      <c r="BG651" s="7213"/>
    </row>
    <row customHeight="1" ht="0.75">
      <c r="A652" s="1290" t="s">
        <v>1263</v>
      </c>
      <c r="B652" s="1290"/>
      <c r="C652" s="1290"/>
      <c r="D652" s="1284"/>
      <c r="E652" s="1294"/>
      <c r="F652" s="2673">
        <v>2024</v>
      </c>
      <c r="G652" s="2652"/>
      <c r="H652" s="2677" t="s">
        <v>488</v>
      </c>
      <c r="I652" s="2678"/>
      <c r="J652" s="2679"/>
      <c r="K652" s="2679"/>
      <c r="L652" s="2671"/>
      <c r="M652" s="2405"/>
      <c r="N652" s="2157"/>
      <c r="O652" s="2156"/>
      <c r="P652" s="2157"/>
      <c r="Q652" s="2157"/>
      <c r="R652" s="2157"/>
      <c r="S652" s="2157"/>
      <c r="T652" s="2157"/>
      <c r="U652" s="2157"/>
      <c r="V652" s="2157"/>
      <c r="W652" s="2157"/>
      <c r="X652" s="2157"/>
      <c r="Y652" s="2157"/>
      <c r="Z652" s="2157"/>
      <c r="AA652" s="2157"/>
      <c r="AB652" s="2157"/>
      <c r="AC652" s="2157"/>
      <c r="AD652" s="2157"/>
      <c r="AE652" s="2157"/>
      <c r="AF652" s="2675"/>
      <c r="AG652" s="2671"/>
      <c r="AH652" s="2671"/>
      <c r="AI652" s="2675"/>
      <c r="AJ652" s="2671"/>
      <c r="AK652" s="2671"/>
      <c r="AL652" s="2109"/>
      <c r="AM652" s="1946"/>
      <c r="AN652" s="1946"/>
      <c r="AO652" s="1946"/>
      <c r="AP652" s="1946"/>
      <c r="AQ652" s="1946"/>
      <c r="AR652" s="1946"/>
      <c r="AS652" s="1946"/>
      <c r="AT652" s="1946"/>
      <c r="AU652" s="1946"/>
      <c r="AV652" s="1946"/>
      <c r="AW652" s="1946"/>
      <c r="AX652" s="1946"/>
      <c r="AY652" s="1946"/>
      <c r="AZ652" s="1946"/>
      <c r="BA652" s="1946"/>
      <c r="BB652" s="1946"/>
      <c r="BC652" s="1946"/>
      <c r="BD652" s="1946"/>
      <c r="BE652" s="1946"/>
      <c r="BF652" s="1946"/>
      <c r="BG652" s="7213"/>
    </row>
    <row customHeight="1" ht="0.75">
      <c r="A653" s="1290" t="s">
        <v>1263</v>
      </c>
      <c r="B653" s="1290"/>
      <c r="C653" s="1290"/>
      <c r="D653" s="1284"/>
      <c r="E653" s="1294"/>
      <c r="F653" s="2673"/>
      <c r="G653" s="2652"/>
      <c r="H653" s="2677"/>
      <c r="I653" s="2678"/>
      <c r="J653" s="2679"/>
      <c r="K653" s="2679"/>
      <c r="L653" s="2671"/>
      <c r="M653" s="2405"/>
      <c r="N653" s="2680"/>
      <c r="O653" s="2681"/>
      <c r="P653" s="2725"/>
      <c r="Q653" s="2676"/>
      <c r="R653" s="2676"/>
      <c r="S653" s="2676"/>
      <c r="T653" s="2676"/>
      <c r="U653" s="2676"/>
      <c r="V653" s="2676"/>
      <c r="W653" s="2676"/>
      <c r="X653" s="2676"/>
      <c r="Y653" s="2676"/>
      <c r="Z653" s="2158"/>
      <c r="AA653" s="2159"/>
      <c r="AB653" s="2159"/>
      <c r="AC653" s="2160"/>
      <c r="AD653" s="2160"/>
      <c r="AE653" s="2161"/>
      <c r="AF653" s="2675"/>
      <c r="AG653" s="2671"/>
      <c r="AH653" s="2671"/>
      <c r="AI653" s="2675"/>
      <c r="AJ653" s="2671"/>
      <c r="AK653" s="2671"/>
      <c r="AL653" s="2109"/>
      <c r="AM653" s="1946"/>
      <c r="AN653" s="1946"/>
      <c r="AO653" s="1946"/>
      <c r="AP653" s="1946"/>
      <c r="AQ653" s="1946"/>
      <c r="AR653" s="1946"/>
      <c r="AS653" s="1946"/>
      <c r="AT653" s="1946"/>
      <c r="AU653" s="1946"/>
      <c r="AV653" s="1946"/>
      <c r="AW653" s="1946"/>
      <c r="AX653" s="1946"/>
      <c r="AY653" s="1946"/>
      <c r="AZ653" s="1946"/>
      <c r="BA653" s="1946"/>
      <c r="BB653" s="1946"/>
      <c r="BC653" s="1946"/>
      <c r="BD653" s="1946"/>
      <c r="BE653" s="1946"/>
      <c r="BF653" s="1946"/>
      <c r="BG653" s="7213"/>
    </row>
    <row customHeight="1" ht="0.75">
      <c r="A654" s="1290" t="s">
        <v>1263</v>
      </c>
      <c r="B654" s="1290"/>
      <c r="C654" s="1290"/>
      <c r="D654" s="1284"/>
      <c r="E654" s="1294"/>
      <c r="F654" s="2673"/>
      <c r="G654" s="2652"/>
      <c r="H654" s="2677"/>
      <c r="I654" s="2678"/>
      <c r="J654" s="2679"/>
      <c r="K654" s="2679"/>
      <c r="L654" s="2671"/>
      <c r="M654" s="2405"/>
      <c r="N654" s="2680"/>
      <c r="O654" s="2681"/>
      <c r="P654" s="2726"/>
      <c r="Q654" s="2676"/>
      <c r="R654" s="2676"/>
      <c r="S654" s="2676"/>
      <c r="T654" s="2676"/>
      <c r="U654" s="2676"/>
      <c r="V654" s="2676"/>
      <c r="W654" s="2676"/>
      <c r="X654" s="2676"/>
      <c r="Y654" s="2676"/>
      <c r="Z654" s="2162"/>
      <c r="AA654" s="2163"/>
      <c r="AB654" s="2164"/>
      <c r="AC654" s="2165"/>
      <c r="AD654" s="2164"/>
      <c r="AE654" s="2165"/>
      <c r="AF654" s="2675"/>
      <c r="AG654" s="2671"/>
      <c r="AH654" s="2671"/>
      <c r="AI654" s="2675"/>
      <c r="AJ654" s="2671"/>
      <c r="AK654" s="2671"/>
      <c r="AL654" s="2109"/>
      <c r="AM654" s="1946"/>
      <c r="AN654" s="1946"/>
      <c r="AO654" s="1946"/>
      <c r="AP654" s="1946"/>
      <c r="AQ654" s="1946"/>
      <c r="AR654" s="1946"/>
      <c r="AS654" s="1946"/>
      <c r="AT654" s="1946"/>
      <c r="AU654" s="1946"/>
      <c r="AV654" s="1946"/>
      <c r="AW654" s="1946"/>
      <c r="AX654" s="1946"/>
      <c r="AY654" s="1946"/>
      <c r="AZ654" s="1946"/>
      <c r="BA654" s="1946"/>
      <c r="BB654" s="1946"/>
      <c r="BC654" s="1946"/>
      <c r="BD654" s="1946"/>
      <c r="BE654" s="1946"/>
      <c r="BF654" s="1946"/>
      <c r="BG654" s="7213"/>
    </row>
    <row customHeight="1" ht="0.75">
      <c r="A655" s="1290" t="s">
        <v>1263</v>
      </c>
      <c r="B655" s="1290"/>
      <c r="C655" s="1290"/>
      <c r="D655" s="1284"/>
      <c r="E655" s="1294"/>
      <c r="F655" s="2673"/>
      <c r="G655" s="2652"/>
      <c r="H655" s="2677"/>
      <c r="I655" s="2678"/>
      <c r="J655" s="2679"/>
      <c r="K655" s="2679"/>
      <c r="L655" s="2671"/>
      <c r="M655" s="2405"/>
      <c r="N655" s="2680"/>
      <c r="O655" s="2681"/>
      <c r="P655" s="2727"/>
      <c r="Q655" s="2676"/>
      <c r="R655" s="2676"/>
      <c r="S655" s="2676"/>
      <c r="T655" s="2676"/>
      <c r="U655" s="2676"/>
      <c r="V655" s="2676"/>
      <c r="W655" s="2676"/>
      <c r="X655" s="2676"/>
      <c r="Y655" s="2676"/>
      <c r="Z655" s="2158"/>
      <c r="AA655" s="2159"/>
      <c r="AB655" s="2166"/>
      <c r="AC655" s="2160"/>
      <c r="AD655" s="2160"/>
      <c r="AE655" s="2167"/>
      <c r="AF655" s="2675"/>
      <c r="AG655" s="2671"/>
      <c r="AH655" s="2671"/>
      <c r="AI655" s="2675"/>
      <c r="AJ655" s="2671"/>
      <c r="AK655" s="2671"/>
      <c r="AL655" s="2109"/>
      <c r="AM655" s="1946"/>
      <c r="AN655" s="1946"/>
      <c r="AO655" s="1946"/>
      <c r="AP655" s="1946"/>
      <c r="AQ655" s="1946"/>
      <c r="AR655" s="1946"/>
      <c r="AS655" s="1946"/>
      <c r="AT655" s="1946"/>
      <c r="AU655" s="1946"/>
      <c r="AV655" s="1946"/>
      <c r="AW655" s="1946"/>
      <c r="AX655" s="1946"/>
      <c r="AY655" s="1946"/>
      <c r="AZ655" s="1946"/>
      <c r="BA655" s="1946"/>
      <c r="BB655" s="1946"/>
      <c r="BC655" s="1946"/>
      <c r="BD655" s="1946"/>
      <c r="BE655" s="1946"/>
      <c r="BF655" s="1946"/>
      <c r="BG655" s="7213"/>
    </row>
    <row customHeight="1" ht="0.75">
      <c r="A656" s="1290" t="s">
        <v>1263</v>
      </c>
      <c r="B656" s="1290"/>
      <c r="C656" s="1290"/>
      <c r="D656" s="1284"/>
      <c r="E656" s="1294"/>
      <c r="F656" s="2673"/>
      <c r="G656" s="2652"/>
      <c r="H656" s="2677"/>
      <c r="I656" s="2678"/>
      <c r="J656" s="2679"/>
      <c r="K656" s="2679"/>
      <c r="L656" s="2671"/>
      <c r="M656" s="2405"/>
      <c r="N656" s="2159"/>
      <c r="O656" s="2159"/>
      <c r="P656" s="2166"/>
      <c r="Q656" s="2159"/>
      <c r="R656" s="2159"/>
      <c r="S656" s="2159"/>
      <c r="T656" s="2159"/>
      <c r="U656" s="2159"/>
      <c r="V656" s="2159"/>
      <c r="W656" s="2159"/>
      <c r="X656" s="2159"/>
      <c r="Y656" s="2159"/>
      <c r="Z656" s="2159"/>
      <c r="AA656" s="2159"/>
      <c r="AB656" s="2159"/>
      <c r="AC656" s="2159"/>
      <c r="AD656" s="2159"/>
      <c r="AE656" s="2168"/>
      <c r="AF656" s="2675"/>
      <c r="AG656" s="2671"/>
      <c r="AH656" s="2671"/>
      <c r="AI656" s="2675"/>
      <c r="AJ656" s="2671"/>
      <c r="AK656" s="2671"/>
      <c r="AL656" s="2109"/>
      <c r="AM656" s="1946"/>
      <c r="AN656" s="1946"/>
      <c r="AO656" s="1946"/>
      <c r="AP656" s="1946"/>
      <c r="AQ656" s="1946"/>
      <c r="AR656" s="1946"/>
      <c r="AS656" s="1946"/>
      <c r="AT656" s="1946"/>
      <c r="AU656" s="1946"/>
      <c r="AV656" s="1946"/>
      <c r="AW656" s="1946"/>
      <c r="AX656" s="1946"/>
      <c r="AY656" s="1946"/>
      <c r="AZ656" s="1946"/>
      <c r="BA656" s="1946"/>
      <c r="BB656" s="1946"/>
      <c r="BC656" s="1946"/>
      <c r="BD656" s="1946"/>
      <c r="BE656" s="1946"/>
      <c r="BF656" s="1946"/>
      <c r="BG656" s="7213"/>
    </row>
    <row customHeight="1" ht="11.25">
      <c r="A657" s="1290" t="s">
        <v>1263</v>
      </c>
      <c r="B657" s="1290"/>
      <c r="C657" s="1290"/>
      <c r="D657" s="1284"/>
      <c r="E657" s="1294"/>
      <c r="F657" s="1952"/>
      <c r="G657" s="7121" t="s">
        <v>103</v>
      </c>
      <c r="H657" s="2652" t="s">
        <v>210</v>
      </c>
      <c r="I657" s="2653"/>
      <c r="J657" s="2622"/>
      <c r="K657" s="2654" t="s">
        <v>1439</v>
      </c>
      <c r="L657" s="2244" t="s">
        <v>19</v>
      </c>
      <c r="M657" s="2245"/>
      <c r="N657" s="2107"/>
      <c r="O657" s="1301" t="s">
        <v>488</v>
      </c>
      <c r="P657" s="1302"/>
      <c r="Q657" s="1302"/>
      <c r="R657" s="1302"/>
      <c r="S657" s="1302"/>
      <c r="T657" s="1302"/>
      <c r="U657" s="1302"/>
      <c r="V657" s="1302"/>
      <c r="W657" s="1302"/>
      <c r="X657" s="1302"/>
      <c r="Y657" s="1302"/>
      <c r="Z657" s="1302"/>
      <c r="AA657" s="1302"/>
      <c r="AB657" s="1302"/>
      <c r="AC657" s="1302"/>
      <c r="AD657" s="1302"/>
      <c r="AE657" s="1302"/>
      <c r="AF657" s="2643">
        <v>2024</v>
      </c>
      <c r="AG657" s="2644" t="s">
        <v>1296</v>
      </c>
      <c r="AH657" s="2644" t="s">
        <v>1297</v>
      </c>
      <c r="AI657" s="2643">
        <v>2024</v>
      </c>
      <c r="AJ657" s="2644" t="s">
        <v>1296</v>
      </c>
      <c r="AK657" s="2644" t="s">
        <v>1297</v>
      </c>
      <c r="AL657" s="2109"/>
      <c r="AM657" s="1946"/>
      <c r="AN657" s="1946"/>
      <c r="AO657" s="1946"/>
      <c r="AP657" s="1946"/>
      <c r="AQ657" s="1946"/>
      <c r="AR657" s="1946"/>
      <c r="AS657" s="1946"/>
      <c r="AT657" s="1946"/>
      <c r="AU657" s="1946"/>
      <c r="AV657" s="1946"/>
      <c r="AW657" s="1946"/>
      <c r="AX657" s="1946"/>
      <c r="AY657" s="1946"/>
      <c r="AZ657" s="1946"/>
      <c r="BA657" s="1946"/>
      <c r="BB657" s="1946"/>
      <c r="BC657" s="1946"/>
      <c r="BD657" s="1946"/>
      <c r="BE657" s="1946"/>
      <c r="BF657" s="1946"/>
      <c r="BG657" s="7213"/>
    </row>
    <row customHeight="1" ht="11.25">
      <c r="A658" s="1290" t="s">
        <v>1263</v>
      </c>
      <c r="B658" s="1290"/>
      <c r="C658" s="1290"/>
      <c r="D658" s="1284"/>
      <c r="E658" s="1294"/>
      <c r="F658" s="1952"/>
      <c r="G658" s="1953"/>
      <c r="H658" s="2652" t="s">
        <v>488</v>
      </c>
      <c r="I658" s="2653"/>
      <c r="J658" s="2622"/>
      <c r="K658" s="2654"/>
      <c r="L658" s="2244"/>
      <c r="M658" s="2245"/>
      <c r="N658" s="2645"/>
      <c r="O658" s="2646">
        <v>1</v>
      </c>
      <c r="P658" s="2647" t="s">
        <v>19</v>
      </c>
      <c r="Q658" s="11139" t="s">
        <v>22</v>
      </c>
      <c r="R658" s="11139" t="s">
        <v>22</v>
      </c>
      <c r="S658" s="11139" t="s">
        <v>22</v>
      </c>
      <c r="T658" s="11139" t="s">
        <v>22</v>
      </c>
      <c r="U658" s="11139" t="s">
        <v>22</v>
      </c>
      <c r="V658" s="11139" t="s">
        <v>22</v>
      </c>
      <c r="W658" s="11139" t="s">
        <v>22</v>
      </c>
      <c r="X658" s="11139" t="s">
        <v>22</v>
      </c>
      <c r="Y658" s="11139" t="s">
        <v>22</v>
      </c>
      <c r="Z658" s="1299"/>
      <c r="AA658" s="1300"/>
      <c r="AB658" s="1300"/>
      <c r="AC658" s="1304"/>
      <c r="AD658" s="1304"/>
      <c r="AE658" s="1305"/>
      <c r="AF658" s="2643"/>
      <c r="AG658" s="2644"/>
      <c r="AH658" s="2644"/>
      <c r="AI658" s="2643"/>
      <c r="AJ658" s="2644"/>
      <c r="AK658" s="2644"/>
      <c r="AL658" s="2109"/>
      <c r="AM658" s="1946"/>
      <c r="AN658" s="1946"/>
      <c r="AO658" s="1946"/>
      <c r="AP658" s="1946"/>
      <c r="AQ658" s="1946"/>
      <c r="AR658" s="1946"/>
      <c r="AS658" s="1946"/>
      <c r="AT658" s="1946"/>
      <c r="AU658" s="1946"/>
      <c r="AV658" s="1946"/>
      <c r="AW658" s="1946"/>
      <c r="AX658" s="1946"/>
      <c r="AY658" s="1946"/>
      <c r="AZ658" s="1946"/>
      <c r="BA658" s="1946"/>
      <c r="BB658" s="1946"/>
      <c r="BC658" s="1946"/>
      <c r="BD658" s="1946"/>
      <c r="BE658" s="1946"/>
      <c r="BF658" s="1946"/>
      <c r="BG658" s="7213"/>
    </row>
    <row customHeight="1" ht="11.25">
      <c r="A659" s="1290" t="s">
        <v>1263</v>
      </c>
      <c r="B659" s="1290"/>
      <c r="C659" s="1290"/>
      <c r="D659" s="1284"/>
      <c r="E659" s="1294"/>
      <c r="F659" s="1952"/>
      <c r="G659" s="1953"/>
      <c r="H659" s="2652" t="s">
        <v>488</v>
      </c>
      <c r="I659" s="2653"/>
      <c r="J659" s="2622"/>
      <c r="K659" s="2654"/>
      <c r="L659" s="2244"/>
      <c r="M659" s="2245"/>
      <c r="N659" s="2645"/>
      <c r="O659" s="2646"/>
      <c r="P659" s="2648"/>
      <c r="Q659" s="11136"/>
      <c r="R659" s="2650"/>
      <c r="S659" s="2651"/>
      <c r="T659" s="2650"/>
      <c r="U659" s="2650"/>
      <c r="V659" s="2650"/>
      <c r="W659" s="2650"/>
      <c r="X659" s="2650"/>
      <c r="Y659" s="2650"/>
      <c r="Z659" s="1951"/>
      <c r="AA659" s="1917">
        <v>1</v>
      </c>
      <c r="AB659" s="1303" t="s">
        <v>1306</v>
      </c>
      <c r="AC659" s="1293">
        <v>50</v>
      </c>
      <c r="AD659" s="1303" t="str">
        <f>AB659</f>
        <v>  Прибыль направляемая на инвестиции</v>
      </c>
      <c r="AE659" s="1293">
        <v>50</v>
      </c>
      <c r="AF659" s="2643"/>
      <c r="AG659" s="2644"/>
      <c r="AH659" s="2644"/>
      <c r="AI659" s="2643"/>
      <c r="AJ659" s="2644"/>
      <c r="AK659" s="2644"/>
      <c r="AL659" s="2109"/>
      <c r="AM659" s="1946"/>
      <c r="AN659" s="1946"/>
      <c r="AO659" s="1946"/>
      <c r="AP659" s="1946"/>
      <c r="AQ659" s="1946"/>
      <c r="AR659" s="1946"/>
      <c r="AS659" s="1946"/>
      <c r="AT659" s="1946"/>
      <c r="AU659" s="1946"/>
      <c r="AV659" s="1946"/>
      <c r="AW659" s="1946"/>
      <c r="AX659" s="1946"/>
      <c r="AY659" s="1946"/>
      <c r="AZ659" s="1946"/>
      <c r="BA659" s="1946"/>
      <c r="BB659" s="1946"/>
      <c r="BC659" s="1946"/>
      <c r="BD659" s="1946"/>
      <c r="BE659" s="1946"/>
      <c r="BF659" s="1946"/>
      <c r="BG659" s="7213"/>
    </row>
    <row customHeight="1" ht="11.25">
      <c r="A660" s="1290" t="s">
        <v>1263</v>
      </c>
      <c r="B660" s="1290"/>
      <c r="C660" s="1290"/>
      <c r="D660" s="1284"/>
      <c r="E660" s="1294"/>
      <c r="F660" s="1952"/>
      <c r="G660" s="1953"/>
      <c r="H660" s="2652" t="s">
        <v>488</v>
      </c>
      <c r="I660" s="2653"/>
      <c r="J660" s="2622"/>
      <c r="K660" s="2654"/>
      <c r="L660" s="2244"/>
      <c r="M660" s="2245"/>
      <c r="N660" s="2645"/>
      <c r="O660" s="2646"/>
      <c r="P660" s="2649"/>
      <c r="Q660" s="11136"/>
      <c r="R660" s="2650"/>
      <c r="S660" s="2651"/>
      <c r="T660" s="2650"/>
      <c r="U660" s="2650"/>
      <c r="V660" s="2650"/>
      <c r="W660" s="2650"/>
      <c r="X660" s="2650"/>
      <c r="Y660" s="2650"/>
      <c r="Z660" s="1299"/>
      <c r="AA660" s="1300"/>
      <c r="AB660" s="1365" t="s">
        <v>1309</v>
      </c>
      <c r="AC660" s="1304"/>
      <c r="AD660" s="1304"/>
      <c r="AE660" s="1306"/>
      <c r="AF660" s="2643"/>
      <c r="AG660" s="2644"/>
      <c r="AH660" s="2644"/>
      <c r="AI660" s="2643"/>
      <c r="AJ660" s="2644"/>
      <c r="AK660" s="2644"/>
      <c r="AL660" s="2109"/>
      <c r="AM660" s="1946"/>
      <c r="AN660" s="1946"/>
      <c r="AO660" s="1946"/>
      <c r="AP660" s="1946"/>
      <c r="AQ660" s="1946"/>
      <c r="AR660" s="1946"/>
      <c r="AS660" s="1946"/>
      <c r="AT660" s="1946"/>
      <c r="AU660" s="1946"/>
      <c r="AV660" s="1946"/>
      <c r="AW660" s="1946"/>
      <c r="AX660" s="1946"/>
      <c r="AY660" s="1946"/>
      <c r="AZ660" s="1946"/>
      <c r="BA660" s="1946"/>
      <c r="BB660" s="1946"/>
      <c r="BC660" s="1946"/>
      <c r="BD660" s="1946"/>
      <c r="BE660" s="1946"/>
      <c r="BF660" s="1946"/>
      <c r="BG660" s="7213"/>
    </row>
    <row customHeight="1" ht="11.25">
      <c r="A661" s="1290" t="s">
        <v>1263</v>
      </c>
      <c r="B661" s="1290"/>
      <c r="C661" s="1290"/>
      <c r="D661" s="1284"/>
      <c r="E661" s="1294"/>
      <c r="F661" s="1952"/>
      <c r="G661" s="1953"/>
      <c r="H661" s="2652" t="s">
        <v>488</v>
      </c>
      <c r="I661" s="2653"/>
      <c r="J661" s="2622"/>
      <c r="K661" s="2654"/>
      <c r="L661" s="2244"/>
      <c r="M661" s="2245"/>
      <c r="N661" s="1299"/>
      <c r="O661" s="1300"/>
      <c r="P661" s="1292" t="s">
        <v>1310</v>
      </c>
      <c r="Q661" s="1300"/>
      <c r="R661" s="1300"/>
      <c r="S661" s="1300"/>
      <c r="T661" s="1300"/>
      <c r="U661" s="1300"/>
      <c r="V661" s="1300"/>
      <c r="W661" s="1300"/>
      <c r="X661" s="1300"/>
      <c r="Y661" s="1300"/>
      <c r="Z661" s="1300"/>
      <c r="AA661" s="1300"/>
      <c r="AB661" s="1300"/>
      <c r="AC661" s="1300"/>
      <c r="AD661" s="1300"/>
      <c r="AE661" s="1307"/>
      <c r="AF661" s="2643"/>
      <c r="AG661" s="2644"/>
      <c r="AH661" s="2644"/>
      <c r="AI661" s="2643"/>
      <c r="AJ661" s="2644"/>
      <c r="AK661" s="2644"/>
      <c r="AL661" s="2109"/>
      <c r="AM661" s="1946"/>
      <c r="AN661" s="1946"/>
      <c r="AO661" s="1946"/>
      <c r="AP661" s="1946"/>
      <c r="AQ661" s="1946"/>
      <c r="AR661" s="1946"/>
      <c r="AS661" s="1946"/>
      <c r="AT661" s="1946"/>
      <c r="AU661" s="1946"/>
      <c r="AV661" s="1946"/>
      <c r="AW661" s="1946"/>
      <c r="AX661" s="1946"/>
      <c r="AY661" s="1946"/>
      <c r="AZ661" s="1946"/>
      <c r="BA661" s="1946"/>
      <c r="BB661" s="1946"/>
      <c r="BC661" s="1946"/>
      <c r="BD661" s="1946"/>
      <c r="BE661" s="1946"/>
      <c r="BF661" s="1946"/>
      <c r="BG661" s="7213"/>
    </row>
    <row customHeight="1" ht="12">
      <c r="A662" s="1290" t="s">
        <v>1263</v>
      </c>
      <c r="B662" s="1290"/>
      <c r="C662" s="1290"/>
      <c r="D662" s="1284"/>
      <c r="E662" s="1294"/>
      <c r="F662" s="2674"/>
      <c r="G662" s="1314"/>
      <c r="H662" s="1314"/>
      <c r="I662" s="2672" t="s">
        <v>1294</v>
      </c>
      <c r="J662" s="2672"/>
      <c r="K662" s="2672"/>
      <c r="L662" s="1297"/>
      <c r="M662" s="1297"/>
      <c r="N662" s="1298"/>
      <c r="O662" s="1298"/>
      <c r="P662" s="1298"/>
      <c r="Q662" s="1298"/>
      <c r="R662" s="1298"/>
      <c r="S662" s="1298"/>
      <c r="T662" s="1298"/>
      <c r="U662" s="1298"/>
      <c r="V662" s="1298"/>
      <c r="W662" s="1298"/>
      <c r="X662" s="1298"/>
      <c r="Y662" s="1298"/>
      <c r="Z662" s="1298"/>
      <c r="AA662" s="1298"/>
      <c r="AB662" s="1298"/>
      <c r="AC662" s="1298"/>
      <c r="AD662" s="1298"/>
      <c r="AE662" s="1298"/>
      <c r="AF662" s="1298"/>
      <c r="AG662" s="1297"/>
      <c r="AH662" s="1297"/>
      <c r="AI662" s="1298"/>
      <c r="AJ662" s="1297"/>
      <c r="AK662" s="1298"/>
      <c r="AL662" s="2109"/>
      <c r="AM662" s="1946"/>
      <c r="AN662" s="1946"/>
      <c r="AO662" s="1946"/>
      <c r="AP662" s="1946"/>
      <c r="AQ662" s="1946"/>
      <c r="AR662" s="1946"/>
      <c r="AS662" s="1946"/>
      <c r="AT662" s="1946"/>
      <c r="AU662" s="1946"/>
      <c r="AV662" s="1946"/>
      <c r="AW662" s="1946"/>
      <c r="AX662" s="1946"/>
      <c r="AY662" s="1946"/>
      <c r="AZ662" s="1946"/>
      <c r="BA662" s="1946"/>
      <c r="BB662" s="1946"/>
      <c r="BC662" s="1946"/>
      <c r="BD662" s="1946"/>
      <c r="BE662" s="1946"/>
      <c r="BF662" s="1946"/>
      <c r="BG662" s="7213"/>
    </row>
    <row customHeight="1" ht="0.75">
      <c r="A663" s="1290" t="s">
        <v>1263</v>
      </c>
      <c r="B663" s="1290"/>
      <c r="C663" s="1290"/>
      <c r="D663" s="1284"/>
      <c r="E663" s="1294"/>
      <c r="F663" s="2673">
        <v>2025</v>
      </c>
      <c r="G663" s="2652"/>
      <c r="H663" s="2677" t="s">
        <v>488</v>
      </c>
      <c r="I663" s="2678"/>
      <c r="J663" s="2679"/>
      <c r="K663" s="2679"/>
      <c r="L663" s="2671"/>
      <c r="M663" s="2405"/>
      <c r="N663" s="2157"/>
      <c r="O663" s="2156"/>
      <c r="P663" s="2157"/>
      <c r="Q663" s="2157"/>
      <c r="R663" s="2157"/>
      <c r="S663" s="2157"/>
      <c r="T663" s="2157"/>
      <c r="U663" s="2157"/>
      <c r="V663" s="2157"/>
      <c r="W663" s="2157"/>
      <c r="X663" s="2157"/>
      <c r="Y663" s="2157"/>
      <c r="Z663" s="2157"/>
      <c r="AA663" s="2157"/>
      <c r="AB663" s="2157"/>
      <c r="AC663" s="2157"/>
      <c r="AD663" s="2157"/>
      <c r="AE663" s="2157"/>
      <c r="AF663" s="2675"/>
      <c r="AG663" s="2671"/>
      <c r="AH663" s="2671"/>
      <c r="AI663" s="2675"/>
      <c r="AJ663" s="2671"/>
      <c r="AK663" s="2671"/>
      <c r="AL663" s="2109"/>
      <c r="AM663" s="1946"/>
      <c r="AN663" s="1946"/>
      <c r="AO663" s="1946"/>
      <c r="AP663" s="1946"/>
      <c r="AQ663" s="1946"/>
      <c r="AR663" s="1946"/>
      <c r="AS663" s="1946"/>
      <c r="AT663" s="1946"/>
      <c r="AU663" s="1946"/>
      <c r="AV663" s="1946"/>
      <c r="AW663" s="1946"/>
      <c r="AX663" s="1946"/>
      <c r="AY663" s="1946"/>
      <c r="AZ663" s="1946"/>
      <c r="BA663" s="1946"/>
      <c r="BB663" s="1946"/>
      <c r="BC663" s="1946"/>
      <c r="BD663" s="1946"/>
      <c r="BE663" s="1946"/>
      <c r="BF663" s="1946"/>
      <c r="BG663" s="7213"/>
    </row>
    <row customHeight="1" ht="0.75">
      <c r="A664" s="1290" t="s">
        <v>1263</v>
      </c>
      <c r="B664" s="1290"/>
      <c r="C664" s="1290"/>
      <c r="D664" s="1284"/>
      <c r="E664" s="1294"/>
      <c r="F664" s="2673"/>
      <c r="G664" s="2652"/>
      <c r="H664" s="2677"/>
      <c r="I664" s="2678"/>
      <c r="J664" s="2679"/>
      <c r="K664" s="2679"/>
      <c r="L664" s="2671"/>
      <c r="M664" s="2405"/>
      <c r="N664" s="2680"/>
      <c r="O664" s="2681"/>
      <c r="P664" s="2725"/>
      <c r="Q664" s="2676"/>
      <c r="R664" s="2676"/>
      <c r="S664" s="2676"/>
      <c r="T664" s="2676"/>
      <c r="U664" s="2676"/>
      <c r="V664" s="2676"/>
      <c r="W664" s="2676"/>
      <c r="X664" s="2676"/>
      <c r="Y664" s="2676"/>
      <c r="Z664" s="2158"/>
      <c r="AA664" s="2159"/>
      <c r="AB664" s="2159"/>
      <c r="AC664" s="2160"/>
      <c r="AD664" s="2160"/>
      <c r="AE664" s="2161"/>
      <c r="AF664" s="2675"/>
      <c r="AG664" s="2671"/>
      <c r="AH664" s="2671"/>
      <c r="AI664" s="2675"/>
      <c r="AJ664" s="2671"/>
      <c r="AK664" s="2671"/>
      <c r="AL664" s="2109"/>
      <c r="AM664" s="1946"/>
      <c r="AN664" s="1946"/>
      <c r="AO664" s="1946"/>
      <c r="AP664" s="1946"/>
      <c r="AQ664" s="1946"/>
      <c r="AR664" s="1946"/>
      <c r="AS664" s="1946"/>
      <c r="AT664" s="1946"/>
      <c r="AU664" s="1946"/>
      <c r="AV664" s="1946"/>
      <c r="AW664" s="1946"/>
      <c r="AX664" s="1946"/>
      <c r="AY664" s="1946"/>
      <c r="AZ664" s="1946"/>
      <c r="BA664" s="1946"/>
      <c r="BB664" s="1946"/>
      <c r="BC664" s="1946"/>
      <c r="BD664" s="1946"/>
      <c r="BE664" s="1946"/>
      <c r="BF664" s="1946"/>
      <c r="BG664" s="7213"/>
    </row>
    <row customHeight="1" ht="0.75">
      <c r="A665" s="1290" t="s">
        <v>1263</v>
      </c>
      <c r="B665" s="1290"/>
      <c r="C665" s="1290"/>
      <c r="D665" s="1284"/>
      <c r="E665" s="1294"/>
      <c r="F665" s="2673"/>
      <c r="G665" s="2652"/>
      <c r="H665" s="2677"/>
      <c r="I665" s="2678"/>
      <c r="J665" s="2679"/>
      <c r="K665" s="2679"/>
      <c r="L665" s="2671"/>
      <c r="M665" s="2405"/>
      <c r="N665" s="2680"/>
      <c r="O665" s="2681"/>
      <c r="P665" s="2726"/>
      <c r="Q665" s="2676"/>
      <c r="R665" s="2676"/>
      <c r="S665" s="2676"/>
      <c r="T665" s="2676"/>
      <c r="U665" s="2676"/>
      <c r="V665" s="2676"/>
      <c r="W665" s="2676"/>
      <c r="X665" s="2676"/>
      <c r="Y665" s="2676"/>
      <c r="Z665" s="2162"/>
      <c r="AA665" s="2163"/>
      <c r="AB665" s="2164"/>
      <c r="AC665" s="2165"/>
      <c r="AD665" s="2164"/>
      <c r="AE665" s="2165"/>
      <c r="AF665" s="2675"/>
      <c r="AG665" s="2671"/>
      <c r="AH665" s="2671"/>
      <c r="AI665" s="2675"/>
      <c r="AJ665" s="2671"/>
      <c r="AK665" s="2671"/>
      <c r="AL665" s="2109"/>
      <c r="AM665" s="1946"/>
      <c r="AN665" s="1946"/>
      <c r="AO665" s="1946"/>
      <c r="AP665" s="1946"/>
      <c r="AQ665" s="1946"/>
      <c r="AR665" s="1946"/>
      <c r="AS665" s="1946"/>
      <c r="AT665" s="1946"/>
      <c r="AU665" s="1946"/>
      <c r="AV665" s="1946"/>
      <c r="AW665" s="1946"/>
      <c r="AX665" s="1946"/>
      <c r="AY665" s="1946"/>
      <c r="AZ665" s="1946"/>
      <c r="BA665" s="1946"/>
      <c r="BB665" s="1946"/>
      <c r="BC665" s="1946"/>
      <c r="BD665" s="1946"/>
      <c r="BE665" s="1946"/>
      <c r="BF665" s="1946"/>
      <c r="BG665" s="7213"/>
    </row>
    <row customHeight="1" ht="0.75">
      <c r="A666" s="1290" t="s">
        <v>1263</v>
      </c>
      <c r="B666" s="1290"/>
      <c r="C666" s="1290"/>
      <c r="D666" s="1284"/>
      <c r="E666" s="1294"/>
      <c r="F666" s="2673"/>
      <c r="G666" s="2652"/>
      <c r="H666" s="2677"/>
      <c r="I666" s="2678"/>
      <c r="J666" s="2679"/>
      <c r="K666" s="2679"/>
      <c r="L666" s="2671"/>
      <c r="M666" s="2405"/>
      <c r="N666" s="2680"/>
      <c r="O666" s="2681"/>
      <c r="P666" s="2727"/>
      <c r="Q666" s="2676"/>
      <c r="R666" s="2676"/>
      <c r="S666" s="2676"/>
      <c r="T666" s="2676"/>
      <c r="U666" s="2676"/>
      <c r="V666" s="2676"/>
      <c r="W666" s="2676"/>
      <c r="X666" s="2676"/>
      <c r="Y666" s="2676"/>
      <c r="Z666" s="2158"/>
      <c r="AA666" s="2159"/>
      <c r="AB666" s="2166"/>
      <c r="AC666" s="2160"/>
      <c r="AD666" s="2160"/>
      <c r="AE666" s="2167"/>
      <c r="AF666" s="2675"/>
      <c r="AG666" s="2671"/>
      <c r="AH666" s="2671"/>
      <c r="AI666" s="2675"/>
      <c r="AJ666" s="2671"/>
      <c r="AK666" s="2671"/>
      <c r="AL666" s="2109"/>
      <c r="AM666" s="1946"/>
      <c r="AN666" s="1946"/>
      <c r="AO666" s="1946"/>
      <c r="AP666" s="1946"/>
      <c r="AQ666" s="1946"/>
      <c r="AR666" s="1946"/>
      <c r="AS666" s="1946"/>
      <c r="AT666" s="1946"/>
      <c r="AU666" s="1946"/>
      <c r="AV666" s="1946"/>
      <c r="AW666" s="1946"/>
      <c r="AX666" s="1946"/>
      <c r="AY666" s="1946"/>
      <c r="AZ666" s="1946"/>
      <c r="BA666" s="1946"/>
      <c r="BB666" s="1946"/>
      <c r="BC666" s="1946"/>
      <c r="BD666" s="1946"/>
      <c r="BE666" s="1946"/>
      <c r="BF666" s="1946"/>
      <c r="BG666" s="7213"/>
    </row>
    <row customHeight="1" ht="0.75">
      <c r="A667" s="1290" t="s">
        <v>1263</v>
      </c>
      <c r="B667" s="1290"/>
      <c r="C667" s="1290"/>
      <c r="D667" s="1284"/>
      <c r="E667" s="1294"/>
      <c r="F667" s="2673"/>
      <c r="G667" s="2652"/>
      <c r="H667" s="2677"/>
      <c r="I667" s="2678"/>
      <c r="J667" s="2679"/>
      <c r="K667" s="2679"/>
      <c r="L667" s="2671"/>
      <c r="M667" s="2405"/>
      <c r="N667" s="2159"/>
      <c r="O667" s="2159"/>
      <c r="P667" s="2166"/>
      <c r="Q667" s="2159"/>
      <c r="R667" s="2159"/>
      <c r="S667" s="2159"/>
      <c r="T667" s="2159"/>
      <c r="U667" s="2159"/>
      <c r="V667" s="2159"/>
      <c r="W667" s="2159"/>
      <c r="X667" s="2159"/>
      <c r="Y667" s="2159"/>
      <c r="Z667" s="2159"/>
      <c r="AA667" s="2159"/>
      <c r="AB667" s="2159"/>
      <c r="AC667" s="2159"/>
      <c r="AD667" s="2159"/>
      <c r="AE667" s="2168"/>
      <c r="AF667" s="2675"/>
      <c r="AG667" s="2671"/>
      <c r="AH667" s="2671"/>
      <c r="AI667" s="2675"/>
      <c r="AJ667" s="2671"/>
      <c r="AK667" s="2671"/>
      <c r="AL667" s="2109"/>
      <c r="AM667" s="1946"/>
      <c r="AN667" s="1946"/>
      <c r="AO667" s="1946"/>
      <c r="AP667" s="1946"/>
      <c r="AQ667" s="1946"/>
      <c r="AR667" s="1946"/>
      <c r="AS667" s="1946"/>
      <c r="AT667" s="1946"/>
      <c r="AU667" s="1946"/>
      <c r="AV667" s="1946"/>
      <c r="AW667" s="1946"/>
      <c r="AX667" s="1946"/>
      <c r="AY667" s="1946"/>
      <c r="AZ667" s="1946"/>
      <c r="BA667" s="1946"/>
      <c r="BB667" s="1946"/>
      <c r="BC667" s="1946"/>
      <c r="BD667" s="1946"/>
      <c r="BE667" s="1946"/>
      <c r="BF667" s="1946"/>
      <c r="BG667" s="7213"/>
    </row>
    <row customHeight="1" ht="12">
      <c r="A668" s="1290" t="s">
        <v>1263</v>
      </c>
      <c r="B668" s="1290"/>
      <c r="C668" s="1290"/>
      <c r="D668" s="1284"/>
      <c r="E668" s="1294"/>
      <c r="F668" s="2674"/>
      <c r="G668" s="1314"/>
      <c r="H668" s="1314"/>
      <c r="I668" s="2672" t="s">
        <v>1294</v>
      </c>
      <c r="J668" s="2672"/>
      <c r="K668" s="2672"/>
      <c r="L668" s="1297"/>
      <c r="M668" s="1297"/>
      <c r="N668" s="1298"/>
      <c r="O668" s="1298"/>
      <c r="P668" s="1298"/>
      <c r="Q668" s="1298"/>
      <c r="R668" s="1298"/>
      <c r="S668" s="1298"/>
      <c r="T668" s="1298"/>
      <c r="U668" s="1298"/>
      <c r="V668" s="1298"/>
      <c r="W668" s="1298"/>
      <c r="X668" s="1298"/>
      <c r="Y668" s="1298"/>
      <c r="Z668" s="1298"/>
      <c r="AA668" s="1298"/>
      <c r="AB668" s="1298"/>
      <c r="AC668" s="1298"/>
      <c r="AD668" s="1298"/>
      <c r="AE668" s="1298"/>
      <c r="AF668" s="1298"/>
      <c r="AG668" s="1297"/>
      <c r="AH668" s="1297"/>
      <c r="AI668" s="1298"/>
      <c r="AJ668" s="1297"/>
      <c r="AK668" s="1298"/>
      <c r="AL668" s="2109"/>
      <c r="AM668" s="1946"/>
      <c r="AN668" s="1946"/>
      <c r="AO668" s="1946"/>
      <c r="AP668" s="1946"/>
      <c r="AQ668" s="1946"/>
      <c r="AR668" s="1946"/>
      <c r="AS668" s="1946"/>
      <c r="AT668" s="1946"/>
      <c r="AU668" s="1946"/>
      <c r="AV668" s="1946"/>
      <c r="AW668" s="1946"/>
      <c r="AX668" s="1946"/>
      <c r="AY668" s="1946"/>
      <c r="AZ668" s="1946"/>
      <c r="BA668" s="1946"/>
      <c r="BB668" s="1946"/>
      <c r="BC668" s="1946"/>
      <c r="BD668" s="1946"/>
      <c r="BE668" s="1946"/>
      <c r="BF668" s="1946"/>
      <c r="BG668" s="7213"/>
    </row>
    <row customHeight="1" ht="0.75">
      <c r="A669" s="1290" t="s">
        <v>1263</v>
      </c>
      <c r="B669" s="1290"/>
      <c r="C669" s="1290"/>
      <c r="D669" s="1284"/>
      <c r="E669" s="1294"/>
      <c r="F669" s="2673">
        <v>2026</v>
      </c>
      <c r="G669" s="2652"/>
      <c r="H669" s="2677" t="s">
        <v>488</v>
      </c>
      <c r="I669" s="2678"/>
      <c r="J669" s="2679"/>
      <c r="K669" s="2679"/>
      <c r="L669" s="2671"/>
      <c r="M669" s="2405"/>
      <c r="N669" s="2157"/>
      <c r="O669" s="2156"/>
      <c r="P669" s="2157"/>
      <c r="Q669" s="2157"/>
      <c r="R669" s="2157"/>
      <c r="S669" s="2157"/>
      <c r="T669" s="2157"/>
      <c r="U669" s="2157"/>
      <c r="V669" s="2157"/>
      <c r="W669" s="2157"/>
      <c r="X669" s="2157"/>
      <c r="Y669" s="2157"/>
      <c r="Z669" s="2157"/>
      <c r="AA669" s="2157"/>
      <c r="AB669" s="2157"/>
      <c r="AC669" s="2157"/>
      <c r="AD669" s="2157"/>
      <c r="AE669" s="2157"/>
      <c r="AF669" s="2675"/>
      <c r="AG669" s="2671"/>
      <c r="AH669" s="2671"/>
      <c r="AI669" s="2675"/>
      <c r="AJ669" s="2671"/>
      <c r="AK669" s="2671"/>
      <c r="AL669" s="2109"/>
      <c r="AM669" s="1946"/>
      <c r="AN669" s="1946"/>
      <c r="AO669" s="1946"/>
      <c r="AP669" s="1946"/>
      <c r="AQ669" s="1946"/>
      <c r="AR669" s="1946"/>
      <c r="AS669" s="1946"/>
      <c r="AT669" s="1946"/>
      <c r="AU669" s="1946"/>
      <c r="AV669" s="1946"/>
      <c r="AW669" s="1946"/>
      <c r="AX669" s="1946"/>
      <c r="AY669" s="1946"/>
      <c r="AZ669" s="1946"/>
      <c r="BA669" s="1946"/>
      <c r="BB669" s="1946"/>
      <c r="BC669" s="1946"/>
      <c r="BD669" s="1946"/>
      <c r="BE669" s="1946"/>
      <c r="BF669" s="1946"/>
      <c r="BG669" s="7213"/>
    </row>
    <row customHeight="1" ht="0.75">
      <c r="A670" s="1290" t="s">
        <v>1263</v>
      </c>
      <c r="B670" s="1290"/>
      <c r="C670" s="1290"/>
      <c r="D670" s="1284"/>
      <c r="E670" s="1294"/>
      <c r="F670" s="2673"/>
      <c r="G670" s="2652"/>
      <c r="H670" s="2677"/>
      <c r="I670" s="2678"/>
      <c r="J670" s="2679"/>
      <c r="K670" s="2679"/>
      <c r="L670" s="2671"/>
      <c r="M670" s="2405"/>
      <c r="N670" s="2680"/>
      <c r="O670" s="2681"/>
      <c r="P670" s="2725"/>
      <c r="Q670" s="2676"/>
      <c r="R670" s="2676"/>
      <c r="S670" s="2676"/>
      <c r="T670" s="2676"/>
      <c r="U670" s="2676"/>
      <c r="V670" s="2676"/>
      <c r="W670" s="2676"/>
      <c r="X670" s="2676"/>
      <c r="Y670" s="2676"/>
      <c r="Z670" s="2158"/>
      <c r="AA670" s="2159"/>
      <c r="AB670" s="2159"/>
      <c r="AC670" s="2160"/>
      <c r="AD670" s="2160"/>
      <c r="AE670" s="2161"/>
      <c r="AF670" s="2675"/>
      <c r="AG670" s="2671"/>
      <c r="AH670" s="2671"/>
      <c r="AI670" s="2675"/>
      <c r="AJ670" s="2671"/>
      <c r="AK670" s="2671"/>
      <c r="AL670" s="2109"/>
      <c r="AM670" s="1946"/>
      <c r="AN670" s="1946"/>
      <c r="AO670" s="1946"/>
      <c r="AP670" s="1946"/>
      <c r="AQ670" s="1946"/>
      <c r="AR670" s="1946"/>
      <c r="AS670" s="1946"/>
      <c r="AT670" s="1946"/>
      <c r="AU670" s="1946"/>
      <c r="AV670" s="1946"/>
      <c r="AW670" s="1946"/>
      <c r="AX670" s="1946"/>
      <c r="AY670" s="1946"/>
      <c r="AZ670" s="1946"/>
      <c r="BA670" s="1946"/>
      <c r="BB670" s="1946"/>
      <c r="BC670" s="1946"/>
      <c r="BD670" s="1946"/>
      <c r="BE670" s="1946"/>
      <c r="BF670" s="1946"/>
      <c r="BG670" s="7213"/>
    </row>
    <row customHeight="1" ht="0.75">
      <c r="A671" s="1290" t="s">
        <v>1263</v>
      </c>
      <c r="B671" s="1290"/>
      <c r="C671" s="1290"/>
      <c r="D671" s="1284"/>
      <c r="E671" s="1294"/>
      <c r="F671" s="2673"/>
      <c r="G671" s="2652"/>
      <c r="H671" s="2677"/>
      <c r="I671" s="2678"/>
      <c r="J671" s="2679"/>
      <c r="K671" s="2679"/>
      <c r="L671" s="2671"/>
      <c r="M671" s="2405"/>
      <c r="N671" s="2680"/>
      <c r="O671" s="2681"/>
      <c r="P671" s="2726"/>
      <c r="Q671" s="2676"/>
      <c r="R671" s="2676"/>
      <c r="S671" s="2676"/>
      <c r="T671" s="2676"/>
      <c r="U671" s="2676"/>
      <c r="V671" s="2676"/>
      <c r="W671" s="2676"/>
      <c r="X671" s="2676"/>
      <c r="Y671" s="2676"/>
      <c r="Z671" s="2162"/>
      <c r="AA671" s="2163"/>
      <c r="AB671" s="2164"/>
      <c r="AC671" s="2165"/>
      <c r="AD671" s="2164"/>
      <c r="AE671" s="2165"/>
      <c r="AF671" s="2675"/>
      <c r="AG671" s="2671"/>
      <c r="AH671" s="2671"/>
      <c r="AI671" s="2675"/>
      <c r="AJ671" s="2671"/>
      <c r="AK671" s="2671"/>
      <c r="AL671" s="2109"/>
      <c r="AM671" s="1946"/>
      <c r="AN671" s="1946"/>
      <c r="AO671" s="1946"/>
      <c r="AP671" s="1946"/>
      <c r="AQ671" s="1946"/>
      <c r="AR671" s="1946"/>
      <c r="AS671" s="1946"/>
      <c r="AT671" s="1946"/>
      <c r="AU671" s="1946"/>
      <c r="AV671" s="1946"/>
      <c r="AW671" s="1946"/>
      <c r="AX671" s="1946"/>
      <c r="AY671" s="1946"/>
      <c r="AZ671" s="1946"/>
      <c r="BA671" s="1946"/>
      <c r="BB671" s="1946"/>
      <c r="BC671" s="1946"/>
      <c r="BD671" s="1946"/>
      <c r="BE671" s="1946"/>
      <c r="BF671" s="1946"/>
      <c r="BG671" s="7213"/>
    </row>
    <row customHeight="1" ht="0.75">
      <c r="A672" s="1290" t="s">
        <v>1263</v>
      </c>
      <c r="B672" s="1290"/>
      <c r="C672" s="1290"/>
      <c r="D672" s="1284"/>
      <c r="E672" s="1294"/>
      <c r="F672" s="2673"/>
      <c r="G672" s="2652"/>
      <c r="H672" s="2677"/>
      <c r="I672" s="2678"/>
      <c r="J672" s="2679"/>
      <c r="K672" s="2679"/>
      <c r="L672" s="2671"/>
      <c r="M672" s="2405"/>
      <c r="N672" s="2680"/>
      <c r="O672" s="2681"/>
      <c r="P672" s="2727"/>
      <c r="Q672" s="2676"/>
      <c r="R672" s="2676"/>
      <c r="S672" s="2676"/>
      <c r="T672" s="2676"/>
      <c r="U672" s="2676"/>
      <c r="V672" s="2676"/>
      <c r="W672" s="2676"/>
      <c r="X672" s="2676"/>
      <c r="Y672" s="2676"/>
      <c r="Z672" s="2158"/>
      <c r="AA672" s="2159"/>
      <c r="AB672" s="2166"/>
      <c r="AC672" s="2160"/>
      <c r="AD672" s="2160"/>
      <c r="AE672" s="2167"/>
      <c r="AF672" s="2675"/>
      <c r="AG672" s="2671"/>
      <c r="AH672" s="2671"/>
      <c r="AI672" s="2675"/>
      <c r="AJ672" s="2671"/>
      <c r="AK672" s="2671"/>
      <c r="AL672" s="2109"/>
      <c r="AM672" s="1946"/>
      <c r="AN672" s="1946"/>
      <c r="AO672" s="1946"/>
      <c r="AP672" s="1946"/>
      <c r="AQ672" s="1946"/>
      <c r="AR672" s="1946"/>
      <c r="AS672" s="1946"/>
      <c r="AT672" s="1946"/>
      <c r="AU672" s="1946"/>
      <c r="AV672" s="1946"/>
      <c r="AW672" s="1946"/>
      <c r="AX672" s="1946"/>
      <c r="AY672" s="1946"/>
      <c r="AZ672" s="1946"/>
      <c r="BA672" s="1946"/>
      <c r="BB672" s="1946"/>
      <c r="BC672" s="1946"/>
      <c r="BD672" s="1946"/>
      <c r="BE672" s="1946"/>
      <c r="BF672" s="1946"/>
      <c r="BG672" s="7213"/>
    </row>
    <row customHeight="1" ht="0.75">
      <c r="A673" s="1290" t="s">
        <v>1263</v>
      </c>
      <c r="B673" s="1290"/>
      <c r="C673" s="1290"/>
      <c r="D673" s="1284"/>
      <c r="E673" s="1294"/>
      <c r="F673" s="2673"/>
      <c r="G673" s="2652"/>
      <c r="H673" s="2677"/>
      <c r="I673" s="2678"/>
      <c r="J673" s="2679"/>
      <c r="K673" s="2679"/>
      <c r="L673" s="2671"/>
      <c r="M673" s="2405"/>
      <c r="N673" s="2159"/>
      <c r="O673" s="2159"/>
      <c r="P673" s="2166"/>
      <c r="Q673" s="2159"/>
      <c r="R673" s="2159"/>
      <c r="S673" s="2159"/>
      <c r="T673" s="2159"/>
      <c r="U673" s="2159"/>
      <c r="V673" s="2159"/>
      <c r="W673" s="2159"/>
      <c r="X673" s="2159"/>
      <c r="Y673" s="2159"/>
      <c r="Z673" s="2159"/>
      <c r="AA673" s="2159"/>
      <c r="AB673" s="2159"/>
      <c r="AC673" s="2159"/>
      <c r="AD673" s="2159"/>
      <c r="AE673" s="2168"/>
      <c r="AF673" s="2675"/>
      <c r="AG673" s="2671"/>
      <c r="AH673" s="2671"/>
      <c r="AI673" s="2675"/>
      <c r="AJ673" s="2671"/>
      <c r="AK673" s="2671"/>
      <c r="AL673" s="2109"/>
      <c r="AM673" s="1946"/>
      <c r="AN673" s="1946"/>
      <c r="AO673" s="1946"/>
      <c r="AP673" s="1946"/>
      <c r="AQ673" s="1946"/>
      <c r="AR673" s="1946"/>
      <c r="AS673" s="1946"/>
      <c r="AT673" s="1946"/>
      <c r="AU673" s="1946"/>
      <c r="AV673" s="1946"/>
      <c r="AW673" s="1946"/>
      <c r="AX673" s="1946"/>
      <c r="AY673" s="1946"/>
      <c r="AZ673" s="1946"/>
      <c r="BA673" s="1946"/>
      <c r="BB673" s="1946"/>
      <c r="BC673" s="1946"/>
      <c r="BD673" s="1946"/>
      <c r="BE673" s="1946"/>
      <c r="BF673" s="1946"/>
      <c r="BG673" s="7213"/>
    </row>
    <row customHeight="1" ht="12">
      <c r="A674" s="1290" t="s">
        <v>1263</v>
      </c>
      <c r="B674" s="1290"/>
      <c r="C674" s="1290"/>
      <c r="D674" s="1284"/>
      <c r="E674" s="1294"/>
      <c r="F674" s="2674"/>
      <c r="G674" s="1314"/>
      <c r="H674" s="1314"/>
      <c r="I674" s="2672" t="s">
        <v>1294</v>
      </c>
      <c r="J674" s="2672"/>
      <c r="K674" s="2672"/>
      <c r="L674" s="1297"/>
      <c r="M674" s="1297"/>
      <c r="N674" s="1298"/>
      <c r="O674" s="1298"/>
      <c r="P674" s="1298"/>
      <c r="Q674" s="1298"/>
      <c r="R674" s="1298"/>
      <c r="S674" s="1298"/>
      <c r="T674" s="1298"/>
      <c r="U674" s="1298"/>
      <c r="V674" s="1298"/>
      <c r="W674" s="1298"/>
      <c r="X674" s="1298"/>
      <c r="Y674" s="1298"/>
      <c r="Z674" s="1298"/>
      <c r="AA674" s="1298"/>
      <c r="AB674" s="1298"/>
      <c r="AC674" s="1298"/>
      <c r="AD674" s="1298"/>
      <c r="AE674" s="1298"/>
      <c r="AF674" s="1298"/>
      <c r="AG674" s="1297"/>
      <c r="AH674" s="1297"/>
      <c r="AI674" s="1298"/>
      <c r="AJ674" s="1297"/>
      <c r="AK674" s="1298"/>
      <c r="AL674" s="2109"/>
      <c r="AM674" s="1946"/>
      <c r="AN674" s="1946"/>
      <c r="AO674" s="1946"/>
      <c r="AP674" s="1946"/>
      <c r="AQ674" s="1946"/>
      <c r="AR674" s="1946"/>
      <c r="AS674" s="1946"/>
      <c r="AT674" s="1946"/>
      <c r="AU674" s="1946"/>
      <c r="AV674" s="1946"/>
      <c r="AW674" s="1946"/>
      <c r="AX674" s="1946"/>
      <c r="AY674" s="1946"/>
      <c r="AZ674" s="1946"/>
      <c r="BA674" s="1946"/>
      <c r="BB674" s="1946"/>
      <c r="BC674" s="1946"/>
      <c r="BD674" s="1946"/>
      <c r="BE674" s="1946"/>
      <c r="BF674" s="1946"/>
      <c r="BG674" s="7213"/>
    </row>
    <row customHeight="1" ht="0.75">
      <c r="A675" s="1290" t="s">
        <v>1263</v>
      </c>
      <c r="B675" s="1290"/>
      <c r="C675" s="1290"/>
      <c r="D675" s="1284"/>
      <c r="E675" s="1294"/>
      <c r="F675" s="2673">
        <v>2027</v>
      </c>
      <c r="G675" s="2652"/>
      <c r="H675" s="2677" t="s">
        <v>488</v>
      </c>
      <c r="I675" s="2678"/>
      <c r="J675" s="2679"/>
      <c r="K675" s="2679"/>
      <c r="L675" s="2671"/>
      <c r="M675" s="2405"/>
      <c r="N675" s="2157"/>
      <c r="O675" s="2156"/>
      <c r="P675" s="2157"/>
      <c r="Q675" s="2157"/>
      <c r="R675" s="2157"/>
      <c r="S675" s="2157"/>
      <c r="T675" s="2157"/>
      <c r="U675" s="2157"/>
      <c r="V675" s="2157"/>
      <c r="W675" s="2157"/>
      <c r="X675" s="2157"/>
      <c r="Y675" s="2157"/>
      <c r="Z675" s="2157"/>
      <c r="AA675" s="2157"/>
      <c r="AB675" s="2157"/>
      <c r="AC675" s="2157"/>
      <c r="AD675" s="2157"/>
      <c r="AE675" s="2157"/>
      <c r="AF675" s="2675"/>
      <c r="AG675" s="2671"/>
      <c r="AH675" s="2671"/>
      <c r="AI675" s="2675"/>
      <c r="AJ675" s="2671"/>
      <c r="AK675" s="2671"/>
      <c r="AL675" s="2109"/>
      <c r="AM675" s="1946"/>
      <c r="AN675" s="1946"/>
      <c r="AO675" s="1946"/>
      <c r="AP675" s="1946"/>
      <c r="AQ675" s="1946"/>
      <c r="AR675" s="1946"/>
      <c r="AS675" s="1946"/>
      <c r="AT675" s="1946"/>
      <c r="AU675" s="1946"/>
      <c r="AV675" s="1946"/>
      <c r="AW675" s="1946"/>
      <c r="AX675" s="1946"/>
      <c r="AY675" s="1946"/>
      <c r="AZ675" s="1946"/>
      <c r="BA675" s="1946"/>
      <c r="BB675" s="1946"/>
      <c r="BC675" s="1946"/>
      <c r="BD675" s="1946"/>
      <c r="BE675" s="1946"/>
      <c r="BF675" s="1946"/>
      <c r="BG675" s="7213"/>
    </row>
    <row customHeight="1" ht="0.75">
      <c r="A676" s="1290" t="s">
        <v>1263</v>
      </c>
      <c r="B676" s="1290"/>
      <c r="C676" s="1290"/>
      <c r="D676" s="1284"/>
      <c r="E676" s="1294"/>
      <c r="F676" s="2673"/>
      <c r="G676" s="2652"/>
      <c r="H676" s="2677"/>
      <c r="I676" s="2678"/>
      <c r="J676" s="2679"/>
      <c r="K676" s="2679"/>
      <c r="L676" s="2671"/>
      <c r="M676" s="2405"/>
      <c r="N676" s="2680"/>
      <c r="O676" s="2681"/>
      <c r="P676" s="2725"/>
      <c r="Q676" s="2676"/>
      <c r="R676" s="2676"/>
      <c r="S676" s="2676"/>
      <c r="T676" s="2676"/>
      <c r="U676" s="2676"/>
      <c r="V676" s="2676"/>
      <c r="W676" s="2676"/>
      <c r="X676" s="2676"/>
      <c r="Y676" s="2676"/>
      <c r="Z676" s="2158"/>
      <c r="AA676" s="2159"/>
      <c r="AB676" s="2159"/>
      <c r="AC676" s="2160"/>
      <c r="AD676" s="2160"/>
      <c r="AE676" s="2161"/>
      <c r="AF676" s="2675"/>
      <c r="AG676" s="2671"/>
      <c r="AH676" s="2671"/>
      <c r="AI676" s="2675"/>
      <c r="AJ676" s="2671"/>
      <c r="AK676" s="2671"/>
      <c r="AL676" s="2109"/>
      <c r="AM676" s="1946"/>
      <c r="AN676" s="1946"/>
      <c r="AO676" s="1946"/>
      <c r="AP676" s="1946"/>
      <c r="AQ676" s="1946"/>
      <c r="AR676" s="1946"/>
      <c r="AS676" s="1946"/>
      <c r="AT676" s="1946"/>
      <c r="AU676" s="1946"/>
      <c r="AV676" s="1946"/>
      <c r="AW676" s="1946"/>
      <c r="AX676" s="1946"/>
      <c r="AY676" s="1946"/>
      <c r="AZ676" s="1946"/>
      <c r="BA676" s="1946"/>
      <c r="BB676" s="1946"/>
      <c r="BC676" s="1946"/>
      <c r="BD676" s="1946"/>
      <c r="BE676" s="1946"/>
      <c r="BF676" s="1946"/>
      <c r="BG676" s="7213"/>
    </row>
    <row customHeight="1" ht="0.75">
      <c r="A677" s="1290" t="s">
        <v>1263</v>
      </c>
      <c r="B677" s="1290"/>
      <c r="C677" s="1290"/>
      <c r="D677" s="1284"/>
      <c r="E677" s="1294"/>
      <c r="F677" s="2673"/>
      <c r="G677" s="2652"/>
      <c r="H677" s="2677"/>
      <c r="I677" s="2678"/>
      <c r="J677" s="2679"/>
      <c r="K677" s="2679"/>
      <c r="L677" s="2671"/>
      <c r="M677" s="2405"/>
      <c r="N677" s="2680"/>
      <c r="O677" s="2681"/>
      <c r="P677" s="2726"/>
      <c r="Q677" s="2676"/>
      <c r="R677" s="2676"/>
      <c r="S677" s="2676"/>
      <c r="T677" s="2676"/>
      <c r="U677" s="2676"/>
      <c r="V677" s="2676"/>
      <c r="W677" s="2676"/>
      <c r="X677" s="2676"/>
      <c r="Y677" s="2676"/>
      <c r="Z677" s="2162"/>
      <c r="AA677" s="2163"/>
      <c r="AB677" s="2164"/>
      <c r="AC677" s="2165"/>
      <c r="AD677" s="2164"/>
      <c r="AE677" s="2165"/>
      <c r="AF677" s="2675"/>
      <c r="AG677" s="2671"/>
      <c r="AH677" s="2671"/>
      <c r="AI677" s="2675"/>
      <c r="AJ677" s="2671"/>
      <c r="AK677" s="2671"/>
      <c r="AL677" s="2109"/>
      <c r="AM677" s="1946"/>
      <c r="AN677" s="1946"/>
      <c r="AO677" s="1946"/>
      <c r="AP677" s="1946"/>
      <c r="AQ677" s="1946"/>
      <c r="AR677" s="1946"/>
      <c r="AS677" s="1946"/>
      <c r="AT677" s="1946"/>
      <c r="AU677" s="1946"/>
      <c r="AV677" s="1946"/>
      <c r="AW677" s="1946"/>
      <c r="AX677" s="1946"/>
      <c r="AY677" s="1946"/>
      <c r="AZ677" s="1946"/>
      <c r="BA677" s="1946"/>
      <c r="BB677" s="1946"/>
      <c r="BC677" s="1946"/>
      <c r="BD677" s="1946"/>
      <c r="BE677" s="1946"/>
      <c r="BF677" s="1946"/>
      <c r="BG677" s="7213"/>
    </row>
    <row customHeight="1" ht="0.75">
      <c r="A678" s="1290" t="s">
        <v>1263</v>
      </c>
      <c r="B678" s="1290"/>
      <c r="C678" s="1290"/>
      <c r="D678" s="1284"/>
      <c r="E678" s="1294"/>
      <c r="F678" s="2673"/>
      <c r="G678" s="2652"/>
      <c r="H678" s="2677"/>
      <c r="I678" s="2678"/>
      <c r="J678" s="2679"/>
      <c r="K678" s="2679"/>
      <c r="L678" s="2671"/>
      <c r="M678" s="2405"/>
      <c r="N678" s="2680"/>
      <c r="O678" s="2681"/>
      <c r="P678" s="2727"/>
      <c r="Q678" s="2676"/>
      <c r="R678" s="2676"/>
      <c r="S678" s="2676"/>
      <c r="T678" s="2676"/>
      <c r="U678" s="2676"/>
      <c r="V678" s="2676"/>
      <c r="W678" s="2676"/>
      <c r="X678" s="2676"/>
      <c r="Y678" s="2676"/>
      <c r="Z678" s="2158"/>
      <c r="AA678" s="2159"/>
      <c r="AB678" s="2166"/>
      <c r="AC678" s="2160"/>
      <c r="AD678" s="2160"/>
      <c r="AE678" s="2167"/>
      <c r="AF678" s="2675"/>
      <c r="AG678" s="2671"/>
      <c r="AH678" s="2671"/>
      <c r="AI678" s="2675"/>
      <c r="AJ678" s="2671"/>
      <c r="AK678" s="2671"/>
      <c r="AL678" s="2109"/>
      <c r="AM678" s="1946"/>
      <c r="AN678" s="1946"/>
      <c r="AO678" s="1946"/>
      <c r="AP678" s="1946"/>
      <c r="AQ678" s="1946"/>
      <c r="AR678" s="1946"/>
      <c r="AS678" s="1946"/>
      <c r="AT678" s="1946"/>
      <c r="AU678" s="1946"/>
      <c r="AV678" s="1946"/>
      <c r="AW678" s="1946"/>
      <c r="AX678" s="1946"/>
      <c r="AY678" s="1946"/>
      <c r="AZ678" s="1946"/>
      <c r="BA678" s="1946"/>
      <c r="BB678" s="1946"/>
      <c r="BC678" s="1946"/>
      <c r="BD678" s="1946"/>
      <c r="BE678" s="1946"/>
      <c r="BF678" s="1946"/>
      <c r="BG678" s="7213"/>
    </row>
    <row customHeight="1" ht="0.75">
      <c r="A679" s="1290" t="s">
        <v>1263</v>
      </c>
      <c r="B679" s="1290"/>
      <c r="C679" s="1290"/>
      <c r="D679" s="1284"/>
      <c r="E679" s="1294"/>
      <c r="F679" s="2673"/>
      <c r="G679" s="2652"/>
      <c r="H679" s="2677"/>
      <c r="I679" s="2678"/>
      <c r="J679" s="2679"/>
      <c r="K679" s="2679"/>
      <c r="L679" s="2671"/>
      <c r="M679" s="2405"/>
      <c r="N679" s="2159"/>
      <c r="O679" s="2159"/>
      <c r="P679" s="2166"/>
      <c r="Q679" s="2159"/>
      <c r="R679" s="2159"/>
      <c r="S679" s="2159"/>
      <c r="T679" s="2159"/>
      <c r="U679" s="2159"/>
      <c r="V679" s="2159"/>
      <c r="W679" s="2159"/>
      <c r="X679" s="2159"/>
      <c r="Y679" s="2159"/>
      <c r="Z679" s="2159"/>
      <c r="AA679" s="2159"/>
      <c r="AB679" s="2159"/>
      <c r="AC679" s="2159"/>
      <c r="AD679" s="2159"/>
      <c r="AE679" s="2168"/>
      <c r="AF679" s="2675"/>
      <c r="AG679" s="2671"/>
      <c r="AH679" s="2671"/>
      <c r="AI679" s="2675"/>
      <c r="AJ679" s="2671"/>
      <c r="AK679" s="2671"/>
      <c r="AL679" s="2109"/>
      <c r="AM679" s="1946"/>
      <c r="AN679" s="1946"/>
      <c r="AO679" s="1946"/>
      <c r="AP679" s="1946"/>
      <c r="AQ679" s="1946"/>
      <c r="AR679" s="1946"/>
      <c r="AS679" s="1946"/>
      <c r="AT679" s="1946"/>
      <c r="AU679" s="1946"/>
      <c r="AV679" s="1946"/>
      <c r="AW679" s="1946"/>
      <c r="AX679" s="1946"/>
      <c r="AY679" s="1946"/>
      <c r="AZ679" s="1946"/>
      <c r="BA679" s="1946"/>
      <c r="BB679" s="1946"/>
      <c r="BC679" s="1946"/>
      <c r="BD679" s="1946"/>
      <c r="BE679" s="1946"/>
      <c r="BF679" s="1946"/>
      <c r="BG679" s="7213"/>
    </row>
    <row customHeight="1" ht="12">
      <c r="A680" s="1290" t="s">
        <v>1263</v>
      </c>
      <c r="B680" s="1290"/>
      <c r="C680" s="1290"/>
      <c r="D680" s="1284"/>
      <c r="E680" s="1294"/>
      <c r="F680" s="2674"/>
      <c r="G680" s="1314"/>
      <c r="H680" s="1314"/>
      <c r="I680" s="2672" t="s">
        <v>1294</v>
      </c>
      <c r="J680" s="2672"/>
      <c r="K680" s="2672"/>
      <c r="L680" s="1297"/>
      <c r="M680" s="1297"/>
      <c r="N680" s="1298"/>
      <c r="O680" s="1298"/>
      <c r="P680" s="1298"/>
      <c r="Q680" s="1298"/>
      <c r="R680" s="1298"/>
      <c r="S680" s="1298"/>
      <c r="T680" s="1298"/>
      <c r="U680" s="1298"/>
      <c r="V680" s="1298"/>
      <c r="W680" s="1298"/>
      <c r="X680" s="1298"/>
      <c r="Y680" s="1298"/>
      <c r="Z680" s="1298"/>
      <c r="AA680" s="1298"/>
      <c r="AB680" s="1298"/>
      <c r="AC680" s="1298"/>
      <c r="AD680" s="1298"/>
      <c r="AE680" s="1298"/>
      <c r="AF680" s="1298"/>
      <c r="AG680" s="1297"/>
      <c r="AH680" s="1297"/>
      <c r="AI680" s="1298"/>
      <c r="AJ680" s="1297"/>
      <c r="AK680" s="1298"/>
      <c r="AL680" s="2109"/>
      <c r="AM680" s="1946"/>
      <c r="AN680" s="1946"/>
      <c r="AO680" s="1946"/>
      <c r="AP680" s="1946"/>
      <c r="AQ680" s="1946"/>
      <c r="AR680" s="1946"/>
      <c r="AS680" s="1946"/>
      <c r="AT680" s="1946"/>
      <c r="AU680" s="1946"/>
      <c r="AV680" s="1946"/>
      <c r="AW680" s="1946"/>
      <c r="AX680" s="1946"/>
      <c r="AY680" s="1946"/>
      <c r="AZ680" s="1946"/>
      <c r="BA680" s="1946"/>
      <c r="BB680" s="1946"/>
      <c r="BC680" s="1946"/>
      <c r="BD680" s="1946"/>
      <c r="BE680" s="1946"/>
      <c r="BF680" s="1946"/>
      <c r="BG680" s="7213"/>
    </row>
    <row customHeight="1" ht="0.75">
      <c r="A681" s="1290" t="s">
        <v>1263</v>
      </c>
      <c r="B681" s="1290"/>
      <c r="C681" s="1290"/>
      <c r="D681" s="1284"/>
      <c r="E681" s="1294"/>
      <c r="F681" s="2673">
        <v>2028</v>
      </c>
      <c r="G681" s="2652"/>
      <c r="H681" s="2677" t="s">
        <v>488</v>
      </c>
      <c r="I681" s="2678"/>
      <c r="J681" s="2679"/>
      <c r="K681" s="2679"/>
      <c r="L681" s="2671"/>
      <c r="M681" s="2405"/>
      <c r="N681" s="2157"/>
      <c r="O681" s="2156"/>
      <c r="P681" s="2157"/>
      <c r="Q681" s="2157"/>
      <c r="R681" s="2157"/>
      <c r="S681" s="2157"/>
      <c r="T681" s="2157"/>
      <c r="U681" s="2157"/>
      <c r="V681" s="2157"/>
      <c r="W681" s="2157"/>
      <c r="X681" s="2157"/>
      <c r="Y681" s="2157"/>
      <c r="Z681" s="2157"/>
      <c r="AA681" s="2157"/>
      <c r="AB681" s="2157"/>
      <c r="AC681" s="2157"/>
      <c r="AD681" s="2157"/>
      <c r="AE681" s="2157"/>
      <c r="AF681" s="2675"/>
      <c r="AG681" s="2671"/>
      <c r="AH681" s="2671"/>
      <c r="AI681" s="2675"/>
      <c r="AJ681" s="2671"/>
      <c r="AK681" s="2671"/>
      <c r="AL681" s="2109"/>
      <c r="AM681" s="1946"/>
      <c r="AN681" s="1946"/>
      <c r="AO681" s="1946"/>
      <c r="AP681" s="1946"/>
      <c r="AQ681" s="1946"/>
      <c r="AR681" s="1946"/>
      <c r="AS681" s="1946"/>
      <c r="AT681" s="1946"/>
      <c r="AU681" s="1946"/>
      <c r="AV681" s="1946"/>
      <c r="AW681" s="1946"/>
      <c r="AX681" s="1946"/>
      <c r="AY681" s="1946"/>
      <c r="AZ681" s="1946"/>
      <c r="BA681" s="1946"/>
      <c r="BB681" s="1946"/>
      <c r="BC681" s="1946"/>
      <c r="BD681" s="1946"/>
      <c r="BE681" s="1946"/>
      <c r="BF681" s="1946"/>
      <c r="BG681" s="7213"/>
    </row>
    <row customHeight="1" ht="0.75">
      <c r="A682" s="1290" t="s">
        <v>1263</v>
      </c>
      <c r="B682" s="1290"/>
      <c r="C682" s="1290"/>
      <c r="D682" s="1284"/>
      <c r="E682" s="1294"/>
      <c r="F682" s="2673"/>
      <c r="G682" s="2652"/>
      <c r="H682" s="2677"/>
      <c r="I682" s="2678"/>
      <c r="J682" s="2679"/>
      <c r="K682" s="2679"/>
      <c r="L682" s="2671"/>
      <c r="M682" s="2405"/>
      <c r="N682" s="2680"/>
      <c r="O682" s="2681"/>
      <c r="P682" s="2725"/>
      <c r="Q682" s="2676"/>
      <c r="R682" s="2676"/>
      <c r="S682" s="2676"/>
      <c r="T682" s="2676"/>
      <c r="U682" s="2676"/>
      <c r="V682" s="2676"/>
      <c r="W682" s="2676"/>
      <c r="X682" s="2676"/>
      <c r="Y682" s="2676"/>
      <c r="Z682" s="2158"/>
      <c r="AA682" s="2159"/>
      <c r="AB682" s="2159"/>
      <c r="AC682" s="2160"/>
      <c r="AD682" s="2160"/>
      <c r="AE682" s="2161"/>
      <c r="AF682" s="2675"/>
      <c r="AG682" s="2671"/>
      <c r="AH682" s="2671"/>
      <c r="AI682" s="2675"/>
      <c r="AJ682" s="2671"/>
      <c r="AK682" s="2671"/>
      <c r="AL682" s="2109"/>
      <c r="AM682" s="1946"/>
      <c r="AN682" s="1946"/>
      <c r="AO682" s="1946"/>
      <c r="AP682" s="1946"/>
      <c r="AQ682" s="1946"/>
      <c r="AR682" s="1946"/>
      <c r="AS682" s="1946"/>
      <c r="AT682" s="1946"/>
      <c r="AU682" s="1946"/>
      <c r="AV682" s="1946"/>
      <c r="AW682" s="1946"/>
      <c r="AX682" s="1946"/>
      <c r="AY682" s="1946"/>
      <c r="AZ682" s="1946"/>
      <c r="BA682" s="1946"/>
      <c r="BB682" s="1946"/>
      <c r="BC682" s="1946"/>
      <c r="BD682" s="1946"/>
      <c r="BE682" s="1946"/>
      <c r="BF682" s="1946"/>
      <c r="BG682" s="7213"/>
    </row>
    <row customHeight="1" ht="0.75">
      <c r="A683" s="1290" t="s">
        <v>1263</v>
      </c>
      <c r="B683" s="1290"/>
      <c r="C683" s="1290"/>
      <c r="D683" s="1284"/>
      <c r="E683" s="1294"/>
      <c r="F683" s="2673"/>
      <c r="G683" s="2652"/>
      <c r="H683" s="2677"/>
      <c r="I683" s="2678"/>
      <c r="J683" s="2679"/>
      <c r="K683" s="2679"/>
      <c r="L683" s="2671"/>
      <c r="M683" s="2405"/>
      <c r="N683" s="2680"/>
      <c r="O683" s="2681"/>
      <c r="P683" s="2726"/>
      <c r="Q683" s="2676"/>
      <c r="R683" s="2676"/>
      <c r="S683" s="2676"/>
      <c r="T683" s="2676"/>
      <c r="U683" s="2676"/>
      <c r="V683" s="2676"/>
      <c r="W683" s="2676"/>
      <c r="X683" s="2676"/>
      <c r="Y683" s="2676"/>
      <c r="Z683" s="2162"/>
      <c r="AA683" s="2163"/>
      <c r="AB683" s="2164"/>
      <c r="AC683" s="2165"/>
      <c r="AD683" s="2164"/>
      <c r="AE683" s="2165"/>
      <c r="AF683" s="2675"/>
      <c r="AG683" s="2671"/>
      <c r="AH683" s="2671"/>
      <c r="AI683" s="2675"/>
      <c r="AJ683" s="2671"/>
      <c r="AK683" s="2671"/>
      <c r="AL683" s="2109"/>
      <c r="AM683" s="1946"/>
      <c r="AN683" s="1946"/>
      <c r="AO683" s="1946"/>
      <c r="AP683" s="1946"/>
      <c r="AQ683" s="1946"/>
      <c r="AR683" s="1946"/>
      <c r="AS683" s="1946"/>
      <c r="AT683" s="1946"/>
      <c r="AU683" s="1946"/>
      <c r="AV683" s="1946"/>
      <c r="AW683" s="1946"/>
      <c r="AX683" s="1946"/>
      <c r="AY683" s="1946"/>
      <c r="AZ683" s="1946"/>
      <c r="BA683" s="1946"/>
      <c r="BB683" s="1946"/>
      <c r="BC683" s="1946"/>
      <c r="BD683" s="1946"/>
      <c r="BE683" s="1946"/>
      <c r="BF683" s="1946"/>
      <c r="BG683" s="7213"/>
    </row>
    <row customHeight="1" ht="0.75">
      <c r="A684" s="1290" t="s">
        <v>1263</v>
      </c>
      <c r="B684" s="1290"/>
      <c r="C684" s="1290"/>
      <c r="D684" s="1284"/>
      <c r="E684" s="1294"/>
      <c r="F684" s="2673"/>
      <c r="G684" s="2652"/>
      <c r="H684" s="2677"/>
      <c r="I684" s="2678"/>
      <c r="J684" s="2679"/>
      <c r="K684" s="2679"/>
      <c r="L684" s="2671"/>
      <c r="M684" s="2405"/>
      <c r="N684" s="2680"/>
      <c r="O684" s="2681"/>
      <c r="P684" s="2727"/>
      <c r="Q684" s="2676"/>
      <c r="R684" s="2676"/>
      <c r="S684" s="2676"/>
      <c r="T684" s="2676"/>
      <c r="U684" s="2676"/>
      <c r="V684" s="2676"/>
      <c r="W684" s="2676"/>
      <c r="X684" s="2676"/>
      <c r="Y684" s="2676"/>
      <c r="Z684" s="2158"/>
      <c r="AA684" s="2159"/>
      <c r="AB684" s="2166"/>
      <c r="AC684" s="2160"/>
      <c r="AD684" s="2160"/>
      <c r="AE684" s="2167"/>
      <c r="AF684" s="2675"/>
      <c r="AG684" s="2671"/>
      <c r="AH684" s="2671"/>
      <c r="AI684" s="2675"/>
      <c r="AJ684" s="2671"/>
      <c r="AK684" s="2671"/>
      <c r="AL684" s="2109"/>
      <c r="AM684" s="1946"/>
      <c r="AN684" s="1946"/>
      <c r="AO684" s="1946"/>
      <c r="AP684" s="1946"/>
      <c r="AQ684" s="1946"/>
      <c r="AR684" s="1946"/>
      <c r="AS684" s="1946"/>
      <c r="AT684" s="1946"/>
      <c r="AU684" s="1946"/>
      <c r="AV684" s="1946"/>
      <c r="AW684" s="1946"/>
      <c r="AX684" s="1946"/>
      <c r="AY684" s="1946"/>
      <c r="AZ684" s="1946"/>
      <c r="BA684" s="1946"/>
      <c r="BB684" s="1946"/>
      <c r="BC684" s="1946"/>
      <c r="BD684" s="1946"/>
      <c r="BE684" s="1946"/>
      <c r="BF684" s="1946"/>
      <c r="BG684" s="7213"/>
    </row>
    <row customHeight="1" ht="0.75">
      <c r="A685" s="1290" t="s">
        <v>1263</v>
      </c>
      <c r="B685" s="1290"/>
      <c r="C685" s="1290"/>
      <c r="D685" s="1284"/>
      <c r="E685" s="1294"/>
      <c r="F685" s="2673"/>
      <c r="G685" s="2652"/>
      <c r="H685" s="2677"/>
      <c r="I685" s="2678"/>
      <c r="J685" s="2679"/>
      <c r="K685" s="2679"/>
      <c r="L685" s="2671"/>
      <c r="M685" s="2405"/>
      <c r="N685" s="2159"/>
      <c r="O685" s="2159"/>
      <c r="P685" s="2166"/>
      <c r="Q685" s="2159"/>
      <c r="R685" s="2159"/>
      <c r="S685" s="2159"/>
      <c r="T685" s="2159"/>
      <c r="U685" s="2159"/>
      <c r="V685" s="2159"/>
      <c r="W685" s="2159"/>
      <c r="X685" s="2159"/>
      <c r="Y685" s="2159"/>
      <c r="Z685" s="2159"/>
      <c r="AA685" s="2159"/>
      <c r="AB685" s="2159"/>
      <c r="AC685" s="2159"/>
      <c r="AD685" s="2159"/>
      <c r="AE685" s="2168"/>
      <c r="AF685" s="2675"/>
      <c r="AG685" s="2671"/>
      <c r="AH685" s="2671"/>
      <c r="AI685" s="2675"/>
      <c r="AJ685" s="2671"/>
      <c r="AK685" s="2671"/>
      <c r="AL685" s="2109"/>
      <c r="AM685" s="1946"/>
      <c r="AN685" s="1946"/>
      <c r="AO685" s="1946"/>
      <c r="AP685" s="1946"/>
      <c r="AQ685" s="1946"/>
      <c r="AR685" s="1946"/>
      <c r="AS685" s="1946"/>
      <c r="AT685" s="1946"/>
      <c r="AU685" s="1946"/>
      <c r="AV685" s="1946"/>
      <c r="AW685" s="1946"/>
      <c r="AX685" s="1946"/>
      <c r="AY685" s="1946"/>
      <c r="AZ685" s="1946"/>
      <c r="BA685" s="1946"/>
      <c r="BB685" s="1946"/>
      <c r="BC685" s="1946"/>
      <c r="BD685" s="1946"/>
      <c r="BE685" s="1946"/>
      <c r="BF685" s="1946"/>
      <c r="BG685" s="7213"/>
    </row>
    <row customHeight="1" ht="12">
      <c r="A686" s="1290" t="s">
        <v>1263</v>
      </c>
      <c r="B686" s="1290"/>
      <c r="C686" s="1290"/>
      <c r="D686" s="1284"/>
      <c r="E686" s="1294"/>
      <c r="F686" s="2674"/>
      <c r="G686" s="1314"/>
      <c r="H686" s="1314"/>
      <c r="I686" s="2672" t="s">
        <v>1294</v>
      </c>
      <c r="J686" s="2672"/>
      <c r="K686" s="2672"/>
      <c r="L686" s="1297"/>
      <c r="M686" s="1297"/>
      <c r="N686" s="1298"/>
      <c r="O686" s="1298"/>
      <c r="P686" s="1298"/>
      <c r="Q686" s="1298"/>
      <c r="R686" s="1298"/>
      <c r="S686" s="1298"/>
      <c r="T686" s="1298"/>
      <c r="U686" s="1298"/>
      <c r="V686" s="1298"/>
      <c r="W686" s="1298"/>
      <c r="X686" s="1298"/>
      <c r="Y686" s="1298"/>
      <c r="Z686" s="1298"/>
      <c r="AA686" s="1298"/>
      <c r="AB686" s="1298"/>
      <c r="AC686" s="1298"/>
      <c r="AD686" s="1298"/>
      <c r="AE686" s="1298"/>
      <c r="AF686" s="1298"/>
      <c r="AG686" s="1297"/>
      <c r="AH686" s="1297"/>
      <c r="AI686" s="1298"/>
      <c r="AJ686" s="1297"/>
      <c r="AK686" s="1298"/>
      <c r="AL686" s="2109"/>
      <c r="AM686" s="1946"/>
      <c r="AN686" s="1946"/>
      <c r="AO686" s="1946"/>
      <c r="AP686" s="1946"/>
      <c r="AQ686" s="1946"/>
      <c r="AR686" s="1946"/>
      <c r="AS686" s="1946"/>
      <c r="AT686" s="1946"/>
      <c r="AU686" s="1946"/>
      <c r="AV686" s="1946"/>
      <c r="AW686" s="1946"/>
      <c r="AX686" s="1946"/>
      <c r="AY686" s="1946"/>
      <c r="AZ686" s="1946"/>
      <c r="BA686" s="1946"/>
      <c r="BB686" s="1946"/>
      <c r="BC686" s="1946"/>
      <c r="BD686" s="1946"/>
      <c r="BE686" s="1946"/>
      <c r="BF686" s="1946"/>
      <c r="BG686" s="7213"/>
    </row>
    <row customHeight="1" ht="0.75">
      <c r="A687" s="1290" t="s">
        <v>1263</v>
      </c>
      <c r="B687" s="1290"/>
      <c r="C687" s="1290"/>
      <c r="D687" s="1284"/>
      <c r="E687" s="1294"/>
      <c r="F687" s="2673">
        <v>2029</v>
      </c>
      <c r="G687" s="2652"/>
      <c r="H687" s="2677" t="s">
        <v>488</v>
      </c>
      <c r="I687" s="2678"/>
      <c r="J687" s="2679"/>
      <c r="K687" s="2679"/>
      <c r="L687" s="2671"/>
      <c r="M687" s="2405"/>
      <c r="N687" s="2157"/>
      <c r="O687" s="2156"/>
      <c r="P687" s="2157"/>
      <c r="Q687" s="2157"/>
      <c r="R687" s="2157"/>
      <c r="S687" s="2157"/>
      <c r="T687" s="2157"/>
      <c r="U687" s="2157"/>
      <c r="V687" s="2157"/>
      <c r="W687" s="2157"/>
      <c r="X687" s="2157"/>
      <c r="Y687" s="2157"/>
      <c r="Z687" s="2157"/>
      <c r="AA687" s="2157"/>
      <c r="AB687" s="2157"/>
      <c r="AC687" s="2157"/>
      <c r="AD687" s="2157"/>
      <c r="AE687" s="2157"/>
      <c r="AF687" s="2675"/>
      <c r="AG687" s="2671"/>
      <c r="AH687" s="2671"/>
      <c r="AI687" s="2675"/>
      <c r="AJ687" s="2671"/>
      <c r="AK687" s="2671"/>
      <c r="AL687" s="2109"/>
      <c r="AM687" s="1946"/>
      <c r="AN687" s="1946"/>
      <c r="AO687" s="1946"/>
      <c r="AP687" s="1946"/>
      <c r="AQ687" s="1946"/>
      <c r="AR687" s="1946"/>
      <c r="AS687" s="1946"/>
      <c r="AT687" s="1946"/>
      <c r="AU687" s="1946"/>
      <c r="AV687" s="1946"/>
      <c r="AW687" s="1946"/>
      <c r="AX687" s="1946"/>
      <c r="AY687" s="1946"/>
      <c r="AZ687" s="1946"/>
      <c r="BA687" s="1946"/>
      <c r="BB687" s="1946"/>
      <c r="BC687" s="1946"/>
      <c r="BD687" s="1946"/>
      <c r="BE687" s="1946"/>
      <c r="BF687" s="1946"/>
      <c r="BG687" s="7213"/>
    </row>
    <row customHeight="1" ht="0.75">
      <c r="A688" s="1290" t="s">
        <v>1263</v>
      </c>
      <c r="B688" s="1290"/>
      <c r="C688" s="1290"/>
      <c r="D688" s="1284"/>
      <c r="E688" s="1294"/>
      <c r="F688" s="2673"/>
      <c r="G688" s="2652"/>
      <c r="H688" s="2677"/>
      <c r="I688" s="2678"/>
      <c r="J688" s="2679"/>
      <c r="K688" s="2679"/>
      <c r="L688" s="2671"/>
      <c r="M688" s="2405"/>
      <c r="N688" s="2680"/>
      <c r="O688" s="2681"/>
      <c r="P688" s="2725"/>
      <c r="Q688" s="2676"/>
      <c r="R688" s="2676"/>
      <c r="S688" s="2676"/>
      <c r="T688" s="2676"/>
      <c r="U688" s="2676"/>
      <c r="V688" s="2676"/>
      <c r="W688" s="2676"/>
      <c r="X688" s="2676"/>
      <c r="Y688" s="2676"/>
      <c r="Z688" s="2158"/>
      <c r="AA688" s="2159"/>
      <c r="AB688" s="2159"/>
      <c r="AC688" s="2160"/>
      <c r="AD688" s="2160"/>
      <c r="AE688" s="2161"/>
      <c r="AF688" s="2675"/>
      <c r="AG688" s="2671"/>
      <c r="AH688" s="2671"/>
      <c r="AI688" s="2675"/>
      <c r="AJ688" s="2671"/>
      <c r="AK688" s="2671"/>
      <c r="AL688" s="2109"/>
      <c r="AM688" s="1946"/>
      <c r="AN688" s="1946"/>
      <c r="AO688" s="1946"/>
      <c r="AP688" s="1946"/>
      <c r="AQ688" s="1946"/>
      <c r="AR688" s="1946"/>
      <c r="AS688" s="1946"/>
      <c r="AT688" s="1946"/>
      <c r="AU688" s="1946"/>
      <c r="AV688" s="1946"/>
      <c r="AW688" s="1946"/>
      <c r="AX688" s="1946"/>
      <c r="AY688" s="1946"/>
      <c r="AZ688" s="1946"/>
      <c r="BA688" s="1946"/>
      <c r="BB688" s="1946"/>
      <c r="BC688" s="1946"/>
      <c r="BD688" s="1946"/>
      <c r="BE688" s="1946"/>
      <c r="BF688" s="1946"/>
      <c r="BG688" s="7213"/>
    </row>
    <row customHeight="1" ht="0.75">
      <c r="A689" s="1290" t="s">
        <v>1263</v>
      </c>
      <c r="B689" s="1290"/>
      <c r="C689" s="1290"/>
      <c r="D689" s="1284"/>
      <c r="E689" s="1294"/>
      <c r="F689" s="2673"/>
      <c r="G689" s="2652"/>
      <c r="H689" s="2677"/>
      <c r="I689" s="2678"/>
      <c r="J689" s="2679"/>
      <c r="K689" s="2679"/>
      <c r="L689" s="2671"/>
      <c r="M689" s="2405"/>
      <c r="N689" s="2680"/>
      <c r="O689" s="2681"/>
      <c r="P689" s="2726"/>
      <c r="Q689" s="2676"/>
      <c r="R689" s="2676"/>
      <c r="S689" s="2676"/>
      <c r="T689" s="2676"/>
      <c r="U689" s="2676"/>
      <c r="V689" s="2676"/>
      <c r="W689" s="2676"/>
      <c r="X689" s="2676"/>
      <c r="Y689" s="2676"/>
      <c r="Z689" s="2162"/>
      <c r="AA689" s="2163"/>
      <c r="AB689" s="2164"/>
      <c r="AC689" s="2165"/>
      <c r="AD689" s="2164"/>
      <c r="AE689" s="2165"/>
      <c r="AF689" s="2675"/>
      <c r="AG689" s="2671"/>
      <c r="AH689" s="2671"/>
      <c r="AI689" s="2675"/>
      <c r="AJ689" s="2671"/>
      <c r="AK689" s="2671"/>
      <c r="AL689" s="2109"/>
      <c r="AM689" s="1946"/>
      <c r="AN689" s="1946"/>
      <c r="AO689" s="1946"/>
      <c r="AP689" s="1946"/>
      <c r="AQ689" s="1946"/>
      <c r="AR689" s="1946"/>
      <c r="AS689" s="1946"/>
      <c r="AT689" s="1946"/>
      <c r="AU689" s="1946"/>
      <c r="AV689" s="1946"/>
      <c r="AW689" s="1946"/>
      <c r="AX689" s="1946"/>
      <c r="AY689" s="1946"/>
      <c r="AZ689" s="1946"/>
      <c r="BA689" s="1946"/>
      <c r="BB689" s="1946"/>
      <c r="BC689" s="1946"/>
      <c r="BD689" s="1946"/>
      <c r="BE689" s="1946"/>
      <c r="BF689" s="1946"/>
      <c r="BG689" s="7213"/>
    </row>
    <row customHeight="1" ht="0.75">
      <c r="A690" s="1290" t="s">
        <v>1263</v>
      </c>
      <c r="B690" s="1290"/>
      <c r="C690" s="1290"/>
      <c r="D690" s="1284"/>
      <c r="E690" s="1294"/>
      <c r="F690" s="2673"/>
      <c r="G690" s="2652"/>
      <c r="H690" s="2677"/>
      <c r="I690" s="2678"/>
      <c r="J690" s="2679"/>
      <c r="K690" s="2679"/>
      <c r="L690" s="2671"/>
      <c r="M690" s="2405"/>
      <c r="N690" s="2680"/>
      <c r="O690" s="2681"/>
      <c r="P690" s="2727"/>
      <c r="Q690" s="2676"/>
      <c r="R690" s="2676"/>
      <c r="S690" s="2676"/>
      <c r="T690" s="2676"/>
      <c r="U690" s="2676"/>
      <c r="V690" s="2676"/>
      <c r="W690" s="2676"/>
      <c r="X690" s="2676"/>
      <c r="Y690" s="2676"/>
      <c r="Z690" s="2158"/>
      <c r="AA690" s="2159"/>
      <c r="AB690" s="2166"/>
      <c r="AC690" s="2160"/>
      <c r="AD690" s="2160"/>
      <c r="AE690" s="2167"/>
      <c r="AF690" s="2675"/>
      <c r="AG690" s="2671"/>
      <c r="AH690" s="2671"/>
      <c r="AI690" s="2675"/>
      <c r="AJ690" s="2671"/>
      <c r="AK690" s="2671"/>
      <c r="AL690" s="2109"/>
      <c r="AM690" s="1946"/>
      <c r="AN690" s="1946"/>
      <c r="AO690" s="1946"/>
      <c r="AP690" s="1946"/>
      <c r="AQ690" s="1946"/>
      <c r="AR690" s="1946"/>
      <c r="AS690" s="1946"/>
      <c r="AT690" s="1946"/>
      <c r="AU690" s="1946"/>
      <c r="AV690" s="1946"/>
      <c r="AW690" s="1946"/>
      <c r="AX690" s="1946"/>
      <c r="AY690" s="1946"/>
      <c r="AZ690" s="1946"/>
      <c r="BA690" s="1946"/>
      <c r="BB690" s="1946"/>
      <c r="BC690" s="1946"/>
      <c r="BD690" s="1946"/>
      <c r="BE690" s="1946"/>
      <c r="BF690" s="1946"/>
      <c r="BG690" s="7213"/>
    </row>
    <row customHeight="1" ht="0.75">
      <c r="A691" s="1290" t="s">
        <v>1263</v>
      </c>
      <c r="B691" s="1290"/>
      <c r="C691" s="1290"/>
      <c r="D691" s="1284"/>
      <c r="E691" s="1294"/>
      <c r="F691" s="2673"/>
      <c r="G691" s="2652"/>
      <c r="H691" s="2677"/>
      <c r="I691" s="2678"/>
      <c r="J691" s="2679"/>
      <c r="K691" s="2679"/>
      <c r="L691" s="2671"/>
      <c r="M691" s="2405"/>
      <c r="N691" s="2159"/>
      <c r="O691" s="2159"/>
      <c r="P691" s="2166"/>
      <c r="Q691" s="2159"/>
      <c r="R691" s="2159"/>
      <c r="S691" s="2159"/>
      <c r="T691" s="2159"/>
      <c r="U691" s="2159"/>
      <c r="V691" s="2159"/>
      <c r="W691" s="2159"/>
      <c r="X691" s="2159"/>
      <c r="Y691" s="2159"/>
      <c r="Z691" s="2159"/>
      <c r="AA691" s="2159"/>
      <c r="AB691" s="2159"/>
      <c r="AC691" s="2159"/>
      <c r="AD691" s="2159"/>
      <c r="AE691" s="2168"/>
      <c r="AF691" s="2675"/>
      <c r="AG691" s="2671"/>
      <c r="AH691" s="2671"/>
      <c r="AI691" s="2675"/>
      <c r="AJ691" s="2671"/>
      <c r="AK691" s="2671"/>
      <c r="AL691" s="2109"/>
      <c r="AM691" s="1946"/>
      <c r="AN691" s="1946"/>
      <c r="AO691" s="1946"/>
      <c r="AP691" s="1946"/>
      <c r="AQ691" s="1946"/>
      <c r="AR691" s="1946"/>
      <c r="AS691" s="1946"/>
      <c r="AT691" s="1946"/>
      <c r="AU691" s="1946"/>
      <c r="AV691" s="1946"/>
      <c r="AW691" s="1946"/>
      <c r="AX691" s="1946"/>
      <c r="AY691" s="1946"/>
      <c r="AZ691" s="1946"/>
      <c r="BA691" s="1946"/>
      <c r="BB691" s="1946"/>
      <c r="BC691" s="1946"/>
      <c r="BD691" s="1946"/>
      <c r="BE691" s="1946"/>
      <c r="BF691" s="1946"/>
      <c r="BG691" s="7213"/>
    </row>
    <row customHeight="1" ht="12">
      <c r="A692" s="1290" t="s">
        <v>1263</v>
      </c>
      <c r="B692" s="1290"/>
      <c r="C692" s="1290"/>
      <c r="D692" s="1284"/>
      <c r="E692" s="1294"/>
      <c r="F692" s="2674"/>
      <c r="G692" s="1314"/>
      <c r="H692" s="1314"/>
      <c r="I692" s="2672" t="s">
        <v>1294</v>
      </c>
      <c r="J692" s="2672"/>
      <c r="K692" s="2672"/>
      <c r="L692" s="1297"/>
      <c r="M692" s="1297"/>
      <c r="N692" s="1298"/>
      <c r="O692" s="1298"/>
      <c r="P692" s="1298"/>
      <c r="Q692" s="1298"/>
      <c r="R692" s="1298"/>
      <c r="S692" s="1298"/>
      <c r="T692" s="1298"/>
      <c r="U692" s="1298"/>
      <c r="V692" s="1298"/>
      <c r="W692" s="1298"/>
      <c r="X692" s="1298"/>
      <c r="Y692" s="1298"/>
      <c r="Z692" s="1298"/>
      <c r="AA692" s="1298"/>
      <c r="AB692" s="1298"/>
      <c r="AC692" s="1298"/>
      <c r="AD692" s="1298"/>
      <c r="AE692" s="1298"/>
      <c r="AF692" s="1298"/>
      <c r="AG692" s="1297"/>
      <c r="AH692" s="1297"/>
      <c r="AI692" s="1298"/>
      <c r="AJ692" s="1297"/>
      <c r="AK692" s="1298"/>
      <c r="AL692" s="2109"/>
      <c r="AM692" s="1946"/>
      <c r="AN692" s="1946"/>
      <c r="AO692" s="1946"/>
      <c r="AP692" s="1946"/>
      <c r="AQ692" s="1946"/>
      <c r="AR692" s="1946"/>
      <c r="AS692" s="1946"/>
      <c r="AT692" s="1946"/>
      <c r="AU692" s="1946"/>
      <c r="AV692" s="1946"/>
      <c r="AW692" s="1946"/>
      <c r="AX692" s="1946"/>
      <c r="AY692" s="1946"/>
      <c r="AZ692" s="1946"/>
      <c r="BA692" s="1946"/>
      <c r="BB692" s="1946"/>
      <c r="BC692" s="1946"/>
      <c r="BD692" s="1946"/>
      <c r="BE692" s="1946"/>
      <c r="BF692" s="1946"/>
      <c r="BG692" s="7213"/>
    </row>
    <row customHeight="1" ht="0.75">
      <c r="A693" s="1290" t="s">
        <v>1263</v>
      </c>
      <c r="B693" s="1290"/>
      <c r="C693" s="1290"/>
      <c r="D693" s="1284"/>
      <c r="E693" s="1294"/>
      <c r="F693" s="2673">
        <v>2030</v>
      </c>
      <c r="G693" s="2652"/>
      <c r="H693" s="2677" t="s">
        <v>488</v>
      </c>
      <c r="I693" s="2678"/>
      <c r="J693" s="2679"/>
      <c r="K693" s="2679"/>
      <c r="L693" s="2671"/>
      <c r="M693" s="2405"/>
      <c r="N693" s="2157"/>
      <c r="O693" s="2156"/>
      <c r="P693" s="2157"/>
      <c r="Q693" s="2157"/>
      <c r="R693" s="2157"/>
      <c r="S693" s="2157"/>
      <c r="T693" s="2157"/>
      <c r="U693" s="2157"/>
      <c r="V693" s="2157"/>
      <c r="W693" s="2157"/>
      <c r="X693" s="2157"/>
      <c r="Y693" s="2157"/>
      <c r="Z693" s="2157"/>
      <c r="AA693" s="2157"/>
      <c r="AB693" s="2157"/>
      <c r="AC693" s="2157"/>
      <c r="AD693" s="2157"/>
      <c r="AE693" s="2157"/>
      <c r="AF693" s="2675"/>
      <c r="AG693" s="2671"/>
      <c r="AH693" s="2671"/>
      <c r="AI693" s="2675"/>
      <c r="AJ693" s="2671"/>
      <c r="AK693" s="2671"/>
      <c r="AL693" s="2109"/>
      <c r="AM693" s="1946"/>
      <c r="AN693" s="1946"/>
      <c r="AO693" s="1946"/>
      <c r="AP693" s="1946"/>
      <c r="AQ693" s="1946"/>
      <c r="AR693" s="1946"/>
      <c r="AS693" s="1946"/>
      <c r="AT693" s="1946"/>
      <c r="AU693" s="1946"/>
      <c r="AV693" s="1946"/>
      <c r="AW693" s="1946"/>
      <c r="AX693" s="1946"/>
      <c r="AY693" s="1946"/>
      <c r="AZ693" s="1946"/>
      <c r="BA693" s="1946"/>
      <c r="BB693" s="1946"/>
      <c r="BC693" s="1946"/>
      <c r="BD693" s="1946"/>
      <c r="BE693" s="1946"/>
      <c r="BF693" s="1946"/>
      <c r="BG693" s="7213"/>
    </row>
    <row customHeight="1" ht="0.75">
      <c r="A694" s="1290" t="s">
        <v>1263</v>
      </c>
      <c r="B694" s="1290"/>
      <c r="C694" s="1290"/>
      <c r="D694" s="1284"/>
      <c r="E694" s="1294"/>
      <c r="F694" s="2673"/>
      <c r="G694" s="2652"/>
      <c r="H694" s="2677"/>
      <c r="I694" s="2678"/>
      <c r="J694" s="2679"/>
      <c r="K694" s="2679"/>
      <c r="L694" s="2671"/>
      <c r="M694" s="2405"/>
      <c r="N694" s="2680"/>
      <c r="O694" s="2681"/>
      <c r="P694" s="2725"/>
      <c r="Q694" s="2676"/>
      <c r="R694" s="2676"/>
      <c r="S694" s="2676"/>
      <c r="T694" s="2676"/>
      <c r="U694" s="2676"/>
      <c r="V694" s="2676"/>
      <c r="W694" s="2676"/>
      <c r="X694" s="2676"/>
      <c r="Y694" s="2676"/>
      <c r="Z694" s="2158"/>
      <c r="AA694" s="2159"/>
      <c r="AB694" s="2159"/>
      <c r="AC694" s="2160"/>
      <c r="AD694" s="2160"/>
      <c r="AE694" s="2161"/>
      <c r="AF694" s="2675"/>
      <c r="AG694" s="2671"/>
      <c r="AH694" s="2671"/>
      <c r="AI694" s="2675"/>
      <c r="AJ694" s="2671"/>
      <c r="AK694" s="2671"/>
      <c r="AL694" s="2109"/>
      <c r="AM694" s="1946"/>
      <c r="AN694" s="1946"/>
      <c r="AO694" s="1946"/>
      <c r="AP694" s="1946"/>
      <c r="AQ694" s="1946"/>
      <c r="AR694" s="1946"/>
      <c r="AS694" s="1946"/>
      <c r="AT694" s="1946"/>
      <c r="AU694" s="1946"/>
      <c r="AV694" s="1946"/>
      <c r="AW694" s="1946"/>
      <c r="AX694" s="1946"/>
      <c r="AY694" s="1946"/>
      <c r="AZ694" s="1946"/>
      <c r="BA694" s="1946"/>
      <c r="BB694" s="1946"/>
      <c r="BC694" s="1946"/>
      <c r="BD694" s="1946"/>
      <c r="BE694" s="1946"/>
      <c r="BF694" s="1946"/>
      <c r="BG694" s="7213"/>
    </row>
    <row customHeight="1" ht="0.75">
      <c r="A695" s="1290" t="s">
        <v>1263</v>
      </c>
      <c r="B695" s="1290"/>
      <c r="C695" s="1290"/>
      <c r="D695" s="1284"/>
      <c r="E695" s="1294"/>
      <c r="F695" s="2673"/>
      <c r="G695" s="2652"/>
      <c r="H695" s="2677"/>
      <c r="I695" s="2678"/>
      <c r="J695" s="2679"/>
      <c r="K695" s="2679"/>
      <c r="L695" s="2671"/>
      <c r="M695" s="2405"/>
      <c r="N695" s="2680"/>
      <c r="O695" s="2681"/>
      <c r="P695" s="2726"/>
      <c r="Q695" s="2676"/>
      <c r="R695" s="2676"/>
      <c r="S695" s="2676"/>
      <c r="T695" s="2676"/>
      <c r="U695" s="2676"/>
      <c r="V695" s="2676"/>
      <c r="W695" s="2676"/>
      <c r="X695" s="2676"/>
      <c r="Y695" s="2676"/>
      <c r="Z695" s="2162"/>
      <c r="AA695" s="2163"/>
      <c r="AB695" s="2164"/>
      <c r="AC695" s="2165"/>
      <c r="AD695" s="2164"/>
      <c r="AE695" s="2165"/>
      <c r="AF695" s="2675"/>
      <c r="AG695" s="2671"/>
      <c r="AH695" s="2671"/>
      <c r="AI695" s="2675"/>
      <c r="AJ695" s="2671"/>
      <c r="AK695" s="2671"/>
      <c r="AL695" s="2109"/>
      <c r="AM695" s="1946"/>
      <c r="AN695" s="1946"/>
      <c r="AO695" s="1946"/>
      <c r="AP695" s="1946"/>
      <c r="AQ695" s="1946"/>
      <c r="AR695" s="1946"/>
      <c r="AS695" s="1946"/>
      <c r="AT695" s="1946"/>
      <c r="AU695" s="1946"/>
      <c r="AV695" s="1946"/>
      <c r="AW695" s="1946"/>
      <c r="AX695" s="1946"/>
      <c r="AY695" s="1946"/>
      <c r="AZ695" s="1946"/>
      <c r="BA695" s="1946"/>
      <c r="BB695" s="1946"/>
      <c r="BC695" s="1946"/>
      <c r="BD695" s="1946"/>
      <c r="BE695" s="1946"/>
      <c r="BF695" s="1946"/>
      <c r="BG695" s="7213"/>
    </row>
    <row customHeight="1" ht="0.75">
      <c r="A696" s="1290" t="s">
        <v>1263</v>
      </c>
      <c r="B696" s="1290"/>
      <c r="C696" s="1290"/>
      <c r="D696" s="1284"/>
      <c r="E696" s="1294"/>
      <c r="F696" s="2673"/>
      <c r="G696" s="2652"/>
      <c r="H696" s="2677"/>
      <c r="I696" s="2678"/>
      <c r="J696" s="2679"/>
      <c r="K696" s="2679"/>
      <c r="L696" s="2671"/>
      <c r="M696" s="2405"/>
      <c r="N696" s="2680"/>
      <c r="O696" s="2681"/>
      <c r="P696" s="2727"/>
      <c r="Q696" s="2676"/>
      <c r="R696" s="2676"/>
      <c r="S696" s="2676"/>
      <c r="T696" s="2676"/>
      <c r="U696" s="2676"/>
      <c r="V696" s="2676"/>
      <c r="W696" s="2676"/>
      <c r="X696" s="2676"/>
      <c r="Y696" s="2676"/>
      <c r="Z696" s="2158"/>
      <c r="AA696" s="2159"/>
      <c r="AB696" s="2166"/>
      <c r="AC696" s="2160"/>
      <c r="AD696" s="2160"/>
      <c r="AE696" s="2167"/>
      <c r="AF696" s="2675"/>
      <c r="AG696" s="2671"/>
      <c r="AH696" s="2671"/>
      <c r="AI696" s="2675"/>
      <c r="AJ696" s="2671"/>
      <c r="AK696" s="2671"/>
      <c r="AL696" s="2109"/>
      <c r="AM696" s="1946"/>
      <c r="AN696" s="1946"/>
      <c r="AO696" s="1946"/>
      <c r="AP696" s="1946"/>
      <c r="AQ696" s="1946"/>
      <c r="AR696" s="1946"/>
      <c r="AS696" s="1946"/>
      <c r="AT696" s="1946"/>
      <c r="AU696" s="1946"/>
      <c r="AV696" s="1946"/>
      <c r="AW696" s="1946"/>
      <c r="AX696" s="1946"/>
      <c r="AY696" s="1946"/>
      <c r="AZ696" s="1946"/>
      <c r="BA696" s="1946"/>
      <c r="BB696" s="1946"/>
      <c r="BC696" s="1946"/>
      <c r="BD696" s="1946"/>
      <c r="BE696" s="1946"/>
      <c r="BF696" s="1946"/>
      <c r="BG696" s="7213"/>
    </row>
    <row customHeight="1" ht="0.75">
      <c r="A697" s="1290" t="s">
        <v>1263</v>
      </c>
      <c r="B697" s="1290"/>
      <c r="C697" s="1290"/>
      <c r="D697" s="1284"/>
      <c r="E697" s="1294"/>
      <c r="F697" s="2673"/>
      <c r="G697" s="2652"/>
      <c r="H697" s="2677"/>
      <c r="I697" s="2678"/>
      <c r="J697" s="2679"/>
      <c r="K697" s="2679"/>
      <c r="L697" s="2671"/>
      <c r="M697" s="2405"/>
      <c r="N697" s="2159"/>
      <c r="O697" s="2159"/>
      <c r="P697" s="2166"/>
      <c r="Q697" s="2159"/>
      <c r="R697" s="2159"/>
      <c r="S697" s="2159"/>
      <c r="T697" s="2159"/>
      <c r="U697" s="2159"/>
      <c r="V697" s="2159"/>
      <c r="W697" s="2159"/>
      <c r="X697" s="2159"/>
      <c r="Y697" s="2159"/>
      <c r="Z697" s="2159"/>
      <c r="AA697" s="2159"/>
      <c r="AB697" s="2159"/>
      <c r="AC697" s="2159"/>
      <c r="AD697" s="2159"/>
      <c r="AE697" s="2168"/>
      <c r="AF697" s="2675"/>
      <c r="AG697" s="2671"/>
      <c r="AH697" s="2671"/>
      <c r="AI697" s="2675"/>
      <c r="AJ697" s="2671"/>
      <c r="AK697" s="2671"/>
      <c r="AL697" s="2109"/>
      <c r="AM697" s="1946"/>
      <c r="AN697" s="1946"/>
      <c r="AO697" s="1946"/>
      <c r="AP697" s="1946"/>
      <c r="AQ697" s="1946"/>
      <c r="AR697" s="1946"/>
      <c r="AS697" s="1946"/>
      <c r="AT697" s="1946"/>
      <c r="AU697" s="1946"/>
      <c r="AV697" s="1946"/>
      <c r="AW697" s="1946"/>
      <c r="AX697" s="1946"/>
      <c r="AY697" s="1946"/>
      <c r="AZ697" s="1946"/>
      <c r="BA697" s="1946"/>
      <c r="BB697" s="1946"/>
      <c r="BC697" s="1946"/>
      <c r="BD697" s="1946"/>
      <c r="BE697" s="1946"/>
      <c r="BF697" s="1946"/>
      <c r="BG697" s="7213"/>
    </row>
    <row customHeight="1" ht="12">
      <c r="A698" s="1290" t="s">
        <v>1263</v>
      </c>
      <c r="B698" s="1290"/>
      <c r="C698" s="1290"/>
      <c r="D698" s="1284"/>
      <c r="E698" s="1294"/>
      <c r="F698" s="2674"/>
      <c r="G698" s="1314"/>
      <c r="H698" s="1314"/>
      <c r="I698" s="2672" t="s">
        <v>1294</v>
      </c>
      <c r="J698" s="2672"/>
      <c r="K698" s="2672"/>
      <c r="L698" s="1297"/>
      <c r="M698" s="1297"/>
      <c r="N698" s="1298"/>
      <c r="O698" s="1298"/>
      <c r="P698" s="1298"/>
      <c r="Q698" s="1298"/>
      <c r="R698" s="1298"/>
      <c r="S698" s="1298"/>
      <c r="T698" s="1298"/>
      <c r="U698" s="1298"/>
      <c r="V698" s="1298"/>
      <c r="W698" s="1298"/>
      <c r="X698" s="1298"/>
      <c r="Y698" s="1298"/>
      <c r="Z698" s="1298"/>
      <c r="AA698" s="1298"/>
      <c r="AB698" s="1298"/>
      <c r="AC698" s="1298"/>
      <c r="AD698" s="1298"/>
      <c r="AE698" s="1298"/>
      <c r="AF698" s="1298"/>
      <c r="AG698" s="1297"/>
      <c r="AH698" s="1297"/>
      <c r="AI698" s="1298"/>
      <c r="AJ698" s="1297"/>
      <c r="AK698" s="1298"/>
      <c r="AL698" s="2109"/>
      <c r="AM698" s="1946"/>
      <c r="AN698" s="1946"/>
      <c r="AO698" s="1946"/>
      <c r="AP698" s="1946"/>
      <c r="AQ698" s="1946"/>
      <c r="AR698" s="1946"/>
      <c r="AS698" s="1946"/>
      <c r="AT698" s="1946"/>
      <c r="AU698" s="1946"/>
      <c r="AV698" s="1946"/>
      <c r="AW698" s="1946"/>
      <c r="AX698" s="1946"/>
      <c r="AY698" s="1946"/>
      <c r="AZ698" s="1946"/>
      <c r="BA698" s="1946"/>
      <c r="BB698" s="1946"/>
      <c r="BC698" s="1946"/>
      <c r="BD698" s="1946"/>
      <c r="BE698" s="1946"/>
      <c r="BF698" s="1946"/>
      <c r="BG698" s="7213"/>
    </row>
    <row customHeight="1" ht="0.75">
      <c r="A699" s="1290" t="s">
        <v>1263</v>
      </c>
      <c r="B699" s="1290"/>
      <c r="C699" s="1290"/>
      <c r="D699" s="1284"/>
      <c r="E699" s="1294"/>
      <c r="F699" s="2673">
        <v>2031</v>
      </c>
      <c r="G699" s="2652"/>
      <c r="H699" s="2677" t="s">
        <v>488</v>
      </c>
      <c r="I699" s="2678"/>
      <c r="J699" s="2679"/>
      <c r="K699" s="2679"/>
      <c r="L699" s="2671"/>
      <c r="M699" s="2405"/>
      <c r="N699" s="2157"/>
      <c r="O699" s="2156"/>
      <c r="P699" s="2157"/>
      <c r="Q699" s="2157"/>
      <c r="R699" s="2157"/>
      <c r="S699" s="2157"/>
      <c r="T699" s="2157"/>
      <c r="U699" s="2157"/>
      <c r="V699" s="2157"/>
      <c r="W699" s="2157"/>
      <c r="X699" s="2157"/>
      <c r="Y699" s="2157"/>
      <c r="Z699" s="2157"/>
      <c r="AA699" s="2157"/>
      <c r="AB699" s="2157"/>
      <c r="AC699" s="2157"/>
      <c r="AD699" s="2157"/>
      <c r="AE699" s="2157"/>
      <c r="AF699" s="2675"/>
      <c r="AG699" s="2671"/>
      <c r="AH699" s="2671"/>
      <c r="AI699" s="2675"/>
      <c r="AJ699" s="2671"/>
      <c r="AK699" s="2671"/>
      <c r="AL699" s="2109"/>
      <c r="AM699" s="1946"/>
      <c r="AN699" s="1946"/>
      <c r="AO699" s="1946"/>
      <c r="AP699" s="1946"/>
      <c r="AQ699" s="1946"/>
      <c r="AR699" s="1946"/>
      <c r="AS699" s="1946"/>
      <c r="AT699" s="1946"/>
      <c r="AU699" s="1946"/>
      <c r="AV699" s="1946"/>
      <c r="AW699" s="1946"/>
      <c r="AX699" s="1946"/>
      <c r="AY699" s="1946"/>
      <c r="AZ699" s="1946"/>
      <c r="BA699" s="1946"/>
      <c r="BB699" s="1946"/>
      <c r="BC699" s="1946"/>
      <c r="BD699" s="1946"/>
      <c r="BE699" s="1946"/>
      <c r="BF699" s="1946"/>
      <c r="BG699" s="7213"/>
    </row>
    <row customHeight="1" ht="0.75">
      <c r="A700" s="1290" t="s">
        <v>1263</v>
      </c>
      <c r="B700" s="1290"/>
      <c r="C700" s="1290"/>
      <c r="D700" s="1284"/>
      <c r="E700" s="1294"/>
      <c r="F700" s="2673"/>
      <c r="G700" s="2652"/>
      <c r="H700" s="2677"/>
      <c r="I700" s="2678"/>
      <c r="J700" s="2679"/>
      <c r="K700" s="2679"/>
      <c r="L700" s="2671"/>
      <c r="M700" s="2405"/>
      <c r="N700" s="2680"/>
      <c r="O700" s="2681"/>
      <c r="P700" s="2725"/>
      <c r="Q700" s="2676"/>
      <c r="R700" s="2676"/>
      <c r="S700" s="2676"/>
      <c r="T700" s="2676"/>
      <c r="U700" s="2676"/>
      <c r="V700" s="2676"/>
      <c r="W700" s="2676"/>
      <c r="X700" s="2676"/>
      <c r="Y700" s="2676"/>
      <c r="Z700" s="2158"/>
      <c r="AA700" s="2159"/>
      <c r="AB700" s="2159"/>
      <c r="AC700" s="2160"/>
      <c r="AD700" s="2160"/>
      <c r="AE700" s="2161"/>
      <c r="AF700" s="2675"/>
      <c r="AG700" s="2671"/>
      <c r="AH700" s="2671"/>
      <c r="AI700" s="2675"/>
      <c r="AJ700" s="2671"/>
      <c r="AK700" s="2671"/>
      <c r="AL700" s="2109"/>
      <c r="AM700" s="1946"/>
      <c r="AN700" s="1946"/>
      <c r="AO700" s="1946"/>
      <c r="AP700" s="1946"/>
      <c r="AQ700" s="1946"/>
      <c r="AR700" s="1946"/>
      <c r="AS700" s="1946"/>
      <c r="AT700" s="1946"/>
      <c r="AU700" s="1946"/>
      <c r="AV700" s="1946"/>
      <c r="AW700" s="1946"/>
      <c r="AX700" s="1946"/>
      <c r="AY700" s="1946"/>
      <c r="AZ700" s="1946"/>
      <c r="BA700" s="1946"/>
      <c r="BB700" s="1946"/>
      <c r="BC700" s="1946"/>
      <c r="BD700" s="1946"/>
      <c r="BE700" s="1946"/>
      <c r="BF700" s="1946"/>
      <c r="BG700" s="7213"/>
    </row>
    <row customHeight="1" ht="0.75">
      <c r="A701" s="1290" t="s">
        <v>1263</v>
      </c>
      <c r="B701" s="1290"/>
      <c r="C701" s="1290"/>
      <c r="D701" s="1284"/>
      <c r="E701" s="1294"/>
      <c r="F701" s="2673"/>
      <c r="G701" s="2652"/>
      <c r="H701" s="2677"/>
      <c r="I701" s="2678"/>
      <c r="J701" s="2679"/>
      <c r="K701" s="2679"/>
      <c r="L701" s="2671"/>
      <c r="M701" s="2405"/>
      <c r="N701" s="2680"/>
      <c r="O701" s="2681"/>
      <c r="P701" s="2726"/>
      <c r="Q701" s="2676"/>
      <c r="R701" s="2676"/>
      <c r="S701" s="2676"/>
      <c r="T701" s="2676"/>
      <c r="U701" s="2676"/>
      <c r="V701" s="2676"/>
      <c r="W701" s="2676"/>
      <c r="X701" s="2676"/>
      <c r="Y701" s="2676"/>
      <c r="Z701" s="2162"/>
      <c r="AA701" s="2163"/>
      <c r="AB701" s="2164"/>
      <c r="AC701" s="2165"/>
      <c r="AD701" s="2164"/>
      <c r="AE701" s="2165"/>
      <c r="AF701" s="2675"/>
      <c r="AG701" s="2671"/>
      <c r="AH701" s="2671"/>
      <c r="AI701" s="2675"/>
      <c r="AJ701" s="2671"/>
      <c r="AK701" s="2671"/>
      <c r="AL701" s="2109"/>
      <c r="AM701" s="1946"/>
      <c r="AN701" s="1946"/>
      <c r="AO701" s="1946"/>
      <c r="AP701" s="1946"/>
      <c r="AQ701" s="1946"/>
      <c r="AR701" s="1946"/>
      <c r="AS701" s="1946"/>
      <c r="AT701" s="1946"/>
      <c r="AU701" s="1946"/>
      <c r="AV701" s="1946"/>
      <c r="AW701" s="1946"/>
      <c r="AX701" s="1946"/>
      <c r="AY701" s="1946"/>
      <c r="AZ701" s="1946"/>
      <c r="BA701" s="1946"/>
      <c r="BB701" s="1946"/>
      <c r="BC701" s="1946"/>
      <c r="BD701" s="1946"/>
      <c r="BE701" s="1946"/>
      <c r="BF701" s="1946"/>
      <c r="BG701" s="7213"/>
    </row>
    <row customHeight="1" ht="0.75">
      <c r="A702" s="1290" t="s">
        <v>1263</v>
      </c>
      <c r="B702" s="1290"/>
      <c r="C702" s="1290"/>
      <c r="D702" s="1284"/>
      <c r="E702" s="1294"/>
      <c r="F702" s="2673"/>
      <c r="G702" s="2652"/>
      <c r="H702" s="2677"/>
      <c r="I702" s="2678"/>
      <c r="J702" s="2679"/>
      <c r="K702" s="2679"/>
      <c r="L702" s="2671"/>
      <c r="M702" s="2405"/>
      <c r="N702" s="2680"/>
      <c r="O702" s="2681"/>
      <c r="P702" s="2727"/>
      <c r="Q702" s="2676"/>
      <c r="R702" s="2676"/>
      <c r="S702" s="2676"/>
      <c r="T702" s="2676"/>
      <c r="U702" s="2676"/>
      <c r="V702" s="2676"/>
      <c r="W702" s="2676"/>
      <c r="X702" s="2676"/>
      <c r="Y702" s="2676"/>
      <c r="Z702" s="2158"/>
      <c r="AA702" s="2159"/>
      <c r="AB702" s="2166"/>
      <c r="AC702" s="2160"/>
      <c r="AD702" s="2160"/>
      <c r="AE702" s="2167"/>
      <c r="AF702" s="2675"/>
      <c r="AG702" s="2671"/>
      <c r="AH702" s="2671"/>
      <c r="AI702" s="2675"/>
      <c r="AJ702" s="2671"/>
      <c r="AK702" s="2671"/>
      <c r="AL702" s="2109"/>
      <c r="AM702" s="1946"/>
      <c r="AN702" s="1946"/>
      <c r="AO702" s="1946"/>
      <c r="AP702" s="1946"/>
      <c r="AQ702" s="1946"/>
      <c r="AR702" s="1946"/>
      <c r="AS702" s="1946"/>
      <c r="AT702" s="1946"/>
      <c r="AU702" s="1946"/>
      <c r="AV702" s="1946"/>
      <c r="AW702" s="1946"/>
      <c r="AX702" s="1946"/>
      <c r="AY702" s="1946"/>
      <c r="AZ702" s="1946"/>
      <c r="BA702" s="1946"/>
      <c r="BB702" s="1946"/>
      <c r="BC702" s="1946"/>
      <c r="BD702" s="1946"/>
      <c r="BE702" s="1946"/>
      <c r="BF702" s="1946"/>
      <c r="BG702" s="7213"/>
    </row>
    <row customHeight="1" ht="0.75">
      <c r="A703" s="1290" t="s">
        <v>1263</v>
      </c>
      <c r="B703" s="1290"/>
      <c r="C703" s="1290"/>
      <c r="D703" s="1284"/>
      <c r="E703" s="1294"/>
      <c r="F703" s="2673"/>
      <c r="G703" s="2652"/>
      <c r="H703" s="2677"/>
      <c r="I703" s="2678"/>
      <c r="J703" s="2679"/>
      <c r="K703" s="2679"/>
      <c r="L703" s="2671"/>
      <c r="M703" s="2405"/>
      <c r="N703" s="2159"/>
      <c r="O703" s="2159"/>
      <c r="P703" s="2166"/>
      <c r="Q703" s="2159"/>
      <c r="R703" s="2159"/>
      <c r="S703" s="2159"/>
      <c r="T703" s="2159"/>
      <c r="U703" s="2159"/>
      <c r="V703" s="2159"/>
      <c r="W703" s="2159"/>
      <c r="X703" s="2159"/>
      <c r="Y703" s="2159"/>
      <c r="Z703" s="2159"/>
      <c r="AA703" s="2159"/>
      <c r="AB703" s="2159"/>
      <c r="AC703" s="2159"/>
      <c r="AD703" s="2159"/>
      <c r="AE703" s="2168"/>
      <c r="AF703" s="2675"/>
      <c r="AG703" s="2671"/>
      <c r="AH703" s="2671"/>
      <c r="AI703" s="2675"/>
      <c r="AJ703" s="2671"/>
      <c r="AK703" s="2671"/>
      <c r="AL703" s="2109"/>
      <c r="AM703" s="1946"/>
      <c r="AN703" s="1946"/>
      <c r="AO703" s="1946"/>
      <c r="AP703" s="1946"/>
      <c r="AQ703" s="1946"/>
      <c r="AR703" s="1946"/>
      <c r="AS703" s="1946"/>
      <c r="AT703" s="1946"/>
      <c r="AU703" s="1946"/>
      <c r="AV703" s="1946"/>
      <c r="AW703" s="1946"/>
      <c r="AX703" s="1946"/>
      <c r="AY703" s="1946"/>
      <c r="AZ703" s="1946"/>
      <c r="BA703" s="1946"/>
      <c r="BB703" s="1946"/>
      <c r="BC703" s="1946"/>
      <c r="BD703" s="1946"/>
      <c r="BE703" s="1946"/>
      <c r="BF703" s="1946"/>
      <c r="BG703" s="7213"/>
    </row>
    <row customHeight="1" ht="12">
      <c r="A704" s="1290" t="s">
        <v>1263</v>
      </c>
      <c r="B704" s="1290"/>
      <c r="C704" s="1290"/>
      <c r="D704" s="1284"/>
      <c r="E704" s="1294"/>
      <c r="F704" s="2674"/>
      <c r="G704" s="1314"/>
      <c r="H704" s="1314"/>
      <c r="I704" s="2672" t="s">
        <v>1294</v>
      </c>
      <c r="J704" s="2672"/>
      <c r="K704" s="2672"/>
      <c r="L704" s="1297"/>
      <c r="M704" s="1297"/>
      <c r="N704" s="1298"/>
      <c r="O704" s="1298"/>
      <c r="P704" s="1298"/>
      <c r="Q704" s="1298"/>
      <c r="R704" s="1298"/>
      <c r="S704" s="1298"/>
      <c r="T704" s="1298"/>
      <c r="U704" s="1298"/>
      <c r="V704" s="1298"/>
      <c r="W704" s="1298"/>
      <c r="X704" s="1298"/>
      <c r="Y704" s="1298"/>
      <c r="Z704" s="1298"/>
      <c r="AA704" s="1298"/>
      <c r="AB704" s="1298"/>
      <c r="AC704" s="1298"/>
      <c r="AD704" s="1298"/>
      <c r="AE704" s="1298"/>
      <c r="AF704" s="1298"/>
      <c r="AG704" s="1297"/>
      <c r="AH704" s="1297"/>
      <c r="AI704" s="1298"/>
      <c r="AJ704" s="1297"/>
      <c r="AK704" s="1298"/>
      <c r="AL704" s="2109"/>
      <c r="AM704" s="1946"/>
      <c r="AN704" s="1946"/>
      <c r="AO704" s="1946"/>
      <c r="AP704" s="1946"/>
      <c r="AQ704" s="1946"/>
      <c r="AR704" s="1946"/>
      <c r="AS704" s="1946"/>
      <c r="AT704" s="1946"/>
      <c r="AU704" s="1946"/>
      <c r="AV704" s="1946"/>
      <c r="AW704" s="1946"/>
      <c r="AX704" s="1946"/>
      <c r="AY704" s="1946"/>
      <c r="AZ704" s="1946"/>
      <c r="BA704" s="1946"/>
      <c r="BB704" s="1946"/>
      <c r="BC704" s="1946"/>
      <c r="BD704" s="1946"/>
      <c r="BE704" s="1946"/>
      <c r="BF704" s="1946"/>
      <c r="BG704" s="7213"/>
    </row>
    <row customHeight="1" ht="0.75">
      <c r="A705" s="1290" t="s">
        <v>1263</v>
      </c>
      <c r="B705" s="1290"/>
      <c r="C705" s="1290"/>
      <c r="D705" s="1284"/>
      <c r="E705" s="1294"/>
      <c r="F705" s="2673">
        <v>2032</v>
      </c>
      <c r="G705" s="2652"/>
      <c r="H705" s="2677" t="s">
        <v>488</v>
      </c>
      <c r="I705" s="2678"/>
      <c r="J705" s="2679"/>
      <c r="K705" s="2679"/>
      <c r="L705" s="2671"/>
      <c r="M705" s="2405"/>
      <c r="N705" s="2157"/>
      <c r="O705" s="2156"/>
      <c r="P705" s="2157"/>
      <c r="Q705" s="2157"/>
      <c r="R705" s="2157"/>
      <c r="S705" s="2157"/>
      <c r="T705" s="2157"/>
      <c r="U705" s="2157"/>
      <c r="V705" s="2157"/>
      <c r="W705" s="2157"/>
      <c r="X705" s="2157"/>
      <c r="Y705" s="2157"/>
      <c r="Z705" s="2157"/>
      <c r="AA705" s="2157"/>
      <c r="AB705" s="2157"/>
      <c r="AC705" s="2157"/>
      <c r="AD705" s="2157"/>
      <c r="AE705" s="2157"/>
      <c r="AF705" s="2675"/>
      <c r="AG705" s="2671"/>
      <c r="AH705" s="2671"/>
      <c r="AI705" s="2675"/>
      <c r="AJ705" s="2671"/>
      <c r="AK705" s="2671"/>
      <c r="AL705" s="2109"/>
      <c r="AM705" s="1946"/>
      <c r="AN705" s="1946"/>
      <c r="AO705" s="1946"/>
      <c r="AP705" s="1946"/>
      <c r="AQ705" s="1946"/>
      <c r="AR705" s="1946"/>
      <c r="AS705" s="1946"/>
      <c r="AT705" s="1946"/>
      <c r="AU705" s="1946"/>
      <c r="AV705" s="1946"/>
      <c r="AW705" s="1946"/>
      <c r="AX705" s="1946"/>
      <c r="AY705" s="1946"/>
      <c r="AZ705" s="1946"/>
      <c r="BA705" s="1946"/>
      <c r="BB705" s="1946"/>
      <c r="BC705" s="1946"/>
      <c r="BD705" s="1946"/>
      <c r="BE705" s="1946"/>
      <c r="BF705" s="1946"/>
      <c r="BG705" s="7213"/>
    </row>
    <row customHeight="1" ht="0.75">
      <c r="A706" s="1290" t="s">
        <v>1263</v>
      </c>
      <c r="B706" s="1290"/>
      <c r="C706" s="1290"/>
      <c r="D706" s="1284"/>
      <c r="E706" s="1294"/>
      <c r="F706" s="2673"/>
      <c r="G706" s="2652"/>
      <c r="H706" s="2677"/>
      <c r="I706" s="2678"/>
      <c r="J706" s="2679"/>
      <c r="K706" s="2679"/>
      <c r="L706" s="2671"/>
      <c r="M706" s="2405"/>
      <c r="N706" s="2680"/>
      <c r="O706" s="2681"/>
      <c r="P706" s="2725"/>
      <c r="Q706" s="2676"/>
      <c r="R706" s="2676"/>
      <c r="S706" s="2676"/>
      <c r="T706" s="2676"/>
      <c r="U706" s="2676"/>
      <c r="V706" s="2676"/>
      <c r="W706" s="2676"/>
      <c r="X706" s="2676"/>
      <c r="Y706" s="2676"/>
      <c r="Z706" s="2158"/>
      <c r="AA706" s="2159"/>
      <c r="AB706" s="2159"/>
      <c r="AC706" s="2160"/>
      <c r="AD706" s="2160"/>
      <c r="AE706" s="2161"/>
      <c r="AF706" s="2675"/>
      <c r="AG706" s="2671"/>
      <c r="AH706" s="2671"/>
      <c r="AI706" s="2675"/>
      <c r="AJ706" s="2671"/>
      <c r="AK706" s="2671"/>
      <c r="AL706" s="2109"/>
      <c r="AM706" s="1946"/>
      <c r="AN706" s="1946"/>
      <c r="AO706" s="1946"/>
      <c r="AP706" s="1946"/>
      <c r="AQ706" s="1946"/>
      <c r="AR706" s="1946"/>
      <c r="AS706" s="1946"/>
      <c r="AT706" s="1946"/>
      <c r="AU706" s="1946"/>
      <c r="AV706" s="1946"/>
      <c r="AW706" s="1946"/>
      <c r="AX706" s="1946"/>
      <c r="AY706" s="1946"/>
      <c r="AZ706" s="1946"/>
      <c r="BA706" s="1946"/>
      <c r="BB706" s="1946"/>
      <c r="BC706" s="1946"/>
      <c r="BD706" s="1946"/>
      <c r="BE706" s="1946"/>
      <c r="BF706" s="1946"/>
      <c r="BG706" s="7213"/>
    </row>
    <row customHeight="1" ht="0.75">
      <c r="A707" s="1290" t="s">
        <v>1263</v>
      </c>
      <c r="B707" s="1290"/>
      <c r="C707" s="1290"/>
      <c r="D707" s="1284"/>
      <c r="E707" s="1294"/>
      <c r="F707" s="2673"/>
      <c r="G707" s="2652"/>
      <c r="H707" s="2677"/>
      <c r="I707" s="2678"/>
      <c r="J707" s="2679"/>
      <c r="K707" s="2679"/>
      <c r="L707" s="2671"/>
      <c r="M707" s="2405"/>
      <c r="N707" s="2680"/>
      <c r="O707" s="2681"/>
      <c r="P707" s="2726"/>
      <c r="Q707" s="2676"/>
      <c r="R707" s="2676"/>
      <c r="S707" s="2676"/>
      <c r="T707" s="2676"/>
      <c r="U707" s="2676"/>
      <c r="V707" s="2676"/>
      <c r="W707" s="2676"/>
      <c r="X707" s="2676"/>
      <c r="Y707" s="2676"/>
      <c r="Z707" s="2162"/>
      <c r="AA707" s="2163"/>
      <c r="AB707" s="2164"/>
      <c r="AC707" s="2165"/>
      <c r="AD707" s="2164"/>
      <c r="AE707" s="2165"/>
      <c r="AF707" s="2675"/>
      <c r="AG707" s="2671"/>
      <c r="AH707" s="2671"/>
      <c r="AI707" s="2675"/>
      <c r="AJ707" s="2671"/>
      <c r="AK707" s="2671"/>
      <c r="AL707" s="2109"/>
      <c r="AM707" s="1946"/>
      <c r="AN707" s="1946"/>
      <c r="AO707" s="1946"/>
      <c r="AP707" s="1946"/>
      <c r="AQ707" s="1946"/>
      <c r="AR707" s="1946"/>
      <c r="AS707" s="1946"/>
      <c r="AT707" s="1946"/>
      <c r="AU707" s="1946"/>
      <c r="AV707" s="1946"/>
      <c r="AW707" s="1946"/>
      <c r="AX707" s="1946"/>
      <c r="AY707" s="1946"/>
      <c r="AZ707" s="1946"/>
      <c r="BA707" s="1946"/>
      <c r="BB707" s="1946"/>
      <c r="BC707" s="1946"/>
      <c r="BD707" s="1946"/>
      <c r="BE707" s="1946"/>
      <c r="BF707" s="1946"/>
      <c r="BG707" s="7213"/>
    </row>
    <row customHeight="1" ht="0.75">
      <c r="A708" s="1290" t="s">
        <v>1263</v>
      </c>
      <c r="B708" s="1290"/>
      <c r="C708" s="1290"/>
      <c r="D708" s="1284"/>
      <c r="E708" s="1294"/>
      <c r="F708" s="2673"/>
      <c r="G708" s="2652"/>
      <c r="H708" s="2677"/>
      <c r="I708" s="2678"/>
      <c r="J708" s="2679"/>
      <c r="K708" s="2679"/>
      <c r="L708" s="2671"/>
      <c r="M708" s="2405"/>
      <c r="N708" s="2680"/>
      <c r="O708" s="2681"/>
      <c r="P708" s="2727"/>
      <c r="Q708" s="2676"/>
      <c r="R708" s="2676"/>
      <c r="S708" s="2676"/>
      <c r="T708" s="2676"/>
      <c r="U708" s="2676"/>
      <c r="V708" s="2676"/>
      <c r="W708" s="2676"/>
      <c r="X708" s="2676"/>
      <c r="Y708" s="2676"/>
      <c r="Z708" s="2158"/>
      <c r="AA708" s="2159"/>
      <c r="AB708" s="2166"/>
      <c r="AC708" s="2160"/>
      <c r="AD708" s="2160"/>
      <c r="AE708" s="2167"/>
      <c r="AF708" s="2675"/>
      <c r="AG708" s="2671"/>
      <c r="AH708" s="2671"/>
      <c r="AI708" s="2675"/>
      <c r="AJ708" s="2671"/>
      <c r="AK708" s="2671"/>
      <c r="AL708" s="2109"/>
      <c r="AM708" s="1946"/>
      <c r="AN708" s="1946"/>
      <c r="AO708" s="1946"/>
      <c r="AP708" s="1946"/>
      <c r="AQ708" s="1946"/>
      <c r="AR708" s="1946"/>
      <c r="AS708" s="1946"/>
      <c r="AT708" s="1946"/>
      <c r="AU708" s="1946"/>
      <c r="AV708" s="1946"/>
      <c r="AW708" s="1946"/>
      <c r="AX708" s="1946"/>
      <c r="AY708" s="1946"/>
      <c r="AZ708" s="1946"/>
      <c r="BA708" s="1946"/>
      <c r="BB708" s="1946"/>
      <c r="BC708" s="1946"/>
      <c r="BD708" s="1946"/>
      <c r="BE708" s="1946"/>
      <c r="BF708" s="1946"/>
      <c r="BG708" s="7213"/>
    </row>
    <row customHeight="1" ht="0.75">
      <c r="A709" s="1290" t="s">
        <v>1263</v>
      </c>
      <c r="B709" s="1290"/>
      <c r="C709" s="1290"/>
      <c r="D709" s="1284"/>
      <c r="E709" s="1294"/>
      <c r="F709" s="2673"/>
      <c r="G709" s="2652"/>
      <c r="H709" s="2677"/>
      <c r="I709" s="2678"/>
      <c r="J709" s="2679"/>
      <c r="K709" s="2679"/>
      <c r="L709" s="2671"/>
      <c r="M709" s="2405"/>
      <c r="N709" s="2159"/>
      <c r="O709" s="2159"/>
      <c r="P709" s="2166"/>
      <c r="Q709" s="2159"/>
      <c r="R709" s="2159"/>
      <c r="S709" s="2159"/>
      <c r="T709" s="2159"/>
      <c r="U709" s="2159"/>
      <c r="V709" s="2159"/>
      <c r="W709" s="2159"/>
      <c r="X709" s="2159"/>
      <c r="Y709" s="2159"/>
      <c r="Z709" s="2159"/>
      <c r="AA709" s="2159"/>
      <c r="AB709" s="2159"/>
      <c r="AC709" s="2159"/>
      <c r="AD709" s="2159"/>
      <c r="AE709" s="2168"/>
      <c r="AF709" s="2675"/>
      <c r="AG709" s="2671"/>
      <c r="AH709" s="2671"/>
      <c r="AI709" s="2675"/>
      <c r="AJ709" s="2671"/>
      <c r="AK709" s="2671"/>
      <c r="AL709" s="2109"/>
      <c r="AM709" s="1946"/>
      <c r="AN709" s="1946"/>
      <c r="AO709" s="1946"/>
      <c r="AP709" s="1946"/>
      <c r="AQ709" s="1946"/>
      <c r="AR709" s="1946"/>
      <c r="AS709" s="1946"/>
      <c r="AT709" s="1946"/>
      <c r="AU709" s="1946"/>
      <c r="AV709" s="1946"/>
      <c r="AW709" s="1946"/>
      <c r="AX709" s="1946"/>
      <c r="AY709" s="1946"/>
      <c r="AZ709" s="1946"/>
      <c r="BA709" s="1946"/>
      <c r="BB709" s="1946"/>
      <c r="BC709" s="1946"/>
      <c r="BD709" s="1946"/>
      <c r="BE709" s="1946"/>
      <c r="BF709" s="1946"/>
      <c r="BG709" s="7213"/>
    </row>
    <row customHeight="1" ht="12">
      <c r="A710" s="1290" t="s">
        <v>1263</v>
      </c>
      <c r="B710" s="1290"/>
      <c r="C710" s="1290"/>
      <c r="D710" s="1284"/>
      <c r="E710" s="1294"/>
      <c r="F710" s="2674"/>
      <c r="G710" s="1314"/>
      <c r="H710" s="1314"/>
      <c r="I710" s="2672" t="s">
        <v>1294</v>
      </c>
      <c r="J710" s="2672"/>
      <c r="K710" s="2672"/>
      <c r="L710" s="1297"/>
      <c r="M710" s="1297"/>
      <c r="N710" s="1298"/>
      <c r="O710" s="1298"/>
      <c r="P710" s="1298"/>
      <c r="Q710" s="1298"/>
      <c r="R710" s="1298"/>
      <c r="S710" s="1298"/>
      <c r="T710" s="1298"/>
      <c r="U710" s="1298"/>
      <c r="V710" s="1298"/>
      <c r="W710" s="1298"/>
      <c r="X710" s="1298"/>
      <c r="Y710" s="1298"/>
      <c r="Z710" s="1298"/>
      <c r="AA710" s="1298"/>
      <c r="AB710" s="1298"/>
      <c r="AC710" s="1298"/>
      <c r="AD710" s="1298"/>
      <c r="AE710" s="1298"/>
      <c r="AF710" s="1298"/>
      <c r="AG710" s="1297"/>
      <c r="AH710" s="1297"/>
      <c r="AI710" s="1298"/>
      <c r="AJ710" s="1297"/>
      <c r="AK710" s="1298"/>
      <c r="AL710" s="2109"/>
      <c r="AM710" s="1946"/>
      <c r="AN710" s="1946"/>
      <c r="AO710" s="1946"/>
      <c r="AP710" s="1946"/>
      <c r="AQ710" s="1946"/>
      <c r="AR710" s="1946"/>
      <c r="AS710" s="1946"/>
      <c r="AT710" s="1946"/>
      <c r="AU710" s="1946"/>
      <c r="AV710" s="1946"/>
      <c r="AW710" s="1946"/>
      <c r="AX710" s="1946"/>
      <c r="AY710" s="1946"/>
      <c r="AZ710" s="1946"/>
      <c r="BA710" s="1946"/>
      <c r="BB710" s="1946"/>
      <c r="BC710" s="1946"/>
      <c r="BD710" s="1946"/>
      <c r="BE710" s="1946"/>
      <c r="BF710" s="1946"/>
      <c r="BG710" s="7213"/>
    </row>
    <row customHeight="1" ht="0.75">
      <c r="A711" s="1290" t="s">
        <v>1263</v>
      </c>
      <c r="B711" s="1290"/>
      <c r="C711" s="1290"/>
      <c r="D711" s="1284"/>
      <c r="E711" s="1294"/>
      <c r="F711" s="2673">
        <v>2033</v>
      </c>
      <c r="G711" s="2652"/>
      <c r="H711" s="2677" t="s">
        <v>488</v>
      </c>
      <c r="I711" s="2678"/>
      <c r="J711" s="2679"/>
      <c r="K711" s="2679"/>
      <c r="L711" s="2671"/>
      <c r="M711" s="2405"/>
      <c r="N711" s="2157"/>
      <c r="O711" s="2156"/>
      <c r="P711" s="2157"/>
      <c r="Q711" s="2157"/>
      <c r="R711" s="2157"/>
      <c r="S711" s="2157"/>
      <c r="T711" s="2157"/>
      <c r="U711" s="2157"/>
      <c r="V711" s="2157"/>
      <c r="W711" s="2157"/>
      <c r="X711" s="2157"/>
      <c r="Y711" s="2157"/>
      <c r="Z711" s="2157"/>
      <c r="AA711" s="2157"/>
      <c r="AB711" s="2157"/>
      <c r="AC711" s="2157"/>
      <c r="AD711" s="2157"/>
      <c r="AE711" s="2157"/>
      <c r="AF711" s="2675"/>
      <c r="AG711" s="2671"/>
      <c r="AH711" s="2671"/>
      <c r="AI711" s="2675"/>
      <c r="AJ711" s="2671"/>
      <c r="AK711" s="2671"/>
      <c r="AL711" s="2109"/>
      <c r="AM711" s="1946"/>
      <c r="AN711" s="1946"/>
      <c r="AO711" s="1946"/>
      <c r="AP711" s="1946"/>
      <c r="AQ711" s="1946"/>
      <c r="AR711" s="1946"/>
      <c r="AS711" s="1946"/>
      <c r="AT711" s="1946"/>
      <c r="AU711" s="1946"/>
      <c r="AV711" s="1946"/>
      <c r="AW711" s="1946"/>
      <c r="AX711" s="1946"/>
      <c r="AY711" s="1946"/>
      <c r="AZ711" s="1946"/>
      <c r="BA711" s="1946"/>
      <c r="BB711" s="1946"/>
      <c r="BC711" s="1946"/>
      <c r="BD711" s="1946"/>
      <c r="BE711" s="1946"/>
      <c r="BF711" s="1946"/>
      <c r="BG711" s="7213"/>
    </row>
    <row customHeight="1" ht="0.75">
      <c r="A712" s="1290" t="s">
        <v>1263</v>
      </c>
      <c r="B712" s="1290"/>
      <c r="C712" s="1290"/>
      <c r="D712" s="1284"/>
      <c r="E712" s="1294"/>
      <c r="F712" s="2673"/>
      <c r="G712" s="2652"/>
      <c r="H712" s="2677"/>
      <c r="I712" s="2678"/>
      <c r="J712" s="2679"/>
      <c r="K712" s="2679"/>
      <c r="L712" s="2671"/>
      <c r="M712" s="2405"/>
      <c r="N712" s="2680"/>
      <c r="O712" s="2681"/>
      <c r="P712" s="2725"/>
      <c r="Q712" s="2676"/>
      <c r="R712" s="2676"/>
      <c r="S712" s="2676"/>
      <c r="T712" s="2676"/>
      <c r="U712" s="2676"/>
      <c r="V712" s="2676"/>
      <c r="W712" s="2676"/>
      <c r="X712" s="2676"/>
      <c r="Y712" s="2676"/>
      <c r="Z712" s="2158"/>
      <c r="AA712" s="2159"/>
      <c r="AB712" s="2159"/>
      <c r="AC712" s="2160"/>
      <c r="AD712" s="2160"/>
      <c r="AE712" s="2161"/>
      <c r="AF712" s="2675"/>
      <c r="AG712" s="2671"/>
      <c r="AH712" s="2671"/>
      <c r="AI712" s="2675"/>
      <c r="AJ712" s="2671"/>
      <c r="AK712" s="2671"/>
      <c r="AL712" s="2109"/>
      <c r="AM712" s="1946"/>
      <c r="AN712" s="1946"/>
      <c r="AO712" s="1946"/>
      <c r="AP712" s="1946"/>
      <c r="AQ712" s="1946"/>
      <c r="AR712" s="1946"/>
      <c r="AS712" s="1946"/>
      <c r="AT712" s="1946"/>
      <c r="AU712" s="1946"/>
      <c r="AV712" s="1946"/>
      <c r="AW712" s="1946"/>
      <c r="AX712" s="1946"/>
      <c r="AY712" s="1946"/>
      <c r="AZ712" s="1946"/>
      <c r="BA712" s="1946"/>
      <c r="BB712" s="1946"/>
      <c r="BC712" s="1946"/>
      <c r="BD712" s="1946"/>
      <c r="BE712" s="1946"/>
      <c r="BF712" s="1946"/>
      <c r="BG712" s="7213"/>
    </row>
    <row customHeight="1" ht="0.75">
      <c r="A713" s="1290" t="s">
        <v>1263</v>
      </c>
      <c r="B713" s="1290"/>
      <c r="C713" s="1290"/>
      <c r="D713" s="1284"/>
      <c r="E713" s="1294"/>
      <c r="F713" s="2673"/>
      <c r="G713" s="2652"/>
      <c r="H713" s="2677"/>
      <c r="I713" s="2678"/>
      <c r="J713" s="2679"/>
      <c r="K713" s="2679"/>
      <c r="L713" s="2671"/>
      <c r="M713" s="2405"/>
      <c r="N713" s="2680"/>
      <c r="O713" s="2681"/>
      <c r="P713" s="2726"/>
      <c r="Q713" s="2676"/>
      <c r="R713" s="2676"/>
      <c r="S713" s="2676"/>
      <c r="T713" s="2676"/>
      <c r="U713" s="2676"/>
      <c r="V713" s="2676"/>
      <c r="W713" s="2676"/>
      <c r="X713" s="2676"/>
      <c r="Y713" s="2676"/>
      <c r="Z713" s="2162"/>
      <c r="AA713" s="2163"/>
      <c r="AB713" s="2164"/>
      <c r="AC713" s="2165"/>
      <c r="AD713" s="2164"/>
      <c r="AE713" s="2165"/>
      <c r="AF713" s="2675"/>
      <c r="AG713" s="2671"/>
      <c r="AH713" s="2671"/>
      <c r="AI713" s="2675"/>
      <c r="AJ713" s="2671"/>
      <c r="AK713" s="2671"/>
      <c r="AL713" s="2109"/>
      <c r="AM713" s="1946"/>
      <c r="AN713" s="1946"/>
      <c r="AO713" s="1946"/>
      <c r="AP713" s="1946"/>
      <c r="AQ713" s="1946"/>
      <c r="AR713" s="1946"/>
      <c r="AS713" s="1946"/>
      <c r="AT713" s="1946"/>
      <c r="AU713" s="1946"/>
      <c r="AV713" s="1946"/>
      <c r="AW713" s="1946"/>
      <c r="AX713" s="1946"/>
      <c r="AY713" s="1946"/>
      <c r="AZ713" s="1946"/>
      <c r="BA713" s="1946"/>
      <c r="BB713" s="1946"/>
      <c r="BC713" s="1946"/>
      <c r="BD713" s="1946"/>
      <c r="BE713" s="1946"/>
      <c r="BF713" s="1946"/>
      <c r="BG713" s="7213"/>
    </row>
    <row customHeight="1" ht="0.75">
      <c r="A714" s="1290" t="s">
        <v>1263</v>
      </c>
      <c r="B714" s="1290"/>
      <c r="C714" s="1290"/>
      <c r="D714" s="1284"/>
      <c r="E714" s="1294"/>
      <c r="F714" s="2673"/>
      <c r="G714" s="2652"/>
      <c r="H714" s="2677"/>
      <c r="I714" s="2678"/>
      <c r="J714" s="2679"/>
      <c r="K714" s="2679"/>
      <c r="L714" s="2671"/>
      <c r="M714" s="2405"/>
      <c r="N714" s="2680"/>
      <c r="O714" s="2681"/>
      <c r="P714" s="2727"/>
      <c r="Q714" s="2676"/>
      <c r="R714" s="2676"/>
      <c r="S714" s="2676"/>
      <c r="T714" s="2676"/>
      <c r="U714" s="2676"/>
      <c r="V714" s="2676"/>
      <c r="W714" s="2676"/>
      <c r="X714" s="2676"/>
      <c r="Y714" s="2676"/>
      <c r="Z714" s="2158"/>
      <c r="AA714" s="2159"/>
      <c r="AB714" s="2166"/>
      <c r="AC714" s="2160"/>
      <c r="AD714" s="2160"/>
      <c r="AE714" s="2167"/>
      <c r="AF714" s="2675"/>
      <c r="AG714" s="2671"/>
      <c r="AH714" s="2671"/>
      <c r="AI714" s="2675"/>
      <c r="AJ714" s="2671"/>
      <c r="AK714" s="2671"/>
      <c r="AL714" s="2109"/>
      <c r="AM714" s="1946"/>
      <c r="AN714" s="1946"/>
      <c r="AO714" s="1946"/>
      <c r="AP714" s="1946"/>
      <c r="AQ714" s="1946"/>
      <c r="AR714" s="1946"/>
      <c r="AS714" s="1946"/>
      <c r="AT714" s="1946"/>
      <c r="AU714" s="1946"/>
      <c r="AV714" s="1946"/>
      <c r="AW714" s="1946"/>
      <c r="AX714" s="1946"/>
      <c r="AY714" s="1946"/>
      <c r="AZ714" s="1946"/>
      <c r="BA714" s="1946"/>
      <c r="BB714" s="1946"/>
      <c r="BC714" s="1946"/>
      <c r="BD714" s="1946"/>
      <c r="BE714" s="1946"/>
      <c r="BF714" s="1946"/>
      <c r="BG714" s="7213"/>
    </row>
    <row customHeight="1" ht="0.75">
      <c r="A715" s="1290" t="s">
        <v>1263</v>
      </c>
      <c r="B715" s="1290"/>
      <c r="C715" s="1290"/>
      <c r="D715" s="1284"/>
      <c r="E715" s="1294"/>
      <c r="F715" s="2673"/>
      <c r="G715" s="2652"/>
      <c r="H715" s="2677"/>
      <c r="I715" s="2678"/>
      <c r="J715" s="2679"/>
      <c r="K715" s="2679"/>
      <c r="L715" s="2671"/>
      <c r="M715" s="2405"/>
      <c r="N715" s="2159"/>
      <c r="O715" s="2159"/>
      <c r="P715" s="2166"/>
      <c r="Q715" s="2159"/>
      <c r="R715" s="2159"/>
      <c r="S715" s="2159"/>
      <c r="T715" s="2159"/>
      <c r="U715" s="2159"/>
      <c r="V715" s="2159"/>
      <c r="W715" s="2159"/>
      <c r="X715" s="2159"/>
      <c r="Y715" s="2159"/>
      <c r="Z715" s="2159"/>
      <c r="AA715" s="2159"/>
      <c r="AB715" s="2159"/>
      <c r="AC715" s="2159"/>
      <c r="AD715" s="2159"/>
      <c r="AE715" s="2168"/>
      <c r="AF715" s="2675"/>
      <c r="AG715" s="2671"/>
      <c r="AH715" s="2671"/>
      <c r="AI715" s="2675"/>
      <c r="AJ715" s="2671"/>
      <c r="AK715" s="2671"/>
      <c r="AL715" s="2109"/>
      <c r="AM715" s="1946"/>
      <c r="AN715" s="1946"/>
      <c r="AO715" s="1946"/>
      <c r="AP715" s="1946"/>
      <c r="AQ715" s="1946"/>
      <c r="AR715" s="1946"/>
      <c r="AS715" s="1946"/>
      <c r="AT715" s="1946"/>
      <c r="AU715" s="1946"/>
      <c r="AV715" s="1946"/>
      <c r="AW715" s="1946"/>
      <c r="AX715" s="1946"/>
      <c r="AY715" s="1946"/>
      <c r="AZ715" s="1946"/>
      <c r="BA715" s="1946"/>
      <c r="BB715" s="1946"/>
      <c r="BC715" s="1946"/>
      <c r="BD715" s="1946"/>
      <c r="BE715" s="1946"/>
      <c r="BF715" s="1946"/>
      <c r="BG715" s="7213"/>
    </row>
    <row customHeight="1" ht="12">
      <c r="A716" s="1290" t="s">
        <v>1263</v>
      </c>
      <c r="B716" s="1290"/>
      <c r="C716" s="1290"/>
      <c r="D716" s="1284"/>
      <c r="E716" s="1294"/>
      <c r="F716" s="2674"/>
      <c r="G716" s="1314"/>
      <c r="H716" s="1314"/>
      <c r="I716" s="2672" t="s">
        <v>1294</v>
      </c>
      <c r="J716" s="2672"/>
      <c r="K716" s="2672"/>
      <c r="L716" s="1297"/>
      <c r="M716" s="1297"/>
      <c r="N716" s="1298"/>
      <c r="O716" s="1298"/>
      <c r="P716" s="1298"/>
      <c r="Q716" s="1298"/>
      <c r="R716" s="1298"/>
      <c r="S716" s="1298"/>
      <c r="T716" s="1298"/>
      <c r="U716" s="1298"/>
      <c r="V716" s="1298"/>
      <c r="W716" s="1298"/>
      <c r="X716" s="1298"/>
      <c r="Y716" s="1298"/>
      <c r="Z716" s="1298"/>
      <c r="AA716" s="1298"/>
      <c r="AB716" s="1298"/>
      <c r="AC716" s="1298"/>
      <c r="AD716" s="1298"/>
      <c r="AE716" s="1298"/>
      <c r="AF716" s="1298"/>
      <c r="AG716" s="1297"/>
      <c r="AH716" s="1297"/>
      <c r="AI716" s="1298"/>
      <c r="AJ716" s="1297"/>
      <c r="AK716" s="1298"/>
      <c r="AL716" s="2109"/>
      <c r="AM716" s="1946"/>
      <c r="AN716" s="1946"/>
      <c r="AO716" s="1946"/>
      <c r="AP716" s="1946"/>
      <c r="AQ716" s="1946"/>
      <c r="AR716" s="1946"/>
      <c r="AS716" s="1946"/>
      <c r="AT716" s="1946"/>
      <c r="AU716" s="1946"/>
      <c r="AV716" s="1946"/>
      <c r="AW716" s="1946"/>
      <c r="AX716" s="1946"/>
      <c r="AY716" s="1946"/>
      <c r="AZ716" s="1946"/>
      <c r="BA716" s="1946"/>
      <c r="BB716" s="1946"/>
      <c r="BC716" s="1946"/>
      <c r="BD716" s="1946"/>
      <c r="BE716" s="1946"/>
      <c r="BF716" s="1946"/>
      <c r="BG716" s="7213"/>
    </row>
    <row customHeight="1" ht="10.5">
      <c r="E717" s="1031"/>
      <c r="F717" s="1042"/>
      <c r="G717" s="1042"/>
      <c r="H717" s="1296"/>
      <c r="I717" s="1042"/>
      <c r="J717" s="1042"/>
      <c r="K717" s="1042"/>
      <c r="L717" s="1255"/>
      <c r="M717" s="1255"/>
      <c r="N717" s="1042"/>
      <c r="O717" s="1042"/>
      <c r="P717" s="1042"/>
      <c r="Q717" s="1042"/>
      <c r="R717" s="1042"/>
      <c r="S717" s="1042"/>
      <c r="T717" s="1042"/>
      <c r="U717" s="1042"/>
      <c r="V717" s="1042"/>
      <c r="W717" s="1042"/>
      <c r="X717" s="1042"/>
      <c r="Y717" s="1042"/>
      <c r="Z717" s="1042"/>
      <c r="AA717" s="1042"/>
      <c r="AB717" s="1042"/>
      <c r="AC717" s="1042"/>
      <c r="AD717" s="1255"/>
      <c r="AE717" s="1042"/>
      <c r="AF717" s="1042"/>
      <c r="AG717" s="1042"/>
      <c r="AH717" s="1273"/>
      <c r="AI717" s="1266"/>
      <c r="AJ717" s="1042"/>
      <c r="AK717" s="1042"/>
      <c r="AL717" s="1031"/>
      <c r="AM717" s="1031"/>
      <c r="AN717" s="1031"/>
      <c r="AO717" s="1031"/>
      <c r="AP717" s="1031"/>
      <c r="AQ717" s="1031"/>
      <c r="AR717" s="1031"/>
      <c r="AS717" s="1031"/>
      <c r="AT717" s="1031"/>
      <c r="AU717" s="1031"/>
      <c r="AV717" s="1031"/>
      <c r="AW717" s="1031"/>
      <c r="AX717" s="1031"/>
      <c r="AY717" s="1031"/>
      <c r="AZ717" s="1031"/>
      <c r="BA717" s="1031"/>
      <c r="BB717" s="1031"/>
      <c r="BC717" s="1031"/>
      <c r="BD717" s="1031"/>
      <c r="BE717" s="1031"/>
      <c r="BF717" s="1031"/>
      <c r="BG717" s="882">
        <v>10</v>
      </c>
    </row>
    <row customHeight="1" ht="13.5">
      <c r="E718" s="1031"/>
      <c r="F718" s="1038" t="s">
        <v>1440</v>
      </c>
      <c r="G718" s="1038"/>
      <c r="H718" s="1295"/>
      <c r="I718" s="1038"/>
      <c r="J718" s="1038"/>
      <c r="K718" s="1035"/>
      <c r="L718" s="1251"/>
      <c r="M718" s="1251"/>
      <c r="N718" s="1037"/>
      <c r="O718" s="1037"/>
      <c r="P718" s="1037"/>
      <c r="Q718" s="1037"/>
      <c r="R718" s="1037"/>
      <c r="S718" s="1037"/>
      <c r="T718" s="1037"/>
      <c r="U718" s="1037"/>
      <c r="V718" s="1037"/>
      <c r="W718" s="1037"/>
      <c r="X718" s="1037"/>
      <c r="Y718" s="1037"/>
      <c r="Z718" s="1035"/>
      <c r="AA718" s="1035"/>
      <c r="AB718" s="1035"/>
      <c r="AC718" s="1035"/>
      <c r="AD718" s="1251"/>
      <c r="AE718" s="1035"/>
      <c r="AF718" s="1035"/>
      <c r="AG718" s="1035"/>
      <c r="AH718" s="1270"/>
      <c r="AI718" s="1263"/>
      <c r="AJ718" s="1035"/>
      <c r="AK718" s="1035"/>
      <c r="AL718" s="1031"/>
      <c r="AM718" s="1031"/>
      <c r="AN718" s="1031"/>
      <c r="AO718" s="1031"/>
      <c r="AP718" s="1031"/>
      <c r="AQ718" s="1031"/>
      <c r="AR718" s="1031"/>
      <c r="AS718" s="1031"/>
      <c r="AT718" s="1031"/>
      <c r="AU718" s="1031"/>
      <c r="AV718" s="1031"/>
      <c r="AW718" s="1031"/>
      <c r="AX718" s="1031"/>
      <c r="AY718" s="1031"/>
      <c r="AZ718" s="1031"/>
      <c r="BA718" s="1031"/>
      <c r="BB718" s="1031"/>
      <c r="BC718" s="1031"/>
      <c r="BD718" s="1031"/>
      <c r="BE718" s="1031"/>
      <c r="BF718" s="1031"/>
      <c r="BG718" s="882">
        <v>13</v>
      </c>
    </row>
    <row customHeight="1" ht="10.5">
      <c r="BG719" s="882">
        <v>10</v>
      </c>
    </row>
    <row customHeight="1" ht="10.5">
      <c r="E720" s="1031"/>
      <c r="F720" s="2544"/>
      <c r="G720" s="2544"/>
      <c r="H720" s="2544"/>
      <c r="I720" s="2544"/>
      <c r="J720" s="2544"/>
      <c r="K720" s="1035"/>
      <c r="L720" s="1251"/>
      <c r="M720" s="1251"/>
      <c r="N720" s="1037"/>
      <c r="O720" s="1037"/>
      <c r="P720" s="1037"/>
      <c r="Q720" s="1037"/>
      <c r="R720" s="1037"/>
      <c r="S720" s="1037"/>
      <c r="T720" s="1037"/>
      <c r="U720" s="1037"/>
      <c r="V720" s="1037"/>
      <c r="W720" s="1037"/>
      <c r="X720" s="1037"/>
      <c r="Y720" s="1037"/>
      <c r="Z720" s="1035"/>
      <c r="AA720" s="1035"/>
      <c r="AB720" s="1035"/>
      <c r="AC720" s="1035"/>
      <c r="AD720" s="1251"/>
      <c r="AE720" s="1035"/>
      <c r="AF720" s="1035"/>
      <c r="AG720" s="1035"/>
      <c r="AH720" s="1270"/>
      <c r="AI720" s="1263"/>
      <c r="AJ720" s="1035"/>
      <c r="AK720" s="1035"/>
      <c r="AL720" s="1031"/>
      <c r="AM720" s="1031"/>
      <c r="AN720" s="1031"/>
      <c r="AO720" s="1031"/>
      <c r="AP720" s="1031"/>
      <c r="AQ720" s="1031"/>
      <c r="AR720" s="1031"/>
      <c r="AS720" s="1031"/>
      <c r="AT720" s="1031"/>
      <c r="AU720" s="1031"/>
      <c r="AV720" s="1031"/>
      <c r="AW720" s="1031"/>
      <c r="AX720" s="1031"/>
      <c r="AY720" s="1031"/>
      <c r="AZ720" s="1031"/>
      <c r="BA720" s="1031"/>
      <c r="BB720" s="1031"/>
      <c r="BC720" s="1031"/>
      <c r="BD720" s="1031"/>
      <c r="BE720" s="1031"/>
      <c r="BF720" s="1031"/>
      <c r="BG720" s="882">
        <v>10</v>
      </c>
    </row>
    <row customHeight="1" ht="10.5">
      <c r="E721" s="1031"/>
      <c r="F721" s="2544"/>
      <c r="G721" s="2544"/>
      <c r="H721" s="2544"/>
      <c r="I721" s="2544"/>
      <c r="J721" s="2544"/>
      <c r="K721" s="1035"/>
      <c r="L721" s="1251"/>
      <c r="M721" s="1251"/>
      <c r="N721" s="1037"/>
      <c r="O721" s="1037"/>
      <c r="P721" s="1037"/>
      <c r="Q721" s="1037"/>
      <c r="R721" s="1037"/>
      <c r="S721" s="1037"/>
      <c r="T721" s="1037"/>
      <c r="U721" s="1037"/>
      <c r="V721" s="1037"/>
      <c r="W721" s="1037"/>
      <c r="X721" s="1037"/>
      <c r="Y721" s="1037"/>
      <c r="Z721" s="1035"/>
      <c r="AA721" s="1035"/>
      <c r="AB721" s="1035"/>
      <c r="AC721" s="1035"/>
      <c r="AD721" s="1251"/>
      <c r="AE721" s="1035"/>
      <c r="AF721" s="1035"/>
      <c r="AG721" s="1035"/>
      <c r="AH721" s="1270"/>
      <c r="AI721" s="1263"/>
      <c r="AJ721" s="1035"/>
      <c r="AK721" s="1035"/>
      <c r="AL721" s="1031"/>
      <c r="AM721" s="1031"/>
      <c r="AN721" s="1031"/>
      <c r="AO721" s="1031"/>
      <c r="AP721" s="1031"/>
      <c r="AQ721" s="1031"/>
      <c r="AR721" s="1031"/>
      <c r="AS721" s="1031"/>
      <c r="AT721" s="1031"/>
      <c r="AU721" s="1031"/>
      <c r="AV721" s="1031"/>
      <c r="AW721" s="1031"/>
      <c r="AX721" s="1031"/>
      <c r="AY721" s="1031"/>
      <c r="AZ721" s="1031"/>
      <c r="BA721" s="1031"/>
      <c r="BB721" s="1031"/>
      <c r="BC721" s="1031"/>
      <c r="BD721" s="1031"/>
      <c r="BE721" s="1031"/>
      <c r="BF721" s="1031"/>
      <c r="BG721" s="882">
        <v>10</v>
      </c>
    </row>
    <row customHeight="1" ht="10.5">
      <c r="E722" s="1031"/>
      <c r="F722" s="2544"/>
      <c r="G722" s="2544"/>
      <c r="H722" s="2544"/>
      <c r="I722" s="2544"/>
      <c r="J722" s="2544"/>
      <c r="K722" s="1035"/>
      <c r="L722" s="1251"/>
      <c r="M722" s="1251"/>
      <c r="N722" s="1037"/>
      <c r="O722" s="1037"/>
      <c r="P722" s="1037"/>
      <c r="Q722" s="1037"/>
      <c r="R722" s="1037"/>
      <c r="S722" s="1037"/>
      <c r="T722" s="1037"/>
      <c r="U722" s="1037"/>
      <c r="V722" s="1037"/>
      <c r="W722" s="1037"/>
      <c r="X722" s="1037"/>
      <c r="Y722" s="1037"/>
      <c r="Z722" s="1035"/>
      <c r="AA722" s="1035"/>
      <c r="AB722" s="1035"/>
      <c r="AC722" s="1035"/>
      <c r="AD722" s="1251"/>
      <c r="AE722" s="1035"/>
      <c r="AF722" s="1035"/>
      <c r="AG722" s="1035"/>
      <c r="AH722" s="1270"/>
      <c r="AI722" s="1263"/>
      <c r="AJ722" s="1035"/>
      <c r="AK722" s="1035"/>
      <c r="AL722" s="1031"/>
      <c r="AM722" s="1031"/>
      <c r="AN722" s="1031"/>
      <c r="AO722" s="1031"/>
      <c r="AP722" s="1031"/>
      <c r="AQ722" s="1031"/>
      <c r="AR722" s="1031"/>
      <c r="AS722" s="1031"/>
      <c r="AT722" s="1031"/>
      <c r="AU722" s="1031"/>
      <c r="AV722" s="1031"/>
      <c r="AW722" s="1031"/>
      <c r="AX722" s="1031"/>
      <c r="AY722" s="1031"/>
      <c r="AZ722" s="1031"/>
      <c r="BA722" s="1031"/>
      <c r="BB722" s="1031"/>
      <c r="BC722" s="1031"/>
      <c r="BD722" s="1031"/>
      <c r="BE722" s="1031"/>
      <c r="BF722" s="1031"/>
      <c r="BG722" s="882">
        <v>10</v>
      </c>
    </row>
    <row customHeight="1" ht="10.5" hidden="1">
      <c r="A723" s="1019" t="s">
        <v>82</v>
      </c>
      <c r="B723" s="1019">
        <v>0</v>
      </c>
      <c r="C723" s="1019">
        <v>0</v>
      </c>
      <c r="D723" s="541">
        <v>0</v>
      </c>
      <c r="E723" s="633">
        <v>3</v>
      </c>
      <c r="F723" s="882">
        <v>14</v>
      </c>
      <c r="G723" s="882">
        <v>3</v>
      </c>
      <c r="H723" s="1279">
        <v>7</v>
      </c>
      <c r="I723" s="882">
        <v>16</v>
      </c>
      <c r="J723" s="882">
        <v>16</v>
      </c>
      <c r="K723" s="882">
        <v>25</v>
      </c>
      <c r="L723" s="1249">
        <v>7</v>
      </c>
      <c r="M723" s="1249">
        <v>15</v>
      </c>
      <c r="N723" s="882">
        <v>3</v>
      </c>
      <c r="O723" s="882">
        <v>4</v>
      </c>
      <c r="P723" s="882">
        <v>8</v>
      </c>
      <c r="Q723" s="882">
        <v>21</v>
      </c>
      <c r="R723" s="882">
        <v>14</v>
      </c>
      <c r="S723" s="882">
        <v>17</v>
      </c>
      <c r="T723" s="882">
        <v>17</v>
      </c>
      <c r="U723" s="882">
        <v>9</v>
      </c>
      <c r="V723" s="882">
        <v>12</v>
      </c>
      <c r="W723" s="882">
        <v>9</v>
      </c>
      <c r="X723" s="882">
        <v>21</v>
      </c>
      <c r="Y723" s="882">
        <v>12</v>
      </c>
      <c r="Z723" s="882">
        <v>3</v>
      </c>
      <c r="AA723" s="882">
        <v>6</v>
      </c>
      <c r="AB723" s="882">
        <v>38</v>
      </c>
      <c r="AC723" s="882">
        <v>15</v>
      </c>
      <c r="AD723" s="1249">
        <v>0</v>
      </c>
      <c r="AE723" s="882">
        <v>0</v>
      </c>
      <c r="AF723" s="882">
        <v>16</v>
      </c>
      <c r="AG723" s="882">
        <v>16</v>
      </c>
      <c r="AH723" s="1268">
        <v>16</v>
      </c>
      <c r="AI723" s="1261">
        <v>0</v>
      </c>
      <c r="AJ723" s="882">
        <v>0</v>
      </c>
      <c r="AK723" s="882">
        <v>0</v>
      </c>
      <c r="AL723" s="882">
        <v>8</v>
      </c>
      <c r="AM723" s="882">
        <v>8</v>
      </c>
      <c r="AN723" s="882">
        <v>8</v>
      </c>
      <c r="AO723" s="882">
        <v>8</v>
      </c>
      <c r="AP723" s="882">
        <v>8</v>
      </c>
      <c r="AQ723" s="882">
        <v>8</v>
      </c>
      <c r="AR723" s="882">
        <v>8</v>
      </c>
      <c r="AS723" s="882">
        <v>8</v>
      </c>
      <c r="AT723" s="882">
        <v>8</v>
      </c>
      <c r="AU723" s="882">
        <v>8</v>
      </c>
      <c r="AV723" s="882">
        <v>8</v>
      </c>
      <c r="AW723" s="882">
        <v>8</v>
      </c>
      <c r="AX723" s="882">
        <v>8</v>
      </c>
      <c r="AY723" s="882">
        <v>8</v>
      </c>
      <c r="AZ723" s="882">
        <v>8</v>
      </c>
      <c r="BA723" s="882">
        <v>8</v>
      </c>
      <c r="BB723" s="882">
        <v>8</v>
      </c>
      <c r="BC723" s="882">
        <v>8</v>
      </c>
      <c r="BD723" s="882">
        <v>8</v>
      </c>
      <c r="BE723" s="882">
        <v>8</v>
      </c>
      <c r="BF723" s="882">
        <v>8</v>
      </c>
      <c r="BG723" s="882">
        <v>10</v>
      </c>
    </row>
  </sheetData>
  <sheetProtection formatColumns="0" formatRows="0" autoFilter="0" sort="0" insertRows="0" insertColumns="1" deleteRows="0" deleteColumns="0"/>
  <mergeCells count="3133">
    <mergeCell ref="AB9:AE10"/>
    <mergeCell ref="S11:Y11"/>
    <mergeCell ref="N10:Y10"/>
    <mergeCell ref="K9:Y9"/>
    <mergeCell ref="N11:O12"/>
    <mergeCell ref="P11:P12"/>
    <mergeCell ref="Q11:Q12"/>
    <mergeCell ref="F722:J72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721:J721"/>
    <mergeCell ref="F720:J720"/>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68:K68"/>
    <mergeCell ref="F21:F68"/>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70:P72"/>
    <mergeCell ref="Q70:Q72"/>
    <mergeCell ref="R70:R72"/>
    <mergeCell ref="G69:G73"/>
    <mergeCell ref="AJ69:AJ73"/>
    <mergeCell ref="AK69:AK73"/>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P76:P78"/>
    <mergeCell ref="Q76:Q78"/>
    <mergeCell ref="R76:R78"/>
    <mergeCell ref="G75:G79"/>
    <mergeCell ref="AJ75:AJ79"/>
    <mergeCell ref="AK75:AK79"/>
    <mergeCell ref="I80:K80"/>
    <mergeCell ref="F75:F80"/>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P82:P84"/>
    <mergeCell ref="Q82:Q84"/>
    <mergeCell ref="R82:R84"/>
    <mergeCell ref="G81:G85"/>
    <mergeCell ref="AJ81:AJ85"/>
    <mergeCell ref="AK81:AK85"/>
    <mergeCell ref="I86:K86"/>
    <mergeCell ref="F81:F86"/>
    <mergeCell ref="AF81:AF85"/>
    <mergeCell ref="AG81:AG85"/>
    <mergeCell ref="AH81:AH85"/>
    <mergeCell ref="AI81:AI85"/>
    <mergeCell ref="S82:S84"/>
    <mergeCell ref="T82:T84"/>
    <mergeCell ref="U82:U84"/>
    <mergeCell ref="V82:V84"/>
    <mergeCell ref="W82:W84"/>
    <mergeCell ref="X82:X84"/>
    <mergeCell ref="Y82:Y84"/>
    <mergeCell ref="H81:H85"/>
    <mergeCell ref="I81:I85"/>
    <mergeCell ref="J81:J85"/>
    <mergeCell ref="K81:K85"/>
    <mergeCell ref="L81:L85"/>
    <mergeCell ref="M81:M85"/>
    <mergeCell ref="N82:N84"/>
    <mergeCell ref="O82:O84"/>
    <mergeCell ref="P88:P90"/>
    <mergeCell ref="Q88:Q90"/>
    <mergeCell ref="R88:R90"/>
    <mergeCell ref="G87:G91"/>
    <mergeCell ref="AJ87:AJ91"/>
    <mergeCell ref="AK87:AK91"/>
    <mergeCell ref="I92:K92"/>
    <mergeCell ref="F87:F92"/>
    <mergeCell ref="AF87:AF91"/>
    <mergeCell ref="AG87:AG91"/>
    <mergeCell ref="AH87:AH91"/>
    <mergeCell ref="AI87:AI91"/>
    <mergeCell ref="S88:S90"/>
    <mergeCell ref="T88:T90"/>
    <mergeCell ref="U88:U90"/>
    <mergeCell ref="V88:V90"/>
    <mergeCell ref="W88:W90"/>
    <mergeCell ref="X88:X90"/>
    <mergeCell ref="Y88:Y90"/>
    <mergeCell ref="H87:H91"/>
    <mergeCell ref="I87:I91"/>
    <mergeCell ref="J87:J91"/>
    <mergeCell ref="K87:K91"/>
    <mergeCell ref="L87:L91"/>
    <mergeCell ref="M87:M91"/>
    <mergeCell ref="N88:N90"/>
    <mergeCell ref="O88:O90"/>
    <mergeCell ref="P94:P96"/>
    <mergeCell ref="Q94:Q96"/>
    <mergeCell ref="R94:R96"/>
    <mergeCell ref="G93:G97"/>
    <mergeCell ref="AJ93:AJ97"/>
    <mergeCell ref="AK93:AK97"/>
    <mergeCell ref="I98:K98"/>
    <mergeCell ref="F93:F98"/>
    <mergeCell ref="AF93:AF97"/>
    <mergeCell ref="AG93:AG97"/>
    <mergeCell ref="AH93:AH97"/>
    <mergeCell ref="AI93:AI97"/>
    <mergeCell ref="S94:S96"/>
    <mergeCell ref="T94:T96"/>
    <mergeCell ref="U94:U96"/>
    <mergeCell ref="V94:V96"/>
    <mergeCell ref="W94:W96"/>
    <mergeCell ref="X94:X96"/>
    <mergeCell ref="Y94:Y96"/>
    <mergeCell ref="H93:H97"/>
    <mergeCell ref="I93:I97"/>
    <mergeCell ref="J93:J97"/>
    <mergeCell ref="K93:K97"/>
    <mergeCell ref="L93:L97"/>
    <mergeCell ref="M93:M97"/>
    <mergeCell ref="N94:N96"/>
    <mergeCell ref="O94:O96"/>
    <mergeCell ref="P100:P102"/>
    <mergeCell ref="Q100:Q102"/>
    <mergeCell ref="R100:R102"/>
    <mergeCell ref="G99:G103"/>
    <mergeCell ref="AJ99:AJ103"/>
    <mergeCell ref="AK99:AK103"/>
    <mergeCell ref="I104:K104"/>
    <mergeCell ref="F99:F104"/>
    <mergeCell ref="AF99:AF103"/>
    <mergeCell ref="AG99:AG103"/>
    <mergeCell ref="AH99:AH103"/>
    <mergeCell ref="AI99:AI103"/>
    <mergeCell ref="S100:S102"/>
    <mergeCell ref="T100:T102"/>
    <mergeCell ref="U100:U102"/>
    <mergeCell ref="V100:V102"/>
    <mergeCell ref="W100:W102"/>
    <mergeCell ref="X100:X102"/>
    <mergeCell ref="Y100:Y102"/>
    <mergeCell ref="H99:H103"/>
    <mergeCell ref="I99:I103"/>
    <mergeCell ref="J99:J103"/>
    <mergeCell ref="K99:K103"/>
    <mergeCell ref="L99:L103"/>
    <mergeCell ref="M99:M103"/>
    <mergeCell ref="N100:N102"/>
    <mergeCell ref="O100:O102"/>
    <mergeCell ref="P106:P108"/>
    <mergeCell ref="Q106:Q108"/>
    <mergeCell ref="R106:R108"/>
    <mergeCell ref="G105:G109"/>
    <mergeCell ref="AJ105:AJ109"/>
    <mergeCell ref="AK105:AK109"/>
    <mergeCell ref="I110:K110"/>
    <mergeCell ref="F105:F110"/>
    <mergeCell ref="AF105:AF109"/>
    <mergeCell ref="AG105:AG109"/>
    <mergeCell ref="AH105:AH109"/>
    <mergeCell ref="AI105:AI109"/>
    <mergeCell ref="S106:S108"/>
    <mergeCell ref="T106:T108"/>
    <mergeCell ref="U106:U108"/>
    <mergeCell ref="V106:V108"/>
    <mergeCell ref="W106:W108"/>
    <mergeCell ref="X106:X108"/>
    <mergeCell ref="Y106:Y108"/>
    <mergeCell ref="H105:H109"/>
    <mergeCell ref="I105:I109"/>
    <mergeCell ref="J105:J109"/>
    <mergeCell ref="K105:K109"/>
    <mergeCell ref="L105:L109"/>
    <mergeCell ref="M105:M109"/>
    <mergeCell ref="N106:N108"/>
    <mergeCell ref="O106:O108"/>
    <mergeCell ref="P112:P114"/>
    <mergeCell ref="Q112:Q114"/>
    <mergeCell ref="R112:R114"/>
    <mergeCell ref="G111:G115"/>
    <mergeCell ref="AJ111:AJ115"/>
    <mergeCell ref="AK111:AK115"/>
    <mergeCell ref="I116:K116"/>
    <mergeCell ref="F111:F116"/>
    <mergeCell ref="AF111:AF115"/>
    <mergeCell ref="AG111:AG115"/>
    <mergeCell ref="AH111:AH115"/>
    <mergeCell ref="AI111:AI115"/>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N112:N114"/>
    <mergeCell ref="O112:O114"/>
    <mergeCell ref="P119:P121"/>
    <mergeCell ref="Q119:Q121"/>
    <mergeCell ref="R119:R121"/>
    <mergeCell ref="G118:G122"/>
    <mergeCell ref="AJ118:AJ122"/>
    <mergeCell ref="AK118:AK122"/>
    <mergeCell ref="I128:K128"/>
    <mergeCell ref="F118:F128"/>
    <mergeCell ref="AF118:AF122"/>
    <mergeCell ref="AG118:AG122"/>
    <mergeCell ref="AH118:AH122"/>
    <mergeCell ref="AI118:AI122"/>
    <mergeCell ref="S119:S121"/>
    <mergeCell ref="T119:T121"/>
    <mergeCell ref="U119:U121"/>
    <mergeCell ref="V119:V121"/>
    <mergeCell ref="W119:W121"/>
    <mergeCell ref="X119:X121"/>
    <mergeCell ref="Y119:Y121"/>
    <mergeCell ref="H118:H122"/>
    <mergeCell ref="I118:I122"/>
    <mergeCell ref="J118:J122"/>
    <mergeCell ref="K118:K122"/>
    <mergeCell ref="L118:L122"/>
    <mergeCell ref="M118:M122"/>
    <mergeCell ref="N119:N121"/>
    <mergeCell ref="O119:O121"/>
    <mergeCell ref="P130:P132"/>
    <mergeCell ref="Q130:Q132"/>
    <mergeCell ref="R130:R132"/>
    <mergeCell ref="G129:G133"/>
    <mergeCell ref="AJ129:AJ133"/>
    <mergeCell ref="AK129:AK133"/>
    <mergeCell ref="I134:K134"/>
    <mergeCell ref="F129:F134"/>
    <mergeCell ref="AF129:AF133"/>
    <mergeCell ref="AG129:AG133"/>
    <mergeCell ref="AH129:AH133"/>
    <mergeCell ref="AI129:AI133"/>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N130:N132"/>
    <mergeCell ref="O130:O132"/>
    <mergeCell ref="P136:P138"/>
    <mergeCell ref="Q136:Q138"/>
    <mergeCell ref="R136:R138"/>
    <mergeCell ref="G135:G139"/>
    <mergeCell ref="AJ135:AJ139"/>
    <mergeCell ref="AK135:AK139"/>
    <mergeCell ref="I140:K140"/>
    <mergeCell ref="F135:F140"/>
    <mergeCell ref="AF135:AF139"/>
    <mergeCell ref="AG135:AG139"/>
    <mergeCell ref="AH135:AH139"/>
    <mergeCell ref="AI135:AI139"/>
    <mergeCell ref="S136:S138"/>
    <mergeCell ref="T136:T138"/>
    <mergeCell ref="U136:U138"/>
    <mergeCell ref="V136:V138"/>
    <mergeCell ref="W136:W138"/>
    <mergeCell ref="X136:X138"/>
    <mergeCell ref="Y136:Y138"/>
    <mergeCell ref="H135:H139"/>
    <mergeCell ref="I135:I139"/>
    <mergeCell ref="J135:J139"/>
    <mergeCell ref="K135:K139"/>
    <mergeCell ref="L135:L139"/>
    <mergeCell ref="M135:M139"/>
    <mergeCell ref="N136:N138"/>
    <mergeCell ref="O136:O138"/>
    <mergeCell ref="P142:P144"/>
    <mergeCell ref="Q142:Q144"/>
    <mergeCell ref="R142:R144"/>
    <mergeCell ref="G141:G145"/>
    <mergeCell ref="AJ141:AJ145"/>
    <mergeCell ref="AK141:AK145"/>
    <mergeCell ref="I146:K146"/>
    <mergeCell ref="F141:F146"/>
    <mergeCell ref="AF141:AF145"/>
    <mergeCell ref="AG141:AG145"/>
    <mergeCell ref="AH141:AH145"/>
    <mergeCell ref="AI141:AI145"/>
    <mergeCell ref="S142:S144"/>
    <mergeCell ref="T142:T144"/>
    <mergeCell ref="U142:U144"/>
    <mergeCell ref="V142:V144"/>
    <mergeCell ref="W142:W144"/>
    <mergeCell ref="X142:X144"/>
    <mergeCell ref="Y142:Y144"/>
    <mergeCell ref="H141:H145"/>
    <mergeCell ref="I141:I145"/>
    <mergeCell ref="J141:J145"/>
    <mergeCell ref="K141:K145"/>
    <mergeCell ref="L141:L145"/>
    <mergeCell ref="M141:M145"/>
    <mergeCell ref="N142:N144"/>
    <mergeCell ref="O142:O144"/>
    <mergeCell ref="P148:P150"/>
    <mergeCell ref="Q148:Q150"/>
    <mergeCell ref="R148:R150"/>
    <mergeCell ref="G147:G151"/>
    <mergeCell ref="AJ147:AJ151"/>
    <mergeCell ref="AK147:AK151"/>
    <mergeCell ref="I152:K152"/>
    <mergeCell ref="F147:F152"/>
    <mergeCell ref="AF147:AF151"/>
    <mergeCell ref="AG147:AG151"/>
    <mergeCell ref="AH147:AH151"/>
    <mergeCell ref="AI147:AI151"/>
    <mergeCell ref="S148:S150"/>
    <mergeCell ref="T148:T150"/>
    <mergeCell ref="U148:U150"/>
    <mergeCell ref="V148:V150"/>
    <mergeCell ref="W148:W150"/>
    <mergeCell ref="X148:X150"/>
    <mergeCell ref="Y148:Y150"/>
    <mergeCell ref="H147:H151"/>
    <mergeCell ref="I147:I151"/>
    <mergeCell ref="J147:J151"/>
    <mergeCell ref="K147:K151"/>
    <mergeCell ref="L147:L151"/>
    <mergeCell ref="M147:M151"/>
    <mergeCell ref="N148:N150"/>
    <mergeCell ref="O148:O150"/>
    <mergeCell ref="P155:P157"/>
    <mergeCell ref="Q155:Q157"/>
    <mergeCell ref="R155:R157"/>
    <mergeCell ref="G154:G158"/>
    <mergeCell ref="AJ154:AJ158"/>
    <mergeCell ref="AK154:AK158"/>
    <mergeCell ref="I164:K164"/>
    <mergeCell ref="F154:F164"/>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P166:P168"/>
    <mergeCell ref="Q166:Q168"/>
    <mergeCell ref="R166:R168"/>
    <mergeCell ref="G165:G169"/>
    <mergeCell ref="AJ165:AJ169"/>
    <mergeCell ref="AK165:AK169"/>
    <mergeCell ref="I170:K170"/>
    <mergeCell ref="F165:F170"/>
    <mergeCell ref="AF165:AF169"/>
    <mergeCell ref="AG165:AG169"/>
    <mergeCell ref="AH165:AH169"/>
    <mergeCell ref="AI165:AI169"/>
    <mergeCell ref="S166:S168"/>
    <mergeCell ref="T166:T168"/>
    <mergeCell ref="U166:U168"/>
    <mergeCell ref="V166:V168"/>
    <mergeCell ref="W166:W168"/>
    <mergeCell ref="X166:X168"/>
    <mergeCell ref="Y166:Y168"/>
    <mergeCell ref="H165:H169"/>
    <mergeCell ref="I165:I169"/>
    <mergeCell ref="J165:J169"/>
    <mergeCell ref="K165:K169"/>
    <mergeCell ref="L165:L169"/>
    <mergeCell ref="M165:M169"/>
    <mergeCell ref="N166:N168"/>
    <mergeCell ref="O166:O168"/>
    <mergeCell ref="P172:P174"/>
    <mergeCell ref="Q172:Q174"/>
    <mergeCell ref="R172:R174"/>
    <mergeCell ref="G171:G175"/>
    <mergeCell ref="AJ171:AJ175"/>
    <mergeCell ref="AK171:AK175"/>
    <mergeCell ref="I176:K176"/>
    <mergeCell ref="F171:F176"/>
    <mergeCell ref="AF171:AF175"/>
    <mergeCell ref="AG171:AG175"/>
    <mergeCell ref="AH171:AH175"/>
    <mergeCell ref="AI171:AI175"/>
    <mergeCell ref="S172:S174"/>
    <mergeCell ref="T172:T174"/>
    <mergeCell ref="U172:U174"/>
    <mergeCell ref="V172:V174"/>
    <mergeCell ref="W172:W174"/>
    <mergeCell ref="X172:X174"/>
    <mergeCell ref="Y172:Y174"/>
    <mergeCell ref="H171:H175"/>
    <mergeCell ref="I171:I175"/>
    <mergeCell ref="J171:J175"/>
    <mergeCell ref="K171:K175"/>
    <mergeCell ref="L171:L175"/>
    <mergeCell ref="M171:M175"/>
    <mergeCell ref="N172:N174"/>
    <mergeCell ref="O172:O174"/>
    <mergeCell ref="P178:P180"/>
    <mergeCell ref="Q178:Q180"/>
    <mergeCell ref="R178:R180"/>
    <mergeCell ref="G177:G181"/>
    <mergeCell ref="AJ177:AJ181"/>
    <mergeCell ref="AK177:AK181"/>
    <mergeCell ref="I182:K182"/>
    <mergeCell ref="F177:F182"/>
    <mergeCell ref="AF177:AF181"/>
    <mergeCell ref="AG177:AG181"/>
    <mergeCell ref="AH177:AH181"/>
    <mergeCell ref="AI177:AI181"/>
    <mergeCell ref="S178:S180"/>
    <mergeCell ref="T178:T180"/>
    <mergeCell ref="U178:U180"/>
    <mergeCell ref="V178:V180"/>
    <mergeCell ref="W178:W180"/>
    <mergeCell ref="X178:X180"/>
    <mergeCell ref="Y178:Y180"/>
    <mergeCell ref="H177:H181"/>
    <mergeCell ref="I177:I181"/>
    <mergeCell ref="J177:J181"/>
    <mergeCell ref="K177:K181"/>
    <mergeCell ref="L177:L181"/>
    <mergeCell ref="M177:M181"/>
    <mergeCell ref="N178:N180"/>
    <mergeCell ref="O178:O180"/>
    <mergeCell ref="P184:P186"/>
    <mergeCell ref="Q184:Q186"/>
    <mergeCell ref="R184:R186"/>
    <mergeCell ref="G183:G187"/>
    <mergeCell ref="AJ183:AJ187"/>
    <mergeCell ref="AK183:AK187"/>
    <mergeCell ref="I188:K188"/>
    <mergeCell ref="F183:F188"/>
    <mergeCell ref="AF183:AF187"/>
    <mergeCell ref="AG183:AG187"/>
    <mergeCell ref="AH183:AH187"/>
    <mergeCell ref="AI183:AI187"/>
    <mergeCell ref="S184:S186"/>
    <mergeCell ref="T184:T186"/>
    <mergeCell ref="U184:U186"/>
    <mergeCell ref="V184:V186"/>
    <mergeCell ref="W184:W186"/>
    <mergeCell ref="X184:X186"/>
    <mergeCell ref="Y184:Y186"/>
    <mergeCell ref="H183:H187"/>
    <mergeCell ref="I183:I187"/>
    <mergeCell ref="J183:J187"/>
    <mergeCell ref="K183:K187"/>
    <mergeCell ref="L183:L187"/>
    <mergeCell ref="M183:M187"/>
    <mergeCell ref="N184:N186"/>
    <mergeCell ref="O184:O186"/>
    <mergeCell ref="P191:P193"/>
    <mergeCell ref="Q191:Q193"/>
    <mergeCell ref="R191:R193"/>
    <mergeCell ref="G190:G194"/>
    <mergeCell ref="AJ190:AJ194"/>
    <mergeCell ref="AK190:AK194"/>
    <mergeCell ref="I200:K200"/>
    <mergeCell ref="F190:F200"/>
    <mergeCell ref="AF190:AF194"/>
    <mergeCell ref="AG190:AG194"/>
    <mergeCell ref="AH190:AH194"/>
    <mergeCell ref="AI190:AI194"/>
    <mergeCell ref="S191:S193"/>
    <mergeCell ref="T191:T193"/>
    <mergeCell ref="U191:U193"/>
    <mergeCell ref="V191:V193"/>
    <mergeCell ref="W191:W193"/>
    <mergeCell ref="X191:X193"/>
    <mergeCell ref="Y191:Y193"/>
    <mergeCell ref="H190:H194"/>
    <mergeCell ref="I190:I194"/>
    <mergeCell ref="J190:J194"/>
    <mergeCell ref="K190:K194"/>
    <mergeCell ref="L190:L194"/>
    <mergeCell ref="M190:M194"/>
    <mergeCell ref="N191:N193"/>
    <mergeCell ref="O191:O193"/>
    <mergeCell ref="P202:P204"/>
    <mergeCell ref="Q202:Q204"/>
    <mergeCell ref="R202:R204"/>
    <mergeCell ref="G201:G205"/>
    <mergeCell ref="AJ201:AJ205"/>
    <mergeCell ref="AK201:AK205"/>
    <mergeCell ref="I206:K206"/>
    <mergeCell ref="F201:F206"/>
    <mergeCell ref="AF201:AF205"/>
    <mergeCell ref="AG201:AG205"/>
    <mergeCell ref="AH201:AH205"/>
    <mergeCell ref="AI201:AI205"/>
    <mergeCell ref="S202:S204"/>
    <mergeCell ref="T202:T204"/>
    <mergeCell ref="U202:U204"/>
    <mergeCell ref="V202:V204"/>
    <mergeCell ref="W202:W204"/>
    <mergeCell ref="X202:X204"/>
    <mergeCell ref="Y202:Y204"/>
    <mergeCell ref="H201:H205"/>
    <mergeCell ref="I201:I205"/>
    <mergeCell ref="J201:J205"/>
    <mergeCell ref="K201:K205"/>
    <mergeCell ref="L201:L205"/>
    <mergeCell ref="M201:M205"/>
    <mergeCell ref="N202:N204"/>
    <mergeCell ref="O202:O204"/>
    <mergeCell ref="P208:P210"/>
    <mergeCell ref="Q208:Q210"/>
    <mergeCell ref="R208:R210"/>
    <mergeCell ref="G207:G211"/>
    <mergeCell ref="AJ207:AJ211"/>
    <mergeCell ref="AK207:AK211"/>
    <mergeCell ref="I212:K212"/>
    <mergeCell ref="F207:F212"/>
    <mergeCell ref="AF207:AF211"/>
    <mergeCell ref="AG207:AG211"/>
    <mergeCell ref="AH207:AH211"/>
    <mergeCell ref="AI207:AI211"/>
    <mergeCell ref="S208:S210"/>
    <mergeCell ref="T208:T210"/>
    <mergeCell ref="U208:U210"/>
    <mergeCell ref="V208:V210"/>
    <mergeCell ref="W208:W210"/>
    <mergeCell ref="X208:X210"/>
    <mergeCell ref="Y208:Y210"/>
    <mergeCell ref="H207:H211"/>
    <mergeCell ref="I207:I211"/>
    <mergeCell ref="J207:J211"/>
    <mergeCell ref="K207:K211"/>
    <mergeCell ref="L207:L211"/>
    <mergeCell ref="M207:M211"/>
    <mergeCell ref="N208:N210"/>
    <mergeCell ref="O208:O210"/>
    <mergeCell ref="P214:P216"/>
    <mergeCell ref="Q214:Q216"/>
    <mergeCell ref="R214:R216"/>
    <mergeCell ref="G213:G217"/>
    <mergeCell ref="AJ213:AJ217"/>
    <mergeCell ref="AK213:AK217"/>
    <mergeCell ref="I218:K218"/>
    <mergeCell ref="F213:F218"/>
    <mergeCell ref="AF213:AF217"/>
    <mergeCell ref="AG213:AG217"/>
    <mergeCell ref="AH213:AH217"/>
    <mergeCell ref="AI213:AI217"/>
    <mergeCell ref="S214:S216"/>
    <mergeCell ref="T214:T216"/>
    <mergeCell ref="U214:U216"/>
    <mergeCell ref="V214:V216"/>
    <mergeCell ref="W214:W216"/>
    <mergeCell ref="X214:X216"/>
    <mergeCell ref="Y214:Y216"/>
    <mergeCell ref="H213:H217"/>
    <mergeCell ref="I213:I217"/>
    <mergeCell ref="J213:J217"/>
    <mergeCell ref="K213:K217"/>
    <mergeCell ref="L213:L217"/>
    <mergeCell ref="M213:M217"/>
    <mergeCell ref="N214:N216"/>
    <mergeCell ref="O214:O216"/>
    <mergeCell ref="P220:P222"/>
    <mergeCell ref="Q220:Q222"/>
    <mergeCell ref="R220:R222"/>
    <mergeCell ref="G219:G223"/>
    <mergeCell ref="AJ219:AJ223"/>
    <mergeCell ref="AK219:AK223"/>
    <mergeCell ref="I224:K224"/>
    <mergeCell ref="F219:F224"/>
    <mergeCell ref="AF219:AF223"/>
    <mergeCell ref="AG219:AG223"/>
    <mergeCell ref="AH219:AH223"/>
    <mergeCell ref="AI219:AI223"/>
    <mergeCell ref="S220:S222"/>
    <mergeCell ref="T220:T222"/>
    <mergeCell ref="U220:U222"/>
    <mergeCell ref="V220:V222"/>
    <mergeCell ref="W220:W222"/>
    <mergeCell ref="X220:X222"/>
    <mergeCell ref="Y220:Y222"/>
    <mergeCell ref="H219:H223"/>
    <mergeCell ref="I219:I223"/>
    <mergeCell ref="J219:J223"/>
    <mergeCell ref="K219:K223"/>
    <mergeCell ref="L219:L223"/>
    <mergeCell ref="M219:M223"/>
    <mergeCell ref="N220:N222"/>
    <mergeCell ref="O220:O222"/>
    <mergeCell ref="P227:P229"/>
    <mergeCell ref="Q227:Q229"/>
    <mergeCell ref="R227:R229"/>
    <mergeCell ref="G226:G230"/>
    <mergeCell ref="AJ226:AJ230"/>
    <mergeCell ref="AK226:AK230"/>
    <mergeCell ref="I236:K236"/>
    <mergeCell ref="F226:F236"/>
    <mergeCell ref="AF226:AF230"/>
    <mergeCell ref="AG226:AG230"/>
    <mergeCell ref="AH226:AH230"/>
    <mergeCell ref="AI226:AI230"/>
    <mergeCell ref="S227:S229"/>
    <mergeCell ref="T227:T229"/>
    <mergeCell ref="U227:U229"/>
    <mergeCell ref="V227:V229"/>
    <mergeCell ref="W227:W229"/>
    <mergeCell ref="X227:X229"/>
    <mergeCell ref="Y227:Y229"/>
    <mergeCell ref="H226:H230"/>
    <mergeCell ref="I226:I230"/>
    <mergeCell ref="J226:J230"/>
    <mergeCell ref="K226:K230"/>
    <mergeCell ref="L226:L230"/>
    <mergeCell ref="M226:M230"/>
    <mergeCell ref="N227:N229"/>
    <mergeCell ref="O227:O229"/>
    <mergeCell ref="P238:P240"/>
    <mergeCell ref="Q238:Q240"/>
    <mergeCell ref="R238:R240"/>
    <mergeCell ref="G237:G241"/>
    <mergeCell ref="AJ237:AJ241"/>
    <mergeCell ref="AK237:AK241"/>
    <mergeCell ref="I242:K242"/>
    <mergeCell ref="F237:F242"/>
    <mergeCell ref="AF237:AF241"/>
    <mergeCell ref="AG237:AG241"/>
    <mergeCell ref="AH237:AH241"/>
    <mergeCell ref="AI237:AI241"/>
    <mergeCell ref="S238:S240"/>
    <mergeCell ref="T238:T240"/>
    <mergeCell ref="U238:U240"/>
    <mergeCell ref="V238:V240"/>
    <mergeCell ref="W238:W240"/>
    <mergeCell ref="X238:X240"/>
    <mergeCell ref="Y238:Y240"/>
    <mergeCell ref="H237:H241"/>
    <mergeCell ref="I237:I241"/>
    <mergeCell ref="J237:J241"/>
    <mergeCell ref="K237:K241"/>
    <mergeCell ref="L237:L241"/>
    <mergeCell ref="M237:M241"/>
    <mergeCell ref="N238:N240"/>
    <mergeCell ref="O238:O240"/>
    <mergeCell ref="P244:P246"/>
    <mergeCell ref="Q244:Q246"/>
    <mergeCell ref="R244:R246"/>
    <mergeCell ref="G243:G247"/>
    <mergeCell ref="AJ243:AJ247"/>
    <mergeCell ref="AK243:AK247"/>
    <mergeCell ref="I248:K248"/>
    <mergeCell ref="F243:F248"/>
    <mergeCell ref="AF243:AF247"/>
    <mergeCell ref="AG243:AG247"/>
    <mergeCell ref="AH243:AH247"/>
    <mergeCell ref="AI243:AI247"/>
    <mergeCell ref="S244:S246"/>
    <mergeCell ref="T244:T246"/>
    <mergeCell ref="U244:U246"/>
    <mergeCell ref="V244:V246"/>
    <mergeCell ref="W244:W246"/>
    <mergeCell ref="X244:X246"/>
    <mergeCell ref="Y244:Y246"/>
    <mergeCell ref="H243:H247"/>
    <mergeCell ref="I243:I247"/>
    <mergeCell ref="J243:J247"/>
    <mergeCell ref="K243:K247"/>
    <mergeCell ref="L243:L247"/>
    <mergeCell ref="M243:M247"/>
    <mergeCell ref="N244:N246"/>
    <mergeCell ref="O244:O246"/>
    <mergeCell ref="P250:P252"/>
    <mergeCell ref="Q250:Q252"/>
    <mergeCell ref="R250:R252"/>
    <mergeCell ref="G249:G253"/>
    <mergeCell ref="AJ249:AJ253"/>
    <mergeCell ref="AK249:AK253"/>
    <mergeCell ref="I254:K254"/>
    <mergeCell ref="F249:F254"/>
    <mergeCell ref="AF249:AF253"/>
    <mergeCell ref="AG249:AG253"/>
    <mergeCell ref="AH249:AH253"/>
    <mergeCell ref="AI249:AI253"/>
    <mergeCell ref="S250:S252"/>
    <mergeCell ref="T250:T252"/>
    <mergeCell ref="U250:U252"/>
    <mergeCell ref="V250:V252"/>
    <mergeCell ref="W250:W252"/>
    <mergeCell ref="X250:X252"/>
    <mergeCell ref="Y250:Y252"/>
    <mergeCell ref="H249:H253"/>
    <mergeCell ref="I249:I253"/>
    <mergeCell ref="J249:J253"/>
    <mergeCell ref="K249:K253"/>
    <mergeCell ref="L249:L253"/>
    <mergeCell ref="M249:M253"/>
    <mergeCell ref="N250:N252"/>
    <mergeCell ref="O250:O252"/>
    <mergeCell ref="P256:P258"/>
    <mergeCell ref="Q256:Q258"/>
    <mergeCell ref="R256:R258"/>
    <mergeCell ref="G255:G259"/>
    <mergeCell ref="AJ255:AJ259"/>
    <mergeCell ref="AK255:AK259"/>
    <mergeCell ref="I260:K260"/>
    <mergeCell ref="F255:F260"/>
    <mergeCell ref="AF255:AF259"/>
    <mergeCell ref="AG255:AG259"/>
    <mergeCell ref="AH255:AH259"/>
    <mergeCell ref="AI255:AI259"/>
    <mergeCell ref="S256:S258"/>
    <mergeCell ref="T256:T258"/>
    <mergeCell ref="U256:U258"/>
    <mergeCell ref="V256:V258"/>
    <mergeCell ref="W256:W258"/>
    <mergeCell ref="X256:X258"/>
    <mergeCell ref="Y256:Y258"/>
    <mergeCell ref="H255:H259"/>
    <mergeCell ref="I255:I259"/>
    <mergeCell ref="J255:J259"/>
    <mergeCell ref="K255:K259"/>
    <mergeCell ref="L255:L259"/>
    <mergeCell ref="M255:M259"/>
    <mergeCell ref="N256:N258"/>
    <mergeCell ref="O256:O258"/>
    <mergeCell ref="P263:P265"/>
    <mergeCell ref="Q263:Q265"/>
    <mergeCell ref="R263:R265"/>
    <mergeCell ref="G262:G266"/>
    <mergeCell ref="AJ262:AJ266"/>
    <mergeCell ref="AK262:AK266"/>
    <mergeCell ref="I277:K277"/>
    <mergeCell ref="F262:F277"/>
    <mergeCell ref="AF262:AF266"/>
    <mergeCell ref="AG262:AG266"/>
    <mergeCell ref="AH262:AH266"/>
    <mergeCell ref="AI262:AI266"/>
    <mergeCell ref="S263:S265"/>
    <mergeCell ref="T263:T265"/>
    <mergeCell ref="U263:U265"/>
    <mergeCell ref="V263:V265"/>
    <mergeCell ref="W263:W265"/>
    <mergeCell ref="X263:X265"/>
    <mergeCell ref="Y263:Y265"/>
    <mergeCell ref="H262:H266"/>
    <mergeCell ref="I262:I266"/>
    <mergeCell ref="J262:J266"/>
    <mergeCell ref="K262:K266"/>
    <mergeCell ref="L262:L266"/>
    <mergeCell ref="M262:M266"/>
    <mergeCell ref="N263:N265"/>
    <mergeCell ref="O263:O265"/>
    <mergeCell ref="P279:P281"/>
    <mergeCell ref="Q279:Q281"/>
    <mergeCell ref="R279:R281"/>
    <mergeCell ref="G278:G282"/>
    <mergeCell ref="AJ278:AJ282"/>
    <mergeCell ref="AK278:AK282"/>
    <mergeCell ref="I283:K283"/>
    <mergeCell ref="F278:F283"/>
    <mergeCell ref="AF278:AF282"/>
    <mergeCell ref="AG278:AG282"/>
    <mergeCell ref="AH278:AH282"/>
    <mergeCell ref="AI278:AI282"/>
    <mergeCell ref="S279:S281"/>
    <mergeCell ref="T279:T281"/>
    <mergeCell ref="U279:U281"/>
    <mergeCell ref="V279:V281"/>
    <mergeCell ref="W279:W281"/>
    <mergeCell ref="X279:X281"/>
    <mergeCell ref="Y279:Y281"/>
    <mergeCell ref="H278:H282"/>
    <mergeCell ref="I278:I282"/>
    <mergeCell ref="J278:J282"/>
    <mergeCell ref="K278:K282"/>
    <mergeCell ref="L278:L282"/>
    <mergeCell ref="M278:M282"/>
    <mergeCell ref="N279:N281"/>
    <mergeCell ref="O279:O281"/>
    <mergeCell ref="P285:P287"/>
    <mergeCell ref="Q285:Q287"/>
    <mergeCell ref="R285:R287"/>
    <mergeCell ref="G284:G288"/>
    <mergeCell ref="AJ284:AJ288"/>
    <mergeCell ref="AK284:AK288"/>
    <mergeCell ref="I289:K289"/>
    <mergeCell ref="F284:F289"/>
    <mergeCell ref="AF284:AF288"/>
    <mergeCell ref="AG284:AG288"/>
    <mergeCell ref="AH284:AH288"/>
    <mergeCell ref="AI284:AI288"/>
    <mergeCell ref="S285:S287"/>
    <mergeCell ref="T285:T287"/>
    <mergeCell ref="U285:U287"/>
    <mergeCell ref="V285:V287"/>
    <mergeCell ref="W285:W287"/>
    <mergeCell ref="X285:X287"/>
    <mergeCell ref="Y285:Y287"/>
    <mergeCell ref="H284:H288"/>
    <mergeCell ref="I284:I288"/>
    <mergeCell ref="J284:J288"/>
    <mergeCell ref="K284:K288"/>
    <mergeCell ref="L284:L288"/>
    <mergeCell ref="M284:M288"/>
    <mergeCell ref="N285:N287"/>
    <mergeCell ref="O285:O287"/>
    <mergeCell ref="P291:P293"/>
    <mergeCell ref="Q291:Q293"/>
    <mergeCell ref="R291:R293"/>
    <mergeCell ref="G290:G294"/>
    <mergeCell ref="AJ290:AJ294"/>
    <mergeCell ref="AK290:AK294"/>
    <mergeCell ref="I295:K295"/>
    <mergeCell ref="F290:F295"/>
    <mergeCell ref="AF290:AF294"/>
    <mergeCell ref="AG290:AG294"/>
    <mergeCell ref="AH290:AH294"/>
    <mergeCell ref="AI290:AI294"/>
    <mergeCell ref="S291:S293"/>
    <mergeCell ref="T291:T293"/>
    <mergeCell ref="U291:U293"/>
    <mergeCell ref="V291:V293"/>
    <mergeCell ref="W291:W293"/>
    <mergeCell ref="X291:X293"/>
    <mergeCell ref="Y291:Y293"/>
    <mergeCell ref="H290:H294"/>
    <mergeCell ref="I290:I294"/>
    <mergeCell ref="J290:J294"/>
    <mergeCell ref="K290:K294"/>
    <mergeCell ref="L290:L294"/>
    <mergeCell ref="M290:M294"/>
    <mergeCell ref="N291:N293"/>
    <mergeCell ref="O291:O293"/>
    <mergeCell ref="P297:P299"/>
    <mergeCell ref="Q297:Q299"/>
    <mergeCell ref="R297:R299"/>
    <mergeCell ref="G296:G300"/>
    <mergeCell ref="AJ296:AJ300"/>
    <mergeCell ref="AK296:AK300"/>
    <mergeCell ref="I301:K301"/>
    <mergeCell ref="F296:F301"/>
    <mergeCell ref="AF296:AF300"/>
    <mergeCell ref="AG296:AG300"/>
    <mergeCell ref="AH296:AH300"/>
    <mergeCell ref="AI296:AI300"/>
    <mergeCell ref="S297:S299"/>
    <mergeCell ref="T297:T299"/>
    <mergeCell ref="U297:U299"/>
    <mergeCell ref="V297:V299"/>
    <mergeCell ref="W297:W299"/>
    <mergeCell ref="X297:X299"/>
    <mergeCell ref="Y297:Y299"/>
    <mergeCell ref="H296:H300"/>
    <mergeCell ref="I296:I300"/>
    <mergeCell ref="J296:J300"/>
    <mergeCell ref="K296:K300"/>
    <mergeCell ref="L296:L300"/>
    <mergeCell ref="M296:M300"/>
    <mergeCell ref="N297:N299"/>
    <mergeCell ref="O297:O299"/>
    <mergeCell ref="P304:P306"/>
    <mergeCell ref="Q304:Q306"/>
    <mergeCell ref="R304:R306"/>
    <mergeCell ref="G303:G307"/>
    <mergeCell ref="AJ303:AJ307"/>
    <mergeCell ref="AK303:AK307"/>
    <mergeCell ref="I313:K313"/>
    <mergeCell ref="F303:F313"/>
    <mergeCell ref="AF303:AF307"/>
    <mergeCell ref="AG303:AG307"/>
    <mergeCell ref="AH303:AH307"/>
    <mergeCell ref="AI303:AI307"/>
    <mergeCell ref="S304:S306"/>
    <mergeCell ref="T304:T306"/>
    <mergeCell ref="U304:U306"/>
    <mergeCell ref="V304:V306"/>
    <mergeCell ref="W304:W306"/>
    <mergeCell ref="X304:X306"/>
    <mergeCell ref="Y304:Y306"/>
    <mergeCell ref="H303:H307"/>
    <mergeCell ref="I303:I307"/>
    <mergeCell ref="J303:J307"/>
    <mergeCell ref="K303:K307"/>
    <mergeCell ref="L303:L307"/>
    <mergeCell ref="M303:M307"/>
    <mergeCell ref="N304:N306"/>
    <mergeCell ref="O304:O306"/>
    <mergeCell ref="P315:P317"/>
    <mergeCell ref="Q315:Q317"/>
    <mergeCell ref="R315:R317"/>
    <mergeCell ref="G314:G318"/>
    <mergeCell ref="AJ314:AJ318"/>
    <mergeCell ref="AK314:AK318"/>
    <mergeCell ref="I319:K319"/>
    <mergeCell ref="F314:F319"/>
    <mergeCell ref="AF314:AF318"/>
    <mergeCell ref="AG314:AG318"/>
    <mergeCell ref="AH314:AH318"/>
    <mergeCell ref="AI314:AI318"/>
    <mergeCell ref="S315:S317"/>
    <mergeCell ref="T315:T317"/>
    <mergeCell ref="U315:U317"/>
    <mergeCell ref="V315:V317"/>
    <mergeCell ref="W315:W317"/>
    <mergeCell ref="X315:X317"/>
    <mergeCell ref="Y315:Y317"/>
    <mergeCell ref="H314:H318"/>
    <mergeCell ref="I314:I318"/>
    <mergeCell ref="J314:J318"/>
    <mergeCell ref="K314:K318"/>
    <mergeCell ref="L314:L318"/>
    <mergeCell ref="M314:M318"/>
    <mergeCell ref="N315:N317"/>
    <mergeCell ref="O315:O317"/>
    <mergeCell ref="P321:P323"/>
    <mergeCell ref="Q321:Q323"/>
    <mergeCell ref="R321:R323"/>
    <mergeCell ref="G320:G324"/>
    <mergeCell ref="AJ320:AJ324"/>
    <mergeCell ref="AK320:AK324"/>
    <mergeCell ref="I325:K325"/>
    <mergeCell ref="F320:F325"/>
    <mergeCell ref="AF320:AF324"/>
    <mergeCell ref="AG320:AG324"/>
    <mergeCell ref="AH320:AH324"/>
    <mergeCell ref="AI320:AI324"/>
    <mergeCell ref="S321:S323"/>
    <mergeCell ref="T321:T323"/>
    <mergeCell ref="U321:U323"/>
    <mergeCell ref="V321:V323"/>
    <mergeCell ref="W321:W323"/>
    <mergeCell ref="X321:X323"/>
    <mergeCell ref="Y321:Y323"/>
    <mergeCell ref="H320:H324"/>
    <mergeCell ref="I320:I324"/>
    <mergeCell ref="J320:J324"/>
    <mergeCell ref="K320:K324"/>
    <mergeCell ref="L320:L324"/>
    <mergeCell ref="M320:M324"/>
    <mergeCell ref="N321:N323"/>
    <mergeCell ref="O321:O323"/>
    <mergeCell ref="P327:P329"/>
    <mergeCell ref="Q327:Q329"/>
    <mergeCell ref="R327:R329"/>
    <mergeCell ref="G326:G330"/>
    <mergeCell ref="AJ326:AJ330"/>
    <mergeCell ref="AK326:AK330"/>
    <mergeCell ref="I331:K331"/>
    <mergeCell ref="F326:F331"/>
    <mergeCell ref="AF326:AF330"/>
    <mergeCell ref="AG326:AG330"/>
    <mergeCell ref="AH326:AH330"/>
    <mergeCell ref="AI326:AI330"/>
    <mergeCell ref="S327:S329"/>
    <mergeCell ref="T327:T329"/>
    <mergeCell ref="U327:U329"/>
    <mergeCell ref="V327:V329"/>
    <mergeCell ref="W327:W329"/>
    <mergeCell ref="X327:X329"/>
    <mergeCell ref="Y327:Y329"/>
    <mergeCell ref="H326:H330"/>
    <mergeCell ref="I326:I330"/>
    <mergeCell ref="J326:J330"/>
    <mergeCell ref="K326:K330"/>
    <mergeCell ref="L326:L330"/>
    <mergeCell ref="M326:M330"/>
    <mergeCell ref="N327:N329"/>
    <mergeCell ref="O327:O329"/>
    <mergeCell ref="P333:P335"/>
    <mergeCell ref="Q333:Q335"/>
    <mergeCell ref="R333:R335"/>
    <mergeCell ref="G332:G336"/>
    <mergeCell ref="AJ332:AJ336"/>
    <mergeCell ref="AK332:AK336"/>
    <mergeCell ref="I337:K337"/>
    <mergeCell ref="F332:F337"/>
    <mergeCell ref="AF332:AF336"/>
    <mergeCell ref="AG332:AG336"/>
    <mergeCell ref="AH332:AH336"/>
    <mergeCell ref="AI332:AI336"/>
    <mergeCell ref="S333:S335"/>
    <mergeCell ref="T333:T335"/>
    <mergeCell ref="U333:U335"/>
    <mergeCell ref="V333:V335"/>
    <mergeCell ref="W333:W335"/>
    <mergeCell ref="X333:X335"/>
    <mergeCell ref="Y333:Y335"/>
    <mergeCell ref="H332:H336"/>
    <mergeCell ref="I332:I336"/>
    <mergeCell ref="J332:J336"/>
    <mergeCell ref="K332:K336"/>
    <mergeCell ref="L332:L336"/>
    <mergeCell ref="M332:M336"/>
    <mergeCell ref="N333:N335"/>
    <mergeCell ref="O333:O335"/>
    <mergeCell ref="P340:P342"/>
    <mergeCell ref="Q340:Q342"/>
    <mergeCell ref="R340:R342"/>
    <mergeCell ref="G339:G343"/>
    <mergeCell ref="AJ339:AJ343"/>
    <mergeCell ref="AK339:AK343"/>
    <mergeCell ref="I374:K374"/>
    <mergeCell ref="F339:F374"/>
    <mergeCell ref="AF339:AF343"/>
    <mergeCell ref="AG339:AG343"/>
    <mergeCell ref="AH339:AH343"/>
    <mergeCell ref="AI339:AI343"/>
    <mergeCell ref="S340:S342"/>
    <mergeCell ref="T340:T342"/>
    <mergeCell ref="U340:U342"/>
    <mergeCell ref="V340:V342"/>
    <mergeCell ref="W340:W342"/>
    <mergeCell ref="X340:X342"/>
    <mergeCell ref="Y340:Y342"/>
    <mergeCell ref="H339:H343"/>
    <mergeCell ref="I339:I343"/>
    <mergeCell ref="J339:J343"/>
    <mergeCell ref="K339:K343"/>
    <mergeCell ref="L339:L343"/>
    <mergeCell ref="M339:M343"/>
    <mergeCell ref="N340:N342"/>
    <mergeCell ref="O340:O342"/>
    <mergeCell ref="P376:P378"/>
    <mergeCell ref="Q376:Q378"/>
    <mergeCell ref="R376:R378"/>
    <mergeCell ref="G375:G379"/>
    <mergeCell ref="AJ375:AJ379"/>
    <mergeCell ref="AK375:AK379"/>
    <mergeCell ref="I380:K380"/>
    <mergeCell ref="F375:F380"/>
    <mergeCell ref="AF375:AF379"/>
    <mergeCell ref="AG375:AG379"/>
    <mergeCell ref="AH375:AH379"/>
    <mergeCell ref="AI375:AI379"/>
    <mergeCell ref="S376:S378"/>
    <mergeCell ref="T376:T378"/>
    <mergeCell ref="U376:U378"/>
    <mergeCell ref="V376:V378"/>
    <mergeCell ref="W376:W378"/>
    <mergeCell ref="X376:X378"/>
    <mergeCell ref="Y376:Y378"/>
    <mergeCell ref="H375:H379"/>
    <mergeCell ref="I375:I379"/>
    <mergeCell ref="J375:J379"/>
    <mergeCell ref="K375:K379"/>
    <mergeCell ref="L375:L379"/>
    <mergeCell ref="M375:M379"/>
    <mergeCell ref="N376:N378"/>
    <mergeCell ref="O376:O378"/>
    <mergeCell ref="P382:P384"/>
    <mergeCell ref="Q382:Q384"/>
    <mergeCell ref="R382:R384"/>
    <mergeCell ref="G381:G385"/>
    <mergeCell ref="AJ381:AJ385"/>
    <mergeCell ref="AK381:AK385"/>
    <mergeCell ref="I386:K386"/>
    <mergeCell ref="F381:F386"/>
    <mergeCell ref="AF381:AF385"/>
    <mergeCell ref="AG381:AG385"/>
    <mergeCell ref="AH381:AH385"/>
    <mergeCell ref="AI381:AI385"/>
    <mergeCell ref="S382:S384"/>
    <mergeCell ref="T382:T384"/>
    <mergeCell ref="U382:U384"/>
    <mergeCell ref="V382:V384"/>
    <mergeCell ref="W382:W384"/>
    <mergeCell ref="X382:X384"/>
    <mergeCell ref="Y382:Y384"/>
    <mergeCell ref="H381:H385"/>
    <mergeCell ref="I381:I385"/>
    <mergeCell ref="J381:J385"/>
    <mergeCell ref="K381:K385"/>
    <mergeCell ref="L381:L385"/>
    <mergeCell ref="M381:M385"/>
    <mergeCell ref="N382:N384"/>
    <mergeCell ref="O382:O384"/>
    <mergeCell ref="P388:P390"/>
    <mergeCell ref="Q388:Q390"/>
    <mergeCell ref="R388:R390"/>
    <mergeCell ref="G387:G391"/>
    <mergeCell ref="AJ387:AJ391"/>
    <mergeCell ref="AK387:AK391"/>
    <mergeCell ref="I392:K392"/>
    <mergeCell ref="F387:F392"/>
    <mergeCell ref="AF387:AF391"/>
    <mergeCell ref="AG387:AG391"/>
    <mergeCell ref="AH387:AH391"/>
    <mergeCell ref="AI387:AI391"/>
    <mergeCell ref="S388:S390"/>
    <mergeCell ref="T388:T390"/>
    <mergeCell ref="U388:U390"/>
    <mergeCell ref="V388:V390"/>
    <mergeCell ref="W388:W390"/>
    <mergeCell ref="X388:X390"/>
    <mergeCell ref="Y388:Y390"/>
    <mergeCell ref="H387:H391"/>
    <mergeCell ref="I387:I391"/>
    <mergeCell ref="J387:J391"/>
    <mergeCell ref="K387:K391"/>
    <mergeCell ref="L387:L391"/>
    <mergeCell ref="M387:M391"/>
    <mergeCell ref="N388:N390"/>
    <mergeCell ref="O388:O390"/>
    <mergeCell ref="P394:P396"/>
    <mergeCell ref="Q394:Q396"/>
    <mergeCell ref="R394:R396"/>
    <mergeCell ref="G393:G397"/>
    <mergeCell ref="AJ393:AJ397"/>
    <mergeCell ref="AK393:AK397"/>
    <mergeCell ref="I398:K398"/>
    <mergeCell ref="F393:F398"/>
    <mergeCell ref="AF393:AF397"/>
    <mergeCell ref="AG393:AG397"/>
    <mergeCell ref="AH393:AH397"/>
    <mergeCell ref="AI393:AI397"/>
    <mergeCell ref="S394:S396"/>
    <mergeCell ref="T394:T396"/>
    <mergeCell ref="U394:U396"/>
    <mergeCell ref="V394:V396"/>
    <mergeCell ref="W394:W396"/>
    <mergeCell ref="X394:X396"/>
    <mergeCell ref="Y394:Y396"/>
    <mergeCell ref="H393:H397"/>
    <mergeCell ref="I393:I397"/>
    <mergeCell ref="J393:J397"/>
    <mergeCell ref="K393:K397"/>
    <mergeCell ref="L393:L397"/>
    <mergeCell ref="M393:M397"/>
    <mergeCell ref="N394:N396"/>
    <mergeCell ref="O394:O396"/>
    <mergeCell ref="P401:P403"/>
    <mergeCell ref="Q401:Q403"/>
    <mergeCell ref="R401:R403"/>
    <mergeCell ref="G400:G404"/>
    <mergeCell ref="AJ400:AJ404"/>
    <mergeCell ref="AK400:AK404"/>
    <mergeCell ref="I410:K410"/>
    <mergeCell ref="F400:F410"/>
    <mergeCell ref="AF400:AF404"/>
    <mergeCell ref="AG400:AG404"/>
    <mergeCell ref="AH400:AH404"/>
    <mergeCell ref="AI400:AI404"/>
    <mergeCell ref="S401:S403"/>
    <mergeCell ref="T401:T403"/>
    <mergeCell ref="U401:U403"/>
    <mergeCell ref="V401:V403"/>
    <mergeCell ref="W401:W403"/>
    <mergeCell ref="X401:X403"/>
    <mergeCell ref="Y401:Y403"/>
    <mergeCell ref="H400:H404"/>
    <mergeCell ref="I400:I404"/>
    <mergeCell ref="J400:J404"/>
    <mergeCell ref="K400:K404"/>
    <mergeCell ref="L400:L404"/>
    <mergeCell ref="M400:M404"/>
    <mergeCell ref="N401:N403"/>
    <mergeCell ref="O401:O403"/>
    <mergeCell ref="P412:P414"/>
    <mergeCell ref="Q412:Q414"/>
    <mergeCell ref="R412:R414"/>
    <mergeCell ref="G411:G415"/>
    <mergeCell ref="AJ411:AJ415"/>
    <mergeCell ref="AK411:AK415"/>
    <mergeCell ref="I416:K416"/>
    <mergeCell ref="F411:F416"/>
    <mergeCell ref="AF411:AF415"/>
    <mergeCell ref="AG411:AG415"/>
    <mergeCell ref="AH411:AH415"/>
    <mergeCell ref="AI411:AI415"/>
    <mergeCell ref="S412:S414"/>
    <mergeCell ref="T412:T414"/>
    <mergeCell ref="U412:U414"/>
    <mergeCell ref="V412:V414"/>
    <mergeCell ref="W412:W414"/>
    <mergeCell ref="X412:X414"/>
    <mergeCell ref="Y412:Y414"/>
    <mergeCell ref="H411:H415"/>
    <mergeCell ref="I411:I415"/>
    <mergeCell ref="J411:J415"/>
    <mergeCell ref="K411:K415"/>
    <mergeCell ref="L411:L415"/>
    <mergeCell ref="M411:M415"/>
    <mergeCell ref="N412:N414"/>
    <mergeCell ref="O412:O414"/>
    <mergeCell ref="P418:P420"/>
    <mergeCell ref="Q418:Q420"/>
    <mergeCell ref="R418:R420"/>
    <mergeCell ref="G417:G421"/>
    <mergeCell ref="AJ417:AJ421"/>
    <mergeCell ref="AK417:AK421"/>
    <mergeCell ref="I422:K422"/>
    <mergeCell ref="F417:F422"/>
    <mergeCell ref="AF417:AF421"/>
    <mergeCell ref="AG417:AG421"/>
    <mergeCell ref="AH417:AH421"/>
    <mergeCell ref="AI417:AI421"/>
    <mergeCell ref="S418:S420"/>
    <mergeCell ref="T418:T420"/>
    <mergeCell ref="U418:U420"/>
    <mergeCell ref="V418:V420"/>
    <mergeCell ref="W418:W420"/>
    <mergeCell ref="X418:X420"/>
    <mergeCell ref="Y418:Y420"/>
    <mergeCell ref="H417:H421"/>
    <mergeCell ref="I417:I421"/>
    <mergeCell ref="J417:J421"/>
    <mergeCell ref="K417:K421"/>
    <mergeCell ref="L417:L421"/>
    <mergeCell ref="M417:M421"/>
    <mergeCell ref="N418:N420"/>
    <mergeCell ref="O418:O420"/>
    <mergeCell ref="P424:P426"/>
    <mergeCell ref="Q424:Q426"/>
    <mergeCell ref="R424:R426"/>
    <mergeCell ref="G423:G427"/>
    <mergeCell ref="AJ423:AJ427"/>
    <mergeCell ref="AK423:AK427"/>
    <mergeCell ref="I428:K428"/>
    <mergeCell ref="F423:F428"/>
    <mergeCell ref="AF423:AF427"/>
    <mergeCell ref="AG423:AG427"/>
    <mergeCell ref="AH423:AH427"/>
    <mergeCell ref="AI423:AI427"/>
    <mergeCell ref="S424:S426"/>
    <mergeCell ref="T424:T426"/>
    <mergeCell ref="U424:U426"/>
    <mergeCell ref="V424:V426"/>
    <mergeCell ref="W424:W426"/>
    <mergeCell ref="X424:X426"/>
    <mergeCell ref="Y424:Y426"/>
    <mergeCell ref="H423:H427"/>
    <mergeCell ref="I423:I427"/>
    <mergeCell ref="J423:J427"/>
    <mergeCell ref="K423:K427"/>
    <mergeCell ref="L423:L427"/>
    <mergeCell ref="M423:M427"/>
    <mergeCell ref="N424:N426"/>
    <mergeCell ref="O424:O426"/>
    <mergeCell ref="P430:P432"/>
    <mergeCell ref="Q430:Q432"/>
    <mergeCell ref="R430:R432"/>
    <mergeCell ref="G429:G433"/>
    <mergeCell ref="AJ429:AJ433"/>
    <mergeCell ref="AK429:AK433"/>
    <mergeCell ref="I434:K434"/>
    <mergeCell ref="F429:F434"/>
    <mergeCell ref="AF429:AF433"/>
    <mergeCell ref="AG429:AG433"/>
    <mergeCell ref="AH429:AH433"/>
    <mergeCell ref="AI429:AI433"/>
    <mergeCell ref="S430:S432"/>
    <mergeCell ref="T430:T432"/>
    <mergeCell ref="U430:U432"/>
    <mergeCell ref="V430:V432"/>
    <mergeCell ref="W430:W432"/>
    <mergeCell ref="X430:X432"/>
    <mergeCell ref="Y430:Y432"/>
    <mergeCell ref="H429:H433"/>
    <mergeCell ref="I429:I433"/>
    <mergeCell ref="J429:J433"/>
    <mergeCell ref="K429:K433"/>
    <mergeCell ref="L429:L433"/>
    <mergeCell ref="M429:M433"/>
    <mergeCell ref="N430:N432"/>
    <mergeCell ref="O430:O432"/>
    <mergeCell ref="P437:P439"/>
    <mergeCell ref="Q437:Q439"/>
    <mergeCell ref="R437:R439"/>
    <mergeCell ref="G436:G440"/>
    <mergeCell ref="AJ436:AJ440"/>
    <mergeCell ref="AK436:AK440"/>
    <mergeCell ref="I446:K446"/>
    <mergeCell ref="F436:F446"/>
    <mergeCell ref="AF436:AF440"/>
    <mergeCell ref="AG436:AG440"/>
    <mergeCell ref="AH436:AH440"/>
    <mergeCell ref="AI436:AI440"/>
    <mergeCell ref="S437:S439"/>
    <mergeCell ref="T437:T439"/>
    <mergeCell ref="U437:U439"/>
    <mergeCell ref="V437:V439"/>
    <mergeCell ref="W437:W439"/>
    <mergeCell ref="X437:X439"/>
    <mergeCell ref="Y437:Y439"/>
    <mergeCell ref="H436:H440"/>
    <mergeCell ref="I436:I440"/>
    <mergeCell ref="J436:J440"/>
    <mergeCell ref="K436:K440"/>
    <mergeCell ref="L436:L440"/>
    <mergeCell ref="M436:M440"/>
    <mergeCell ref="N437:N439"/>
    <mergeCell ref="O437:O439"/>
    <mergeCell ref="P448:P450"/>
    <mergeCell ref="Q448:Q450"/>
    <mergeCell ref="R448:R450"/>
    <mergeCell ref="G447:G451"/>
    <mergeCell ref="AJ447:AJ451"/>
    <mergeCell ref="AK447:AK451"/>
    <mergeCell ref="I452:K452"/>
    <mergeCell ref="F447:F452"/>
    <mergeCell ref="AF447:AF451"/>
    <mergeCell ref="AG447:AG451"/>
    <mergeCell ref="AH447:AH451"/>
    <mergeCell ref="AI447:AI451"/>
    <mergeCell ref="S448:S450"/>
    <mergeCell ref="T448:T450"/>
    <mergeCell ref="U448:U450"/>
    <mergeCell ref="V448:V450"/>
    <mergeCell ref="W448:W450"/>
    <mergeCell ref="X448:X450"/>
    <mergeCell ref="Y448:Y450"/>
    <mergeCell ref="H447:H451"/>
    <mergeCell ref="I447:I451"/>
    <mergeCell ref="J447:J451"/>
    <mergeCell ref="K447:K451"/>
    <mergeCell ref="L447:L451"/>
    <mergeCell ref="M447:M451"/>
    <mergeCell ref="N448:N450"/>
    <mergeCell ref="O448:O450"/>
    <mergeCell ref="P454:P456"/>
    <mergeCell ref="Q454:Q456"/>
    <mergeCell ref="R454:R456"/>
    <mergeCell ref="G453:G457"/>
    <mergeCell ref="AJ453:AJ457"/>
    <mergeCell ref="AK453:AK457"/>
    <mergeCell ref="I458:K458"/>
    <mergeCell ref="F453:F458"/>
    <mergeCell ref="AF453:AF457"/>
    <mergeCell ref="AG453:AG457"/>
    <mergeCell ref="AH453:AH457"/>
    <mergeCell ref="AI453:AI457"/>
    <mergeCell ref="S454:S456"/>
    <mergeCell ref="T454:T456"/>
    <mergeCell ref="U454:U456"/>
    <mergeCell ref="V454:V456"/>
    <mergeCell ref="W454:W456"/>
    <mergeCell ref="X454:X456"/>
    <mergeCell ref="Y454:Y456"/>
    <mergeCell ref="H453:H457"/>
    <mergeCell ref="I453:I457"/>
    <mergeCell ref="J453:J457"/>
    <mergeCell ref="K453:K457"/>
    <mergeCell ref="L453:L457"/>
    <mergeCell ref="M453:M457"/>
    <mergeCell ref="N454:N456"/>
    <mergeCell ref="O454:O456"/>
    <mergeCell ref="P460:P462"/>
    <mergeCell ref="Q460:Q462"/>
    <mergeCell ref="R460:R462"/>
    <mergeCell ref="G459:G463"/>
    <mergeCell ref="AJ459:AJ463"/>
    <mergeCell ref="AK459:AK463"/>
    <mergeCell ref="I464:K464"/>
    <mergeCell ref="F459:F464"/>
    <mergeCell ref="AF459:AF463"/>
    <mergeCell ref="AG459:AG463"/>
    <mergeCell ref="AH459:AH463"/>
    <mergeCell ref="AI459:AI463"/>
    <mergeCell ref="S460:S462"/>
    <mergeCell ref="T460:T462"/>
    <mergeCell ref="U460:U462"/>
    <mergeCell ref="V460:V462"/>
    <mergeCell ref="W460:W462"/>
    <mergeCell ref="X460:X462"/>
    <mergeCell ref="Y460:Y462"/>
    <mergeCell ref="H459:H463"/>
    <mergeCell ref="I459:I463"/>
    <mergeCell ref="J459:J463"/>
    <mergeCell ref="K459:K463"/>
    <mergeCell ref="L459:L463"/>
    <mergeCell ref="M459:M463"/>
    <mergeCell ref="N460:N462"/>
    <mergeCell ref="O460:O462"/>
    <mergeCell ref="P466:P468"/>
    <mergeCell ref="Q466:Q468"/>
    <mergeCell ref="R466:R468"/>
    <mergeCell ref="G465:G469"/>
    <mergeCell ref="AJ465:AJ469"/>
    <mergeCell ref="AK465:AK469"/>
    <mergeCell ref="I470:K470"/>
    <mergeCell ref="F465:F470"/>
    <mergeCell ref="AF465:AF469"/>
    <mergeCell ref="AG465:AG469"/>
    <mergeCell ref="AH465:AH469"/>
    <mergeCell ref="AI465:AI469"/>
    <mergeCell ref="S466:S468"/>
    <mergeCell ref="T466:T468"/>
    <mergeCell ref="U466:U468"/>
    <mergeCell ref="V466:V468"/>
    <mergeCell ref="W466:W468"/>
    <mergeCell ref="X466:X468"/>
    <mergeCell ref="Y466:Y468"/>
    <mergeCell ref="H465:H469"/>
    <mergeCell ref="I465:I469"/>
    <mergeCell ref="J465:J469"/>
    <mergeCell ref="K465:K469"/>
    <mergeCell ref="L465:L469"/>
    <mergeCell ref="M465:M469"/>
    <mergeCell ref="N466:N468"/>
    <mergeCell ref="O466:O468"/>
    <mergeCell ref="P473:P475"/>
    <mergeCell ref="Q473:Q475"/>
    <mergeCell ref="R473:R475"/>
    <mergeCell ref="G472:G476"/>
    <mergeCell ref="AJ472:AJ476"/>
    <mergeCell ref="AK472:AK476"/>
    <mergeCell ref="I482:K482"/>
    <mergeCell ref="F472:F482"/>
    <mergeCell ref="AF472:AF476"/>
    <mergeCell ref="AG472:AG476"/>
    <mergeCell ref="AH472:AH476"/>
    <mergeCell ref="AI472:AI476"/>
    <mergeCell ref="S473:S475"/>
    <mergeCell ref="T473:T475"/>
    <mergeCell ref="U473:U475"/>
    <mergeCell ref="V473:V475"/>
    <mergeCell ref="W473:W475"/>
    <mergeCell ref="X473:X475"/>
    <mergeCell ref="Y473:Y475"/>
    <mergeCell ref="H472:H476"/>
    <mergeCell ref="I472:I476"/>
    <mergeCell ref="J472:J476"/>
    <mergeCell ref="K472:K476"/>
    <mergeCell ref="L472:L476"/>
    <mergeCell ref="M472:M476"/>
    <mergeCell ref="N473:N475"/>
    <mergeCell ref="O473:O475"/>
    <mergeCell ref="P484:P486"/>
    <mergeCell ref="Q484:Q486"/>
    <mergeCell ref="R484:R486"/>
    <mergeCell ref="G483:G487"/>
    <mergeCell ref="AJ483:AJ487"/>
    <mergeCell ref="AK483:AK487"/>
    <mergeCell ref="I488:K488"/>
    <mergeCell ref="F483:F488"/>
    <mergeCell ref="AF483:AF487"/>
    <mergeCell ref="AG483:AG487"/>
    <mergeCell ref="AH483:AH487"/>
    <mergeCell ref="AI483:AI487"/>
    <mergeCell ref="S484:S486"/>
    <mergeCell ref="T484:T486"/>
    <mergeCell ref="U484:U486"/>
    <mergeCell ref="V484:V486"/>
    <mergeCell ref="W484:W486"/>
    <mergeCell ref="X484:X486"/>
    <mergeCell ref="Y484:Y486"/>
    <mergeCell ref="H483:H487"/>
    <mergeCell ref="I483:I487"/>
    <mergeCell ref="J483:J487"/>
    <mergeCell ref="K483:K487"/>
    <mergeCell ref="L483:L487"/>
    <mergeCell ref="M483:M487"/>
    <mergeCell ref="N484:N486"/>
    <mergeCell ref="O484:O486"/>
    <mergeCell ref="P490:P492"/>
    <mergeCell ref="Q490:Q492"/>
    <mergeCell ref="R490:R492"/>
    <mergeCell ref="G489:G493"/>
    <mergeCell ref="AJ489:AJ493"/>
    <mergeCell ref="AK489:AK493"/>
    <mergeCell ref="I494:K494"/>
    <mergeCell ref="F489:F494"/>
    <mergeCell ref="AF489:AF493"/>
    <mergeCell ref="AG489:AG493"/>
    <mergeCell ref="AH489:AH493"/>
    <mergeCell ref="AI489:AI493"/>
    <mergeCell ref="S490:S492"/>
    <mergeCell ref="T490:T492"/>
    <mergeCell ref="U490:U492"/>
    <mergeCell ref="V490:V492"/>
    <mergeCell ref="W490:W492"/>
    <mergeCell ref="X490:X492"/>
    <mergeCell ref="Y490:Y492"/>
    <mergeCell ref="H489:H493"/>
    <mergeCell ref="I489:I493"/>
    <mergeCell ref="J489:J493"/>
    <mergeCell ref="K489:K493"/>
    <mergeCell ref="L489:L493"/>
    <mergeCell ref="M489:M493"/>
    <mergeCell ref="N490:N492"/>
    <mergeCell ref="O490:O492"/>
    <mergeCell ref="P496:P498"/>
    <mergeCell ref="Q496:Q498"/>
    <mergeCell ref="R496:R498"/>
    <mergeCell ref="G495:G499"/>
    <mergeCell ref="AJ495:AJ499"/>
    <mergeCell ref="AK495:AK499"/>
    <mergeCell ref="I500:K500"/>
    <mergeCell ref="F495:F500"/>
    <mergeCell ref="AF495:AF499"/>
    <mergeCell ref="AG495:AG499"/>
    <mergeCell ref="AH495:AH499"/>
    <mergeCell ref="AI495:AI499"/>
    <mergeCell ref="S496:S498"/>
    <mergeCell ref="T496:T498"/>
    <mergeCell ref="U496:U498"/>
    <mergeCell ref="V496:V498"/>
    <mergeCell ref="W496:W498"/>
    <mergeCell ref="X496:X498"/>
    <mergeCell ref="Y496:Y498"/>
    <mergeCell ref="H495:H499"/>
    <mergeCell ref="I495:I499"/>
    <mergeCell ref="J495:J499"/>
    <mergeCell ref="K495:K499"/>
    <mergeCell ref="L495:L499"/>
    <mergeCell ref="M495:M499"/>
    <mergeCell ref="N496:N498"/>
    <mergeCell ref="O496:O498"/>
    <mergeCell ref="P502:P504"/>
    <mergeCell ref="Q502:Q504"/>
    <mergeCell ref="R502:R504"/>
    <mergeCell ref="G501:G505"/>
    <mergeCell ref="AJ501:AJ505"/>
    <mergeCell ref="AK501:AK505"/>
    <mergeCell ref="I506:K506"/>
    <mergeCell ref="F501:F506"/>
    <mergeCell ref="AF501:AF505"/>
    <mergeCell ref="AG501:AG505"/>
    <mergeCell ref="AH501:AH505"/>
    <mergeCell ref="AI501:AI505"/>
    <mergeCell ref="S502:S504"/>
    <mergeCell ref="T502:T504"/>
    <mergeCell ref="U502:U504"/>
    <mergeCell ref="V502:V504"/>
    <mergeCell ref="W502:W504"/>
    <mergeCell ref="X502:X504"/>
    <mergeCell ref="Y502:Y504"/>
    <mergeCell ref="H501:H505"/>
    <mergeCell ref="I501:I505"/>
    <mergeCell ref="J501:J505"/>
    <mergeCell ref="K501:K505"/>
    <mergeCell ref="L501:L505"/>
    <mergeCell ref="M501:M505"/>
    <mergeCell ref="N502:N504"/>
    <mergeCell ref="O502:O504"/>
    <mergeCell ref="P509:P511"/>
    <mergeCell ref="Q509:Q511"/>
    <mergeCell ref="R509:R511"/>
    <mergeCell ref="G508:G512"/>
    <mergeCell ref="AJ508:AJ512"/>
    <mergeCell ref="AK508:AK512"/>
    <mergeCell ref="I518:K518"/>
    <mergeCell ref="F508:F518"/>
    <mergeCell ref="AF508:AF512"/>
    <mergeCell ref="AG508:AG512"/>
    <mergeCell ref="AH508:AH512"/>
    <mergeCell ref="AI508:AI512"/>
    <mergeCell ref="S509:S511"/>
    <mergeCell ref="T509:T511"/>
    <mergeCell ref="U509:U511"/>
    <mergeCell ref="V509:V511"/>
    <mergeCell ref="W509:W511"/>
    <mergeCell ref="X509:X511"/>
    <mergeCell ref="Y509:Y511"/>
    <mergeCell ref="H508:H512"/>
    <mergeCell ref="I508:I512"/>
    <mergeCell ref="J508:J512"/>
    <mergeCell ref="K508:K512"/>
    <mergeCell ref="L508:L512"/>
    <mergeCell ref="M508:M512"/>
    <mergeCell ref="N509:N511"/>
    <mergeCell ref="O509:O511"/>
    <mergeCell ref="P520:P522"/>
    <mergeCell ref="Q520:Q522"/>
    <mergeCell ref="R520:R522"/>
    <mergeCell ref="G519:G523"/>
    <mergeCell ref="AJ519:AJ523"/>
    <mergeCell ref="AK519:AK523"/>
    <mergeCell ref="I524:K524"/>
    <mergeCell ref="F519:F524"/>
    <mergeCell ref="AF519:AF523"/>
    <mergeCell ref="AG519:AG523"/>
    <mergeCell ref="AH519:AH523"/>
    <mergeCell ref="AI519:AI523"/>
    <mergeCell ref="S520:S522"/>
    <mergeCell ref="T520:T522"/>
    <mergeCell ref="U520:U522"/>
    <mergeCell ref="V520:V522"/>
    <mergeCell ref="W520:W522"/>
    <mergeCell ref="X520:X522"/>
    <mergeCell ref="Y520:Y522"/>
    <mergeCell ref="H519:H523"/>
    <mergeCell ref="I519:I523"/>
    <mergeCell ref="J519:J523"/>
    <mergeCell ref="K519:K523"/>
    <mergeCell ref="L519:L523"/>
    <mergeCell ref="M519:M523"/>
    <mergeCell ref="N520:N522"/>
    <mergeCell ref="O520:O522"/>
    <mergeCell ref="P526:P528"/>
    <mergeCell ref="Q526:Q528"/>
    <mergeCell ref="R526:R528"/>
    <mergeCell ref="G525:G529"/>
    <mergeCell ref="AJ525:AJ529"/>
    <mergeCell ref="AK525:AK529"/>
    <mergeCell ref="I530:K530"/>
    <mergeCell ref="F525:F530"/>
    <mergeCell ref="AF525:AF529"/>
    <mergeCell ref="AG525:AG529"/>
    <mergeCell ref="AH525:AH529"/>
    <mergeCell ref="AI525:AI529"/>
    <mergeCell ref="S526:S528"/>
    <mergeCell ref="T526:T528"/>
    <mergeCell ref="U526:U528"/>
    <mergeCell ref="V526:V528"/>
    <mergeCell ref="W526:W528"/>
    <mergeCell ref="X526:X528"/>
    <mergeCell ref="Y526:Y528"/>
    <mergeCell ref="H525:H529"/>
    <mergeCell ref="I525:I529"/>
    <mergeCell ref="J525:J529"/>
    <mergeCell ref="K525:K529"/>
    <mergeCell ref="L525:L529"/>
    <mergeCell ref="M525:M529"/>
    <mergeCell ref="N526:N528"/>
    <mergeCell ref="O526:O528"/>
    <mergeCell ref="P532:P534"/>
    <mergeCell ref="Q532:Q534"/>
    <mergeCell ref="R532:R534"/>
    <mergeCell ref="G531:G535"/>
    <mergeCell ref="AJ531:AJ535"/>
    <mergeCell ref="AK531:AK535"/>
    <mergeCell ref="I536:K536"/>
    <mergeCell ref="F531:F536"/>
    <mergeCell ref="AF531:AF535"/>
    <mergeCell ref="AG531:AG535"/>
    <mergeCell ref="AH531:AH535"/>
    <mergeCell ref="AI531:AI535"/>
    <mergeCell ref="S532:S534"/>
    <mergeCell ref="T532:T534"/>
    <mergeCell ref="U532:U534"/>
    <mergeCell ref="V532:V534"/>
    <mergeCell ref="W532:W534"/>
    <mergeCell ref="X532:X534"/>
    <mergeCell ref="Y532:Y534"/>
    <mergeCell ref="H531:H535"/>
    <mergeCell ref="I531:I535"/>
    <mergeCell ref="J531:J535"/>
    <mergeCell ref="K531:K535"/>
    <mergeCell ref="L531:L535"/>
    <mergeCell ref="M531:M535"/>
    <mergeCell ref="N532:N534"/>
    <mergeCell ref="O532:O534"/>
    <mergeCell ref="P538:P540"/>
    <mergeCell ref="Q538:Q540"/>
    <mergeCell ref="R538:R540"/>
    <mergeCell ref="G537:G541"/>
    <mergeCell ref="AJ537:AJ541"/>
    <mergeCell ref="AK537:AK541"/>
    <mergeCell ref="I542:K542"/>
    <mergeCell ref="F537:F542"/>
    <mergeCell ref="AF537:AF541"/>
    <mergeCell ref="AG537:AG541"/>
    <mergeCell ref="AH537:AH541"/>
    <mergeCell ref="AI537:AI541"/>
    <mergeCell ref="S538:S540"/>
    <mergeCell ref="T538:T540"/>
    <mergeCell ref="U538:U540"/>
    <mergeCell ref="V538:V540"/>
    <mergeCell ref="W538:W540"/>
    <mergeCell ref="X538:X540"/>
    <mergeCell ref="Y538:Y540"/>
    <mergeCell ref="H537:H541"/>
    <mergeCell ref="I537:I541"/>
    <mergeCell ref="J537:J541"/>
    <mergeCell ref="K537:K541"/>
    <mergeCell ref="L537:L541"/>
    <mergeCell ref="M537:M541"/>
    <mergeCell ref="N538:N540"/>
    <mergeCell ref="O538:O540"/>
    <mergeCell ref="P545:P547"/>
    <mergeCell ref="Q545:Q547"/>
    <mergeCell ref="R545:R547"/>
    <mergeCell ref="G544:G548"/>
    <mergeCell ref="AJ544:AJ548"/>
    <mergeCell ref="AK544:AK548"/>
    <mergeCell ref="I554:K554"/>
    <mergeCell ref="F544:F554"/>
    <mergeCell ref="AF544:AF548"/>
    <mergeCell ref="AG544:AG548"/>
    <mergeCell ref="AH544:AH548"/>
    <mergeCell ref="AI544:AI548"/>
    <mergeCell ref="S545:S547"/>
    <mergeCell ref="T545:T547"/>
    <mergeCell ref="U545:U547"/>
    <mergeCell ref="V545:V547"/>
    <mergeCell ref="W545:W547"/>
    <mergeCell ref="X545:X547"/>
    <mergeCell ref="Y545:Y547"/>
    <mergeCell ref="H544:H548"/>
    <mergeCell ref="I544:I548"/>
    <mergeCell ref="J544:J548"/>
    <mergeCell ref="K544:K548"/>
    <mergeCell ref="L544:L548"/>
    <mergeCell ref="M544:M548"/>
    <mergeCell ref="N545:N547"/>
    <mergeCell ref="O545:O547"/>
    <mergeCell ref="P556:P558"/>
    <mergeCell ref="Q556:Q558"/>
    <mergeCell ref="R556:R558"/>
    <mergeCell ref="G555:G559"/>
    <mergeCell ref="AJ555:AJ559"/>
    <mergeCell ref="AK555:AK559"/>
    <mergeCell ref="I560:K560"/>
    <mergeCell ref="F555:F560"/>
    <mergeCell ref="AF555:AF559"/>
    <mergeCell ref="AG555:AG559"/>
    <mergeCell ref="AH555:AH559"/>
    <mergeCell ref="AI555:AI559"/>
    <mergeCell ref="S556:S558"/>
    <mergeCell ref="T556:T558"/>
    <mergeCell ref="U556:U558"/>
    <mergeCell ref="V556:V558"/>
    <mergeCell ref="W556:W558"/>
    <mergeCell ref="X556:X558"/>
    <mergeCell ref="Y556:Y558"/>
    <mergeCell ref="H555:H559"/>
    <mergeCell ref="I555:I559"/>
    <mergeCell ref="J555:J559"/>
    <mergeCell ref="K555:K559"/>
    <mergeCell ref="L555:L559"/>
    <mergeCell ref="M555:M559"/>
    <mergeCell ref="N556:N558"/>
    <mergeCell ref="O556:O558"/>
    <mergeCell ref="P562:P564"/>
    <mergeCell ref="Q562:Q564"/>
    <mergeCell ref="R562:R564"/>
    <mergeCell ref="G561:G565"/>
    <mergeCell ref="AJ561:AJ565"/>
    <mergeCell ref="AK561:AK565"/>
    <mergeCell ref="I566:K566"/>
    <mergeCell ref="F561:F566"/>
    <mergeCell ref="AF561:AF565"/>
    <mergeCell ref="AG561:AG565"/>
    <mergeCell ref="AH561:AH565"/>
    <mergeCell ref="AI561:AI565"/>
    <mergeCell ref="S562:S564"/>
    <mergeCell ref="T562:T564"/>
    <mergeCell ref="U562:U564"/>
    <mergeCell ref="V562:V564"/>
    <mergeCell ref="W562:W564"/>
    <mergeCell ref="X562:X564"/>
    <mergeCell ref="Y562:Y564"/>
    <mergeCell ref="H561:H565"/>
    <mergeCell ref="I561:I565"/>
    <mergeCell ref="J561:J565"/>
    <mergeCell ref="K561:K565"/>
    <mergeCell ref="L561:L565"/>
    <mergeCell ref="M561:M565"/>
    <mergeCell ref="N562:N564"/>
    <mergeCell ref="O562:O564"/>
    <mergeCell ref="P568:P570"/>
    <mergeCell ref="Q568:Q570"/>
    <mergeCell ref="R568:R570"/>
    <mergeCell ref="G567:G571"/>
    <mergeCell ref="AJ567:AJ571"/>
    <mergeCell ref="AK567:AK571"/>
    <mergeCell ref="I572:K572"/>
    <mergeCell ref="F567:F572"/>
    <mergeCell ref="AF567:AF571"/>
    <mergeCell ref="AG567:AG571"/>
    <mergeCell ref="AH567:AH571"/>
    <mergeCell ref="AI567:AI571"/>
    <mergeCell ref="S568:S570"/>
    <mergeCell ref="T568:T570"/>
    <mergeCell ref="U568:U570"/>
    <mergeCell ref="V568:V570"/>
    <mergeCell ref="W568:W570"/>
    <mergeCell ref="X568:X570"/>
    <mergeCell ref="Y568:Y570"/>
    <mergeCell ref="H567:H571"/>
    <mergeCell ref="I567:I571"/>
    <mergeCell ref="J567:J571"/>
    <mergeCell ref="K567:K571"/>
    <mergeCell ref="L567:L571"/>
    <mergeCell ref="M567:M571"/>
    <mergeCell ref="N568:N570"/>
    <mergeCell ref="O568:O570"/>
    <mergeCell ref="P574:P576"/>
    <mergeCell ref="Q574:Q576"/>
    <mergeCell ref="R574:R576"/>
    <mergeCell ref="G573:G577"/>
    <mergeCell ref="AJ573:AJ577"/>
    <mergeCell ref="AK573:AK577"/>
    <mergeCell ref="I578:K578"/>
    <mergeCell ref="F573:F578"/>
    <mergeCell ref="AF573:AF577"/>
    <mergeCell ref="AG573:AG577"/>
    <mergeCell ref="AH573:AH577"/>
    <mergeCell ref="AI573:AI577"/>
    <mergeCell ref="S574:S576"/>
    <mergeCell ref="T574:T576"/>
    <mergeCell ref="U574:U576"/>
    <mergeCell ref="V574:V576"/>
    <mergeCell ref="W574:W576"/>
    <mergeCell ref="X574:X576"/>
    <mergeCell ref="Y574:Y576"/>
    <mergeCell ref="H573:H577"/>
    <mergeCell ref="I573:I577"/>
    <mergeCell ref="J573:J577"/>
    <mergeCell ref="K573:K577"/>
    <mergeCell ref="L573:L577"/>
    <mergeCell ref="M573:M577"/>
    <mergeCell ref="N574:N576"/>
    <mergeCell ref="O574:O576"/>
    <mergeCell ref="P581:P583"/>
    <mergeCell ref="Q581:Q583"/>
    <mergeCell ref="R581:R583"/>
    <mergeCell ref="G580:G584"/>
    <mergeCell ref="AJ580:AJ584"/>
    <mergeCell ref="AK580:AK584"/>
    <mergeCell ref="I590:K590"/>
    <mergeCell ref="F580:F590"/>
    <mergeCell ref="AF580:AF584"/>
    <mergeCell ref="AG580:AG584"/>
    <mergeCell ref="AH580:AH584"/>
    <mergeCell ref="AI580:AI584"/>
    <mergeCell ref="S581:S583"/>
    <mergeCell ref="T581:T583"/>
    <mergeCell ref="U581:U583"/>
    <mergeCell ref="V581:V583"/>
    <mergeCell ref="W581:W583"/>
    <mergeCell ref="X581:X583"/>
    <mergeCell ref="Y581:Y583"/>
    <mergeCell ref="H580:H584"/>
    <mergeCell ref="I580:I584"/>
    <mergeCell ref="J580:J584"/>
    <mergeCell ref="K580:K584"/>
    <mergeCell ref="L580:L584"/>
    <mergeCell ref="M580:M584"/>
    <mergeCell ref="N581:N583"/>
    <mergeCell ref="O581:O583"/>
    <mergeCell ref="P592:P594"/>
    <mergeCell ref="Q592:Q594"/>
    <mergeCell ref="R592:R594"/>
    <mergeCell ref="G591:G595"/>
    <mergeCell ref="AJ591:AJ595"/>
    <mergeCell ref="AK591:AK595"/>
    <mergeCell ref="I596:K596"/>
    <mergeCell ref="F591:F596"/>
    <mergeCell ref="AF591:AF595"/>
    <mergeCell ref="AG591:AG595"/>
    <mergeCell ref="AH591:AH595"/>
    <mergeCell ref="AI591:AI595"/>
    <mergeCell ref="S592:S594"/>
    <mergeCell ref="T592:T594"/>
    <mergeCell ref="U592:U594"/>
    <mergeCell ref="V592:V594"/>
    <mergeCell ref="W592:W594"/>
    <mergeCell ref="X592:X594"/>
    <mergeCell ref="Y592:Y594"/>
    <mergeCell ref="H591:H595"/>
    <mergeCell ref="I591:I595"/>
    <mergeCell ref="J591:J595"/>
    <mergeCell ref="K591:K595"/>
    <mergeCell ref="L591:L595"/>
    <mergeCell ref="M591:M595"/>
    <mergeCell ref="N592:N594"/>
    <mergeCell ref="O592:O594"/>
    <mergeCell ref="P598:P600"/>
    <mergeCell ref="Q598:Q600"/>
    <mergeCell ref="R598:R600"/>
    <mergeCell ref="G597:G601"/>
    <mergeCell ref="AJ597:AJ601"/>
    <mergeCell ref="AK597:AK601"/>
    <mergeCell ref="I602:K602"/>
    <mergeCell ref="F597:F602"/>
    <mergeCell ref="AF597:AF601"/>
    <mergeCell ref="AG597:AG601"/>
    <mergeCell ref="AH597:AH601"/>
    <mergeCell ref="AI597:AI601"/>
    <mergeCell ref="S598:S600"/>
    <mergeCell ref="T598:T600"/>
    <mergeCell ref="U598:U600"/>
    <mergeCell ref="V598:V600"/>
    <mergeCell ref="W598:W600"/>
    <mergeCell ref="X598:X600"/>
    <mergeCell ref="Y598:Y600"/>
    <mergeCell ref="H597:H601"/>
    <mergeCell ref="I597:I601"/>
    <mergeCell ref="J597:J601"/>
    <mergeCell ref="K597:K601"/>
    <mergeCell ref="L597:L601"/>
    <mergeCell ref="M597:M601"/>
    <mergeCell ref="N598:N600"/>
    <mergeCell ref="O598:O600"/>
    <mergeCell ref="P604:P606"/>
    <mergeCell ref="Q604:Q606"/>
    <mergeCell ref="R604:R606"/>
    <mergeCell ref="G603:G607"/>
    <mergeCell ref="AJ603:AJ607"/>
    <mergeCell ref="AK603:AK607"/>
    <mergeCell ref="I608:K608"/>
    <mergeCell ref="F603:F608"/>
    <mergeCell ref="AF603:AF607"/>
    <mergeCell ref="AG603:AG607"/>
    <mergeCell ref="AH603:AH607"/>
    <mergeCell ref="AI603:AI607"/>
    <mergeCell ref="S604:S606"/>
    <mergeCell ref="T604:T606"/>
    <mergeCell ref="U604:U606"/>
    <mergeCell ref="V604:V606"/>
    <mergeCell ref="W604:W606"/>
    <mergeCell ref="X604:X606"/>
    <mergeCell ref="Y604:Y606"/>
    <mergeCell ref="H603:H607"/>
    <mergeCell ref="I603:I607"/>
    <mergeCell ref="J603:J607"/>
    <mergeCell ref="K603:K607"/>
    <mergeCell ref="L603:L607"/>
    <mergeCell ref="M603:M607"/>
    <mergeCell ref="N604:N606"/>
    <mergeCell ref="O604:O606"/>
    <mergeCell ref="P610:P612"/>
    <mergeCell ref="Q610:Q612"/>
    <mergeCell ref="R610:R612"/>
    <mergeCell ref="G609:G613"/>
    <mergeCell ref="AJ609:AJ613"/>
    <mergeCell ref="AK609:AK613"/>
    <mergeCell ref="I614:K614"/>
    <mergeCell ref="F609:F614"/>
    <mergeCell ref="AF609:AF613"/>
    <mergeCell ref="AG609:AG613"/>
    <mergeCell ref="AH609:AH613"/>
    <mergeCell ref="AI609:AI613"/>
    <mergeCell ref="S610:S612"/>
    <mergeCell ref="T610:T612"/>
    <mergeCell ref="U610:U612"/>
    <mergeCell ref="V610:V612"/>
    <mergeCell ref="W610:W612"/>
    <mergeCell ref="X610:X612"/>
    <mergeCell ref="Y610:Y612"/>
    <mergeCell ref="H609:H613"/>
    <mergeCell ref="I609:I613"/>
    <mergeCell ref="J609:J613"/>
    <mergeCell ref="K609:K613"/>
    <mergeCell ref="L609:L613"/>
    <mergeCell ref="M609:M613"/>
    <mergeCell ref="N610:N612"/>
    <mergeCell ref="O610:O612"/>
    <mergeCell ref="P617:P619"/>
    <mergeCell ref="Q617:Q619"/>
    <mergeCell ref="R617:R619"/>
    <mergeCell ref="G616:G620"/>
    <mergeCell ref="AJ616:AJ620"/>
    <mergeCell ref="AK616:AK620"/>
    <mergeCell ref="I626:K626"/>
    <mergeCell ref="F616:F626"/>
    <mergeCell ref="AF616:AF620"/>
    <mergeCell ref="AG616:AG620"/>
    <mergeCell ref="AH616:AH620"/>
    <mergeCell ref="AI616:AI620"/>
    <mergeCell ref="S617:S619"/>
    <mergeCell ref="T617:T619"/>
    <mergeCell ref="U617:U619"/>
    <mergeCell ref="V617:V619"/>
    <mergeCell ref="W617:W619"/>
    <mergeCell ref="X617:X619"/>
    <mergeCell ref="Y617:Y619"/>
    <mergeCell ref="H616:H620"/>
    <mergeCell ref="I616:I620"/>
    <mergeCell ref="J616:J620"/>
    <mergeCell ref="K616:K620"/>
    <mergeCell ref="L616:L620"/>
    <mergeCell ref="M616:M620"/>
    <mergeCell ref="N617:N619"/>
    <mergeCell ref="O617:O619"/>
    <mergeCell ref="P628:P630"/>
    <mergeCell ref="Q628:Q630"/>
    <mergeCell ref="R628:R630"/>
    <mergeCell ref="G627:G631"/>
    <mergeCell ref="AJ627:AJ631"/>
    <mergeCell ref="AK627:AK631"/>
    <mergeCell ref="I632:K632"/>
    <mergeCell ref="F627:F632"/>
    <mergeCell ref="AF627:AF631"/>
    <mergeCell ref="AG627:AG631"/>
    <mergeCell ref="AH627:AH631"/>
    <mergeCell ref="AI627:AI631"/>
    <mergeCell ref="S628:S630"/>
    <mergeCell ref="T628:T630"/>
    <mergeCell ref="U628:U630"/>
    <mergeCell ref="V628:V630"/>
    <mergeCell ref="W628:W630"/>
    <mergeCell ref="X628:X630"/>
    <mergeCell ref="Y628:Y630"/>
    <mergeCell ref="H627:H631"/>
    <mergeCell ref="I627:I631"/>
    <mergeCell ref="J627:J631"/>
    <mergeCell ref="K627:K631"/>
    <mergeCell ref="L627:L631"/>
    <mergeCell ref="M627:M631"/>
    <mergeCell ref="N628:N630"/>
    <mergeCell ref="O628:O630"/>
    <mergeCell ref="P634:P636"/>
    <mergeCell ref="Q634:Q636"/>
    <mergeCell ref="R634:R636"/>
    <mergeCell ref="G633:G637"/>
    <mergeCell ref="AJ633:AJ637"/>
    <mergeCell ref="AK633:AK637"/>
    <mergeCell ref="I638:K638"/>
    <mergeCell ref="F633:F638"/>
    <mergeCell ref="AF633:AF637"/>
    <mergeCell ref="AG633:AG637"/>
    <mergeCell ref="AH633:AH637"/>
    <mergeCell ref="AI633:AI637"/>
    <mergeCell ref="S634:S636"/>
    <mergeCell ref="T634:T636"/>
    <mergeCell ref="U634:U636"/>
    <mergeCell ref="V634:V636"/>
    <mergeCell ref="W634:W636"/>
    <mergeCell ref="X634:X636"/>
    <mergeCell ref="Y634:Y636"/>
    <mergeCell ref="H633:H637"/>
    <mergeCell ref="I633:I637"/>
    <mergeCell ref="J633:J637"/>
    <mergeCell ref="K633:K637"/>
    <mergeCell ref="L633:L637"/>
    <mergeCell ref="M633:M637"/>
    <mergeCell ref="N634:N636"/>
    <mergeCell ref="O634:O636"/>
    <mergeCell ref="P640:P642"/>
    <mergeCell ref="Q640:Q642"/>
    <mergeCell ref="R640:R642"/>
    <mergeCell ref="G639:G643"/>
    <mergeCell ref="AJ639:AJ643"/>
    <mergeCell ref="AK639:AK643"/>
    <mergeCell ref="I644:K644"/>
    <mergeCell ref="F639:F644"/>
    <mergeCell ref="AF639:AF643"/>
    <mergeCell ref="AG639:AG643"/>
    <mergeCell ref="AH639:AH643"/>
    <mergeCell ref="AI639:AI643"/>
    <mergeCell ref="S640:S642"/>
    <mergeCell ref="T640:T642"/>
    <mergeCell ref="U640:U642"/>
    <mergeCell ref="V640:V642"/>
    <mergeCell ref="W640:W642"/>
    <mergeCell ref="X640:X642"/>
    <mergeCell ref="Y640:Y642"/>
    <mergeCell ref="H639:H643"/>
    <mergeCell ref="I639:I643"/>
    <mergeCell ref="J639:J643"/>
    <mergeCell ref="K639:K643"/>
    <mergeCell ref="L639:L643"/>
    <mergeCell ref="M639:M643"/>
    <mergeCell ref="N640:N642"/>
    <mergeCell ref="O640:O642"/>
    <mergeCell ref="P646:P648"/>
    <mergeCell ref="Q646:Q648"/>
    <mergeCell ref="R646:R648"/>
    <mergeCell ref="G645:G649"/>
    <mergeCell ref="AJ645:AJ649"/>
    <mergeCell ref="AK645:AK649"/>
    <mergeCell ref="I650:K650"/>
    <mergeCell ref="F645:F650"/>
    <mergeCell ref="AF645:AF649"/>
    <mergeCell ref="AG645:AG649"/>
    <mergeCell ref="AH645:AH649"/>
    <mergeCell ref="AI645:AI649"/>
    <mergeCell ref="S646:S648"/>
    <mergeCell ref="T646:T648"/>
    <mergeCell ref="U646:U648"/>
    <mergeCell ref="V646:V648"/>
    <mergeCell ref="W646:W648"/>
    <mergeCell ref="X646:X648"/>
    <mergeCell ref="Y646:Y648"/>
    <mergeCell ref="H645:H649"/>
    <mergeCell ref="I645:I649"/>
    <mergeCell ref="J645:J649"/>
    <mergeCell ref="K645:K649"/>
    <mergeCell ref="L645:L649"/>
    <mergeCell ref="M645:M649"/>
    <mergeCell ref="N646:N648"/>
    <mergeCell ref="O646:O648"/>
    <mergeCell ref="P653:P655"/>
    <mergeCell ref="Q653:Q655"/>
    <mergeCell ref="R653:R655"/>
    <mergeCell ref="G652:G656"/>
    <mergeCell ref="AJ652:AJ656"/>
    <mergeCell ref="AK652:AK656"/>
    <mergeCell ref="I662:K662"/>
    <mergeCell ref="F652:F662"/>
    <mergeCell ref="AF652:AF656"/>
    <mergeCell ref="AG652:AG656"/>
    <mergeCell ref="AH652:AH656"/>
    <mergeCell ref="AI652:AI656"/>
    <mergeCell ref="S653:S655"/>
    <mergeCell ref="T653:T655"/>
    <mergeCell ref="U653:U655"/>
    <mergeCell ref="V653:V655"/>
    <mergeCell ref="W653:W655"/>
    <mergeCell ref="X653:X655"/>
    <mergeCell ref="Y653:Y655"/>
    <mergeCell ref="H652:H656"/>
    <mergeCell ref="I652:I656"/>
    <mergeCell ref="J652:J656"/>
    <mergeCell ref="K652:K656"/>
    <mergeCell ref="L652:L656"/>
    <mergeCell ref="M652:M656"/>
    <mergeCell ref="N653:N655"/>
    <mergeCell ref="O653:O655"/>
    <mergeCell ref="P664:P666"/>
    <mergeCell ref="Q664:Q666"/>
    <mergeCell ref="R664:R666"/>
    <mergeCell ref="G663:G667"/>
    <mergeCell ref="AJ663:AJ667"/>
    <mergeCell ref="AK663:AK667"/>
    <mergeCell ref="I668:K668"/>
    <mergeCell ref="F663:F668"/>
    <mergeCell ref="AF663:AF667"/>
    <mergeCell ref="AG663:AG667"/>
    <mergeCell ref="AH663:AH667"/>
    <mergeCell ref="AI663:AI667"/>
    <mergeCell ref="S664:S666"/>
    <mergeCell ref="T664:T666"/>
    <mergeCell ref="U664:U666"/>
    <mergeCell ref="V664:V666"/>
    <mergeCell ref="W664:W666"/>
    <mergeCell ref="X664:X666"/>
    <mergeCell ref="Y664:Y666"/>
    <mergeCell ref="H663:H667"/>
    <mergeCell ref="I663:I667"/>
    <mergeCell ref="J663:J667"/>
    <mergeCell ref="K663:K667"/>
    <mergeCell ref="L663:L667"/>
    <mergeCell ref="M663:M667"/>
    <mergeCell ref="N664:N666"/>
    <mergeCell ref="O664:O666"/>
    <mergeCell ref="P670:P672"/>
    <mergeCell ref="Q670:Q672"/>
    <mergeCell ref="R670:R672"/>
    <mergeCell ref="G669:G673"/>
    <mergeCell ref="AJ669:AJ673"/>
    <mergeCell ref="AK669:AK673"/>
    <mergeCell ref="I674:K674"/>
    <mergeCell ref="F669:F674"/>
    <mergeCell ref="AF669:AF673"/>
    <mergeCell ref="AG669:AG673"/>
    <mergeCell ref="AH669:AH673"/>
    <mergeCell ref="AI669:AI673"/>
    <mergeCell ref="S670:S672"/>
    <mergeCell ref="T670:T672"/>
    <mergeCell ref="U670:U672"/>
    <mergeCell ref="V670:V672"/>
    <mergeCell ref="W670:W672"/>
    <mergeCell ref="X670:X672"/>
    <mergeCell ref="Y670:Y672"/>
    <mergeCell ref="H669:H673"/>
    <mergeCell ref="I669:I673"/>
    <mergeCell ref="J669:J673"/>
    <mergeCell ref="K669:K673"/>
    <mergeCell ref="L669:L673"/>
    <mergeCell ref="M669:M673"/>
    <mergeCell ref="N670:N672"/>
    <mergeCell ref="O670:O672"/>
    <mergeCell ref="P676:P678"/>
    <mergeCell ref="Q676:Q678"/>
    <mergeCell ref="R676:R678"/>
    <mergeCell ref="G675:G679"/>
    <mergeCell ref="AJ675:AJ679"/>
    <mergeCell ref="AK675:AK679"/>
    <mergeCell ref="I680:K680"/>
    <mergeCell ref="F675:F680"/>
    <mergeCell ref="AF675:AF679"/>
    <mergeCell ref="AG675:AG679"/>
    <mergeCell ref="AH675:AH679"/>
    <mergeCell ref="AI675:AI679"/>
    <mergeCell ref="S676:S678"/>
    <mergeCell ref="T676:T678"/>
    <mergeCell ref="U676:U678"/>
    <mergeCell ref="V676:V678"/>
    <mergeCell ref="W676:W678"/>
    <mergeCell ref="X676:X678"/>
    <mergeCell ref="Y676:Y678"/>
    <mergeCell ref="H675:H679"/>
    <mergeCell ref="I675:I679"/>
    <mergeCell ref="J675:J679"/>
    <mergeCell ref="K675:K679"/>
    <mergeCell ref="L675:L679"/>
    <mergeCell ref="M675:M679"/>
    <mergeCell ref="N676:N678"/>
    <mergeCell ref="O676:O678"/>
    <mergeCell ref="P682:P684"/>
    <mergeCell ref="Q682:Q684"/>
    <mergeCell ref="R682:R684"/>
    <mergeCell ref="G681:G685"/>
    <mergeCell ref="AJ681:AJ685"/>
    <mergeCell ref="AK681:AK685"/>
    <mergeCell ref="I686:K686"/>
    <mergeCell ref="F681:F686"/>
    <mergeCell ref="AF681:AF685"/>
    <mergeCell ref="AG681:AG685"/>
    <mergeCell ref="AH681:AH685"/>
    <mergeCell ref="AI681:AI685"/>
    <mergeCell ref="S682:S684"/>
    <mergeCell ref="T682:T684"/>
    <mergeCell ref="U682:U684"/>
    <mergeCell ref="V682:V684"/>
    <mergeCell ref="W682:W684"/>
    <mergeCell ref="X682:X684"/>
    <mergeCell ref="Y682:Y684"/>
    <mergeCell ref="H681:H685"/>
    <mergeCell ref="I681:I685"/>
    <mergeCell ref="J681:J685"/>
    <mergeCell ref="K681:K685"/>
    <mergeCell ref="L681:L685"/>
    <mergeCell ref="M681:M685"/>
    <mergeCell ref="N682:N684"/>
    <mergeCell ref="O682:O684"/>
    <mergeCell ref="P688:P690"/>
    <mergeCell ref="Q688:Q690"/>
    <mergeCell ref="R688:R690"/>
    <mergeCell ref="G687:G691"/>
    <mergeCell ref="AJ687:AJ691"/>
    <mergeCell ref="AK687:AK691"/>
    <mergeCell ref="I692:K692"/>
    <mergeCell ref="F687:F692"/>
    <mergeCell ref="AF687:AF691"/>
    <mergeCell ref="AG687:AG691"/>
    <mergeCell ref="AH687:AH691"/>
    <mergeCell ref="AI687:AI691"/>
    <mergeCell ref="S688:S690"/>
    <mergeCell ref="T688:T690"/>
    <mergeCell ref="U688:U690"/>
    <mergeCell ref="V688:V690"/>
    <mergeCell ref="W688:W690"/>
    <mergeCell ref="X688:X690"/>
    <mergeCell ref="Y688:Y690"/>
    <mergeCell ref="H687:H691"/>
    <mergeCell ref="I687:I691"/>
    <mergeCell ref="J687:J691"/>
    <mergeCell ref="K687:K691"/>
    <mergeCell ref="L687:L691"/>
    <mergeCell ref="M687:M691"/>
    <mergeCell ref="N688:N690"/>
    <mergeCell ref="O688:O690"/>
    <mergeCell ref="P694:P696"/>
    <mergeCell ref="Q694:Q696"/>
    <mergeCell ref="R694:R696"/>
    <mergeCell ref="G693:G697"/>
    <mergeCell ref="AJ693:AJ697"/>
    <mergeCell ref="AK693:AK697"/>
    <mergeCell ref="I698:K698"/>
    <mergeCell ref="F693:F698"/>
    <mergeCell ref="AF693:AF697"/>
    <mergeCell ref="AG693:AG697"/>
    <mergeCell ref="AH693:AH697"/>
    <mergeCell ref="AI693:AI697"/>
    <mergeCell ref="S694:S696"/>
    <mergeCell ref="T694:T696"/>
    <mergeCell ref="U694:U696"/>
    <mergeCell ref="V694:V696"/>
    <mergeCell ref="W694:W696"/>
    <mergeCell ref="X694:X696"/>
    <mergeCell ref="Y694:Y696"/>
    <mergeCell ref="H693:H697"/>
    <mergeCell ref="I693:I697"/>
    <mergeCell ref="J693:J697"/>
    <mergeCell ref="K693:K697"/>
    <mergeCell ref="L693:L697"/>
    <mergeCell ref="M693:M697"/>
    <mergeCell ref="N694:N696"/>
    <mergeCell ref="O694:O696"/>
    <mergeCell ref="P700:P702"/>
    <mergeCell ref="Q700:Q702"/>
    <mergeCell ref="R700:R702"/>
    <mergeCell ref="G699:G703"/>
    <mergeCell ref="AJ699:AJ703"/>
    <mergeCell ref="AK699:AK703"/>
    <mergeCell ref="I704:K704"/>
    <mergeCell ref="F699:F704"/>
    <mergeCell ref="AF699:AF703"/>
    <mergeCell ref="AG699:AG703"/>
    <mergeCell ref="AH699:AH703"/>
    <mergeCell ref="AI699:AI703"/>
    <mergeCell ref="S700:S702"/>
    <mergeCell ref="T700:T702"/>
    <mergeCell ref="U700:U702"/>
    <mergeCell ref="V700:V702"/>
    <mergeCell ref="W700:W702"/>
    <mergeCell ref="X700:X702"/>
    <mergeCell ref="Y700:Y702"/>
    <mergeCell ref="H699:H703"/>
    <mergeCell ref="I699:I703"/>
    <mergeCell ref="J699:J703"/>
    <mergeCell ref="K699:K703"/>
    <mergeCell ref="L699:L703"/>
    <mergeCell ref="M699:M703"/>
    <mergeCell ref="N700:N702"/>
    <mergeCell ref="O700:O702"/>
    <mergeCell ref="P706:P708"/>
    <mergeCell ref="Q706:Q708"/>
    <mergeCell ref="R706:R708"/>
    <mergeCell ref="G705:G709"/>
    <mergeCell ref="AJ705:AJ709"/>
    <mergeCell ref="AK705:AK709"/>
    <mergeCell ref="I710:K710"/>
    <mergeCell ref="F705:F710"/>
    <mergeCell ref="AF705:AF709"/>
    <mergeCell ref="AG705:AG709"/>
    <mergeCell ref="AH705:AH709"/>
    <mergeCell ref="AI705:AI709"/>
    <mergeCell ref="S706:S708"/>
    <mergeCell ref="T706:T708"/>
    <mergeCell ref="U706:U708"/>
    <mergeCell ref="V706:V708"/>
    <mergeCell ref="W706:W708"/>
    <mergeCell ref="X706:X708"/>
    <mergeCell ref="Y706:Y708"/>
    <mergeCell ref="H705:H709"/>
    <mergeCell ref="I705:I709"/>
    <mergeCell ref="J705:J709"/>
    <mergeCell ref="K705:K709"/>
    <mergeCell ref="L705:L709"/>
    <mergeCell ref="M705:M709"/>
    <mergeCell ref="N706:N708"/>
    <mergeCell ref="O706:O708"/>
    <mergeCell ref="P712:P714"/>
    <mergeCell ref="Q712:Q714"/>
    <mergeCell ref="R712:R714"/>
    <mergeCell ref="G711:G715"/>
    <mergeCell ref="AJ711:AJ715"/>
    <mergeCell ref="AK711:AK715"/>
    <mergeCell ref="I716:K716"/>
    <mergeCell ref="F711:F716"/>
    <mergeCell ref="AF711:AF715"/>
    <mergeCell ref="AG711:AG715"/>
    <mergeCell ref="AH711:AH715"/>
    <mergeCell ref="AI711:AI715"/>
    <mergeCell ref="S712:S714"/>
    <mergeCell ref="T712:T714"/>
    <mergeCell ref="U712:U714"/>
    <mergeCell ref="V712:V714"/>
    <mergeCell ref="W712:W714"/>
    <mergeCell ref="X712:X714"/>
    <mergeCell ref="Y712:Y714"/>
    <mergeCell ref="H711:H715"/>
    <mergeCell ref="I711:I715"/>
    <mergeCell ref="J711:J715"/>
    <mergeCell ref="K711:K715"/>
    <mergeCell ref="L711:L715"/>
    <mergeCell ref="M711:M715"/>
    <mergeCell ref="N712:N714"/>
    <mergeCell ref="O712:O714"/>
    <mergeCell ref="H26:H32"/>
    <mergeCell ref="I26:I32"/>
    <mergeCell ref="J26:J32"/>
    <mergeCell ref="K26:K32"/>
    <mergeCell ref="L26:L32"/>
    <mergeCell ref="M26:M32"/>
    <mergeCell ref="AF26:AF32"/>
    <mergeCell ref="AG26:AG32"/>
    <mergeCell ref="AH26:AH32"/>
    <mergeCell ref="AI26:AI32"/>
    <mergeCell ref="AJ26:AJ32"/>
    <mergeCell ref="AK26:AK32"/>
    <mergeCell ref="N27:N31"/>
    <mergeCell ref="O27:O31"/>
    <mergeCell ref="P27:P31"/>
    <mergeCell ref="Q27:Q31"/>
    <mergeCell ref="R27:R31"/>
    <mergeCell ref="S27:S31"/>
    <mergeCell ref="T27:T31"/>
    <mergeCell ref="U27:U31"/>
    <mergeCell ref="V27:V31"/>
    <mergeCell ref="W27:W31"/>
    <mergeCell ref="X27:X31"/>
    <mergeCell ref="Y27:Y31"/>
    <mergeCell ref="G26:G32"/>
    <mergeCell ref="H33:H39"/>
    <mergeCell ref="I33:I39"/>
    <mergeCell ref="J33:J39"/>
    <mergeCell ref="K33:K39"/>
    <mergeCell ref="L33:L39"/>
    <mergeCell ref="M33:M39"/>
    <mergeCell ref="AF33:AF39"/>
    <mergeCell ref="AG33:AG39"/>
    <mergeCell ref="AH33:AH39"/>
    <mergeCell ref="AI33:AI39"/>
    <mergeCell ref="AJ33:AJ39"/>
    <mergeCell ref="AK33:AK39"/>
    <mergeCell ref="N34:N38"/>
    <mergeCell ref="O34:O38"/>
    <mergeCell ref="P34:P38"/>
    <mergeCell ref="Q34:Q38"/>
    <mergeCell ref="R34:R38"/>
    <mergeCell ref="S34:S38"/>
    <mergeCell ref="T34:T38"/>
    <mergeCell ref="U34:U38"/>
    <mergeCell ref="V34:V38"/>
    <mergeCell ref="W34:W38"/>
    <mergeCell ref="X34:X38"/>
    <mergeCell ref="Y34:Y38"/>
    <mergeCell ref="G33:G39"/>
    <mergeCell ref="H40:H46"/>
    <mergeCell ref="I40:I46"/>
    <mergeCell ref="J40:J46"/>
    <mergeCell ref="K40:K46"/>
    <mergeCell ref="L40:L46"/>
    <mergeCell ref="M40:M46"/>
    <mergeCell ref="AF40:AF46"/>
    <mergeCell ref="AG40:AG46"/>
    <mergeCell ref="AH40:AH46"/>
    <mergeCell ref="AI40:AI46"/>
    <mergeCell ref="AJ40:AJ46"/>
    <mergeCell ref="AK40:AK46"/>
    <mergeCell ref="N41:N45"/>
    <mergeCell ref="O41:O45"/>
    <mergeCell ref="P41:P45"/>
    <mergeCell ref="Q41:Q45"/>
    <mergeCell ref="R41:R45"/>
    <mergeCell ref="S41:S45"/>
    <mergeCell ref="T41:T45"/>
    <mergeCell ref="U41:U45"/>
    <mergeCell ref="V41:V45"/>
    <mergeCell ref="W41:W45"/>
    <mergeCell ref="X41:X45"/>
    <mergeCell ref="Y41:Y45"/>
    <mergeCell ref="G40:G46"/>
    <mergeCell ref="H47:H53"/>
    <mergeCell ref="I47:I53"/>
    <mergeCell ref="J47:J53"/>
    <mergeCell ref="K47:K53"/>
    <mergeCell ref="L47:L53"/>
    <mergeCell ref="M47:M53"/>
    <mergeCell ref="AF47:AF53"/>
    <mergeCell ref="AG47:AG53"/>
    <mergeCell ref="AH47:AH53"/>
    <mergeCell ref="AI47:AI53"/>
    <mergeCell ref="AJ47:AJ53"/>
    <mergeCell ref="AK47:AK53"/>
    <mergeCell ref="N48:N52"/>
    <mergeCell ref="O48:O52"/>
    <mergeCell ref="P48:P52"/>
    <mergeCell ref="Q48:Q52"/>
    <mergeCell ref="R48:R52"/>
    <mergeCell ref="S48:S52"/>
    <mergeCell ref="T48:T52"/>
    <mergeCell ref="U48:U52"/>
    <mergeCell ref="V48:V52"/>
    <mergeCell ref="W48:W52"/>
    <mergeCell ref="X48:X52"/>
    <mergeCell ref="Y48:Y52"/>
    <mergeCell ref="G47:G53"/>
    <mergeCell ref="H54:H60"/>
    <mergeCell ref="I54:I60"/>
    <mergeCell ref="J54:J60"/>
    <mergeCell ref="K54:K60"/>
    <mergeCell ref="L54:L60"/>
    <mergeCell ref="M54:M60"/>
    <mergeCell ref="AF54:AF60"/>
    <mergeCell ref="AG54:AG60"/>
    <mergeCell ref="AH54:AH60"/>
    <mergeCell ref="AI54:AI60"/>
    <mergeCell ref="AJ54:AJ60"/>
    <mergeCell ref="AK54:AK60"/>
    <mergeCell ref="N55:N59"/>
    <mergeCell ref="O55:O59"/>
    <mergeCell ref="P55:P59"/>
    <mergeCell ref="Q55:Q59"/>
    <mergeCell ref="R55:R59"/>
    <mergeCell ref="S55:S59"/>
    <mergeCell ref="T55:T59"/>
    <mergeCell ref="U55:U59"/>
    <mergeCell ref="V55:V59"/>
    <mergeCell ref="W55:W59"/>
    <mergeCell ref="X55:X59"/>
    <mergeCell ref="Y55:Y59"/>
    <mergeCell ref="G54:G60"/>
    <mergeCell ref="H61:H67"/>
    <mergeCell ref="I61:I67"/>
    <mergeCell ref="J61:J67"/>
    <mergeCell ref="K61:K67"/>
    <mergeCell ref="L61:L67"/>
    <mergeCell ref="M61:M67"/>
    <mergeCell ref="AF61:AF67"/>
    <mergeCell ref="AG61:AG67"/>
    <mergeCell ref="AH61:AH67"/>
    <mergeCell ref="AI61:AI67"/>
    <mergeCell ref="AJ61:AJ67"/>
    <mergeCell ref="AK61:AK67"/>
    <mergeCell ref="N62:N66"/>
    <mergeCell ref="O62:O66"/>
    <mergeCell ref="P62:P66"/>
    <mergeCell ref="Q62:Q66"/>
    <mergeCell ref="R62:R66"/>
    <mergeCell ref="S62:S66"/>
    <mergeCell ref="T62:T66"/>
    <mergeCell ref="U62:U66"/>
    <mergeCell ref="V62:V66"/>
    <mergeCell ref="W62:W66"/>
    <mergeCell ref="X62:X66"/>
    <mergeCell ref="Y62:Y66"/>
    <mergeCell ref="G61:G67"/>
    <mergeCell ref="H123:H127"/>
    <mergeCell ref="I123:I127"/>
    <mergeCell ref="J123:J127"/>
    <mergeCell ref="K123:K127"/>
    <mergeCell ref="L123:L127"/>
    <mergeCell ref="M123:M127"/>
    <mergeCell ref="AF123:AF127"/>
    <mergeCell ref="AG123:AG127"/>
    <mergeCell ref="AH123:AH127"/>
    <mergeCell ref="AI123:AI127"/>
    <mergeCell ref="AJ123:AJ127"/>
    <mergeCell ref="AK123:AK127"/>
    <mergeCell ref="N124:N126"/>
    <mergeCell ref="O124:O126"/>
    <mergeCell ref="P124:P126"/>
    <mergeCell ref="Q124:Q126"/>
    <mergeCell ref="R124:R126"/>
    <mergeCell ref="S124:S126"/>
    <mergeCell ref="T124:T126"/>
    <mergeCell ref="U124:U126"/>
    <mergeCell ref="V124:V126"/>
    <mergeCell ref="W124:W126"/>
    <mergeCell ref="X124:X126"/>
    <mergeCell ref="Y124:Y126"/>
    <mergeCell ref="G123:G127"/>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231:H235"/>
    <mergeCell ref="I231:I235"/>
    <mergeCell ref="J231:J235"/>
    <mergeCell ref="K231:K235"/>
    <mergeCell ref="L231:L235"/>
    <mergeCell ref="M231:M235"/>
    <mergeCell ref="AF231:AF235"/>
    <mergeCell ref="AG231:AG235"/>
    <mergeCell ref="AH231:AH235"/>
    <mergeCell ref="AI231:AI235"/>
    <mergeCell ref="AJ231:AJ235"/>
    <mergeCell ref="AK231:AK235"/>
    <mergeCell ref="N232:N234"/>
    <mergeCell ref="O232:O234"/>
    <mergeCell ref="P232:P234"/>
    <mergeCell ref="Q232:Q234"/>
    <mergeCell ref="R232:R234"/>
    <mergeCell ref="S232:S234"/>
    <mergeCell ref="T232:T234"/>
    <mergeCell ref="U232:U234"/>
    <mergeCell ref="V232:V234"/>
    <mergeCell ref="W232:W234"/>
    <mergeCell ref="X232:X234"/>
    <mergeCell ref="Y232:Y234"/>
    <mergeCell ref="G231:G235"/>
    <mergeCell ref="H267:H271"/>
    <mergeCell ref="I267:I271"/>
    <mergeCell ref="J267:J271"/>
    <mergeCell ref="K267:K271"/>
    <mergeCell ref="L267:L271"/>
    <mergeCell ref="M267:M271"/>
    <mergeCell ref="AF267:AF271"/>
    <mergeCell ref="AG267:AG271"/>
    <mergeCell ref="AH267:AH271"/>
    <mergeCell ref="AI267:AI271"/>
    <mergeCell ref="AJ267:AJ271"/>
    <mergeCell ref="AK267:AK271"/>
    <mergeCell ref="N268:N270"/>
    <mergeCell ref="O268:O270"/>
    <mergeCell ref="P268:P270"/>
    <mergeCell ref="Q268:Q270"/>
    <mergeCell ref="R268:R270"/>
    <mergeCell ref="S268:S270"/>
    <mergeCell ref="T268:T270"/>
    <mergeCell ref="U268:U270"/>
    <mergeCell ref="V268:V270"/>
    <mergeCell ref="W268:W270"/>
    <mergeCell ref="X268:X270"/>
    <mergeCell ref="Y268:Y270"/>
    <mergeCell ref="G267:G271"/>
    <mergeCell ref="H272:H276"/>
    <mergeCell ref="I272:I276"/>
    <mergeCell ref="J272:J276"/>
    <mergeCell ref="K272:K276"/>
    <mergeCell ref="L272:L276"/>
    <mergeCell ref="M272:M276"/>
    <mergeCell ref="AF272:AF276"/>
    <mergeCell ref="AG272:AG276"/>
    <mergeCell ref="AH272:AH276"/>
    <mergeCell ref="AI272:AI276"/>
    <mergeCell ref="AJ272:AJ276"/>
    <mergeCell ref="AK272:AK276"/>
    <mergeCell ref="N273:N275"/>
    <mergeCell ref="O273:O275"/>
    <mergeCell ref="P273:P275"/>
    <mergeCell ref="Q273:Q275"/>
    <mergeCell ref="R273:R275"/>
    <mergeCell ref="S273:S275"/>
    <mergeCell ref="T273:T275"/>
    <mergeCell ref="U273:U275"/>
    <mergeCell ref="V273:V275"/>
    <mergeCell ref="W273:W275"/>
    <mergeCell ref="X273:X275"/>
    <mergeCell ref="Y273:Y275"/>
    <mergeCell ref="G272:G276"/>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H344:H348"/>
    <mergeCell ref="I344:I348"/>
    <mergeCell ref="J344:J348"/>
    <mergeCell ref="K344:K348"/>
    <mergeCell ref="L344:L348"/>
    <mergeCell ref="M344:M348"/>
    <mergeCell ref="AF344:AF348"/>
    <mergeCell ref="AG344:AG348"/>
    <mergeCell ref="AH344:AH348"/>
    <mergeCell ref="AI344:AI348"/>
    <mergeCell ref="AJ344:AJ348"/>
    <mergeCell ref="AK344:AK348"/>
    <mergeCell ref="N345:N347"/>
    <mergeCell ref="O345:O347"/>
    <mergeCell ref="P345:P347"/>
    <mergeCell ref="Q345:Q347"/>
    <mergeCell ref="R345:R347"/>
    <mergeCell ref="S345:S347"/>
    <mergeCell ref="T345:T347"/>
    <mergeCell ref="U345:U347"/>
    <mergeCell ref="V345:V347"/>
    <mergeCell ref="W345:W347"/>
    <mergeCell ref="X345:X347"/>
    <mergeCell ref="Y345:Y347"/>
    <mergeCell ref="G344:G348"/>
    <mergeCell ref="H349:H353"/>
    <mergeCell ref="I349:I353"/>
    <mergeCell ref="J349:J353"/>
    <mergeCell ref="K349:K353"/>
    <mergeCell ref="L349:L353"/>
    <mergeCell ref="M349:M353"/>
    <mergeCell ref="AF349:AF353"/>
    <mergeCell ref="AG349:AG353"/>
    <mergeCell ref="AH349:AH353"/>
    <mergeCell ref="AI349:AI353"/>
    <mergeCell ref="AJ349:AJ353"/>
    <mergeCell ref="AK349:AK353"/>
    <mergeCell ref="N350:N352"/>
    <mergeCell ref="O350:O352"/>
    <mergeCell ref="P350:P352"/>
    <mergeCell ref="Q350:Q352"/>
    <mergeCell ref="R350:R352"/>
    <mergeCell ref="S350:S352"/>
    <mergeCell ref="T350:T352"/>
    <mergeCell ref="U350:U352"/>
    <mergeCell ref="V350:V352"/>
    <mergeCell ref="W350:W352"/>
    <mergeCell ref="X350:X352"/>
    <mergeCell ref="Y350:Y352"/>
    <mergeCell ref="G349: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R360:R362"/>
    <mergeCell ref="S360:S362"/>
    <mergeCell ref="T360:T362"/>
    <mergeCell ref="U360:U362"/>
    <mergeCell ref="V360:V362"/>
    <mergeCell ref="W360:W362"/>
    <mergeCell ref="X360:X362"/>
    <mergeCell ref="Y360:Y362"/>
    <mergeCell ref="G359:G363"/>
    <mergeCell ref="H364:H368"/>
    <mergeCell ref="I364:I368"/>
    <mergeCell ref="J364:J368"/>
    <mergeCell ref="K364:K368"/>
    <mergeCell ref="L364:L368"/>
    <mergeCell ref="M364:M368"/>
    <mergeCell ref="AF364:AF368"/>
    <mergeCell ref="AG364:AG368"/>
    <mergeCell ref="AH364:AH368"/>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G364:G368"/>
    <mergeCell ref="H369:H373"/>
    <mergeCell ref="I369:I373"/>
    <mergeCell ref="J369:J373"/>
    <mergeCell ref="K369:K373"/>
    <mergeCell ref="L369:L373"/>
    <mergeCell ref="M369:M373"/>
    <mergeCell ref="AF369:AF373"/>
    <mergeCell ref="AG369:AG373"/>
    <mergeCell ref="AH369:AH373"/>
    <mergeCell ref="AI369:AI373"/>
    <mergeCell ref="AJ369:AJ373"/>
    <mergeCell ref="AK369:AK373"/>
    <mergeCell ref="N370:N372"/>
    <mergeCell ref="O370:O372"/>
    <mergeCell ref="P370:P372"/>
    <mergeCell ref="Q370:Q372"/>
    <mergeCell ref="R370:R372"/>
    <mergeCell ref="S370:S372"/>
    <mergeCell ref="T370:T372"/>
    <mergeCell ref="U370:U372"/>
    <mergeCell ref="V370:V372"/>
    <mergeCell ref="W370:W372"/>
    <mergeCell ref="X370:X372"/>
    <mergeCell ref="Y370:Y372"/>
    <mergeCell ref="G369:G373"/>
    <mergeCell ref="H405:H409"/>
    <mergeCell ref="I405:I409"/>
    <mergeCell ref="J405:J409"/>
    <mergeCell ref="K405:K409"/>
    <mergeCell ref="L405:L409"/>
    <mergeCell ref="M405:M409"/>
    <mergeCell ref="AF405:AF409"/>
    <mergeCell ref="AG405:AG409"/>
    <mergeCell ref="AH405:AH409"/>
    <mergeCell ref="AI405:AI409"/>
    <mergeCell ref="AJ405:AJ409"/>
    <mergeCell ref="AK405:AK409"/>
    <mergeCell ref="N406:N408"/>
    <mergeCell ref="O406:O408"/>
    <mergeCell ref="P406:P408"/>
    <mergeCell ref="Q406:Q408"/>
    <mergeCell ref="R406:R408"/>
    <mergeCell ref="S406:S408"/>
    <mergeCell ref="T406:T408"/>
    <mergeCell ref="U406:U408"/>
    <mergeCell ref="V406:V408"/>
    <mergeCell ref="W406:W408"/>
    <mergeCell ref="X406:X408"/>
    <mergeCell ref="Y406:Y408"/>
    <mergeCell ref="G405:G409"/>
    <mergeCell ref="H441:H445"/>
    <mergeCell ref="I441:I445"/>
    <mergeCell ref="J441:J445"/>
    <mergeCell ref="K441:K445"/>
    <mergeCell ref="L441:L445"/>
    <mergeCell ref="M441:M445"/>
    <mergeCell ref="AF441:AF445"/>
    <mergeCell ref="AG441:AG445"/>
    <mergeCell ref="AH441:AH445"/>
    <mergeCell ref="AI441:AI445"/>
    <mergeCell ref="AJ441:AJ445"/>
    <mergeCell ref="AK441:AK445"/>
    <mergeCell ref="N442:N444"/>
    <mergeCell ref="O442:O444"/>
    <mergeCell ref="P442:P444"/>
    <mergeCell ref="Q442:Q444"/>
    <mergeCell ref="R442:R444"/>
    <mergeCell ref="S442:S444"/>
    <mergeCell ref="T442:T444"/>
    <mergeCell ref="U442:U444"/>
    <mergeCell ref="V442:V444"/>
    <mergeCell ref="W442:W444"/>
    <mergeCell ref="X442:X444"/>
    <mergeCell ref="Y442:Y444"/>
    <mergeCell ref="G441:G445"/>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77:G481"/>
    <mergeCell ref="H513:H517"/>
    <mergeCell ref="I513:I517"/>
    <mergeCell ref="J513:J517"/>
    <mergeCell ref="K513:K517"/>
    <mergeCell ref="L513:L517"/>
    <mergeCell ref="M513:M517"/>
    <mergeCell ref="AF513:AF517"/>
    <mergeCell ref="AG513:AG517"/>
    <mergeCell ref="AH513:AH517"/>
    <mergeCell ref="AI513:AI517"/>
    <mergeCell ref="AJ513:AJ517"/>
    <mergeCell ref="AK513:AK517"/>
    <mergeCell ref="N514:N516"/>
    <mergeCell ref="O514:O516"/>
    <mergeCell ref="P514:P516"/>
    <mergeCell ref="Q514:Q516"/>
    <mergeCell ref="R514:R516"/>
    <mergeCell ref="S514:S516"/>
    <mergeCell ref="T514:T516"/>
    <mergeCell ref="U514:U516"/>
    <mergeCell ref="V514:V516"/>
    <mergeCell ref="W514:W516"/>
    <mergeCell ref="X514:X516"/>
    <mergeCell ref="Y514:Y516"/>
    <mergeCell ref="G513:G517"/>
    <mergeCell ref="H549:H553"/>
    <mergeCell ref="I549:I553"/>
    <mergeCell ref="J549:J553"/>
    <mergeCell ref="K549:K553"/>
    <mergeCell ref="L549:L553"/>
    <mergeCell ref="M549:M553"/>
    <mergeCell ref="AF549:AF553"/>
    <mergeCell ref="AG549:AG553"/>
    <mergeCell ref="AH549:AH553"/>
    <mergeCell ref="AI549:AI553"/>
    <mergeCell ref="AJ549:AJ553"/>
    <mergeCell ref="AK549:AK553"/>
    <mergeCell ref="N550:N552"/>
    <mergeCell ref="O550:O552"/>
    <mergeCell ref="P550:P552"/>
    <mergeCell ref="Q550:Q552"/>
    <mergeCell ref="R550:R552"/>
    <mergeCell ref="S550:S552"/>
    <mergeCell ref="T550:T552"/>
    <mergeCell ref="U550:U552"/>
    <mergeCell ref="V550:V552"/>
    <mergeCell ref="W550:W552"/>
    <mergeCell ref="X550:X552"/>
    <mergeCell ref="Y550:Y552"/>
    <mergeCell ref="G549:G553"/>
    <mergeCell ref="H585:H589"/>
    <mergeCell ref="I585:I589"/>
    <mergeCell ref="J585:J589"/>
    <mergeCell ref="K585:K589"/>
    <mergeCell ref="L585:L589"/>
    <mergeCell ref="M585:M589"/>
    <mergeCell ref="AF585:AF589"/>
    <mergeCell ref="AG585:AG589"/>
    <mergeCell ref="AH585:AH589"/>
    <mergeCell ref="AI585:AI589"/>
    <mergeCell ref="AJ585:AJ589"/>
    <mergeCell ref="AK585:AK589"/>
    <mergeCell ref="N586:N588"/>
    <mergeCell ref="O586:O588"/>
    <mergeCell ref="P586:P588"/>
    <mergeCell ref="Q586:Q588"/>
    <mergeCell ref="R586:R588"/>
    <mergeCell ref="S586:S588"/>
    <mergeCell ref="T586:T588"/>
    <mergeCell ref="U586:U588"/>
    <mergeCell ref="V586:V588"/>
    <mergeCell ref="W586:W588"/>
    <mergeCell ref="X586:X588"/>
    <mergeCell ref="Y586:Y588"/>
    <mergeCell ref="G585:G589"/>
    <mergeCell ref="H621:H625"/>
    <mergeCell ref="I621:I625"/>
    <mergeCell ref="J621:J625"/>
    <mergeCell ref="K621:K625"/>
    <mergeCell ref="L621:L625"/>
    <mergeCell ref="M621:M625"/>
    <mergeCell ref="AF621:AF625"/>
    <mergeCell ref="AG621:AG625"/>
    <mergeCell ref="AH621:AH625"/>
    <mergeCell ref="AI621:AI625"/>
    <mergeCell ref="AJ621:AJ625"/>
    <mergeCell ref="AK621:AK625"/>
    <mergeCell ref="N622:N624"/>
    <mergeCell ref="O622:O624"/>
    <mergeCell ref="P622:P624"/>
    <mergeCell ref="Q622:Q624"/>
    <mergeCell ref="R622:R624"/>
    <mergeCell ref="S622:S624"/>
    <mergeCell ref="T622:T624"/>
    <mergeCell ref="U622:U624"/>
    <mergeCell ref="V622:V624"/>
    <mergeCell ref="W622:W624"/>
    <mergeCell ref="X622:X624"/>
    <mergeCell ref="Y622:Y624"/>
    <mergeCell ref="G621:G625"/>
    <mergeCell ref="H657:H661"/>
    <mergeCell ref="I657:I661"/>
    <mergeCell ref="J657:J661"/>
    <mergeCell ref="K657:K661"/>
    <mergeCell ref="L657:L661"/>
    <mergeCell ref="M657:M661"/>
    <mergeCell ref="AF657:AF661"/>
    <mergeCell ref="AG657:AG661"/>
    <mergeCell ref="AH657:AH661"/>
    <mergeCell ref="AI657:AI661"/>
    <mergeCell ref="AJ657:AJ661"/>
    <mergeCell ref="AK657:AK661"/>
    <mergeCell ref="N658:N660"/>
    <mergeCell ref="O658:O660"/>
    <mergeCell ref="P658:P660"/>
    <mergeCell ref="Q658:Q660"/>
    <mergeCell ref="R658:R660"/>
    <mergeCell ref="S658:S660"/>
    <mergeCell ref="T658:T660"/>
    <mergeCell ref="U658:U660"/>
    <mergeCell ref="V658:V660"/>
    <mergeCell ref="W658:W660"/>
    <mergeCell ref="X658:X660"/>
    <mergeCell ref="Y658:Y660"/>
    <mergeCell ref="G657:G661"/>
  </mergeCells>
  <dataValidations count="3009">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M657">
      <formula1>900</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M621">
      <formula1>900</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M585">
      <formula1>900</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M549">
      <formula1>900</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M513">
      <formula1>900</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M477">
      <formula1>900</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M441">
      <formula1>900</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M405">
      <formula1>900</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M369">
      <formula1>900</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M354">
      <formula1>900</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M349">
      <formula1>900</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M344">
      <formula1>900</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M308">
      <formula1>900</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M272">
      <formula1>900</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M267">
      <formula1>900</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M231">
      <formula1>900</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M195">
      <formula1>900</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M159">
      <formula1>900</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M609">
      <formula1>900</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M603">
      <formula1>900</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M597">
      <formula1>900</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M591">
      <formula1>900</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M580">
      <formula1>900</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M567">
      <formula1>900</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M561">
      <formula1>900</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M555">
      <formula1>900</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M544">
      <formula1>900</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M525">
      <formula1>900</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M519">
      <formula1>900</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M508">
      <formula1>900</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M501">
      <formula1>900</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M495">
      <formula1>900</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M489">
      <formula1>900</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M483">
      <formula1>900</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M472">
      <formula1>900</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M465">
      <formula1>900</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M459">
      <formula1>900</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M453">
      <formula1>900</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M447">
      <formula1>900</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M436">
      <formula1>900</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M429">
      <formula1>900</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M423">
      <formula1>900</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M417">
      <formula1>900</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M411">
      <formula1>900</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decimal" allowBlank="1" showErrorMessage="1" errorTitle="Ошибка" error="Допускается ввод только неотрицательных чисел!" sqref="AE402">
      <formula1>0</formula1>
      <formula2>9.99999999999999E+23</formula2>
    </dataValidation>
    <dataValidation type="decimal" allowBlank="1" showErrorMessage="1" errorTitle="Ошибка" error="Допускается ввод только неотрицательных чисел!" sqref="AC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M400">
      <formula1>900</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M393">
      <formula1>900</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M387">
      <formula1>900</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M339">
      <formula1>900</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M332">
      <formula1>900</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M326">
      <formula1>900</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M320">
      <formula1>900</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M314">
      <formula1>900</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M303">
      <formula1>900</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M296">
      <formula1>900</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M290">
      <formula1>900</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M284">
      <formula1>900</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M278">
      <formula1>900</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decimal" allowBlank="1" showErrorMessage="1" errorTitle="Ошибка" error="Допускается ввод только неотрицательных чисел!" sqref="AE264">
      <formula1>0</formula1>
      <formula2>9.99999999999999E+23</formula2>
    </dataValidation>
    <dataValidation type="decimal" allowBlank="1" showErrorMessage="1" errorTitle="Ошибка" error="Допускается ввод только неотрицательных чисел!" sqref="AC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M262">
      <formula1>900</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M243">
      <formula1>900</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M226">
      <formula1>900</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M219">
      <formula1>900</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M201">
      <formula1>900</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M190">
      <formula1>900</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decimal" allowBlank="1" showErrorMessage="1" errorTitle="Ошибка" error="Допускается ввод только неотрицательных чисел!" sqref="AE185">
      <formula1>0</formula1>
      <formula2>9.99999999999999E+23</formula2>
    </dataValidation>
    <dataValidation type="decimal" allowBlank="1" showErrorMessage="1" errorTitle="Ошибка" error="Допускается ввод только неотрицательных чисел!" sqref="AC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M183">
      <formula1>900</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M165">
      <formula1>900</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M147">
      <formula1>900</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M141">
      <formula1>900</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M135">
      <formula1>900</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M118">
      <formula1>900</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M105">
      <formula1>900</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M93">
      <formula1>900</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M75">
      <formula1>900</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M69">
      <formula1>900</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textLength" operator="lessThanOrEqual" allowBlank="1" showInputMessage="1" showErrorMessage="1" errorTitle="Ошибка" error="Допускается ввод не более 900 символов!" sqref="M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textLength" operator="lessThanOrEqual" allowBlank="1" showInputMessage="1" showErrorMessage="1" errorTitle="Ошибка" error="Допускается ввод не более 900 символов!" sqref="M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textLength" operator="lessThanOrEqual" allowBlank="1" showInputMessage="1" showErrorMessage="1" errorTitle="Ошибка" error="Допускается ввод не более 900 символов!" sqref="M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textLength" operator="lessThanOrEqual" allowBlank="1" showInputMessage="1" showErrorMessage="1" errorTitle="Ошибка" error="Допускается ввод не более 900 символов!" sqref="M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textLength" operator="lessThanOrEqual" allowBlank="1" showInputMessage="1" showErrorMessage="1" errorTitle="Ошибка" error="Допускается ввод не более 900 символов!" sqref="M645">
      <formula1>900</formula1>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textLength" operator="lessThanOrEqual" allowBlank="1" showInputMessage="1" showErrorMessage="1" errorTitle="Ошибка" error="Допускается ввод не более 900 символов!" sqref="K647">
      <formula1>900</formula1>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textLength" operator="lessThanOrEqual" allowBlank="1" showInputMessage="1" showErrorMessage="1" errorTitle="Ошибка" error="Допускается ввод не более 900 символов!" sqref="M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textLength" operator="lessThanOrEqual" allowBlank="1" showInputMessage="1" showErrorMessage="1" errorTitle="Ошибка" error="Допускается ввод не более 900 символов!" sqref="M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textLength" operator="lessThanOrEqual" allowBlank="1" showInputMessage="1" showErrorMessage="1" errorTitle="Ошибка" error="Допускается ввод не более 900 символов!" sqref="M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textLength" operator="lessThanOrEqual" allowBlank="1" showInputMessage="1" showErrorMessage="1" errorTitle="Ошибка" error="Допускается ввод не более 900 символов!" sqref="M675">
      <formula1>900</formula1>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textLength" operator="lessThanOrEqual" allowBlank="1" showInputMessage="1" showErrorMessage="1" errorTitle="Ошибка" error="Допускается ввод не более 900 символов!" sqref="M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textLength" operator="lessThanOrEqual" allowBlank="1" showInputMessage="1" showErrorMessage="1" errorTitle="Ошибка" error="Допускается ввод не более 900 символов!" sqref="M687">
      <formula1>900</formula1>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textLength" operator="lessThanOrEqual" allowBlank="1" showInputMessage="1" showErrorMessage="1" errorTitle="Ошибка" error="Допускается ввод не более 900 символов!" sqref="M693">
      <formula1>900</formula1>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textLength" operator="lessThanOrEqual" allowBlank="1" showInputMessage="1" showErrorMessage="1" errorTitle="Ошибка" error="Допускается ввод не более 900 символов!" sqref="M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textLength" operator="lessThanOrEqual" allowBlank="1" showInputMessage="1" showErrorMessage="1" errorTitle="Ошибка" error="Допускается ввод не более 900 символов!" sqref="M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textLength" operator="lessThanOrEqual" allowBlank="1" showInputMessage="1" showErrorMessage="1" errorTitle="Ошибка" error="Допускается ввод не более 900 символов!" sqref="M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500318-E2A8-E328-7768-FDBB864E00A9}" mc:Ignorable="x14ac xr xr2 xr3">
  <sheetPr>
    <tabColor theme="9" tint="-0.25"/>
  </sheetPr>
  <dimension ref="A1:EO59"/>
  <sheetViews>
    <sheetView showGridLines="0" zoomScale="85" workbookViewId="0">
      <pane xSplit="9" ySplit="13" topLeftCell="J14" activePane="bottomRight" state="frozen"/>
      <selection pane="bottomLeft" activeCell="A14" sqref="A14"/>
      <selection pane="topRight" activeCell="J1" sqref="J1"/>
      <selection pane="bottomRight" activeCell="EA1" sqref="EA1:EA59"/>
    </sheetView>
  </sheetViews>
  <sheetFormatPr defaultColWidth="9.140625" customHeight="1" defaultRowHeight="10.5"/>
  <cols>
    <col min="1" max="3" style="6944" width="4.140625" hidden="1" customWidth="1"/>
    <col min="4" max="4" style="7158" width="4.140625" hidden="1" customWidth="1"/>
    <col min="5" max="5" style="7213" width="3.00390625" customWidth="1"/>
    <col min="6" max="6" style="7213" width="6.00390625" customWidth="1"/>
    <col min="7" max="7" style="7213" width="60.00390625" customWidth="1"/>
    <col min="8" max="9" style="7213" width="21.7109375" hidden="1" customWidth="1"/>
    <col min="10" max="10" style="7213" width="0.140625" customWidth="1"/>
    <col min="11" max="21" style="7213" width="21.7109375" hidden="1" customWidth="1"/>
    <col min="22" max="22" style="7213" width="0.140625" customWidth="1"/>
    <col min="23" max="28" style="7213" width="21.7109375" hidden="1" customWidth="1"/>
    <col min="29" max="29" style="7213" width="0.140625" customWidth="1"/>
    <col min="30" max="35" style="7213" width="21.7109375" hidden="1" customWidth="1"/>
    <col min="36" max="36" style="7213" width="0.140625" customWidth="1"/>
    <col min="37" max="42" style="7213" width="21.7109375" hidden="1" customWidth="1"/>
    <col min="43" max="43" style="7213" width="0.140625" customWidth="1"/>
    <col min="44" max="49" style="7213" width="21.7109375" hidden="1" customWidth="1"/>
    <col min="50" max="50" style="7213" width="0.140625" customWidth="1"/>
    <col min="51" max="56" style="7213" width="21.7109375" hidden="1" customWidth="1"/>
    <col min="57" max="57" style="7213" width="0.140625" customWidth="1"/>
    <col min="58" max="63" style="7213" width="21.7109375" hidden="1" customWidth="1"/>
    <col min="64" max="64" style="7213" width="0.140625" customWidth="1"/>
    <col min="65" max="70" style="7213" width="21.7109375" hidden="1" customWidth="1"/>
    <col min="71" max="71" style="7213" width="0.140625" customWidth="1"/>
    <col min="72" max="77" style="7213" width="21.7109375" hidden="1" customWidth="1"/>
    <col min="78" max="78" style="7213" width="0.140625" customWidth="1"/>
    <col min="79" max="84" style="7213" width="21.7109375" hidden="1" customWidth="1"/>
    <col min="85" max="85" style="7213" width="0.140625" customWidth="1"/>
    <col min="86" max="91" style="7213" width="21.7109375" hidden="1" customWidth="1"/>
    <col min="92" max="92" style="7213" width="0.140625" customWidth="1"/>
    <col min="93" max="98" style="7213" width="21.7109375" hidden="1" customWidth="1"/>
    <col min="99" max="99" style="7213" width="0.140625" customWidth="1"/>
    <col min="100" max="105" style="7213" width="21.7109375" hidden="1" customWidth="1"/>
    <col min="106" max="106" style="7213" width="0.140625" customWidth="1"/>
    <col min="107" max="112" style="7213" width="21.7109375" hidden="1" customWidth="1"/>
    <col min="113" max="113" style="7213" width="0.140625" customWidth="1"/>
    <col min="114" max="119" style="7213" width="21.7109375" hidden="1" customWidth="1"/>
    <col min="120" max="120" style="7213" width="0.140625" customWidth="1"/>
    <col min="121" max="131" style="7213" width="21.7109375" hidden="1" customWidth="1"/>
    <col min="132" max="132" style="7213" width="0.140625" customWidth="1"/>
    <col min="133" max="133" style="7213" width="1.00390625" customWidth="1"/>
    <col min="134" max="144" style="7213" width="8.00390625" customWidth="1"/>
    <col min="145" max="145" style="7213" width="9.140625" hidden="1"/>
  </cols>
  <sheetData>
    <row s="7158" customFormat="1" customHeight="1" ht="10.5" hidden="1">
      <c r="A1" s="1290"/>
      <c r="B1" s="1290"/>
      <c r="C1" s="1290"/>
      <c r="E1" s="661"/>
      <c r="K1" s="7158"/>
      <c r="L1" s="7158"/>
      <c r="M1" s="7158"/>
      <c r="N1" s="7158"/>
      <c r="O1" s="7158"/>
      <c r="P1" s="7158"/>
      <c r="Q1" s="7158"/>
      <c r="R1" s="7158"/>
      <c r="S1" s="7158"/>
      <c r="T1" s="7158"/>
      <c r="U1" s="7158"/>
      <c r="V1" s="7158"/>
      <c r="W1" s="7158"/>
      <c r="X1" s="7158"/>
      <c r="Y1" s="7158"/>
      <c r="Z1" s="7158"/>
      <c r="AA1" s="7158"/>
      <c r="AB1" s="7158"/>
      <c r="AC1" s="7158"/>
      <c r="AD1" s="7158"/>
      <c r="AE1" s="7158"/>
      <c r="AF1" s="7158"/>
      <c r="AG1" s="7158"/>
      <c r="AH1" s="7158"/>
      <c r="AI1" s="7158"/>
      <c r="AJ1" s="7158"/>
      <c r="AK1" s="7158"/>
      <c r="AL1" s="7158"/>
      <c r="AM1" s="7158"/>
      <c r="AN1" s="7158"/>
      <c r="AO1" s="7158"/>
      <c r="AP1" s="7158"/>
      <c r="AQ1" s="7158"/>
      <c r="AR1" s="7158"/>
      <c r="AS1" s="7158"/>
      <c r="AT1" s="7158"/>
      <c r="AU1" s="7158"/>
      <c r="AV1" s="7158"/>
      <c r="AW1" s="7158"/>
      <c r="AX1" s="7158"/>
      <c r="AY1" s="7158"/>
      <c r="AZ1" s="7158"/>
      <c r="BA1" s="7158"/>
      <c r="BB1" s="7158"/>
      <c r="BC1" s="7158"/>
      <c r="BD1" s="7158"/>
      <c r="BE1" s="7158"/>
      <c r="BF1" s="7158"/>
      <c r="BG1" s="7158"/>
      <c r="BH1" s="7158"/>
      <c r="BI1" s="7158"/>
      <c r="BJ1" s="7158"/>
      <c r="BK1" s="7158"/>
      <c r="BL1" s="7158"/>
      <c r="BM1" s="7158"/>
      <c r="BN1" s="7158"/>
      <c r="BO1" s="7158"/>
      <c r="BP1" s="7158"/>
      <c r="BQ1" s="7158"/>
      <c r="BR1" s="7158"/>
      <c r="BS1" s="7158"/>
      <c r="BT1" s="7158"/>
      <c r="BU1" s="7158"/>
      <c r="BV1" s="7158"/>
      <c r="BW1" s="7158"/>
      <c r="BX1" s="7158"/>
      <c r="BY1" s="7158"/>
      <c r="BZ1" s="7158"/>
      <c r="CA1" s="7158"/>
      <c r="CB1" s="7158"/>
      <c r="CC1" s="7158"/>
      <c r="CD1" s="7158"/>
      <c r="CE1" s="7158"/>
      <c r="CF1" s="7158"/>
      <c r="CG1" s="7158"/>
      <c r="CH1" s="7158"/>
      <c r="CI1" s="7158"/>
      <c r="CJ1" s="7158"/>
      <c r="CK1" s="7158"/>
      <c r="CL1" s="7158"/>
      <c r="CM1" s="7158"/>
      <c r="CN1" s="7158"/>
      <c r="CO1" s="7158"/>
      <c r="CP1" s="7158"/>
      <c r="CQ1" s="7158"/>
      <c r="CR1" s="7158"/>
      <c r="CS1" s="7158"/>
      <c r="CT1" s="7158"/>
      <c r="CU1" s="7158"/>
      <c r="CV1" s="7158"/>
      <c r="CW1" s="7158"/>
      <c r="CX1" s="7158"/>
      <c r="CY1" s="7158"/>
      <c r="CZ1" s="7158"/>
      <c r="DA1" s="7158"/>
      <c r="DB1" s="7158"/>
      <c r="DC1" s="7158"/>
      <c r="DD1" s="7158"/>
      <c r="DE1" s="7158"/>
      <c r="DF1" s="7158"/>
      <c r="DG1" s="7158"/>
      <c r="DH1" s="7158"/>
      <c r="DI1" s="7158"/>
      <c r="DJ1" s="7158"/>
      <c r="DK1" s="7158"/>
      <c r="DL1" s="7158"/>
      <c r="DM1" s="7158"/>
      <c r="DN1" s="7158"/>
      <c r="DO1" s="7158"/>
      <c r="DP1" s="7158"/>
      <c r="DQ1" s="7158"/>
      <c r="DR1" s="7158"/>
      <c r="DS1" s="7158"/>
      <c r="DT1" s="7158"/>
      <c r="DU1" s="7158"/>
      <c r="DV1" s="7158"/>
      <c r="DW1" s="7158"/>
      <c r="DX1" s="7158"/>
      <c r="DY1" s="7158"/>
      <c r="DZ1" s="7158"/>
      <c r="EA1" s="7158"/>
      <c r="EB1" s="7158"/>
      <c r="EO1" s="1284" t="s">
        <v>14</v>
      </c>
    </row>
    <row customHeight="1" ht="10.5" hidden="1">
      <c r="K2" s="7213"/>
      <c r="L2" s="7213"/>
      <c r="M2" s="7213"/>
      <c r="N2" s="7213"/>
      <c r="O2" s="7213"/>
      <c r="P2" s="7213"/>
      <c r="Q2" s="7213"/>
      <c r="R2" s="7213"/>
      <c r="S2" s="7213"/>
      <c r="T2" s="7213"/>
      <c r="U2" s="7213"/>
      <c r="V2" s="7213"/>
      <c r="W2" s="7213"/>
      <c r="X2" s="7213"/>
      <c r="Y2" s="7213"/>
      <c r="Z2" s="7213"/>
      <c r="AA2" s="7213"/>
      <c r="AB2" s="7213"/>
      <c r="AC2" s="7213"/>
      <c r="AD2" s="7213"/>
      <c r="AE2" s="7213"/>
      <c r="AF2" s="7213"/>
      <c r="AG2" s="7213"/>
      <c r="AH2" s="7213"/>
      <c r="AI2" s="7213"/>
      <c r="AJ2" s="7213"/>
      <c r="AK2" s="7213"/>
      <c r="AL2" s="7213"/>
      <c r="AM2" s="7213"/>
      <c r="AN2" s="7213"/>
      <c r="AO2" s="7213"/>
      <c r="AP2" s="7213"/>
      <c r="AQ2" s="7213"/>
      <c r="AR2" s="7213"/>
      <c r="AS2" s="7213"/>
      <c r="AT2" s="7213"/>
      <c r="AU2" s="7213"/>
      <c r="AV2" s="7213"/>
      <c r="AW2" s="7213"/>
      <c r="AX2" s="7213"/>
      <c r="AY2" s="7213"/>
      <c r="AZ2" s="7213"/>
      <c r="BA2" s="7213"/>
      <c r="BB2" s="7213"/>
      <c r="BC2" s="7213"/>
      <c r="BD2" s="7213"/>
      <c r="BE2" s="7213"/>
      <c r="BF2" s="7213"/>
      <c r="BG2" s="7213"/>
      <c r="BH2" s="7213"/>
      <c r="BI2" s="7213"/>
      <c r="BJ2" s="7213"/>
      <c r="BK2" s="7213"/>
      <c r="BL2" s="7213"/>
      <c r="BM2" s="7213"/>
      <c r="BN2" s="7213"/>
      <c r="BO2" s="7213"/>
      <c r="BP2" s="7213"/>
      <c r="BQ2" s="7213"/>
      <c r="BR2" s="7213"/>
      <c r="BS2" s="7213"/>
      <c r="BT2" s="7213"/>
      <c r="BU2" s="7213"/>
      <c r="BV2" s="7213"/>
      <c r="BW2" s="7213"/>
      <c r="BX2" s="7213"/>
      <c r="BY2" s="7213"/>
      <c r="BZ2" s="7213"/>
      <c r="CA2" s="7213"/>
      <c r="CB2" s="7213"/>
      <c r="CC2" s="7213"/>
      <c r="CD2" s="7213"/>
      <c r="CE2" s="7213"/>
      <c r="CF2" s="7213"/>
      <c r="CG2" s="7213"/>
      <c r="CH2" s="7213"/>
      <c r="CI2" s="7213"/>
      <c r="CJ2" s="7213"/>
      <c r="CK2" s="7213"/>
      <c r="CL2" s="7213"/>
      <c r="CM2" s="7213"/>
      <c r="CN2" s="7213"/>
      <c r="CO2" s="7213"/>
      <c r="CP2" s="7213"/>
      <c r="CQ2" s="7213"/>
      <c r="CR2" s="7213"/>
      <c r="CS2" s="7213"/>
      <c r="CT2" s="7213"/>
      <c r="CU2" s="7213"/>
      <c r="CV2" s="7213"/>
      <c r="CW2" s="7213"/>
      <c r="CX2" s="7213"/>
      <c r="CY2" s="7213"/>
      <c r="CZ2" s="7213"/>
      <c r="DA2" s="7213"/>
      <c r="DB2" s="7213"/>
      <c r="DC2" s="7213"/>
      <c r="DD2" s="7213"/>
      <c r="DE2" s="7213"/>
      <c r="DF2" s="7213"/>
      <c r="DG2" s="7213"/>
      <c r="DH2" s="7213"/>
      <c r="DI2" s="7213"/>
      <c r="DJ2" s="7213"/>
      <c r="DK2" s="7213"/>
      <c r="DL2" s="7213"/>
      <c r="DM2" s="7213"/>
      <c r="DN2" s="7213"/>
      <c r="DO2" s="7213"/>
      <c r="DP2" s="7213"/>
      <c r="DQ2" s="7213"/>
      <c r="DR2" s="7213"/>
      <c r="DS2" s="7213"/>
      <c r="DT2" s="7213"/>
      <c r="DU2" s="7213"/>
      <c r="DV2" s="7213"/>
      <c r="DW2" s="7213"/>
      <c r="DX2" s="7213"/>
      <c r="DY2" s="7213"/>
      <c r="DZ2" s="7213"/>
      <c r="EA2" s="7213"/>
      <c r="EB2" s="7213"/>
      <c r="EO2" s="1279">
        <v>0</v>
      </c>
    </row>
    <row s="7464" customFormat="1" customHeight="1" ht="10.5" hidden="1">
      <c r="A3" s="1290"/>
      <c r="B3" s="1290"/>
      <c r="C3" s="1290"/>
      <c r="D3" s="1284"/>
      <c r="E3" s="486"/>
      <c r="K3" s="7464"/>
      <c r="L3" s="7464"/>
      <c r="M3" s="7464"/>
      <c r="N3" s="7464"/>
      <c r="O3" s="7464"/>
      <c r="P3" s="7464"/>
      <c r="Q3" s="7464"/>
      <c r="R3" s="7464"/>
      <c r="S3" s="7464"/>
      <c r="T3" s="7464"/>
      <c r="U3" s="7464"/>
      <c r="V3" s="7464"/>
      <c r="W3" s="7464"/>
      <c r="X3" s="7464"/>
      <c r="Y3" s="7464"/>
      <c r="Z3" s="7464"/>
      <c r="AA3" s="7464"/>
      <c r="AB3" s="7464"/>
      <c r="AC3" s="7464"/>
      <c r="AD3" s="7464"/>
      <c r="AE3" s="7464"/>
      <c r="AF3" s="7464"/>
      <c r="AG3" s="7464"/>
      <c r="AH3" s="7464"/>
      <c r="AI3" s="7464"/>
      <c r="AJ3" s="7464"/>
      <c r="AK3" s="7464"/>
      <c r="AL3" s="7464"/>
      <c r="AM3" s="7464"/>
      <c r="AN3" s="7464"/>
      <c r="AO3" s="7464"/>
      <c r="AP3" s="7464"/>
      <c r="AQ3" s="7464"/>
      <c r="AR3" s="7464"/>
      <c r="AS3" s="7464"/>
      <c r="AT3" s="7464"/>
      <c r="AU3" s="7464"/>
      <c r="AV3" s="7464"/>
      <c r="AW3" s="7464"/>
      <c r="AX3" s="7464"/>
      <c r="AY3" s="7464"/>
      <c r="AZ3" s="7464"/>
      <c r="BA3" s="7464"/>
      <c r="BB3" s="7464"/>
      <c r="BC3" s="7464"/>
      <c r="BD3" s="7464"/>
      <c r="BE3" s="7464"/>
      <c r="BF3" s="7464"/>
      <c r="BG3" s="7464"/>
      <c r="BH3" s="7464"/>
      <c r="BI3" s="7464"/>
      <c r="BJ3" s="7464"/>
      <c r="BK3" s="7464"/>
      <c r="BL3" s="7464"/>
      <c r="BM3" s="7464"/>
      <c r="BN3" s="7464"/>
      <c r="BO3" s="7464"/>
      <c r="BP3" s="7464"/>
      <c r="BQ3" s="7464"/>
      <c r="BR3" s="7464"/>
      <c r="BS3" s="7464"/>
      <c r="BT3" s="7464"/>
      <c r="BU3" s="7464"/>
      <c r="BV3" s="7464"/>
      <c r="BW3" s="7464"/>
      <c r="BX3" s="7464"/>
      <c r="BY3" s="7464"/>
      <c r="BZ3" s="7464"/>
      <c r="CA3" s="7464"/>
      <c r="CB3" s="7464"/>
      <c r="CC3" s="7464"/>
      <c r="CD3" s="7464"/>
      <c r="CE3" s="7464"/>
      <c r="CF3" s="7464"/>
      <c r="CG3" s="7464"/>
      <c r="CH3" s="7464"/>
      <c r="CI3" s="7464"/>
      <c r="CJ3" s="7464"/>
      <c r="CK3" s="7464"/>
      <c r="CL3" s="7464"/>
      <c r="CM3" s="7464"/>
      <c r="CN3" s="7464"/>
      <c r="CO3" s="7464"/>
      <c r="CP3" s="7464"/>
      <c r="CQ3" s="7464"/>
      <c r="CR3" s="7464"/>
      <c r="CS3" s="7464"/>
      <c r="CT3" s="7464"/>
      <c r="CU3" s="7464"/>
      <c r="CV3" s="7464"/>
      <c r="CW3" s="7464"/>
      <c r="CX3" s="7464"/>
      <c r="CY3" s="7464"/>
      <c r="CZ3" s="7464"/>
      <c r="DA3" s="7464"/>
      <c r="DB3" s="7464"/>
      <c r="DC3" s="7464"/>
      <c r="DD3" s="7464"/>
      <c r="DE3" s="7464"/>
      <c r="DF3" s="7464"/>
      <c r="DG3" s="7464"/>
      <c r="DH3" s="7464"/>
      <c r="DI3" s="7464"/>
      <c r="DJ3" s="7464"/>
      <c r="DK3" s="7464"/>
      <c r="DL3" s="7464"/>
      <c r="DM3" s="7464"/>
      <c r="DN3" s="7464"/>
      <c r="DO3" s="7464"/>
      <c r="DP3" s="7464"/>
      <c r="DQ3" s="7464"/>
      <c r="DR3" s="7464"/>
      <c r="DS3" s="7464"/>
      <c r="DT3" s="7464"/>
      <c r="DU3" s="7464"/>
      <c r="DV3" s="7464"/>
      <c r="DW3" s="7464"/>
      <c r="DX3" s="7464"/>
      <c r="DY3" s="7464"/>
      <c r="DZ3" s="7464"/>
      <c r="EA3" s="7464"/>
      <c r="EB3" s="7464"/>
      <c r="EO3" s="1280">
        <v>0</v>
      </c>
    </row>
    <row customHeight="1" ht="3">
      <c r="K4" s="7213"/>
      <c r="L4" s="7213"/>
      <c r="M4" s="7213"/>
      <c r="N4" s="7213"/>
      <c r="O4" s="7213"/>
      <c r="P4" s="7213"/>
      <c r="Q4" s="7213"/>
      <c r="R4" s="7213"/>
      <c r="S4" s="7213"/>
      <c r="T4" s="7213"/>
      <c r="U4" s="7213"/>
      <c r="V4" s="7213"/>
      <c r="W4" s="7213"/>
      <c r="X4" s="7213"/>
      <c r="Y4" s="7213"/>
      <c r="Z4" s="7213"/>
      <c r="AA4" s="7213"/>
      <c r="AB4" s="7213"/>
      <c r="AC4" s="7213"/>
      <c r="AD4" s="7213"/>
      <c r="AE4" s="7213"/>
      <c r="AF4" s="7213"/>
      <c r="AG4" s="7213"/>
      <c r="AH4" s="7213"/>
      <c r="AI4" s="7213"/>
      <c r="AJ4" s="7213"/>
      <c r="AK4" s="7213"/>
      <c r="AL4" s="7213"/>
      <c r="AM4" s="7213"/>
      <c r="AN4" s="7213"/>
      <c r="AO4" s="7213"/>
      <c r="AP4" s="7213"/>
      <c r="AQ4" s="7213"/>
      <c r="AR4" s="7213"/>
      <c r="AS4" s="7213"/>
      <c r="AT4" s="7213"/>
      <c r="AU4" s="7213"/>
      <c r="AV4" s="7213"/>
      <c r="AW4" s="7213"/>
      <c r="AX4" s="7213"/>
      <c r="AY4" s="7213"/>
      <c r="AZ4" s="7213"/>
      <c r="BA4" s="7213"/>
      <c r="BB4" s="7213"/>
      <c r="BC4" s="7213"/>
      <c r="BD4" s="7213"/>
      <c r="BE4" s="7213"/>
      <c r="BF4" s="7213"/>
      <c r="BG4" s="7213"/>
      <c r="BH4" s="7213"/>
      <c r="BI4" s="7213"/>
      <c r="BJ4" s="7213"/>
      <c r="BK4" s="7213"/>
      <c r="BL4" s="7213"/>
      <c r="BM4" s="7213"/>
      <c r="BN4" s="7213"/>
      <c r="BO4" s="7213"/>
      <c r="BP4" s="7213"/>
      <c r="BQ4" s="7213"/>
      <c r="BR4" s="7213"/>
      <c r="BS4" s="7213"/>
      <c r="BT4" s="7213"/>
      <c r="BU4" s="7213"/>
      <c r="BV4" s="7213"/>
      <c r="BW4" s="7213"/>
      <c r="BX4" s="7213"/>
      <c r="BY4" s="7213"/>
      <c r="BZ4" s="7213"/>
      <c r="CA4" s="7213"/>
      <c r="CB4" s="7213"/>
      <c r="CC4" s="7213"/>
      <c r="CD4" s="7213"/>
      <c r="CE4" s="7213"/>
      <c r="CF4" s="7213"/>
      <c r="CG4" s="7213"/>
      <c r="CH4" s="7213"/>
      <c r="CI4" s="7213"/>
      <c r="CJ4" s="7213"/>
      <c r="CK4" s="7213"/>
      <c r="CL4" s="7213"/>
      <c r="CM4" s="7213"/>
      <c r="CN4" s="7213"/>
      <c r="CO4" s="7213"/>
      <c r="CP4" s="7213"/>
      <c r="CQ4" s="7213"/>
      <c r="CR4" s="7213"/>
      <c r="CS4" s="7213"/>
      <c r="CT4" s="7213"/>
      <c r="CU4" s="7213"/>
      <c r="CV4" s="7213"/>
      <c r="CW4" s="7213"/>
      <c r="CX4" s="7213"/>
      <c r="CY4" s="7213"/>
      <c r="CZ4" s="7213"/>
      <c r="DA4" s="7213"/>
      <c r="DB4" s="7213"/>
      <c r="DC4" s="7213"/>
      <c r="DD4" s="7213"/>
      <c r="DE4" s="7213"/>
      <c r="DF4" s="7213"/>
      <c r="DG4" s="7213"/>
      <c r="DH4" s="7213"/>
      <c r="DI4" s="7213"/>
      <c r="DJ4" s="7213"/>
      <c r="DK4" s="7213"/>
      <c r="DL4" s="7213"/>
      <c r="DM4" s="7213"/>
      <c r="DN4" s="7213"/>
      <c r="DO4" s="7213"/>
      <c r="DP4" s="7213"/>
      <c r="DQ4" s="7213"/>
      <c r="DR4" s="7213"/>
      <c r="DS4" s="7213"/>
      <c r="DT4" s="7213"/>
      <c r="DU4" s="7213"/>
      <c r="DV4" s="7213"/>
      <c r="DW4" s="7213"/>
      <c r="DX4" s="7213"/>
      <c r="DY4" s="7213"/>
      <c r="DZ4" s="7213"/>
      <c r="EA4" s="7213"/>
      <c r="EB4" s="7213"/>
      <c r="EO4" s="1279">
        <v>3</v>
      </c>
    </row>
    <row customHeight="1" ht="27.299999999999997">
      <c r="F5" s="238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85"/>
      <c r="H5" s="2385"/>
      <c r="I5" s="2385"/>
      <c r="J5" s="2385"/>
      <c r="K5" s="6180"/>
      <c r="L5" s="6180"/>
      <c r="M5" s="6180"/>
      <c r="N5" s="6180"/>
      <c r="O5" s="6180"/>
      <c r="P5" s="6180"/>
      <c r="Q5" s="6180"/>
      <c r="R5" s="6180"/>
      <c r="S5" s="6180"/>
      <c r="T5" s="6180"/>
      <c r="U5" s="6180"/>
      <c r="V5" s="6180"/>
      <c r="W5" s="6180"/>
      <c r="X5" s="6180"/>
      <c r="Y5" s="6180"/>
      <c r="Z5" s="6180"/>
      <c r="AA5" s="6180"/>
      <c r="AB5" s="6180"/>
      <c r="AC5" s="6180"/>
      <c r="AD5" s="6180"/>
      <c r="AE5" s="6180"/>
      <c r="AF5" s="6180"/>
      <c r="AG5" s="6180"/>
      <c r="AH5" s="6180"/>
      <c r="AI5" s="6180"/>
      <c r="AJ5" s="6180"/>
      <c r="AK5" s="6180"/>
      <c r="AL5" s="6180"/>
      <c r="AM5" s="6180"/>
      <c r="AN5" s="6180"/>
      <c r="AO5" s="6180"/>
      <c r="AP5" s="6180"/>
      <c r="AQ5" s="6180"/>
      <c r="AR5" s="6180"/>
      <c r="AS5" s="6180"/>
      <c r="AT5" s="6180"/>
      <c r="AU5" s="6180"/>
      <c r="AV5" s="6180"/>
      <c r="AW5" s="6180"/>
      <c r="AX5" s="6180"/>
      <c r="AY5" s="6180"/>
      <c r="AZ5" s="6180"/>
      <c r="BA5" s="6180"/>
      <c r="BB5" s="6180"/>
      <c r="BC5" s="6180"/>
      <c r="BD5" s="6180"/>
      <c r="BE5" s="6180"/>
      <c r="BF5" s="6180"/>
      <c r="BG5" s="6180"/>
      <c r="BH5" s="6180"/>
      <c r="BI5" s="6180"/>
      <c r="BJ5" s="6180"/>
      <c r="BK5" s="6180"/>
      <c r="BL5" s="6180"/>
      <c r="BM5" s="6180"/>
      <c r="BN5" s="6180"/>
      <c r="BO5" s="6180"/>
      <c r="BP5" s="6180"/>
      <c r="BQ5" s="6180"/>
      <c r="BR5" s="6180"/>
      <c r="BS5" s="6180"/>
      <c r="BT5" s="6180"/>
      <c r="BU5" s="6180"/>
      <c r="BV5" s="6180"/>
      <c r="BW5" s="6180"/>
      <c r="BX5" s="6180"/>
      <c r="BY5" s="6180"/>
      <c r="BZ5" s="6180"/>
      <c r="CA5" s="6180"/>
      <c r="CB5" s="6180"/>
      <c r="CC5" s="6180"/>
      <c r="CD5" s="6180"/>
      <c r="CE5" s="6180"/>
      <c r="CF5" s="6180"/>
      <c r="CG5" s="6180"/>
      <c r="CH5" s="6180"/>
      <c r="CI5" s="6180"/>
      <c r="CJ5" s="6180"/>
      <c r="CK5" s="6180"/>
      <c r="CL5" s="6180"/>
      <c r="CM5" s="6180"/>
      <c r="CN5" s="6180"/>
      <c r="CO5" s="6180"/>
      <c r="CP5" s="6180"/>
      <c r="CQ5" s="6180"/>
      <c r="CR5" s="6180"/>
      <c r="CS5" s="6180"/>
      <c r="CT5" s="6180"/>
      <c r="CU5" s="6180"/>
      <c r="CV5" s="6180"/>
      <c r="CW5" s="6180"/>
      <c r="CX5" s="6180"/>
      <c r="CY5" s="6180"/>
      <c r="CZ5" s="6180"/>
      <c r="DA5" s="6180"/>
      <c r="DB5" s="6180"/>
      <c r="DC5" s="6180"/>
      <c r="DD5" s="6180"/>
      <c r="DE5" s="6180"/>
      <c r="DF5" s="6180"/>
      <c r="DG5" s="6180"/>
      <c r="DH5" s="6180"/>
      <c r="DI5" s="6180"/>
      <c r="DJ5" s="6180"/>
      <c r="DK5" s="6180"/>
      <c r="DL5" s="6180"/>
      <c r="DM5" s="6180"/>
      <c r="DN5" s="6180"/>
      <c r="DO5" s="6180"/>
      <c r="DP5" s="6180"/>
      <c r="DQ5" s="6180"/>
      <c r="DR5" s="6180"/>
      <c r="DS5" s="6180"/>
      <c r="DT5" s="6180"/>
      <c r="DU5" s="6180"/>
      <c r="DV5" s="6180"/>
      <c r="DW5" s="6180"/>
      <c r="DX5" s="6180"/>
      <c r="DY5" s="6180"/>
      <c r="DZ5" s="6180"/>
      <c r="EA5" s="6180"/>
      <c r="EB5" s="6180"/>
      <c r="EO5" s="1279">
        <v>26</v>
      </c>
    </row>
    <row customHeight="1" ht="10.5">
      <c r="F6" s="2313" t="str">
        <f>IF(org=0,"Не определено",org)</f>
        <v>ООО "СамРЭК-Эксплуатация"</v>
      </c>
      <c r="G6" s="2313"/>
      <c r="H6" s="2313"/>
      <c r="I6" s="2313"/>
      <c r="J6" s="2313"/>
      <c r="K6" s="6182"/>
      <c r="L6" s="6182"/>
      <c r="M6" s="6182"/>
      <c r="N6" s="6182"/>
      <c r="O6" s="6182"/>
      <c r="P6" s="6182"/>
      <c r="Q6" s="6182"/>
      <c r="R6" s="6182"/>
      <c r="S6" s="6182"/>
      <c r="T6" s="6182"/>
      <c r="U6" s="6182"/>
      <c r="V6" s="6182"/>
      <c r="W6" s="6182"/>
      <c r="X6" s="6182"/>
      <c r="Y6" s="6182"/>
      <c r="Z6" s="6182"/>
      <c r="AA6" s="6182"/>
      <c r="AB6" s="6182"/>
      <c r="AC6" s="6182"/>
      <c r="AD6" s="6182"/>
      <c r="AE6" s="6182"/>
      <c r="AF6" s="6182"/>
      <c r="AG6" s="6182"/>
      <c r="AH6" s="6182"/>
      <c r="AI6" s="6182"/>
      <c r="AJ6" s="6182"/>
      <c r="AK6" s="6182"/>
      <c r="AL6" s="6182"/>
      <c r="AM6" s="6182"/>
      <c r="AN6" s="6182"/>
      <c r="AO6" s="6182"/>
      <c r="AP6" s="6182"/>
      <c r="AQ6" s="6182"/>
      <c r="AR6" s="6182"/>
      <c r="AS6" s="6182"/>
      <c r="AT6" s="6182"/>
      <c r="AU6" s="6182"/>
      <c r="AV6" s="6182"/>
      <c r="AW6" s="6182"/>
      <c r="AX6" s="6182"/>
      <c r="AY6" s="6182"/>
      <c r="AZ6" s="6182"/>
      <c r="BA6" s="6182"/>
      <c r="BB6" s="6182"/>
      <c r="BC6" s="6182"/>
      <c r="BD6" s="6182"/>
      <c r="BE6" s="6182"/>
      <c r="BF6" s="6182"/>
      <c r="BG6" s="6182"/>
      <c r="BH6" s="6182"/>
      <c r="BI6" s="6182"/>
      <c r="BJ6" s="6182"/>
      <c r="BK6" s="6182"/>
      <c r="BL6" s="6182"/>
      <c r="BM6" s="6182"/>
      <c r="BN6" s="6182"/>
      <c r="BO6" s="6182"/>
      <c r="BP6" s="6182"/>
      <c r="BQ6" s="6182"/>
      <c r="BR6" s="6182"/>
      <c r="BS6" s="6182"/>
      <c r="BT6" s="6182"/>
      <c r="BU6" s="6182"/>
      <c r="BV6" s="6182"/>
      <c r="BW6" s="6182"/>
      <c r="BX6" s="6182"/>
      <c r="BY6" s="6182"/>
      <c r="BZ6" s="6182"/>
      <c r="CA6" s="6182"/>
      <c r="CB6" s="6182"/>
      <c r="CC6" s="6182"/>
      <c r="CD6" s="6182"/>
      <c r="CE6" s="6182"/>
      <c r="CF6" s="6182"/>
      <c r="CG6" s="6182"/>
      <c r="CH6" s="6182"/>
      <c r="CI6" s="6182"/>
      <c r="CJ6" s="6182"/>
      <c r="CK6" s="6182"/>
      <c r="CL6" s="6182"/>
      <c r="CM6" s="6182"/>
      <c r="CN6" s="6182"/>
      <c r="CO6" s="6182"/>
      <c r="CP6" s="6182"/>
      <c r="CQ6" s="6182"/>
      <c r="CR6" s="6182"/>
      <c r="CS6" s="6182"/>
      <c r="CT6" s="6182"/>
      <c r="CU6" s="6182"/>
      <c r="CV6" s="6182"/>
      <c r="CW6" s="6182"/>
      <c r="CX6" s="6182"/>
      <c r="CY6" s="6182"/>
      <c r="CZ6" s="6182"/>
      <c r="DA6" s="6182"/>
      <c r="DB6" s="6182"/>
      <c r="DC6" s="6182"/>
      <c r="DD6" s="6182"/>
      <c r="DE6" s="6182"/>
      <c r="DF6" s="6182"/>
      <c r="DG6" s="6182"/>
      <c r="DH6" s="6182"/>
      <c r="DI6" s="6182"/>
      <c r="DJ6" s="6182"/>
      <c r="DK6" s="6182"/>
      <c r="DL6" s="6182"/>
      <c r="DM6" s="6182"/>
      <c r="DN6" s="6182"/>
      <c r="DO6" s="6182"/>
      <c r="DP6" s="6182"/>
      <c r="DQ6" s="6182"/>
      <c r="DR6" s="6182"/>
      <c r="DS6" s="6182"/>
      <c r="DT6" s="6182"/>
      <c r="DU6" s="6182"/>
      <c r="DV6" s="6182"/>
      <c r="DW6" s="6182"/>
      <c r="DX6" s="6182"/>
      <c r="DY6" s="6182"/>
      <c r="DZ6" s="6182"/>
      <c r="EA6" s="6182"/>
      <c r="EB6" s="6182"/>
      <c r="EO6" s="1279">
        <v>10</v>
      </c>
    </row>
    <row customHeight="1" ht="11.549999999999999">
      <c r="E7" s="1294"/>
      <c r="F7" s="1351"/>
      <c r="G7" s="1351"/>
      <c r="H7" s="1351"/>
      <c r="I7" s="1351"/>
      <c r="J7" s="1351"/>
      <c r="K7" s="7017" t="s">
        <v>22</v>
      </c>
      <c r="L7" s="7017"/>
      <c r="M7" s="7017" t="s">
        <v>22</v>
      </c>
      <c r="N7" s="7017" t="s">
        <v>22</v>
      </c>
      <c r="O7" s="7017" t="s">
        <v>22</v>
      </c>
      <c r="P7" s="7017" t="s">
        <v>22</v>
      </c>
      <c r="Q7" s="7017" t="s">
        <v>22</v>
      </c>
      <c r="R7" s="7017" t="s">
        <v>22</v>
      </c>
      <c r="S7" s="7017" t="s">
        <v>22</v>
      </c>
      <c r="T7" s="7017" t="s">
        <v>22</v>
      </c>
      <c r="U7" s="7017" t="s">
        <v>22</v>
      </c>
      <c r="V7" s="7017"/>
      <c r="W7" s="7017" t="s">
        <v>22</v>
      </c>
      <c r="X7" s="7017"/>
      <c r="Y7" s="7017" t="s">
        <v>22</v>
      </c>
      <c r="Z7" s="7017" t="s">
        <v>22</v>
      </c>
      <c r="AA7" s="7017" t="s">
        <v>22</v>
      </c>
      <c r="AB7" s="7017" t="s">
        <v>22</v>
      </c>
      <c r="AC7" s="7017"/>
      <c r="AD7" s="7017" t="s">
        <v>22</v>
      </c>
      <c r="AE7" s="7017"/>
      <c r="AF7" s="7017" t="s">
        <v>22</v>
      </c>
      <c r="AG7" s="7017" t="s">
        <v>22</v>
      </c>
      <c r="AH7" s="7017" t="s">
        <v>22</v>
      </c>
      <c r="AI7" s="7017" t="s">
        <v>22</v>
      </c>
      <c r="AJ7" s="7017"/>
      <c r="AK7" s="7017" t="s">
        <v>22</v>
      </c>
      <c r="AL7" s="7017"/>
      <c r="AM7" s="7017" t="s">
        <v>22</v>
      </c>
      <c r="AN7" s="7017" t="s">
        <v>22</v>
      </c>
      <c r="AO7" s="7017" t="s">
        <v>22</v>
      </c>
      <c r="AP7" s="7017" t="s">
        <v>22</v>
      </c>
      <c r="AQ7" s="7017"/>
      <c r="AR7" s="7017" t="s">
        <v>22</v>
      </c>
      <c r="AS7" s="7017"/>
      <c r="AT7" s="7017" t="s">
        <v>22</v>
      </c>
      <c r="AU7" s="7017" t="s">
        <v>22</v>
      </c>
      <c r="AV7" s="7017" t="s">
        <v>22</v>
      </c>
      <c r="AW7" s="7017" t="s">
        <v>22</v>
      </c>
      <c r="AX7" s="7017"/>
      <c r="AY7" s="7017" t="s">
        <v>22</v>
      </c>
      <c r="AZ7" s="7017"/>
      <c r="BA7" s="7017" t="s">
        <v>22</v>
      </c>
      <c r="BB7" s="7017" t="s">
        <v>22</v>
      </c>
      <c r="BC7" s="7017" t="s">
        <v>22</v>
      </c>
      <c r="BD7" s="7017" t="s">
        <v>22</v>
      </c>
      <c r="BE7" s="7017"/>
      <c r="BF7" s="7017" t="s">
        <v>22</v>
      </c>
      <c r="BG7" s="7017"/>
      <c r="BH7" s="7017" t="s">
        <v>22</v>
      </c>
      <c r="BI7" s="7017" t="s">
        <v>22</v>
      </c>
      <c r="BJ7" s="7017" t="s">
        <v>22</v>
      </c>
      <c r="BK7" s="7017" t="s">
        <v>22</v>
      </c>
      <c r="BL7" s="7017"/>
      <c r="BM7" s="7017" t="s">
        <v>22</v>
      </c>
      <c r="BN7" s="7017"/>
      <c r="BO7" s="7017" t="s">
        <v>22</v>
      </c>
      <c r="BP7" s="7017" t="s">
        <v>22</v>
      </c>
      <c r="BQ7" s="7017" t="s">
        <v>22</v>
      </c>
      <c r="BR7" s="7017" t="s">
        <v>22</v>
      </c>
      <c r="BS7" s="7017"/>
      <c r="BT7" s="7017" t="s">
        <v>22</v>
      </c>
      <c r="BU7" s="7017"/>
      <c r="BV7" s="7017" t="s">
        <v>22</v>
      </c>
      <c r="BW7" s="7017" t="s">
        <v>22</v>
      </c>
      <c r="BX7" s="7017" t="s">
        <v>22</v>
      </c>
      <c r="BY7" s="7017" t="s">
        <v>22</v>
      </c>
      <c r="BZ7" s="7017"/>
      <c r="CA7" s="7017" t="s">
        <v>22</v>
      </c>
      <c r="CB7" s="7017"/>
      <c r="CC7" s="7017" t="s">
        <v>22</v>
      </c>
      <c r="CD7" s="7017" t="s">
        <v>22</v>
      </c>
      <c r="CE7" s="7017" t="s">
        <v>22</v>
      </c>
      <c r="CF7" s="7017" t="s">
        <v>22</v>
      </c>
      <c r="CG7" s="7017"/>
      <c r="CH7" s="7017" t="s">
        <v>22</v>
      </c>
      <c r="CI7" s="7017"/>
      <c r="CJ7" s="7017" t="s">
        <v>22</v>
      </c>
      <c r="CK7" s="7017" t="s">
        <v>22</v>
      </c>
      <c r="CL7" s="7017" t="s">
        <v>22</v>
      </c>
      <c r="CM7" s="7017" t="s">
        <v>22</v>
      </c>
      <c r="CN7" s="7017"/>
      <c r="CO7" s="7017" t="s">
        <v>22</v>
      </c>
      <c r="CP7" s="7017"/>
      <c r="CQ7" s="7017" t="s">
        <v>22</v>
      </c>
      <c r="CR7" s="7017" t="s">
        <v>22</v>
      </c>
      <c r="CS7" s="7017" t="s">
        <v>22</v>
      </c>
      <c r="CT7" s="7017" t="s">
        <v>22</v>
      </c>
      <c r="CU7" s="7017"/>
      <c r="CV7" s="7017" t="s">
        <v>22</v>
      </c>
      <c r="CW7" s="7017"/>
      <c r="CX7" s="7017" t="s">
        <v>22</v>
      </c>
      <c r="CY7" s="7017" t="s">
        <v>22</v>
      </c>
      <c r="CZ7" s="7017" t="s">
        <v>22</v>
      </c>
      <c r="DA7" s="7017" t="s">
        <v>22</v>
      </c>
      <c r="DB7" s="7017"/>
      <c r="DC7" s="7017" t="s">
        <v>22</v>
      </c>
      <c r="DD7" s="7017"/>
      <c r="DE7" s="7017" t="s">
        <v>22</v>
      </c>
      <c r="DF7" s="7017" t="s">
        <v>22</v>
      </c>
      <c r="DG7" s="7017" t="s">
        <v>22</v>
      </c>
      <c r="DH7" s="7017" t="s">
        <v>22</v>
      </c>
      <c r="DI7" s="7017"/>
      <c r="DJ7" s="7017" t="s">
        <v>22</v>
      </c>
      <c r="DK7" s="7017"/>
      <c r="DL7" s="7017" t="s">
        <v>22</v>
      </c>
      <c r="DM7" s="7017" t="s">
        <v>22</v>
      </c>
      <c r="DN7" s="7017" t="s">
        <v>22</v>
      </c>
      <c r="DO7" s="7017" t="s">
        <v>22</v>
      </c>
      <c r="DP7" s="7017"/>
      <c r="DQ7" s="7017" t="s">
        <v>22</v>
      </c>
      <c r="DR7" s="7017"/>
      <c r="DS7" s="7017" t="s">
        <v>22</v>
      </c>
      <c r="DT7" s="7017" t="s">
        <v>22</v>
      </c>
      <c r="DU7" s="7017" t="s">
        <v>22</v>
      </c>
      <c r="DV7" s="7017" t="s">
        <v>22</v>
      </c>
      <c r="DW7" s="7017" t="s">
        <v>22</v>
      </c>
      <c r="DX7" s="7017" t="s">
        <v>22</v>
      </c>
      <c r="DY7" s="7017" t="s">
        <v>22</v>
      </c>
      <c r="DZ7" s="7017" t="s">
        <v>22</v>
      </c>
      <c r="EA7" s="7017" t="s">
        <v>22</v>
      </c>
      <c r="EB7" s="7017"/>
      <c r="EC7" s="1281"/>
      <c r="ED7" s="1281"/>
      <c r="EE7" s="1281"/>
      <c r="EF7" s="1281"/>
      <c r="EG7" s="1281"/>
      <c r="EH7" s="1281"/>
      <c r="EI7" s="1281"/>
      <c r="EJ7" s="1281"/>
      <c r="EK7" s="1281"/>
      <c r="EL7" s="1281"/>
      <c r="EM7" s="1281"/>
      <c r="EN7" s="1281"/>
      <c r="EO7" s="1279">
        <v>11</v>
      </c>
    </row>
    <row s="6698" customFormat="1" customHeight="1" ht="4.2">
      <c r="A8" s="1291"/>
      <c r="B8" s="1291"/>
      <c r="C8" s="1291"/>
      <c r="E8" s="1352"/>
      <c r="F8" s="1353"/>
      <c r="G8" s="1353"/>
      <c r="H8" s="1353"/>
      <c r="I8" s="1353"/>
      <c r="J8" s="1353"/>
      <c r="K8" s="7020" t="s">
        <v>1169</v>
      </c>
      <c r="L8" s="7020"/>
      <c r="M8" s="7020"/>
      <c r="N8" s="7020"/>
      <c r="O8" s="7020"/>
      <c r="P8" s="7020"/>
      <c r="Q8" s="7020"/>
      <c r="R8" s="7020"/>
      <c r="S8" s="7020"/>
      <c r="T8" s="7020"/>
      <c r="U8" s="7020"/>
      <c r="V8" s="7020"/>
      <c r="W8" s="7020" t="s">
        <v>1179</v>
      </c>
      <c r="X8" s="7020"/>
      <c r="Y8" s="7020"/>
      <c r="Z8" s="7020"/>
      <c r="AA8" s="7020"/>
      <c r="AB8" s="7020"/>
      <c r="AC8" s="7020"/>
      <c r="AD8" s="7020" t="s">
        <v>1186</v>
      </c>
      <c r="AE8" s="7020"/>
      <c r="AF8" s="7020"/>
      <c r="AG8" s="7020"/>
      <c r="AH8" s="7020"/>
      <c r="AI8" s="7020"/>
      <c r="AJ8" s="7020"/>
      <c r="AK8" s="7020" t="s">
        <v>1192</v>
      </c>
      <c r="AL8" s="7020"/>
      <c r="AM8" s="7020"/>
      <c r="AN8" s="7020"/>
      <c r="AO8" s="7020"/>
      <c r="AP8" s="7020"/>
      <c r="AQ8" s="7020"/>
      <c r="AR8" s="7020" t="s">
        <v>1200</v>
      </c>
      <c r="AS8" s="7020"/>
      <c r="AT8" s="7020"/>
      <c r="AU8" s="7020"/>
      <c r="AV8" s="7020"/>
      <c r="AW8" s="7020"/>
      <c r="AX8" s="7020"/>
      <c r="AY8" s="7020" t="s">
        <v>1206</v>
      </c>
      <c r="AZ8" s="7020"/>
      <c r="BA8" s="7020"/>
      <c r="BB8" s="7020"/>
      <c r="BC8" s="7020"/>
      <c r="BD8" s="7020"/>
      <c r="BE8" s="7020"/>
      <c r="BF8" s="7020" t="s">
        <v>1212</v>
      </c>
      <c r="BG8" s="7020"/>
      <c r="BH8" s="7020"/>
      <c r="BI8" s="7020"/>
      <c r="BJ8" s="7020"/>
      <c r="BK8" s="7020"/>
      <c r="BL8" s="7020"/>
      <c r="BM8" s="7020" t="s">
        <v>1218</v>
      </c>
      <c r="BN8" s="7020"/>
      <c r="BO8" s="7020"/>
      <c r="BP8" s="7020"/>
      <c r="BQ8" s="7020"/>
      <c r="BR8" s="7020"/>
      <c r="BS8" s="7020"/>
      <c r="BT8" s="7020" t="s">
        <v>1223</v>
      </c>
      <c r="BU8" s="7020"/>
      <c r="BV8" s="7020"/>
      <c r="BW8" s="7020"/>
      <c r="BX8" s="7020"/>
      <c r="BY8" s="7020"/>
      <c r="BZ8" s="7020"/>
      <c r="CA8" s="7020" t="s">
        <v>1229</v>
      </c>
      <c r="CB8" s="7020"/>
      <c r="CC8" s="7020"/>
      <c r="CD8" s="7020"/>
      <c r="CE8" s="7020"/>
      <c r="CF8" s="7020"/>
      <c r="CG8" s="7020"/>
      <c r="CH8" s="7020" t="s">
        <v>1235</v>
      </c>
      <c r="CI8" s="7020"/>
      <c r="CJ8" s="7020"/>
      <c r="CK8" s="7020"/>
      <c r="CL8" s="7020"/>
      <c r="CM8" s="7020"/>
      <c r="CN8" s="7020"/>
      <c r="CO8" s="7020" t="s">
        <v>1241</v>
      </c>
      <c r="CP8" s="7020"/>
      <c r="CQ8" s="7020"/>
      <c r="CR8" s="7020"/>
      <c r="CS8" s="7020"/>
      <c r="CT8" s="7020"/>
      <c r="CU8" s="7020"/>
      <c r="CV8" s="7020" t="s">
        <v>1247</v>
      </c>
      <c r="CW8" s="7020"/>
      <c r="CX8" s="7020"/>
      <c r="CY8" s="7020"/>
      <c r="CZ8" s="7020"/>
      <c r="DA8" s="7020"/>
      <c r="DB8" s="7020"/>
      <c r="DC8" s="7020" t="s">
        <v>1253</v>
      </c>
      <c r="DD8" s="7020"/>
      <c r="DE8" s="7020"/>
      <c r="DF8" s="7020"/>
      <c r="DG8" s="7020"/>
      <c r="DH8" s="7020"/>
      <c r="DI8" s="7020"/>
      <c r="DJ8" s="7020" t="s">
        <v>1258</v>
      </c>
      <c r="DK8" s="7020"/>
      <c r="DL8" s="7020"/>
      <c r="DM8" s="7020"/>
      <c r="DN8" s="7020"/>
      <c r="DO8" s="7020"/>
      <c r="DP8" s="7020"/>
      <c r="DQ8" s="7020" t="s">
        <v>1263</v>
      </c>
      <c r="DR8" s="7020"/>
      <c r="DS8" s="7020"/>
      <c r="DT8" s="7020"/>
      <c r="DU8" s="7020"/>
      <c r="DV8" s="7020"/>
      <c r="DW8" s="7020"/>
      <c r="DX8" s="7020"/>
      <c r="DY8" s="7020"/>
      <c r="DZ8" s="7020"/>
      <c r="EA8" s="7020"/>
      <c r="EB8" s="7020"/>
      <c r="EC8" s="1352"/>
      <c r="ED8" s="1352"/>
      <c r="EE8" s="1352"/>
      <c r="EF8" s="1352"/>
      <c r="EG8" s="1352"/>
      <c r="EH8" s="1352"/>
      <c r="EI8" s="1352"/>
      <c r="EJ8" s="1352"/>
      <c r="EK8" s="1352"/>
      <c r="EL8" s="1352"/>
      <c r="EM8" s="1352"/>
      <c r="EN8" s="1352"/>
      <c r="EO8" s="635">
        <v>4</v>
      </c>
    </row>
    <row customHeight="1" ht="10.5">
      <c r="E9" s="1294"/>
      <c r="F9" s="2556" t="s">
        <v>412</v>
      </c>
      <c r="G9" s="2557"/>
      <c r="H9" s="2557"/>
      <c r="I9" s="2557"/>
      <c r="J9" s="2557"/>
      <c r="K9" s="7022"/>
      <c r="L9" s="7022"/>
      <c r="M9" s="7022"/>
      <c r="N9" s="7022"/>
      <c r="O9" s="7022"/>
      <c r="P9" s="7022"/>
      <c r="Q9" s="7022"/>
      <c r="R9" s="7022"/>
      <c r="S9" s="7022"/>
      <c r="T9" s="7022"/>
      <c r="U9" s="7022"/>
      <c r="V9" s="7022"/>
      <c r="W9" s="7022"/>
      <c r="X9" s="7022"/>
      <c r="Y9" s="7022"/>
      <c r="Z9" s="7022"/>
      <c r="AA9" s="7022"/>
      <c r="AB9" s="7022"/>
      <c r="AC9" s="7022"/>
      <c r="AD9" s="7022"/>
      <c r="AE9" s="7022"/>
      <c r="AF9" s="7022"/>
      <c r="AG9" s="7022"/>
      <c r="AH9" s="7022"/>
      <c r="AI9" s="7022"/>
      <c r="AJ9" s="7022"/>
      <c r="AK9" s="7022"/>
      <c r="AL9" s="7022"/>
      <c r="AM9" s="7022"/>
      <c r="AN9" s="7022"/>
      <c r="AO9" s="7022"/>
      <c r="AP9" s="7022"/>
      <c r="AQ9" s="7022"/>
      <c r="AR9" s="7022"/>
      <c r="AS9" s="7022"/>
      <c r="AT9" s="7022"/>
      <c r="AU9" s="7022"/>
      <c r="AV9" s="7022"/>
      <c r="AW9" s="7022"/>
      <c r="AX9" s="7022"/>
      <c r="AY9" s="7022"/>
      <c r="AZ9" s="7022"/>
      <c r="BA9" s="7022"/>
      <c r="BB9" s="7022"/>
      <c r="BC9" s="7022"/>
      <c r="BD9" s="7022"/>
      <c r="BE9" s="7022"/>
      <c r="BF9" s="7022"/>
      <c r="BG9" s="7022"/>
      <c r="BH9" s="7022"/>
      <c r="BI9" s="7022"/>
      <c r="BJ9" s="7022"/>
      <c r="BK9" s="7022"/>
      <c r="BL9" s="7022"/>
      <c r="BM9" s="7022"/>
      <c r="BN9" s="7022"/>
      <c r="BO9" s="7022"/>
      <c r="BP9" s="7022"/>
      <c r="BQ9" s="7022"/>
      <c r="BR9" s="7022"/>
      <c r="BS9" s="7022"/>
      <c r="BT9" s="7022"/>
      <c r="BU9" s="7022"/>
      <c r="BV9" s="7022"/>
      <c r="BW9" s="7022"/>
      <c r="BX9" s="7022"/>
      <c r="BY9" s="7022"/>
      <c r="BZ9" s="7022"/>
      <c r="CA9" s="7022"/>
      <c r="CB9" s="7022"/>
      <c r="CC9" s="7022"/>
      <c r="CD9" s="7022"/>
      <c r="CE9" s="7022"/>
      <c r="CF9" s="7022"/>
      <c r="CG9" s="7022"/>
      <c r="CH9" s="7022"/>
      <c r="CI9" s="7022"/>
      <c r="CJ9" s="7022"/>
      <c r="CK9" s="7022"/>
      <c r="CL9" s="7022"/>
      <c r="CM9" s="7022"/>
      <c r="CN9" s="7022"/>
      <c r="CO9" s="7022"/>
      <c r="CP9" s="7022"/>
      <c r="CQ9" s="7022"/>
      <c r="CR9" s="7022"/>
      <c r="CS9" s="7022"/>
      <c r="CT9" s="7022"/>
      <c r="CU9" s="7022"/>
      <c r="CV9" s="7022"/>
      <c r="CW9" s="7022"/>
      <c r="CX9" s="7022"/>
      <c r="CY9" s="7022"/>
      <c r="CZ9" s="7022"/>
      <c r="DA9" s="7022"/>
      <c r="DB9" s="7022"/>
      <c r="DC9" s="7022"/>
      <c r="DD9" s="7022"/>
      <c r="DE9" s="7022"/>
      <c r="DF9" s="7022"/>
      <c r="DG9" s="7022"/>
      <c r="DH9" s="7022"/>
      <c r="DI9" s="7022"/>
      <c r="DJ9" s="7022"/>
      <c r="DK9" s="7022"/>
      <c r="DL9" s="7022"/>
      <c r="DM9" s="7022"/>
      <c r="DN9" s="7022"/>
      <c r="DO9" s="7022"/>
      <c r="DP9" s="7022"/>
      <c r="DQ9" s="7022"/>
      <c r="DR9" s="7022"/>
      <c r="DS9" s="7022"/>
      <c r="DT9" s="7022"/>
      <c r="DU9" s="7022"/>
      <c r="DV9" s="7022"/>
      <c r="DW9" s="7022"/>
      <c r="DX9" s="7022"/>
      <c r="DY9" s="7022"/>
      <c r="DZ9" s="7022"/>
      <c r="EA9" s="7022"/>
      <c r="EB9" s="7022"/>
      <c r="EC9" s="1364"/>
      <c r="ED9" s="1281"/>
      <c r="EE9" s="1281"/>
      <c r="EF9" s="1281"/>
      <c r="EG9" s="1281"/>
      <c r="EH9" s="1281"/>
      <c r="EI9" s="1281"/>
      <c r="EJ9" s="1281"/>
      <c r="EK9" s="1281"/>
      <c r="EL9" s="1281"/>
      <c r="EM9" s="1281"/>
      <c r="EN9" s="1281"/>
      <c r="EO9" s="1279">
        <v>10</v>
      </c>
    </row>
    <row customHeight="1" ht="25.2">
      <c r="E10" s="1281"/>
      <c r="F10" s="2560" t="s">
        <v>88</v>
      </c>
      <c r="G10" s="2565" t="s">
        <v>1441</v>
      </c>
      <c r="H10" s="2563" t="s">
        <v>1442</v>
      </c>
      <c r="I10" s="2563"/>
      <c r="J10" s="2563"/>
      <c r="K10" s="7556" t="s">
        <v>1442</v>
      </c>
      <c r="L10" s="7556"/>
      <c r="M10" s="7556"/>
      <c r="N10" s="7556"/>
      <c r="O10" s="7556"/>
      <c r="P10" s="7556"/>
      <c r="Q10" s="7556"/>
      <c r="R10" s="7556"/>
      <c r="S10" s="7556"/>
      <c r="T10" s="7556"/>
      <c r="U10" s="7556"/>
      <c r="V10" s="7556"/>
      <c r="W10" s="7556" t="s">
        <v>1442</v>
      </c>
      <c r="X10" s="7556"/>
      <c r="Y10" s="7556"/>
      <c r="Z10" s="7556"/>
      <c r="AA10" s="7556"/>
      <c r="AB10" s="7556"/>
      <c r="AC10" s="7556"/>
      <c r="AD10" s="7556" t="s">
        <v>1442</v>
      </c>
      <c r="AE10" s="7556"/>
      <c r="AF10" s="7556"/>
      <c r="AG10" s="7556"/>
      <c r="AH10" s="7556"/>
      <c r="AI10" s="7556"/>
      <c r="AJ10" s="7556"/>
      <c r="AK10" s="7556" t="s">
        <v>1442</v>
      </c>
      <c r="AL10" s="7556"/>
      <c r="AM10" s="7556"/>
      <c r="AN10" s="7556"/>
      <c r="AO10" s="7556"/>
      <c r="AP10" s="7556"/>
      <c r="AQ10" s="7556"/>
      <c r="AR10" s="7556" t="s">
        <v>1442</v>
      </c>
      <c r="AS10" s="7556"/>
      <c r="AT10" s="7556"/>
      <c r="AU10" s="7556"/>
      <c r="AV10" s="7556"/>
      <c r="AW10" s="7556"/>
      <c r="AX10" s="7556"/>
      <c r="AY10" s="7556" t="s">
        <v>1442</v>
      </c>
      <c r="AZ10" s="7556"/>
      <c r="BA10" s="7556"/>
      <c r="BB10" s="7556"/>
      <c r="BC10" s="7556"/>
      <c r="BD10" s="7556"/>
      <c r="BE10" s="7556"/>
      <c r="BF10" s="7556" t="s">
        <v>1442</v>
      </c>
      <c r="BG10" s="7556"/>
      <c r="BH10" s="7556"/>
      <c r="BI10" s="7556"/>
      <c r="BJ10" s="7556"/>
      <c r="BK10" s="7556"/>
      <c r="BL10" s="7556"/>
      <c r="BM10" s="7556" t="s">
        <v>1442</v>
      </c>
      <c r="BN10" s="7556"/>
      <c r="BO10" s="7556"/>
      <c r="BP10" s="7556"/>
      <c r="BQ10" s="7556"/>
      <c r="BR10" s="7556"/>
      <c r="BS10" s="7556"/>
      <c r="BT10" s="7556" t="s">
        <v>1442</v>
      </c>
      <c r="BU10" s="7556"/>
      <c r="BV10" s="7556"/>
      <c r="BW10" s="7556"/>
      <c r="BX10" s="7556"/>
      <c r="BY10" s="7556"/>
      <c r="BZ10" s="7556"/>
      <c r="CA10" s="7556" t="s">
        <v>1442</v>
      </c>
      <c r="CB10" s="7556"/>
      <c r="CC10" s="7556"/>
      <c r="CD10" s="7556"/>
      <c r="CE10" s="7556"/>
      <c r="CF10" s="7556"/>
      <c r="CG10" s="7556"/>
      <c r="CH10" s="7556" t="s">
        <v>1442</v>
      </c>
      <c r="CI10" s="7556"/>
      <c r="CJ10" s="7556"/>
      <c r="CK10" s="7556"/>
      <c r="CL10" s="7556"/>
      <c r="CM10" s="7556"/>
      <c r="CN10" s="7556"/>
      <c r="CO10" s="7556" t="s">
        <v>1442</v>
      </c>
      <c r="CP10" s="7556"/>
      <c r="CQ10" s="7556"/>
      <c r="CR10" s="7556"/>
      <c r="CS10" s="7556"/>
      <c r="CT10" s="7556"/>
      <c r="CU10" s="7556"/>
      <c r="CV10" s="7556" t="s">
        <v>1442</v>
      </c>
      <c r="CW10" s="7556"/>
      <c r="CX10" s="7556"/>
      <c r="CY10" s="7556"/>
      <c r="CZ10" s="7556"/>
      <c r="DA10" s="7556"/>
      <c r="DB10" s="7556"/>
      <c r="DC10" s="7556" t="s">
        <v>1442</v>
      </c>
      <c r="DD10" s="7556"/>
      <c r="DE10" s="7556"/>
      <c r="DF10" s="7556"/>
      <c r="DG10" s="7556"/>
      <c r="DH10" s="7556"/>
      <c r="DI10" s="7556"/>
      <c r="DJ10" s="7556" t="s">
        <v>1442</v>
      </c>
      <c r="DK10" s="7556"/>
      <c r="DL10" s="7556"/>
      <c r="DM10" s="7556"/>
      <c r="DN10" s="7556"/>
      <c r="DO10" s="7556"/>
      <c r="DP10" s="7556"/>
      <c r="DQ10" s="7556" t="s">
        <v>1442</v>
      </c>
      <c r="DR10" s="7556"/>
      <c r="DS10" s="7556"/>
      <c r="DT10" s="7556"/>
      <c r="DU10" s="7556"/>
      <c r="DV10" s="7556"/>
      <c r="DW10" s="7556"/>
      <c r="DX10" s="7556"/>
      <c r="DY10" s="7556"/>
      <c r="DZ10" s="7556"/>
      <c r="EA10" s="7556"/>
      <c r="EB10" s="7556"/>
      <c r="EC10" s="1357"/>
      <c r="ED10" s="1281"/>
      <c r="EE10" s="1281"/>
      <c r="EF10" s="1281"/>
      <c r="EG10" s="1281"/>
      <c r="EH10" s="1281"/>
      <c r="EI10" s="1281"/>
      <c r="EJ10" s="1281"/>
      <c r="EK10" s="1281"/>
      <c r="EL10" s="1281"/>
      <c r="EM10" s="1281"/>
      <c r="EN10" s="1281"/>
      <c r="EO10" s="1279">
        <v>24</v>
      </c>
    </row>
    <row customHeight="1" ht="25.5">
      <c r="E11" s="1281"/>
      <c r="F11" s="2561"/>
      <c r="G11" s="2565"/>
      <c r="H11" s="2564">
        <f>INDEX(IP_MAIN_LIST_NAME_IP,MATCH(H8,IP_MAIN_LIST_IP_ID,0))&amp;" ("&amp;INDEX(IP_MAIN_START_DATE,MATCH(H8,IP_MAIN_LIST_IP_ID,0))&amp;"-"&amp;INDEX(IP_MAIN_END_DATE,MATCH(H8,IP_MAIN_LIST_IP_ID,0))&amp;")"</f>
      </c>
      <c r="I11" s="2564"/>
      <c r="J11" s="2564"/>
      <c r="K11" s="7029" t="str">
        <f>INDEX(IP_MAIN_LIST_NAME_IP,MATCH(K8,IP_MAIN_LIST_IP_ID,0))&amp;" ("&amp;INDEX(IP_MAIN_START_DATE,MATCH(K8,IP_MAIN_LIST_IP_ID,0))&amp;"-"&amp;INDEX(IP_MAIN_END_DATE,MATCH(K8,IP_MAIN_LIST_IP_ID,0))&amp;")"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L11" s="7029"/>
      <c r="M11" s="7029"/>
      <c r="N11" s="7029"/>
      <c r="O11" s="7029"/>
      <c r="P11" s="7029"/>
      <c r="Q11" s="7029"/>
      <c r="R11" s="7029"/>
      <c r="S11" s="7029"/>
      <c r="T11" s="7029"/>
      <c r="U11" s="7029"/>
      <c r="V11" s="7029"/>
      <c r="W11" s="7029" t="str">
        <f>INDEX(IP_MAIN_LIST_NAME_IP,MATCH(W8,IP_MAIN_LIST_IP_ID,0))&amp;" ("&amp;INDEX(IP_MAIN_START_DATE,MATCH(W8,IP_MAIN_LIST_IP_ID,0))&amp;"-"&amp;INDEX(IP_MAIN_END_DATE,MATCH(W8,IP_MAIN_LIST_IP_ID,0))&amp;")"</f>
        <v>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 (01.01.2024-31.12.2028)</v>
      </c>
      <c r="X11" s="7029"/>
      <c r="Y11" s="7029"/>
      <c r="Z11" s="7029"/>
      <c r="AA11" s="7029"/>
      <c r="AB11" s="7029"/>
      <c r="AC11" s="7029"/>
      <c r="AD11" s="7029" t="str">
        <f>INDEX(IP_MAIN_LIST_NAME_IP,MATCH(AD8,IP_MAIN_LIST_IP_ID,0))&amp;" ("&amp;INDEX(IP_MAIN_START_DATE,MATCH(AD8,IP_MAIN_LIST_IP_ID,0))&amp;"-"&amp;INDEX(IP_MAIN_END_DATE,MATCH(AD8,IP_MAIN_LIST_IP_ID,0))&amp;")"</f>
        <v>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 (01.01.2024-31.12.2028)</v>
      </c>
      <c r="AE11" s="7029"/>
      <c r="AF11" s="7029"/>
      <c r="AG11" s="7029"/>
      <c r="AH11" s="7029"/>
      <c r="AI11" s="7029"/>
      <c r="AJ11" s="7029"/>
      <c r="AK11" s="7029" t="str">
        <f>INDEX(IP_MAIN_LIST_NAME_IP,MATCH(AK8,IP_MAIN_LIST_IP_ID,0))&amp;" ("&amp;INDEX(IP_MAIN_START_DATE,MATCH(AK8,IP_MAIN_LIST_IP_ID,0))&amp;"-"&amp;INDEX(IP_MAIN_END_DATE,MATCH(AK8,IP_MAIN_LIST_IP_ID,0))&amp;")"</f>
        <v>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 (01.01.2024-31.12.2028)</v>
      </c>
      <c r="AL11" s="7029"/>
      <c r="AM11" s="7029"/>
      <c r="AN11" s="7029"/>
      <c r="AO11" s="7029"/>
      <c r="AP11" s="7029"/>
      <c r="AQ11" s="7029"/>
      <c r="AR11" s="7029" t="str">
        <f>INDEX(IP_MAIN_LIST_NAME_IP,MATCH(AR8,IP_MAIN_LIST_IP_ID,0))&amp;" ("&amp;INDEX(IP_MAIN_START_DATE,MATCH(AR8,IP_MAIN_LIST_IP_ID,0))&amp;"-"&amp;INDEX(IP_MAIN_END_DATE,MATCH(AR8,IP_MAIN_LIST_IP_ID,0))&amp;")"</f>
        <v>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 (01.01.2024-31.12.2028)</v>
      </c>
      <c r="AS11" s="7029"/>
      <c r="AT11" s="7029"/>
      <c r="AU11" s="7029"/>
      <c r="AV11" s="7029"/>
      <c r="AW11" s="7029"/>
      <c r="AX11" s="7029"/>
      <c r="AY11" s="7029" t="str">
        <f>INDEX(IP_MAIN_LIST_NAME_IP,MATCH(AY8,IP_MAIN_LIST_IP_ID,0))&amp;" ("&amp;INDEX(IP_MAIN_START_DATE,MATCH(AY8,IP_MAIN_LIST_IP_ID,0))&amp;"-"&amp;INDEX(IP_MAIN_END_DATE,MATCH(AY8,IP_MAIN_LIST_IP_ID,0))&amp;")"</f>
        <v>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 (01.01.2024-31.12.2028)</v>
      </c>
      <c r="AZ11" s="7029"/>
      <c r="BA11" s="7029"/>
      <c r="BB11" s="7029"/>
      <c r="BC11" s="7029"/>
      <c r="BD11" s="7029"/>
      <c r="BE11" s="7029"/>
      <c r="BF11" s="7029" t="str">
        <f>INDEX(IP_MAIN_LIST_NAME_IP,MATCH(BF8,IP_MAIN_LIST_IP_ID,0))&amp;" ("&amp;INDEX(IP_MAIN_START_DATE,MATCH(BF8,IP_MAIN_LIST_IP_ID,0))&amp;"-"&amp;INDEX(IP_MAIN_END_DATE,MATCH(BF8,IP_MAIN_LIST_IP_ID,0))&amp;")"</f>
        <v>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 (01.01.2024-31.12.2028)</v>
      </c>
      <c r="BG11" s="7029"/>
      <c r="BH11" s="7029"/>
      <c r="BI11" s="7029"/>
      <c r="BJ11" s="7029"/>
      <c r="BK11" s="7029"/>
      <c r="BL11" s="7029"/>
      <c r="BM11" s="7029" t="str">
        <f>INDEX(IP_MAIN_LIST_NAME_IP,MATCH(BM8,IP_MAIN_LIST_IP_ID,0))&amp;" ("&amp;INDEX(IP_MAIN_START_DATE,MATCH(BM8,IP_MAIN_LIST_IP_ID,0))&amp;"-"&amp;INDEX(IP_MAIN_END_DATE,MATCH(BM8,IP_MAIN_LIST_IP_ID,0))&amp;")"</f>
        <v>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 (01.01.2024-31.12.2028)</v>
      </c>
      <c r="BN11" s="7029"/>
      <c r="BO11" s="7029"/>
      <c r="BP11" s="7029"/>
      <c r="BQ11" s="7029"/>
      <c r="BR11" s="7029"/>
      <c r="BS11" s="7029"/>
      <c r="BT11" s="7029" t="str">
        <f>INDEX(IP_MAIN_LIST_NAME_IP,MATCH(BT8,IP_MAIN_LIST_IP_ID,0))&amp;" ("&amp;INDEX(IP_MAIN_START_DATE,MATCH(BT8,IP_MAIN_LIST_IP_ID,0))&amp;"-"&amp;INDEX(IP_MAIN_END_DATE,MATCH(BT8,IP_MAIN_LIST_IP_ID,0))&amp;")"</f>
        <v>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 (01.01.2024-31.12.2028)</v>
      </c>
      <c r="BU11" s="7029"/>
      <c r="BV11" s="7029"/>
      <c r="BW11" s="7029"/>
      <c r="BX11" s="7029"/>
      <c r="BY11" s="7029"/>
      <c r="BZ11" s="7029"/>
      <c r="CA11" s="7029" t="str">
        <f>INDEX(IP_MAIN_LIST_NAME_IP,MATCH(CA8,IP_MAIN_LIST_IP_ID,0))&amp;" ("&amp;INDEX(IP_MAIN_START_DATE,MATCH(CA8,IP_MAIN_LIST_IP_ID,0))&amp;"-"&amp;INDEX(IP_MAIN_END_DATE,MATCH(CA8,IP_MAIN_LIST_IP_ID,0))&amp;")"</f>
        <v>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 (01.01.2024-31.12.2028)</v>
      </c>
      <c r="CB11" s="7029"/>
      <c r="CC11" s="7029"/>
      <c r="CD11" s="7029"/>
      <c r="CE11" s="7029"/>
      <c r="CF11" s="7029"/>
      <c r="CG11" s="7029"/>
      <c r="CH11" s="7029" t="str">
        <f>INDEX(IP_MAIN_LIST_NAME_IP,MATCH(CH8,IP_MAIN_LIST_IP_ID,0))&amp;" ("&amp;INDEX(IP_MAIN_START_DATE,MATCH(CH8,IP_MAIN_LIST_IP_ID,0))&amp;"-"&amp;INDEX(IP_MAIN_END_DATE,MATCH(CH8,IP_MAIN_LIST_IP_ID,0))&amp;")"</f>
        <v>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 (01.01.2024-31.12.2028)</v>
      </c>
      <c r="CI11" s="7029"/>
      <c r="CJ11" s="7029"/>
      <c r="CK11" s="7029"/>
      <c r="CL11" s="7029"/>
      <c r="CM11" s="7029"/>
      <c r="CN11" s="7029"/>
      <c r="CO11" s="7029" t="str">
        <f>INDEX(IP_MAIN_LIST_NAME_IP,MATCH(CO8,IP_MAIN_LIST_IP_ID,0))&amp;" ("&amp;INDEX(IP_MAIN_START_DATE,MATCH(CO8,IP_MAIN_LIST_IP_ID,0))&amp;"-"&amp;INDEX(IP_MAIN_END_DATE,MATCH(CO8,IP_MAIN_LIST_IP_ID,0))&amp;")"</f>
        <v>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 (01.01.2024-31.12.2028)</v>
      </c>
      <c r="CP11" s="7029"/>
      <c r="CQ11" s="7029"/>
      <c r="CR11" s="7029"/>
      <c r="CS11" s="7029"/>
      <c r="CT11" s="7029"/>
      <c r="CU11" s="7029"/>
      <c r="CV11" s="7029" t="str">
        <f>INDEX(IP_MAIN_LIST_NAME_IP,MATCH(CV8,IP_MAIN_LIST_IP_ID,0))&amp;" ("&amp;INDEX(IP_MAIN_START_DATE,MATCH(CV8,IP_MAIN_LIST_IP_ID,0))&amp;"-"&amp;INDEX(IP_MAIN_END_DATE,MATCH(CV8,IP_MAIN_LIST_IP_ID,0))&amp;")"</f>
        <v>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 (01.01.2024-31.12.2028)</v>
      </c>
      <c r="CW11" s="7029"/>
      <c r="CX11" s="7029"/>
      <c r="CY11" s="7029"/>
      <c r="CZ11" s="7029"/>
      <c r="DA11" s="7029"/>
      <c r="DB11" s="7029"/>
      <c r="DC11" s="7029" t="str">
        <f>INDEX(IP_MAIN_LIST_NAME_IP,MATCH(DC8,IP_MAIN_LIST_IP_ID,0))&amp;" ("&amp;INDEX(IP_MAIN_START_DATE,MATCH(DC8,IP_MAIN_LIST_IP_ID,0))&amp;"-"&amp;INDEX(IP_MAIN_END_DATE,MATCH(DC8,IP_MAIN_LIST_IP_ID,0))&amp;")"</f>
        <v>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 (01.01.2024-31.12.2028)</v>
      </c>
      <c r="DD11" s="7029"/>
      <c r="DE11" s="7029"/>
      <c r="DF11" s="7029"/>
      <c r="DG11" s="7029"/>
      <c r="DH11" s="7029"/>
      <c r="DI11" s="7029"/>
      <c r="DJ11" s="7029" t="str">
        <f>INDEX(IP_MAIN_LIST_NAME_IP,MATCH(DJ8,IP_MAIN_LIST_IP_ID,0))&amp;" ("&amp;INDEX(IP_MAIN_START_DATE,MATCH(DJ8,IP_MAIN_LIST_IP_ID,0))&amp;"-"&amp;INDEX(IP_MAIN_END_DATE,MATCH(DJ8,IP_MAIN_LIST_IP_ID,0))&amp;")"</f>
        <v>Инвестиционная программа № 209 от 15.11.2024 ООО "СамРЭК-Эксплуатация" в сфере теплоснабжения по модернизации системы теплоснабжения, на территории городского округа Октябрьск на 2024-2028 годы (15.11.2024-31.12.2028)</v>
      </c>
      <c r="DK11" s="7029"/>
      <c r="DL11" s="7029"/>
      <c r="DM11" s="7029"/>
      <c r="DN11" s="7029"/>
      <c r="DO11" s="7029"/>
      <c r="DP11" s="7029"/>
      <c r="DQ11" s="7029" t="str">
        <f>INDEX(IP_MAIN_LIST_NAME_IP,MATCH(DQ8,IP_MAIN_LIST_IP_ID,0))&amp;" ("&amp;INDEX(IP_MAIN_START_DATE,MATCH(DQ8,IP_MAIN_LIST_IP_ID,0))&amp;"-"&amp;INDEX(IP_MAIN_END_DATE,MATCH(DQ8,IP_MAIN_LIST_IP_ID,0))&amp;")"</f>
        <v>Инвестиционная программа № 211 от 15.11.2024 ООО "СамРЭК-Эксплуатация" в сфере теплоснабжения по модернизации системы теплоснабжения, на территории муниципального района Приволжский на 2024-2033 годы (15.11.2024-31.12.2033)</v>
      </c>
      <c r="DR11" s="7029"/>
      <c r="DS11" s="7029"/>
      <c r="DT11" s="7029"/>
      <c r="DU11" s="7029"/>
      <c r="DV11" s="7029"/>
      <c r="DW11" s="7029"/>
      <c r="DX11" s="7029"/>
      <c r="DY11" s="7029"/>
      <c r="DZ11" s="7029"/>
      <c r="EA11" s="7029"/>
      <c r="EB11" s="7029"/>
      <c r="EC11" s="1357"/>
      <c r="ED11" s="1281"/>
      <c r="EE11" s="1281"/>
      <c r="EF11" s="1281"/>
      <c r="EG11" s="1281"/>
      <c r="EH11" s="1281"/>
      <c r="EI11" s="1281"/>
      <c r="EJ11" s="1281"/>
      <c r="EK11" s="1281"/>
      <c r="EL11" s="1281"/>
      <c r="EM11" s="1281"/>
      <c r="EN11" s="1281"/>
      <c r="EO11" s="1279">
        <v>24</v>
      </c>
    </row>
    <row customHeight="1" ht="10.5">
      <c r="F12" s="2562"/>
      <c r="G12" s="2565"/>
      <c r="H12" s="1350" t="s">
        <v>1443</v>
      </c>
      <c r="I12" s="1356"/>
      <c r="J12" s="1350"/>
      <c r="K12" s="7713" t="s">
        <v>1443</v>
      </c>
      <c r="L12" s="7032">
        <v>2023</v>
      </c>
      <c r="M12" s="7032">
        <v>2024</v>
      </c>
      <c r="N12" s="7032">
        <v>2025</v>
      </c>
      <c r="O12" s="7032">
        <v>2026</v>
      </c>
      <c r="P12" s="7032">
        <v>2027</v>
      </c>
      <c r="Q12" s="7032">
        <v>2028</v>
      </c>
      <c r="R12" s="7032">
        <v>2029</v>
      </c>
      <c r="S12" s="7032">
        <v>2030</v>
      </c>
      <c r="T12" s="7032">
        <v>2031</v>
      </c>
      <c r="U12" s="7032">
        <v>2032</v>
      </c>
      <c r="V12" s="7713"/>
      <c r="W12" s="7713" t="s">
        <v>1443</v>
      </c>
      <c r="X12" s="7032">
        <v>2024</v>
      </c>
      <c r="Y12" s="7032">
        <v>2025</v>
      </c>
      <c r="Z12" s="7032">
        <v>2026</v>
      </c>
      <c r="AA12" s="7032">
        <v>2027</v>
      </c>
      <c r="AB12" s="7032">
        <v>2028</v>
      </c>
      <c r="AC12" s="7713"/>
      <c r="AD12" s="7713" t="s">
        <v>1443</v>
      </c>
      <c r="AE12" s="7032">
        <v>2024</v>
      </c>
      <c r="AF12" s="7032">
        <v>2025</v>
      </c>
      <c r="AG12" s="7032">
        <v>2026</v>
      </c>
      <c r="AH12" s="7032">
        <v>2027</v>
      </c>
      <c r="AI12" s="7032">
        <v>2028</v>
      </c>
      <c r="AJ12" s="7713"/>
      <c r="AK12" s="7713" t="s">
        <v>1443</v>
      </c>
      <c r="AL12" s="7032">
        <v>2024</v>
      </c>
      <c r="AM12" s="7032">
        <v>2025</v>
      </c>
      <c r="AN12" s="7032">
        <v>2026</v>
      </c>
      <c r="AO12" s="7032">
        <v>2027</v>
      </c>
      <c r="AP12" s="7032">
        <v>2028</v>
      </c>
      <c r="AQ12" s="7713"/>
      <c r="AR12" s="7713" t="s">
        <v>1443</v>
      </c>
      <c r="AS12" s="7032">
        <v>2024</v>
      </c>
      <c r="AT12" s="7032">
        <v>2025</v>
      </c>
      <c r="AU12" s="7032">
        <v>2026</v>
      </c>
      <c r="AV12" s="7032">
        <v>2027</v>
      </c>
      <c r="AW12" s="7032">
        <v>2028</v>
      </c>
      <c r="AX12" s="7713"/>
      <c r="AY12" s="7713" t="s">
        <v>1443</v>
      </c>
      <c r="AZ12" s="7032">
        <v>2024</v>
      </c>
      <c r="BA12" s="7032">
        <v>2025</v>
      </c>
      <c r="BB12" s="7032">
        <v>2026</v>
      </c>
      <c r="BC12" s="7032">
        <v>2027</v>
      </c>
      <c r="BD12" s="7032">
        <v>2028</v>
      </c>
      <c r="BE12" s="7713"/>
      <c r="BF12" s="7713" t="s">
        <v>1443</v>
      </c>
      <c r="BG12" s="7032">
        <v>2024</v>
      </c>
      <c r="BH12" s="7032">
        <v>2025</v>
      </c>
      <c r="BI12" s="7032">
        <v>2026</v>
      </c>
      <c r="BJ12" s="7032">
        <v>2027</v>
      </c>
      <c r="BK12" s="7032">
        <v>2028</v>
      </c>
      <c r="BL12" s="7713"/>
      <c r="BM12" s="7713" t="s">
        <v>1443</v>
      </c>
      <c r="BN12" s="7032">
        <v>2024</v>
      </c>
      <c r="BO12" s="7032">
        <v>2025</v>
      </c>
      <c r="BP12" s="7032">
        <v>2026</v>
      </c>
      <c r="BQ12" s="7032">
        <v>2027</v>
      </c>
      <c r="BR12" s="7032">
        <v>2028</v>
      </c>
      <c r="BS12" s="7713"/>
      <c r="BT12" s="7713" t="s">
        <v>1443</v>
      </c>
      <c r="BU12" s="7032">
        <v>2024</v>
      </c>
      <c r="BV12" s="7032">
        <v>2025</v>
      </c>
      <c r="BW12" s="7032">
        <v>2026</v>
      </c>
      <c r="BX12" s="7032">
        <v>2027</v>
      </c>
      <c r="BY12" s="7032">
        <v>2028</v>
      </c>
      <c r="BZ12" s="7713"/>
      <c r="CA12" s="7713" t="s">
        <v>1443</v>
      </c>
      <c r="CB12" s="7032">
        <v>2024</v>
      </c>
      <c r="CC12" s="7032">
        <v>2025</v>
      </c>
      <c r="CD12" s="7032">
        <v>2026</v>
      </c>
      <c r="CE12" s="7032">
        <v>2027</v>
      </c>
      <c r="CF12" s="7032">
        <v>2028</v>
      </c>
      <c r="CG12" s="7713"/>
      <c r="CH12" s="7713" t="s">
        <v>1443</v>
      </c>
      <c r="CI12" s="7032">
        <v>2024</v>
      </c>
      <c r="CJ12" s="7032">
        <v>2025</v>
      </c>
      <c r="CK12" s="7032">
        <v>2026</v>
      </c>
      <c r="CL12" s="7032">
        <v>2027</v>
      </c>
      <c r="CM12" s="7032">
        <v>2028</v>
      </c>
      <c r="CN12" s="7713"/>
      <c r="CO12" s="7713" t="s">
        <v>1443</v>
      </c>
      <c r="CP12" s="7032">
        <v>2024</v>
      </c>
      <c r="CQ12" s="7032">
        <v>2025</v>
      </c>
      <c r="CR12" s="7032">
        <v>2026</v>
      </c>
      <c r="CS12" s="7032">
        <v>2027</v>
      </c>
      <c r="CT12" s="7032">
        <v>2028</v>
      </c>
      <c r="CU12" s="7713"/>
      <c r="CV12" s="7713" t="s">
        <v>1443</v>
      </c>
      <c r="CW12" s="7032">
        <v>2024</v>
      </c>
      <c r="CX12" s="7032">
        <v>2025</v>
      </c>
      <c r="CY12" s="7032">
        <v>2026</v>
      </c>
      <c r="CZ12" s="7032">
        <v>2027</v>
      </c>
      <c r="DA12" s="7032">
        <v>2028</v>
      </c>
      <c r="DB12" s="7713"/>
      <c r="DC12" s="7713" t="s">
        <v>1443</v>
      </c>
      <c r="DD12" s="7032">
        <v>2024</v>
      </c>
      <c r="DE12" s="7032">
        <v>2025</v>
      </c>
      <c r="DF12" s="7032">
        <v>2026</v>
      </c>
      <c r="DG12" s="7032">
        <v>2027</v>
      </c>
      <c r="DH12" s="7032">
        <v>2028</v>
      </c>
      <c r="DI12" s="7713"/>
      <c r="DJ12" s="7713" t="s">
        <v>1443</v>
      </c>
      <c r="DK12" s="7032">
        <v>2024</v>
      </c>
      <c r="DL12" s="7032">
        <v>2025</v>
      </c>
      <c r="DM12" s="7032">
        <v>2026</v>
      </c>
      <c r="DN12" s="7032">
        <v>2027</v>
      </c>
      <c r="DO12" s="7032">
        <v>2028</v>
      </c>
      <c r="DP12" s="7713"/>
      <c r="DQ12" s="7713" t="s">
        <v>1443</v>
      </c>
      <c r="DR12" s="7032">
        <v>2024</v>
      </c>
      <c r="DS12" s="7032">
        <v>2025</v>
      </c>
      <c r="DT12" s="7032">
        <v>2026</v>
      </c>
      <c r="DU12" s="7032">
        <v>2027</v>
      </c>
      <c r="DV12" s="7032">
        <v>2028</v>
      </c>
      <c r="DW12" s="7032">
        <v>2029</v>
      </c>
      <c r="DX12" s="7032">
        <v>2030</v>
      </c>
      <c r="DY12" s="7032">
        <v>2031</v>
      </c>
      <c r="DZ12" s="7032">
        <v>2032</v>
      </c>
      <c r="EA12" s="7032">
        <v>2033</v>
      </c>
      <c r="EB12" s="7713"/>
      <c r="EC12" s="1358"/>
      <c r="EO12" s="1279">
        <v>10</v>
      </c>
    </row>
    <row customHeight="1" ht="10.5" hidden="1">
      <c r="F13" s="1350">
        <v>1</v>
      </c>
      <c r="G13" s="1350">
        <v>2</v>
      </c>
      <c r="H13" s="1350">
        <v>3</v>
      </c>
      <c r="I13" s="1350">
        <v>4</v>
      </c>
      <c r="J13" s="1350">
        <v>5</v>
      </c>
      <c r="K13" s="7713">
        <v>3</v>
      </c>
      <c r="L13" s="7713">
        <v>4</v>
      </c>
      <c r="M13" s="7713">
        <v>4</v>
      </c>
      <c r="N13" s="7713">
        <v>4</v>
      </c>
      <c r="O13" s="7713">
        <v>4</v>
      </c>
      <c r="P13" s="7713">
        <v>4</v>
      </c>
      <c r="Q13" s="7713">
        <v>4</v>
      </c>
      <c r="R13" s="7713">
        <v>4</v>
      </c>
      <c r="S13" s="7713">
        <v>4</v>
      </c>
      <c r="T13" s="7713">
        <v>4</v>
      </c>
      <c r="U13" s="7713">
        <v>4</v>
      </c>
      <c r="V13" s="7713">
        <v>5</v>
      </c>
      <c r="W13" s="7713">
        <v>3</v>
      </c>
      <c r="X13" s="7713">
        <v>4</v>
      </c>
      <c r="Y13" s="7713">
        <v>4</v>
      </c>
      <c r="Z13" s="7713">
        <v>4</v>
      </c>
      <c r="AA13" s="7713">
        <v>4</v>
      </c>
      <c r="AB13" s="7713">
        <v>4</v>
      </c>
      <c r="AC13" s="7713">
        <v>5</v>
      </c>
      <c r="AD13" s="7713">
        <v>3</v>
      </c>
      <c r="AE13" s="7713">
        <v>4</v>
      </c>
      <c r="AF13" s="7713">
        <v>4</v>
      </c>
      <c r="AG13" s="7713">
        <v>4</v>
      </c>
      <c r="AH13" s="7713">
        <v>4</v>
      </c>
      <c r="AI13" s="7713">
        <v>4</v>
      </c>
      <c r="AJ13" s="7713">
        <v>5</v>
      </c>
      <c r="AK13" s="7713">
        <v>3</v>
      </c>
      <c r="AL13" s="7713">
        <v>4</v>
      </c>
      <c r="AM13" s="7713">
        <v>4</v>
      </c>
      <c r="AN13" s="7713">
        <v>4</v>
      </c>
      <c r="AO13" s="7713">
        <v>4</v>
      </c>
      <c r="AP13" s="7713">
        <v>4</v>
      </c>
      <c r="AQ13" s="7713">
        <v>5</v>
      </c>
      <c r="AR13" s="7713">
        <v>3</v>
      </c>
      <c r="AS13" s="7713">
        <v>4</v>
      </c>
      <c r="AT13" s="7713">
        <v>4</v>
      </c>
      <c r="AU13" s="7713">
        <v>4</v>
      </c>
      <c r="AV13" s="7713">
        <v>4</v>
      </c>
      <c r="AW13" s="7713">
        <v>4</v>
      </c>
      <c r="AX13" s="7713">
        <v>5</v>
      </c>
      <c r="AY13" s="7713">
        <v>3</v>
      </c>
      <c r="AZ13" s="7713">
        <v>4</v>
      </c>
      <c r="BA13" s="7713">
        <v>4</v>
      </c>
      <c r="BB13" s="7713">
        <v>4</v>
      </c>
      <c r="BC13" s="7713">
        <v>4</v>
      </c>
      <c r="BD13" s="7713">
        <v>4</v>
      </c>
      <c r="BE13" s="7713">
        <v>5</v>
      </c>
      <c r="BF13" s="7713">
        <v>3</v>
      </c>
      <c r="BG13" s="7713">
        <v>4</v>
      </c>
      <c r="BH13" s="7713">
        <v>4</v>
      </c>
      <c r="BI13" s="7713">
        <v>4</v>
      </c>
      <c r="BJ13" s="7713">
        <v>4</v>
      </c>
      <c r="BK13" s="7713">
        <v>4</v>
      </c>
      <c r="BL13" s="7713">
        <v>5</v>
      </c>
      <c r="BM13" s="7713">
        <v>3</v>
      </c>
      <c r="BN13" s="7713">
        <v>4</v>
      </c>
      <c r="BO13" s="7713">
        <v>4</v>
      </c>
      <c r="BP13" s="7713">
        <v>4</v>
      </c>
      <c r="BQ13" s="7713">
        <v>4</v>
      </c>
      <c r="BR13" s="7713">
        <v>4</v>
      </c>
      <c r="BS13" s="7713">
        <v>5</v>
      </c>
      <c r="BT13" s="7713">
        <v>3</v>
      </c>
      <c r="BU13" s="7713">
        <v>4</v>
      </c>
      <c r="BV13" s="7713">
        <v>4</v>
      </c>
      <c r="BW13" s="7713">
        <v>4</v>
      </c>
      <c r="BX13" s="7713">
        <v>4</v>
      </c>
      <c r="BY13" s="7713">
        <v>4</v>
      </c>
      <c r="BZ13" s="7713">
        <v>5</v>
      </c>
      <c r="CA13" s="7713">
        <v>3</v>
      </c>
      <c r="CB13" s="7713">
        <v>4</v>
      </c>
      <c r="CC13" s="7713">
        <v>4</v>
      </c>
      <c r="CD13" s="7713">
        <v>4</v>
      </c>
      <c r="CE13" s="7713">
        <v>4</v>
      </c>
      <c r="CF13" s="7713">
        <v>4</v>
      </c>
      <c r="CG13" s="7713">
        <v>5</v>
      </c>
      <c r="CH13" s="7713">
        <v>3</v>
      </c>
      <c r="CI13" s="7713">
        <v>4</v>
      </c>
      <c r="CJ13" s="7713">
        <v>4</v>
      </c>
      <c r="CK13" s="7713">
        <v>4</v>
      </c>
      <c r="CL13" s="7713">
        <v>4</v>
      </c>
      <c r="CM13" s="7713">
        <v>4</v>
      </c>
      <c r="CN13" s="7713">
        <v>5</v>
      </c>
      <c r="CO13" s="7713">
        <v>3</v>
      </c>
      <c r="CP13" s="7713">
        <v>4</v>
      </c>
      <c r="CQ13" s="7713">
        <v>4</v>
      </c>
      <c r="CR13" s="7713">
        <v>4</v>
      </c>
      <c r="CS13" s="7713">
        <v>4</v>
      </c>
      <c r="CT13" s="7713">
        <v>4</v>
      </c>
      <c r="CU13" s="7713">
        <v>5</v>
      </c>
      <c r="CV13" s="7713">
        <v>3</v>
      </c>
      <c r="CW13" s="7713">
        <v>4</v>
      </c>
      <c r="CX13" s="7713">
        <v>4</v>
      </c>
      <c r="CY13" s="7713">
        <v>4</v>
      </c>
      <c r="CZ13" s="7713">
        <v>4</v>
      </c>
      <c r="DA13" s="7713">
        <v>4</v>
      </c>
      <c r="DB13" s="7713">
        <v>5</v>
      </c>
      <c r="DC13" s="7713">
        <v>3</v>
      </c>
      <c r="DD13" s="7713">
        <v>4</v>
      </c>
      <c r="DE13" s="7713">
        <v>4</v>
      </c>
      <c r="DF13" s="7713">
        <v>4</v>
      </c>
      <c r="DG13" s="7713">
        <v>4</v>
      </c>
      <c r="DH13" s="7713">
        <v>4</v>
      </c>
      <c r="DI13" s="7713">
        <v>5</v>
      </c>
      <c r="DJ13" s="7713">
        <v>3</v>
      </c>
      <c r="DK13" s="7713">
        <v>4</v>
      </c>
      <c r="DL13" s="7713">
        <v>4</v>
      </c>
      <c r="DM13" s="7713">
        <v>4</v>
      </c>
      <c r="DN13" s="7713">
        <v>4</v>
      </c>
      <c r="DO13" s="7713">
        <v>4</v>
      </c>
      <c r="DP13" s="7713">
        <v>5</v>
      </c>
      <c r="DQ13" s="7713">
        <v>3</v>
      </c>
      <c r="DR13" s="7713">
        <v>4</v>
      </c>
      <c r="DS13" s="7713">
        <v>4</v>
      </c>
      <c r="DT13" s="7713">
        <v>4</v>
      </c>
      <c r="DU13" s="7713">
        <v>4</v>
      </c>
      <c r="DV13" s="7713">
        <v>4</v>
      </c>
      <c r="DW13" s="7713">
        <v>4</v>
      </c>
      <c r="DX13" s="7713">
        <v>4</v>
      </c>
      <c r="DY13" s="7713">
        <v>4</v>
      </c>
      <c r="DZ13" s="7713">
        <v>4</v>
      </c>
      <c r="EA13" s="7713">
        <v>4</v>
      </c>
      <c r="EB13" s="7713">
        <v>5</v>
      </c>
      <c r="EC13" s="1358"/>
      <c r="EO13" s="1279">
        <v>0</v>
      </c>
    </row>
    <row customHeight="1" ht="11.549999999999999">
      <c r="F14" s="1349" t="s">
        <v>1444</v>
      </c>
      <c r="G14" s="2558" t="s">
        <v>1445</v>
      </c>
      <c r="H14" s="2558"/>
      <c r="I14" s="2558"/>
      <c r="J14" s="2558"/>
      <c r="K14" s="7035"/>
      <c r="L14" s="7035"/>
      <c r="M14" s="7035"/>
      <c r="N14" s="7035"/>
      <c r="O14" s="7035"/>
      <c r="P14" s="7035"/>
      <c r="Q14" s="7035"/>
      <c r="R14" s="7035"/>
      <c r="S14" s="7035"/>
      <c r="T14" s="7035"/>
      <c r="U14" s="7035"/>
      <c r="V14" s="7035"/>
      <c r="W14" s="7035"/>
      <c r="X14" s="7035"/>
      <c r="Y14" s="7035"/>
      <c r="Z14" s="7035"/>
      <c r="AA14" s="7035"/>
      <c r="AB14" s="7035"/>
      <c r="AC14" s="7035"/>
      <c r="AD14" s="7035"/>
      <c r="AE14" s="7035"/>
      <c r="AF14" s="7035"/>
      <c r="AG14" s="7035"/>
      <c r="AH14" s="7035"/>
      <c r="AI14" s="7035"/>
      <c r="AJ14" s="7035"/>
      <c r="AK14" s="7035"/>
      <c r="AL14" s="7035"/>
      <c r="AM14" s="7035"/>
      <c r="AN14" s="7035"/>
      <c r="AO14" s="7035"/>
      <c r="AP14" s="7035"/>
      <c r="AQ14" s="7035"/>
      <c r="AR14" s="7035"/>
      <c r="AS14" s="7035"/>
      <c r="AT14" s="7035"/>
      <c r="AU14" s="7035"/>
      <c r="AV14" s="7035"/>
      <c r="AW14" s="7035"/>
      <c r="AX14" s="7035"/>
      <c r="AY14" s="7035"/>
      <c r="AZ14" s="7035"/>
      <c r="BA14" s="7035"/>
      <c r="BB14" s="7035"/>
      <c r="BC14" s="7035"/>
      <c r="BD14" s="7035"/>
      <c r="BE14" s="7035"/>
      <c r="BF14" s="7035"/>
      <c r="BG14" s="7035"/>
      <c r="BH14" s="7035"/>
      <c r="BI14" s="7035"/>
      <c r="BJ14" s="7035"/>
      <c r="BK14" s="7035"/>
      <c r="BL14" s="7035"/>
      <c r="BM14" s="7035"/>
      <c r="BN14" s="7035"/>
      <c r="BO14" s="7035"/>
      <c r="BP14" s="7035"/>
      <c r="BQ14" s="7035"/>
      <c r="BR14" s="7035"/>
      <c r="BS14" s="7035"/>
      <c r="BT14" s="7035"/>
      <c r="BU14" s="7035"/>
      <c r="BV14" s="7035"/>
      <c r="BW14" s="7035"/>
      <c r="BX14" s="7035"/>
      <c r="BY14" s="7035"/>
      <c r="BZ14" s="7035"/>
      <c r="CA14" s="7035"/>
      <c r="CB14" s="7035"/>
      <c r="CC14" s="7035"/>
      <c r="CD14" s="7035"/>
      <c r="CE14" s="7035"/>
      <c r="CF14" s="7035"/>
      <c r="CG14" s="7035"/>
      <c r="CH14" s="7035"/>
      <c r="CI14" s="7035"/>
      <c r="CJ14" s="7035"/>
      <c r="CK14" s="7035"/>
      <c r="CL14" s="7035"/>
      <c r="CM14" s="7035"/>
      <c r="CN14" s="7035"/>
      <c r="CO14" s="7035"/>
      <c r="CP14" s="7035"/>
      <c r="CQ14" s="7035"/>
      <c r="CR14" s="7035"/>
      <c r="CS14" s="7035"/>
      <c r="CT14" s="7035"/>
      <c r="CU14" s="7035"/>
      <c r="CV14" s="7035"/>
      <c r="CW14" s="7035"/>
      <c r="CX14" s="7035"/>
      <c r="CY14" s="7035"/>
      <c r="CZ14" s="7035"/>
      <c r="DA14" s="7035"/>
      <c r="DB14" s="7035"/>
      <c r="DC14" s="7035"/>
      <c r="DD14" s="7035"/>
      <c r="DE14" s="7035"/>
      <c r="DF14" s="7035"/>
      <c r="DG14" s="7035"/>
      <c r="DH14" s="7035"/>
      <c r="DI14" s="7035"/>
      <c r="DJ14" s="7035"/>
      <c r="DK14" s="7035"/>
      <c r="DL14" s="7035"/>
      <c r="DM14" s="7035"/>
      <c r="DN14" s="7035"/>
      <c r="DO14" s="7035"/>
      <c r="DP14" s="7035"/>
      <c r="DQ14" s="7035"/>
      <c r="DR14" s="7035"/>
      <c r="DS14" s="7035"/>
      <c r="DT14" s="7035"/>
      <c r="DU14" s="7035"/>
      <c r="DV14" s="7035"/>
      <c r="DW14" s="7035"/>
      <c r="DX14" s="7035"/>
      <c r="DY14" s="7035"/>
      <c r="DZ14" s="7035"/>
      <c r="EA14" s="7035"/>
      <c r="EB14" s="7035"/>
      <c r="EC14" s="1358"/>
      <c r="EO14" s="1279">
        <v>11</v>
      </c>
    </row>
    <row customHeight="1" ht="11.549999999999999">
      <c r="F15" s="1354">
        <v>1</v>
      </c>
      <c r="G15" s="814" t="s">
        <v>1446</v>
      </c>
      <c r="H15" s="1360">
        <f>SUM(I15:J15)</f>
        <v>0</v>
      </c>
      <c r="I15" s="1360">
        <f>SUM(I16:I27)</f>
        <v>0</v>
      </c>
      <c r="J15" s="1349"/>
      <c r="K15" s="7715">
        <f>SUM(L15:V15)</f>
        <v>0</v>
      </c>
      <c r="L15" s="7715">
        <f>SUM(L16:L27)</f>
        <v>0</v>
      </c>
      <c r="M15" s="7715">
        <f>SUM(M16:M27)</f>
        <v>0</v>
      </c>
      <c r="N15" s="7715">
        <f>SUM(N16:N27)</f>
        <v>0</v>
      </c>
      <c r="O15" s="7715">
        <f>SUM(O16:O27)</f>
        <v>0</v>
      </c>
      <c r="P15" s="7715">
        <f>SUM(P16:P27)</f>
        <v>0</v>
      </c>
      <c r="Q15" s="7715">
        <f>SUM(Q16:Q27)</f>
        <v>0</v>
      </c>
      <c r="R15" s="7715">
        <f>SUM(R16:R27)</f>
        <v>0</v>
      </c>
      <c r="S15" s="7715">
        <f>SUM(S16:S27)</f>
        <v>0</v>
      </c>
      <c r="T15" s="7715">
        <f>SUM(T16:T27)</f>
        <v>0</v>
      </c>
      <c r="U15" s="7715">
        <f>SUM(U16:U27)</f>
        <v>0</v>
      </c>
      <c r="V15" s="7556"/>
      <c r="W15" s="7715">
        <f>SUM(X15:AC15)</f>
        <v>0</v>
      </c>
      <c r="X15" s="7715">
        <f>SUM(X16:X27)</f>
        <v>0</v>
      </c>
      <c r="Y15" s="7715">
        <f>SUM(Y16:Y27)</f>
        <v>0</v>
      </c>
      <c r="Z15" s="7715">
        <f>SUM(Z16:Z27)</f>
        <v>0</v>
      </c>
      <c r="AA15" s="7715">
        <f>SUM(AA16:AA27)</f>
        <v>0</v>
      </c>
      <c r="AB15" s="7715">
        <f>SUM(AB16:AB27)</f>
        <v>0</v>
      </c>
      <c r="AC15" s="7556"/>
      <c r="AD15" s="7715">
        <f>SUM(AE15:AJ15)</f>
        <v>0</v>
      </c>
      <c r="AE15" s="7715">
        <f>SUM(AE16:AE27)</f>
        <v>0</v>
      </c>
      <c r="AF15" s="7715">
        <f>SUM(AF16:AF27)</f>
        <v>0</v>
      </c>
      <c r="AG15" s="7715">
        <f>SUM(AG16:AG27)</f>
        <v>0</v>
      </c>
      <c r="AH15" s="7715">
        <f>SUM(AH16:AH27)</f>
        <v>0</v>
      </c>
      <c r="AI15" s="7715">
        <f>SUM(AI16:AI27)</f>
        <v>0</v>
      </c>
      <c r="AJ15" s="7556"/>
      <c r="AK15" s="7715">
        <f>SUM(AL15:AQ15)</f>
        <v>0</v>
      </c>
      <c r="AL15" s="7715">
        <f>SUM(AL16:AL27)</f>
        <v>0</v>
      </c>
      <c r="AM15" s="7715">
        <f>SUM(AM16:AM27)</f>
        <v>0</v>
      </c>
      <c r="AN15" s="7715">
        <f>SUM(AN16:AN27)</f>
        <v>0</v>
      </c>
      <c r="AO15" s="7715">
        <f>SUM(AO16:AO27)</f>
        <v>0</v>
      </c>
      <c r="AP15" s="7715">
        <f>SUM(AP16:AP27)</f>
        <v>0</v>
      </c>
      <c r="AQ15" s="7556"/>
      <c r="AR15" s="7715">
        <f>SUM(AS15:AX15)</f>
        <v>0</v>
      </c>
      <c r="AS15" s="7715">
        <f>SUM(AS16:AS27)</f>
        <v>0</v>
      </c>
      <c r="AT15" s="7715">
        <f>SUM(AT16:AT27)</f>
        <v>0</v>
      </c>
      <c r="AU15" s="7715">
        <f>SUM(AU16:AU27)</f>
        <v>0</v>
      </c>
      <c r="AV15" s="7715">
        <f>SUM(AV16:AV27)</f>
        <v>0</v>
      </c>
      <c r="AW15" s="7715">
        <f>SUM(AW16:AW27)</f>
        <v>0</v>
      </c>
      <c r="AX15" s="7556"/>
      <c r="AY15" s="7715">
        <f>SUM(AZ15:BE15)</f>
        <v>0</v>
      </c>
      <c r="AZ15" s="7715">
        <f>SUM(AZ16:AZ27)</f>
        <v>0</v>
      </c>
      <c r="BA15" s="7715">
        <f>SUM(BA16:BA27)</f>
        <v>0</v>
      </c>
      <c r="BB15" s="7715">
        <f>SUM(BB16:BB27)</f>
        <v>0</v>
      </c>
      <c r="BC15" s="7715">
        <f>SUM(BC16:BC27)</f>
        <v>0</v>
      </c>
      <c r="BD15" s="7715">
        <f>SUM(BD16:BD27)</f>
        <v>0</v>
      </c>
      <c r="BE15" s="7556"/>
      <c r="BF15" s="7715">
        <f>SUM(BG15:BL15)</f>
        <v>0</v>
      </c>
      <c r="BG15" s="7715">
        <f>SUM(BG16:BG27)</f>
        <v>0</v>
      </c>
      <c r="BH15" s="7715">
        <f>SUM(BH16:BH27)</f>
        <v>0</v>
      </c>
      <c r="BI15" s="7715">
        <f>SUM(BI16:BI27)</f>
        <v>0</v>
      </c>
      <c r="BJ15" s="7715">
        <f>SUM(BJ16:BJ27)</f>
        <v>0</v>
      </c>
      <c r="BK15" s="7715">
        <f>SUM(BK16:BK27)</f>
        <v>0</v>
      </c>
      <c r="BL15" s="7556"/>
      <c r="BM15" s="7715">
        <f>SUM(BN15:BS15)</f>
        <v>0</v>
      </c>
      <c r="BN15" s="7715">
        <f>SUM(BN16:BN27)</f>
        <v>0</v>
      </c>
      <c r="BO15" s="7715">
        <f>SUM(BO16:BO27)</f>
        <v>0</v>
      </c>
      <c r="BP15" s="7715">
        <f>SUM(BP16:BP27)</f>
        <v>0</v>
      </c>
      <c r="BQ15" s="7715">
        <f>SUM(BQ16:BQ27)</f>
        <v>0</v>
      </c>
      <c r="BR15" s="7715">
        <f>SUM(BR16:BR27)</f>
        <v>0</v>
      </c>
      <c r="BS15" s="7556"/>
      <c r="BT15" s="7715">
        <f>SUM(BU15:BZ15)</f>
        <v>0</v>
      </c>
      <c r="BU15" s="7715">
        <f>SUM(BU16:BU27)</f>
        <v>0</v>
      </c>
      <c r="BV15" s="7715">
        <f>SUM(BV16:BV27)</f>
        <v>0</v>
      </c>
      <c r="BW15" s="7715">
        <f>SUM(BW16:BW27)</f>
        <v>0</v>
      </c>
      <c r="BX15" s="7715">
        <f>SUM(BX16:BX27)</f>
        <v>0</v>
      </c>
      <c r="BY15" s="7715">
        <f>SUM(BY16:BY27)</f>
        <v>0</v>
      </c>
      <c r="BZ15" s="7556"/>
      <c r="CA15" s="7715">
        <f>SUM(CB15:CG15)</f>
        <v>0</v>
      </c>
      <c r="CB15" s="7715">
        <f>SUM(CB16:CB27)</f>
        <v>0</v>
      </c>
      <c r="CC15" s="7715">
        <f>SUM(CC16:CC27)</f>
        <v>0</v>
      </c>
      <c r="CD15" s="7715">
        <f>SUM(CD16:CD27)</f>
        <v>0</v>
      </c>
      <c r="CE15" s="7715">
        <f>SUM(CE16:CE27)</f>
        <v>0</v>
      </c>
      <c r="CF15" s="7715">
        <f>SUM(CF16:CF27)</f>
        <v>0</v>
      </c>
      <c r="CG15" s="7556"/>
      <c r="CH15" s="7715">
        <f>SUM(CI15:CN15)</f>
        <v>0</v>
      </c>
      <c r="CI15" s="7715">
        <f>SUM(CI16:CI27)</f>
        <v>0</v>
      </c>
      <c r="CJ15" s="7715">
        <f>SUM(CJ16:CJ27)</f>
        <v>0</v>
      </c>
      <c r="CK15" s="7715">
        <f>SUM(CK16:CK27)</f>
        <v>0</v>
      </c>
      <c r="CL15" s="7715">
        <f>SUM(CL16:CL27)</f>
        <v>0</v>
      </c>
      <c r="CM15" s="7715">
        <f>SUM(CM16:CM27)</f>
        <v>0</v>
      </c>
      <c r="CN15" s="7556"/>
      <c r="CO15" s="7715">
        <f>SUM(CP15:CU15)</f>
        <v>0</v>
      </c>
      <c r="CP15" s="7715">
        <f>SUM(CP16:CP27)</f>
        <v>0</v>
      </c>
      <c r="CQ15" s="7715">
        <f>SUM(CQ16:CQ27)</f>
        <v>0</v>
      </c>
      <c r="CR15" s="7715">
        <f>SUM(CR16:CR27)</f>
        <v>0</v>
      </c>
      <c r="CS15" s="7715">
        <f>SUM(CS16:CS27)</f>
        <v>0</v>
      </c>
      <c r="CT15" s="7715">
        <f>SUM(CT16:CT27)</f>
        <v>0</v>
      </c>
      <c r="CU15" s="7556"/>
      <c r="CV15" s="7715">
        <f>SUM(CW15:DB15)</f>
        <v>0</v>
      </c>
      <c r="CW15" s="7715">
        <f>SUM(CW16:CW27)</f>
        <v>0</v>
      </c>
      <c r="CX15" s="7715">
        <f>SUM(CX16:CX27)</f>
        <v>0</v>
      </c>
      <c r="CY15" s="7715">
        <f>SUM(CY16:CY27)</f>
        <v>0</v>
      </c>
      <c r="CZ15" s="7715">
        <f>SUM(CZ16:CZ27)</f>
        <v>0</v>
      </c>
      <c r="DA15" s="7715">
        <f>SUM(DA16:DA27)</f>
        <v>0</v>
      </c>
      <c r="DB15" s="7556"/>
      <c r="DC15" s="7715">
        <f>SUM(DD15:DI15)</f>
        <v>0</v>
      </c>
      <c r="DD15" s="7715">
        <f>SUM(DD16:DD27)</f>
        <v>0</v>
      </c>
      <c r="DE15" s="7715">
        <f>SUM(DE16:DE27)</f>
        <v>0</v>
      </c>
      <c r="DF15" s="7715">
        <f>SUM(DF16:DF27)</f>
        <v>0</v>
      </c>
      <c r="DG15" s="7715">
        <f>SUM(DG16:DG27)</f>
        <v>0</v>
      </c>
      <c r="DH15" s="7715">
        <f>SUM(DH16:DH27)</f>
        <v>0</v>
      </c>
      <c r="DI15" s="7556"/>
      <c r="DJ15" s="7715">
        <f>SUM(DK15:DP15)</f>
        <v>0</v>
      </c>
      <c r="DK15" s="7715">
        <f>SUM(DK16:DK27)</f>
        <v>0</v>
      </c>
      <c r="DL15" s="7715">
        <f>SUM(DL16:DL27)</f>
        <v>0</v>
      </c>
      <c r="DM15" s="7715">
        <f>SUM(DM16:DM27)</f>
        <v>0</v>
      </c>
      <c r="DN15" s="7715">
        <f>SUM(DN16:DN27)</f>
        <v>0</v>
      </c>
      <c r="DO15" s="7715">
        <f>SUM(DO16:DO27)</f>
        <v>0</v>
      </c>
      <c r="DP15" s="7556"/>
      <c r="DQ15" s="7715">
        <f>SUM(DR15:EB15)</f>
        <v>0</v>
      </c>
      <c r="DR15" s="7715">
        <f>SUM(DR16:DR27)</f>
        <v>0</v>
      </c>
      <c r="DS15" s="7715">
        <f>SUM(DS16:DS27)</f>
        <v>0</v>
      </c>
      <c r="DT15" s="7715">
        <f>SUM(DT16:DT27)</f>
        <v>0</v>
      </c>
      <c r="DU15" s="7715">
        <f>SUM(DU16:DU27)</f>
        <v>0</v>
      </c>
      <c r="DV15" s="7715">
        <f>SUM(DV16:DV27)</f>
        <v>0</v>
      </c>
      <c r="DW15" s="7715">
        <f>SUM(DW16:DW27)</f>
        <v>0</v>
      </c>
      <c r="DX15" s="7715">
        <f>SUM(DX16:DX27)</f>
        <v>0</v>
      </c>
      <c r="DY15" s="7715">
        <f>SUM(DY16:DY27)</f>
        <v>0</v>
      </c>
      <c r="DZ15" s="7715">
        <f>SUM(DZ16:DZ27)</f>
        <v>0</v>
      </c>
      <c r="EA15" s="7715">
        <f>SUM(EA16:EA27)</f>
        <v>0</v>
      </c>
      <c r="EB15" s="7556"/>
      <c r="EC15" s="1358"/>
      <c r="EO15" s="1279">
        <v>11</v>
      </c>
    </row>
    <row customHeight="1" ht="24">
      <c r="F16" s="1354" t="s">
        <v>1447</v>
      </c>
      <c r="G16" s="1361" t="s">
        <v>1448</v>
      </c>
      <c r="H16" s="1360">
        <f>SUM(I16:J16)</f>
        <v>0</v>
      </c>
      <c r="I16" s="1359"/>
      <c r="J16" s="1349"/>
      <c r="K16" s="7715">
        <f>SUM(L16:V16)</f>
        <v>0</v>
      </c>
      <c r="L16" s="7039"/>
      <c r="M16" s="7039"/>
      <c r="N16" s="7039"/>
      <c r="O16" s="7039"/>
      <c r="P16" s="7039"/>
      <c r="Q16" s="7039"/>
      <c r="R16" s="7039"/>
      <c r="S16" s="7039"/>
      <c r="T16" s="7039"/>
      <c r="U16" s="7039"/>
      <c r="V16" s="7556"/>
      <c r="W16" s="7715">
        <f>SUM(X16:AC16)</f>
        <v>0</v>
      </c>
      <c r="X16" s="7039"/>
      <c r="Y16" s="7039"/>
      <c r="Z16" s="7039"/>
      <c r="AA16" s="7039"/>
      <c r="AB16" s="7039"/>
      <c r="AC16" s="7556"/>
      <c r="AD16" s="7715">
        <f>SUM(AE16:AJ16)</f>
        <v>0</v>
      </c>
      <c r="AE16" s="7039"/>
      <c r="AF16" s="7039"/>
      <c r="AG16" s="7039"/>
      <c r="AH16" s="7039"/>
      <c r="AI16" s="7039"/>
      <c r="AJ16" s="7556"/>
      <c r="AK16" s="7715">
        <f>SUM(AL16:AQ16)</f>
        <v>0</v>
      </c>
      <c r="AL16" s="7039"/>
      <c r="AM16" s="7039"/>
      <c r="AN16" s="7039"/>
      <c r="AO16" s="7039"/>
      <c r="AP16" s="7039"/>
      <c r="AQ16" s="7556"/>
      <c r="AR16" s="7715">
        <f>SUM(AS16:AX16)</f>
        <v>0</v>
      </c>
      <c r="AS16" s="7039"/>
      <c r="AT16" s="7039"/>
      <c r="AU16" s="7039"/>
      <c r="AV16" s="7039"/>
      <c r="AW16" s="7039"/>
      <c r="AX16" s="7556"/>
      <c r="AY16" s="7715">
        <f>SUM(AZ16:BE16)</f>
        <v>0</v>
      </c>
      <c r="AZ16" s="7039"/>
      <c r="BA16" s="7039"/>
      <c r="BB16" s="7039"/>
      <c r="BC16" s="7039"/>
      <c r="BD16" s="7039"/>
      <c r="BE16" s="7556"/>
      <c r="BF16" s="7715">
        <f>SUM(BG16:BL16)</f>
        <v>0</v>
      </c>
      <c r="BG16" s="7039"/>
      <c r="BH16" s="7039"/>
      <c r="BI16" s="7039"/>
      <c r="BJ16" s="7039"/>
      <c r="BK16" s="7039"/>
      <c r="BL16" s="7556"/>
      <c r="BM16" s="7715">
        <f>SUM(BN16:BS16)</f>
        <v>0</v>
      </c>
      <c r="BN16" s="7039"/>
      <c r="BO16" s="7039"/>
      <c r="BP16" s="7039"/>
      <c r="BQ16" s="7039"/>
      <c r="BR16" s="7039"/>
      <c r="BS16" s="7556"/>
      <c r="BT16" s="7715">
        <f>SUM(BU16:BZ16)</f>
        <v>0</v>
      </c>
      <c r="BU16" s="7039"/>
      <c r="BV16" s="7039"/>
      <c r="BW16" s="7039"/>
      <c r="BX16" s="7039"/>
      <c r="BY16" s="7039"/>
      <c r="BZ16" s="7556"/>
      <c r="CA16" s="7715">
        <f>SUM(CB16:CG16)</f>
        <v>0</v>
      </c>
      <c r="CB16" s="7039"/>
      <c r="CC16" s="7039"/>
      <c r="CD16" s="7039"/>
      <c r="CE16" s="7039"/>
      <c r="CF16" s="7039"/>
      <c r="CG16" s="7556"/>
      <c r="CH16" s="7715">
        <f>SUM(CI16:CN16)</f>
        <v>0</v>
      </c>
      <c r="CI16" s="7039"/>
      <c r="CJ16" s="7039"/>
      <c r="CK16" s="7039"/>
      <c r="CL16" s="7039"/>
      <c r="CM16" s="7039"/>
      <c r="CN16" s="7556"/>
      <c r="CO16" s="7715">
        <f>SUM(CP16:CU16)</f>
        <v>0</v>
      </c>
      <c r="CP16" s="7039"/>
      <c r="CQ16" s="7039"/>
      <c r="CR16" s="7039"/>
      <c r="CS16" s="7039"/>
      <c r="CT16" s="7039"/>
      <c r="CU16" s="7556"/>
      <c r="CV16" s="7715">
        <f>SUM(CW16:DB16)</f>
        <v>0</v>
      </c>
      <c r="CW16" s="7039"/>
      <c r="CX16" s="7039"/>
      <c r="CY16" s="7039"/>
      <c r="CZ16" s="7039"/>
      <c r="DA16" s="7039"/>
      <c r="DB16" s="7556"/>
      <c r="DC16" s="7715">
        <f>SUM(DD16:DI16)</f>
        <v>0</v>
      </c>
      <c r="DD16" s="7039"/>
      <c r="DE16" s="7039"/>
      <c r="DF16" s="7039"/>
      <c r="DG16" s="7039"/>
      <c r="DH16" s="7039"/>
      <c r="DI16" s="7556"/>
      <c r="DJ16" s="7715">
        <f>SUM(DK16:DP16)</f>
        <v>0</v>
      </c>
      <c r="DK16" s="7039"/>
      <c r="DL16" s="7039"/>
      <c r="DM16" s="7039"/>
      <c r="DN16" s="7039"/>
      <c r="DO16" s="7039"/>
      <c r="DP16" s="7556"/>
      <c r="DQ16" s="7715">
        <f>SUM(DR16:EB16)</f>
        <v>0</v>
      </c>
      <c r="DR16" s="7039"/>
      <c r="DS16" s="7039"/>
      <c r="DT16" s="7039"/>
      <c r="DU16" s="7039"/>
      <c r="DV16" s="7039"/>
      <c r="DW16" s="7039"/>
      <c r="DX16" s="7039"/>
      <c r="DY16" s="7039"/>
      <c r="DZ16" s="7039"/>
      <c r="EA16" s="7039"/>
      <c r="EB16" s="7556"/>
      <c r="EC16" s="1358"/>
      <c r="EO16" s="1279">
        <v>23</v>
      </c>
    </row>
    <row customHeight="1" ht="24">
      <c r="F17" s="1354" t="s">
        <v>1449</v>
      </c>
      <c r="G17" s="1361" t="s">
        <v>1450</v>
      </c>
      <c r="H17" s="1360">
        <f>SUM(I17:J17)</f>
        <v>0</v>
      </c>
      <c r="I17" s="1359"/>
      <c r="J17" s="1349"/>
      <c r="K17" s="7715">
        <f>SUM(L17:V17)</f>
        <v>0</v>
      </c>
      <c r="L17" s="7039"/>
      <c r="M17" s="7039"/>
      <c r="N17" s="7039"/>
      <c r="O17" s="7039"/>
      <c r="P17" s="7039"/>
      <c r="Q17" s="7039"/>
      <c r="R17" s="7039"/>
      <c r="S17" s="7039"/>
      <c r="T17" s="7039"/>
      <c r="U17" s="7039"/>
      <c r="V17" s="7556"/>
      <c r="W17" s="7715">
        <f>SUM(X17:AC17)</f>
        <v>0</v>
      </c>
      <c r="X17" s="7039"/>
      <c r="Y17" s="7039"/>
      <c r="Z17" s="7039"/>
      <c r="AA17" s="7039"/>
      <c r="AB17" s="7039"/>
      <c r="AC17" s="7556"/>
      <c r="AD17" s="7715">
        <f>SUM(AE17:AJ17)</f>
        <v>0</v>
      </c>
      <c r="AE17" s="7039"/>
      <c r="AF17" s="7039"/>
      <c r="AG17" s="7039"/>
      <c r="AH17" s="7039"/>
      <c r="AI17" s="7039"/>
      <c r="AJ17" s="7556"/>
      <c r="AK17" s="7715">
        <f>SUM(AL17:AQ17)</f>
        <v>0</v>
      </c>
      <c r="AL17" s="7039"/>
      <c r="AM17" s="7039"/>
      <c r="AN17" s="7039"/>
      <c r="AO17" s="7039"/>
      <c r="AP17" s="7039"/>
      <c r="AQ17" s="7556"/>
      <c r="AR17" s="7715">
        <f>SUM(AS17:AX17)</f>
        <v>0</v>
      </c>
      <c r="AS17" s="7039"/>
      <c r="AT17" s="7039"/>
      <c r="AU17" s="7039"/>
      <c r="AV17" s="7039"/>
      <c r="AW17" s="7039"/>
      <c r="AX17" s="7556"/>
      <c r="AY17" s="7715">
        <f>SUM(AZ17:BE17)</f>
        <v>0</v>
      </c>
      <c r="AZ17" s="7039"/>
      <c r="BA17" s="7039"/>
      <c r="BB17" s="7039"/>
      <c r="BC17" s="7039"/>
      <c r="BD17" s="7039"/>
      <c r="BE17" s="7556"/>
      <c r="BF17" s="7715">
        <f>SUM(BG17:BL17)</f>
        <v>0</v>
      </c>
      <c r="BG17" s="7039"/>
      <c r="BH17" s="7039"/>
      <c r="BI17" s="7039"/>
      <c r="BJ17" s="7039"/>
      <c r="BK17" s="7039"/>
      <c r="BL17" s="7556"/>
      <c r="BM17" s="7715">
        <f>SUM(BN17:BS17)</f>
        <v>0</v>
      </c>
      <c r="BN17" s="7039"/>
      <c r="BO17" s="7039"/>
      <c r="BP17" s="7039"/>
      <c r="BQ17" s="7039"/>
      <c r="BR17" s="7039"/>
      <c r="BS17" s="7556"/>
      <c r="BT17" s="7715">
        <f>SUM(BU17:BZ17)</f>
        <v>0</v>
      </c>
      <c r="BU17" s="7039"/>
      <c r="BV17" s="7039"/>
      <c r="BW17" s="7039"/>
      <c r="BX17" s="7039"/>
      <c r="BY17" s="7039"/>
      <c r="BZ17" s="7556"/>
      <c r="CA17" s="7715">
        <f>SUM(CB17:CG17)</f>
        <v>0</v>
      </c>
      <c r="CB17" s="7039"/>
      <c r="CC17" s="7039"/>
      <c r="CD17" s="7039"/>
      <c r="CE17" s="7039"/>
      <c r="CF17" s="7039"/>
      <c r="CG17" s="7556"/>
      <c r="CH17" s="7715">
        <f>SUM(CI17:CN17)</f>
        <v>0</v>
      </c>
      <c r="CI17" s="7039"/>
      <c r="CJ17" s="7039"/>
      <c r="CK17" s="7039"/>
      <c r="CL17" s="7039"/>
      <c r="CM17" s="7039"/>
      <c r="CN17" s="7556"/>
      <c r="CO17" s="7715">
        <f>SUM(CP17:CU17)</f>
        <v>0</v>
      </c>
      <c r="CP17" s="7039"/>
      <c r="CQ17" s="7039"/>
      <c r="CR17" s="7039"/>
      <c r="CS17" s="7039"/>
      <c r="CT17" s="7039"/>
      <c r="CU17" s="7556"/>
      <c r="CV17" s="7715">
        <f>SUM(CW17:DB17)</f>
        <v>0</v>
      </c>
      <c r="CW17" s="7039"/>
      <c r="CX17" s="7039"/>
      <c r="CY17" s="7039"/>
      <c r="CZ17" s="7039"/>
      <c r="DA17" s="7039"/>
      <c r="DB17" s="7556"/>
      <c r="DC17" s="7715">
        <f>SUM(DD17:DI17)</f>
        <v>0</v>
      </c>
      <c r="DD17" s="7039"/>
      <c r="DE17" s="7039"/>
      <c r="DF17" s="7039"/>
      <c r="DG17" s="7039"/>
      <c r="DH17" s="7039"/>
      <c r="DI17" s="7556"/>
      <c r="DJ17" s="7715">
        <f>SUM(DK17:DP17)</f>
        <v>0</v>
      </c>
      <c r="DK17" s="7039"/>
      <c r="DL17" s="7039"/>
      <c r="DM17" s="7039"/>
      <c r="DN17" s="7039"/>
      <c r="DO17" s="7039"/>
      <c r="DP17" s="7556"/>
      <c r="DQ17" s="7715">
        <f>SUM(DR17:EB17)</f>
        <v>0</v>
      </c>
      <c r="DR17" s="7039"/>
      <c r="DS17" s="7039"/>
      <c r="DT17" s="7039"/>
      <c r="DU17" s="7039"/>
      <c r="DV17" s="7039"/>
      <c r="DW17" s="7039"/>
      <c r="DX17" s="7039"/>
      <c r="DY17" s="7039"/>
      <c r="DZ17" s="7039"/>
      <c r="EA17" s="7039"/>
      <c r="EB17" s="7556"/>
      <c r="EC17" s="1358"/>
      <c r="EO17" s="1279">
        <v>23</v>
      </c>
    </row>
    <row customHeight="1" ht="35.699999999999996">
      <c r="F18" s="1354" t="s">
        <v>1451</v>
      </c>
      <c r="G18" s="1361" t="s">
        <v>1452</v>
      </c>
      <c r="H18" s="1360">
        <f>SUM(I18:J18)</f>
        <v>0</v>
      </c>
      <c r="I18" s="1359"/>
      <c r="J18" s="1349"/>
      <c r="K18" s="7715">
        <f>SUM(L18:V18)</f>
        <v>0</v>
      </c>
      <c r="L18" s="7039"/>
      <c r="M18" s="7039"/>
      <c r="N18" s="7039"/>
      <c r="O18" s="7039"/>
      <c r="P18" s="7039"/>
      <c r="Q18" s="7039"/>
      <c r="R18" s="7039"/>
      <c r="S18" s="7039"/>
      <c r="T18" s="7039"/>
      <c r="U18" s="7039"/>
      <c r="V18" s="7556"/>
      <c r="W18" s="7715">
        <f>SUM(X18:AC18)</f>
        <v>0</v>
      </c>
      <c r="X18" s="7039"/>
      <c r="Y18" s="7039"/>
      <c r="Z18" s="7039"/>
      <c r="AA18" s="7039"/>
      <c r="AB18" s="7039"/>
      <c r="AC18" s="7556"/>
      <c r="AD18" s="7715">
        <f>SUM(AE18:AJ18)</f>
        <v>0</v>
      </c>
      <c r="AE18" s="7039"/>
      <c r="AF18" s="7039"/>
      <c r="AG18" s="7039"/>
      <c r="AH18" s="7039"/>
      <c r="AI18" s="7039"/>
      <c r="AJ18" s="7556"/>
      <c r="AK18" s="7715">
        <f>SUM(AL18:AQ18)</f>
        <v>0</v>
      </c>
      <c r="AL18" s="7039"/>
      <c r="AM18" s="7039"/>
      <c r="AN18" s="7039"/>
      <c r="AO18" s="7039"/>
      <c r="AP18" s="7039"/>
      <c r="AQ18" s="7556"/>
      <c r="AR18" s="7715">
        <f>SUM(AS18:AX18)</f>
        <v>0</v>
      </c>
      <c r="AS18" s="7039"/>
      <c r="AT18" s="7039"/>
      <c r="AU18" s="7039"/>
      <c r="AV18" s="7039"/>
      <c r="AW18" s="7039"/>
      <c r="AX18" s="7556"/>
      <c r="AY18" s="7715">
        <f>SUM(AZ18:BE18)</f>
        <v>0</v>
      </c>
      <c r="AZ18" s="7039"/>
      <c r="BA18" s="7039"/>
      <c r="BB18" s="7039"/>
      <c r="BC18" s="7039"/>
      <c r="BD18" s="7039"/>
      <c r="BE18" s="7556"/>
      <c r="BF18" s="7715">
        <f>SUM(BG18:BL18)</f>
        <v>0</v>
      </c>
      <c r="BG18" s="7039"/>
      <c r="BH18" s="7039"/>
      <c r="BI18" s="7039"/>
      <c r="BJ18" s="7039"/>
      <c r="BK18" s="7039"/>
      <c r="BL18" s="7556"/>
      <c r="BM18" s="7715">
        <f>SUM(BN18:BS18)</f>
        <v>0</v>
      </c>
      <c r="BN18" s="7039"/>
      <c r="BO18" s="7039"/>
      <c r="BP18" s="7039"/>
      <c r="BQ18" s="7039"/>
      <c r="BR18" s="7039"/>
      <c r="BS18" s="7556"/>
      <c r="BT18" s="7715">
        <f>SUM(BU18:BZ18)</f>
        <v>0</v>
      </c>
      <c r="BU18" s="7039"/>
      <c r="BV18" s="7039"/>
      <c r="BW18" s="7039"/>
      <c r="BX18" s="7039"/>
      <c r="BY18" s="7039"/>
      <c r="BZ18" s="7556"/>
      <c r="CA18" s="7715">
        <f>SUM(CB18:CG18)</f>
        <v>0</v>
      </c>
      <c r="CB18" s="7039"/>
      <c r="CC18" s="7039"/>
      <c r="CD18" s="7039"/>
      <c r="CE18" s="7039"/>
      <c r="CF18" s="7039"/>
      <c r="CG18" s="7556"/>
      <c r="CH18" s="7715">
        <f>SUM(CI18:CN18)</f>
        <v>0</v>
      </c>
      <c r="CI18" s="7039"/>
      <c r="CJ18" s="7039"/>
      <c r="CK18" s="7039"/>
      <c r="CL18" s="7039"/>
      <c r="CM18" s="7039"/>
      <c r="CN18" s="7556"/>
      <c r="CO18" s="7715">
        <f>SUM(CP18:CU18)</f>
        <v>0</v>
      </c>
      <c r="CP18" s="7039"/>
      <c r="CQ18" s="7039"/>
      <c r="CR18" s="7039"/>
      <c r="CS18" s="7039"/>
      <c r="CT18" s="7039"/>
      <c r="CU18" s="7556"/>
      <c r="CV18" s="7715">
        <f>SUM(CW18:DB18)</f>
        <v>0</v>
      </c>
      <c r="CW18" s="7039"/>
      <c r="CX18" s="7039"/>
      <c r="CY18" s="7039"/>
      <c r="CZ18" s="7039"/>
      <c r="DA18" s="7039"/>
      <c r="DB18" s="7556"/>
      <c r="DC18" s="7715">
        <f>SUM(DD18:DI18)</f>
        <v>0</v>
      </c>
      <c r="DD18" s="7039"/>
      <c r="DE18" s="7039"/>
      <c r="DF18" s="7039"/>
      <c r="DG18" s="7039"/>
      <c r="DH18" s="7039"/>
      <c r="DI18" s="7556"/>
      <c r="DJ18" s="7715">
        <f>SUM(DK18:DP18)</f>
        <v>0</v>
      </c>
      <c r="DK18" s="7039"/>
      <c r="DL18" s="7039"/>
      <c r="DM18" s="7039"/>
      <c r="DN18" s="7039"/>
      <c r="DO18" s="7039"/>
      <c r="DP18" s="7556"/>
      <c r="DQ18" s="7715">
        <f>SUM(DR18:EB18)</f>
        <v>0</v>
      </c>
      <c r="DR18" s="7039"/>
      <c r="DS18" s="7039"/>
      <c r="DT18" s="7039"/>
      <c r="DU18" s="7039"/>
      <c r="DV18" s="7039"/>
      <c r="DW18" s="7039"/>
      <c r="DX18" s="7039"/>
      <c r="DY18" s="7039"/>
      <c r="DZ18" s="7039"/>
      <c r="EA18" s="7039"/>
      <c r="EB18" s="7556"/>
      <c r="EC18" s="1358"/>
      <c r="EO18" s="1279">
        <v>34</v>
      </c>
    </row>
    <row customHeight="1" ht="35.699999999999996">
      <c r="F19" s="1354" t="s">
        <v>1453</v>
      </c>
      <c r="G19" s="1361" t="s">
        <v>1454</v>
      </c>
      <c r="H19" s="1360">
        <f>SUM(I19:J19)</f>
        <v>0</v>
      </c>
      <c r="I19" s="1359"/>
      <c r="J19" s="1349"/>
      <c r="K19" s="7715">
        <f>SUM(L19:V19)</f>
        <v>0</v>
      </c>
      <c r="L19" s="7039"/>
      <c r="M19" s="7039"/>
      <c r="N19" s="7039"/>
      <c r="O19" s="7039"/>
      <c r="P19" s="7039"/>
      <c r="Q19" s="7039"/>
      <c r="R19" s="7039"/>
      <c r="S19" s="7039"/>
      <c r="T19" s="7039"/>
      <c r="U19" s="7039"/>
      <c r="V19" s="7556"/>
      <c r="W19" s="7715">
        <f>SUM(X19:AC19)</f>
        <v>0</v>
      </c>
      <c r="X19" s="7039"/>
      <c r="Y19" s="7039"/>
      <c r="Z19" s="7039"/>
      <c r="AA19" s="7039"/>
      <c r="AB19" s="7039"/>
      <c r="AC19" s="7556"/>
      <c r="AD19" s="7715">
        <f>SUM(AE19:AJ19)</f>
        <v>0</v>
      </c>
      <c r="AE19" s="7039"/>
      <c r="AF19" s="7039"/>
      <c r="AG19" s="7039"/>
      <c r="AH19" s="7039"/>
      <c r="AI19" s="7039"/>
      <c r="AJ19" s="7556"/>
      <c r="AK19" s="7715">
        <f>SUM(AL19:AQ19)</f>
        <v>0</v>
      </c>
      <c r="AL19" s="7039"/>
      <c r="AM19" s="7039"/>
      <c r="AN19" s="7039"/>
      <c r="AO19" s="7039"/>
      <c r="AP19" s="7039"/>
      <c r="AQ19" s="7556"/>
      <c r="AR19" s="7715">
        <f>SUM(AS19:AX19)</f>
        <v>0</v>
      </c>
      <c r="AS19" s="7039"/>
      <c r="AT19" s="7039"/>
      <c r="AU19" s="7039"/>
      <c r="AV19" s="7039"/>
      <c r="AW19" s="7039"/>
      <c r="AX19" s="7556"/>
      <c r="AY19" s="7715">
        <f>SUM(AZ19:BE19)</f>
        <v>0</v>
      </c>
      <c r="AZ19" s="7039"/>
      <c r="BA19" s="7039"/>
      <c r="BB19" s="7039"/>
      <c r="BC19" s="7039"/>
      <c r="BD19" s="7039"/>
      <c r="BE19" s="7556"/>
      <c r="BF19" s="7715">
        <f>SUM(BG19:BL19)</f>
        <v>0</v>
      </c>
      <c r="BG19" s="7039"/>
      <c r="BH19" s="7039"/>
      <c r="BI19" s="7039"/>
      <c r="BJ19" s="7039"/>
      <c r="BK19" s="7039"/>
      <c r="BL19" s="7556"/>
      <c r="BM19" s="7715">
        <f>SUM(BN19:BS19)</f>
        <v>0</v>
      </c>
      <c r="BN19" s="7039"/>
      <c r="BO19" s="7039"/>
      <c r="BP19" s="7039"/>
      <c r="BQ19" s="7039"/>
      <c r="BR19" s="7039"/>
      <c r="BS19" s="7556"/>
      <c r="BT19" s="7715">
        <f>SUM(BU19:BZ19)</f>
        <v>0</v>
      </c>
      <c r="BU19" s="7039"/>
      <c r="BV19" s="7039"/>
      <c r="BW19" s="7039"/>
      <c r="BX19" s="7039"/>
      <c r="BY19" s="7039"/>
      <c r="BZ19" s="7556"/>
      <c r="CA19" s="7715">
        <f>SUM(CB19:CG19)</f>
        <v>0</v>
      </c>
      <c r="CB19" s="7039"/>
      <c r="CC19" s="7039"/>
      <c r="CD19" s="7039"/>
      <c r="CE19" s="7039"/>
      <c r="CF19" s="7039"/>
      <c r="CG19" s="7556"/>
      <c r="CH19" s="7715">
        <f>SUM(CI19:CN19)</f>
        <v>0</v>
      </c>
      <c r="CI19" s="7039"/>
      <c r="CJ19" s="7039"/>
      <c r="CK19" s="7039"/>
      <c r="CL19" s="7039"/>
      <c r="CM19" s="7039"/>
      <c r="CN19" s="7556"/>
      <c r="CO19" s="7715">
        <f>SUM(CP19:CU19)</f>
        <v>0</v>
      </c>
      <c r="CP19" s="7039"/>
      <c r="CQ19" s="7039"/>
      <c r="CR19" s="7039"/>
      <c r="CS19" s="7039"/>
      <c r="CT19" s="7039"/>
      <c r="CU19" s="7556"/>
      <c r="CV19" s="7715">
        <f>SUM(CW19:DB19)</f>
        <v>0</v>
      </c>
      <c r="CW19" s="7039"/>
      <c r="CX19" s="7039"/>
      <c r="CY19" s="7039"/>
      <c r="CZ19" s="7039"/>
      <c r="DA19" s="7039"/>
      <c r="DB19" s="7556"/>
      <c r="DC19" s="7715">
        <f>SUM(DD19:DI19)</f>
        <v>0</v>
      </c>
      <c r="DD19" s="7039"/>
      <c r="DE19" s="7039"/>
      <c r="DF19" s="7039"/>
      <c r="DG19" s="7039"/>
      <c r="DH19" s="7039"/>
      <c r="DI19" s="7556"/>
      <c r="DJ19" s="7715">
        <f>SUM(DK19:DP19)</f>
        <v>0</v>
      </c>
      <c r="DK19" s="7039"/>
      <c r="DL19" s="7039"/>
      <c r="DM19" s="7039"/>
      <c r="DN19" s="7039"/>
      <c r="DO19" s="7039"/>
      <c r="DP19" s="7556"/>
      <c r="DQ19" s="7715">
        <f>SUM(DR19:EB19)</f>
        <v>0</v>
      </c>
      <c r="DR19" s="7039"/>
      <c r="DS19" s="7039"/>
      <c r="DT19" s="7039"/>
      <c r="DU19" s="7039"/>
      <c r="DV19" s="7039"/>
      <c r="DW19" s="7039"/>
      <c r="DX19" s="7039"/>
      <c r="DY19" s="7039"/>
      <c r="DZ19" s="7039"/>
      <c r="EA19" s="7039"/>
      <c r="EB19" s="7556"/>
      <c r="EC19" s="1358"/>
      <c r="EO19" s="1279">
        <v>34</v>
      </c>
    </row>
    <row customHeight="1" ht="48.29999999999999">
      <c r="F20" s="1354" t="s">
        <v>1455</v>
      </c>
      <c r="G20" s="1361" t="s">
        <v>1456</v>
      </c>
      <c r="H20" s="1360">
        <f>SUM(I20:J20)</f>
        <v>0</v>
      </c>
      <c r="I20" s="1359"/>
      <c r="J20" s="1349"/>
      <c r="K20" s="7715">
        <f>SUM(L20:V20)</f>
        <v>0</v>
      </c>
      <c r="L20" s="7039"/>
      <c r="M20" s="7039"/>
      <c r="N20" s="7039"/>
      <c r="O20" s="7039"/>
      <c r="P20" s="7039"/>
      <c r="Q20" s="7039"/>
      <c r="R20" s="7039"/>
      <c r="S20" s="7039"/>
      <c r="T20" s="7039"/>
      <c r="U20" s="7039"/>
      <c r="V20" s="7556"/>
      <c r="W20" s="7715">
        <f>SUM(X20:AC20)</f>
        <v>0</v>
      </c>
      <c r="X20" s="7039"/>
      <c r="Y20" s="7039"/>
      <c r="Z20" s="7039"/>
      <c r="AA20" s="7039"/>
      <c r="AB20" s="7039"/>
      <c r="AC20" s="7556"/>
      <c r="AD20" s="7715">
        <f>SUM(AE20:AJ20)</f>
        <v>0</v>
      </c>
      <c r="AE20" s="7039"/>
      <c r="AF20" s="7039"/>
      <c r="AG20" s="7039"/>
      <c r="AH20" s="7039"/>
      <c r="AI20" s="7039"/>
      <c r="AJ20" s="7556"/>
      <c r="AK20" s="7715">
        <f>SUM(AL20:AQ20)</f>
        <v>0</v>
      </c>
      <c r="AL20" s="7039"/>
      <c r="AM20" s="7039"/>
      <c r="AN20" s="7039"/>
      <c r="AO20" s="7039"/>
      <c r="AP20" s="7039"/>
      <c r="AQ20" s="7556"/>
      <c r="AR20" s="7715">
        <f>SUM(AS20:AX20)</f>
        <v>0</v>
      </c>
      <c r="AS20" s="7039"/>
      <c r="AT20" s="7039"/>
      <c r="AU20" s="7039"/>
      <c r="AV20" s="7039"/>
      <c r="AW20" s="7039"/>
      <c r="AX20" s="7556"/>
      <c r="AY20" s="7715">
        <f>SUM(AZ20:BE20)</f>
        <v>0</v>
      </c>
      <c r="AZ20" s="7039"/>
      <c r="BA20" s="7039"/>
      <c r="BB20" s="7039"/>
      <c r="BC20" s="7039"/>
      <c r="BD20" s="7039"/>
      <c r="BE20" s="7556"/>
      <c r="BF20" s="7715">
        <f>SUM(BG20:BL20)</f>
        <v>0</v>
      </c>
      <c r="BG20" s="7039"/>
      <c r="BH20" s="7039"/>
      <c r="BI20" s="7039"/>
      <c r="BJ20" s="7039"/>
      <c r="BK20" s="7039"/>
      <c r="BL20" s="7556"/>
      <c r="BM20" s="7715">
        <f>SUM(BN20:BS20)</f>
        <v>0</v>
      </c>
      <c r="BN20" s="7039"/>
      <c r="BO20" s="7039"/>
      <c r="BP20" s="7039"/>
      <c r="BQ20" s="7039"/>
      <c r="BR20" s="7039"/>
      <c r="BS20" s="7556"/>
      <c r="BT20" s="7715">
        <f>SUM(BU20:BZ20)</f>
        <v>0</v>
      </c>
      <c r="BU20" s="7039"/>
      <c r="BV20" s="7039"/>
      <c r="BW20" s="7039"/>
      <c r="BX20" s="7039"/>
      <c r="BY20" s="7039"/>
      <c r="BZ20" s="7556"/>
      <c r="CA20" s="7715">
        <f>SUM(CB20:CG20)</f>
        <v>0</v>
      </c>
      <c r="CB20" s="7039"/>
      <c r="CC20" s="7039"/>
      <c r="CD20" s="7039"/>
      <c r="CE20" s="7039"/>
      <c r="CF20" s="7039"/>
      <c r="CG20" s="7556"/>
      <c r="CH20" s="7715">
        <f>SUM(CI20:CN20)</f>
        <v>0</v>
      </c>
      <c r="CI20" s="7039"/>
      <c r="CJ20" s="7039"/>
      <c r="CK20" s="7039"/>
      <c r="CL20" s="7039"/>
      <c r="CM20" s="7039"/>
      <c r="CN20" s="7556"/>
      <c r="CO20" s="7715">
        <f>SUM(CP20:CU20)</f>
        <v>0</v>
      </c>
      <c r="CP20" s="7039"/>
      <c r="CQ20" s="7039"/>
      <c r="CR20" s="7039"/>
      <c r="CS20" s="7039"/>
      <c r="CT20" s="7039"/>
      <c r="CU20" s="7556"/>
      <c r="CV20" s="7715">
        <f>SUM(CW20:DB20)</f>
        <v>0</v>
      </c>
      <c r="CW20" s="7039"/>
      <c r="CX20" s="7039"/>
      <c r="CY20" s="7039"/>
      <c r="CZ20" s="7039"/>
      <c r="DA20" s="7039"/>
      <c r="DB20" s="7556"/>
      <c r="DC20" s="7715">
        <f>SUM(DD20:DI20)</f>
        <v>0</v>
      </c>
      <c r="DD20" s="7039"/>
      <c r="DE20" s="7039"/>
      <c r="DF20" s="7039"/>
      <c r="DG20" s="7039"/>
      <c r="DH20" s="7039"/>
      <c r="DI20" s="7556"/>
      <c r="DJ20" s="7715">
        <f>SUM(DK20:DP20)</f>
        <v>0</v>
      </c>
      <c r="DK20" s="7039"/>
      <c r="DL20" s="7039"/>
      <c r="DM20" s="7039"/>
      <c r="DN20" s="7039"/>
      <c r="DO20" s="7039"/>
      <c r="DP20" s="7556"/>
      <c r="DQ20" s="7715">
        <f>SUM(DR20:EB20)</f>
        <v>0</v>
      </c>
      <c r="DR20" s="7039"/>
      <c r="DS20" s="7039"/>
      <c r="DT20" s="7039"/>
      <c r="DU20" s="7039"/>
      <c r="DV20" s="7039"/>
      <c r="DW20" s="7039"/>
      <c r="DX20" s="7039"/>
      <c r="DY20" s="7039"/>
      <c r="DZ20" s="7039"/>
      <c r="EA20" s="7039"/>
      <c r="EB20" s="7556"/>
      <c r="EC20" s="1358"/>
      <c r="EO20" s="1279">
        <v>46</v>
      </c>
    </row>
    <row customHeight="1" ht="35.699999999999996">
      <c r="F21" s="1354" t="s">
        <v>1457</v>
      </c>
      <c r="G21" s="1361" t="s">
        <v>1458</v>
      </c>
      <c r="H21" s="1360">
        <f>SUM(I21:J21)</f>
        <v>0</v>
      </c>
      <c r="I21" s="1359"/>
      <c r="J21" s="1349"/>
      <c r="K21" s="7715">
        <f>SUM(L21:V21)</f>
        <v>0</v>
      </c>
      <c r="L21" s="7039"/>
      <c r="M21" s="7039"/>
      <c r="N21" s="7039"/>
      <c r="O21" s="7039"/>
      <c r="P21" s="7039"/>
      <c r="Q21" s="7039"/>
      <c r="R21" s="7039"/>
      <c r="S21" s="7039"/>
      <c r="T21" s="7039"/>
      <c r="U21" s="7039"/>
      <c r="V21" s="7556"/>
      <c r="W21" s="7715">
        <f>SUM(X21:AC21)</f>
        <v>0</v>
      </c>
      <c r="X21" s="7039"/>
      <c r="Y21" s="7039"/>
      <c r="Z21" s="7039"/>
      <c r="AA21" s="7039"/>
      <c r="AB21" s="7039"/>
      <c r="AC21" s="7556"/>
      <c r="AD21" s="7715">
        <f>SUM(AE21:AJ21)</f>
        <v>0</v>
      </c>
      <c r="AE21" s="7039"/>
      <c r="AF21" s="7039"/>
      <c r="AG21" s="7039"/>
      <c r="AH21" s="7039"/>
      <c r="AI21" s="7039"/>
      <c r="AJ21" s="7556"/>
      <c r="AK21" s="7715">
        <f>SUM(AL21:AQ21)</f>
        <v>0</v>
      </c>
      <c r="AL21" s="7039"/>
      <c r="AM21" s="7039"/>
      <c r="AN21" s="7039"/>
      <c r="AO21" s="7039"/>
      <c r="AP21" s="7039"/>
      <c r="AQ21" s="7556"/>
      <c r="AR21" s="7715">
        <f>SUM(AS21:AX21)</f>
        <v>0</v>
      </c>
      <c r="AS21" s="7039"/>
      <c r="AT21" s="7039"/>
      <c r="AU21" s="7039"/>
      <c r="AV21" s="7039"/>
      <c r="AW21" s="7039"/>
      <c r="AX21" s="7556"/>
      <c r="AY21" s="7715">
        <f>SUM(AZ21:BE21)</f>
        <v>0</v>
      </c>
      <c r="AZ21" s="7039"/>
      <c r="BA21" s="7039"/>
      <c r="BB21" s="7039"/>
      <c r="BC21" s="7039"/>
      <c r="BD21" s="7039"/>
      <c r="BE21" s="7556"/>
      <c r="BF21" s="7715">
        <f>SUM(BG21:BL21)</f>
        <v>0</v>
      </c>
      <c r="BG21" s="7039"/>
      <c r="BH21" s="7039"/>
      <c r="BI21" s="7039"/>
      <c r="BJ21" s="7039"/>
      <c r="BK21" s="7039"/>
      <c r="BL21" s="7556"/>
      <c r="BM21" s="7715">
        <f>SUM(BN21:BS21)</f>
        <v>0</v>
      </c>
      <c r="BN21" s="7039"/>
      <c r="BO21" s="7039"/>
      <c r="BP21" s="7039"/>
      <c r="BQ21" s="7039"/>
      <c r="BR21" s="7039"/>
      <c r="BS21" s="7556"/>
      <c r="BT21" s="7715">
        <f>SUM(BU21:BZ21)</f>
        <v>0</v>
      </c>
      <c r="BU21" s="7039"/>
      <c r="BV21" s="7039"/>
      <c r="BW21" s="7039"/>
      <c r="BX21" s="7039"/>
      <c r="BY21" s="7039"/>
      <c r="BZ21" s="7556"/>
      <c r="CA21" s="7715">
        <f>SUM(CB21:CG21)</f>
        <v>0</v>
      </c>
      <c r="CB21" s="7039"/>
      <c r="CC21" s="7039"/>
      <c r="CD21" s="7039"/>
      <c r="CE21" s="7039"/>
      <c r="CF21" s="7039"/>
      <c r="CG21" s="7556"/>
      <c r="CH21" s="7715">
        <f>SUM(CI21:CN21)</f>
        <v>0</v>
      </c>
      <c r="CI21" s="7039"/>
      <c r="CJ21" s="7039"/>
      <c r="CK21" s="7039"/>
      <c r="CL21" s="7039"/>
      <c r="CM21" s="7039"/>
      <c r="CN21" s="7556"/>
      <c r="CO21" s="7715">
        <f>SUM(CP21:CU21)</f>
        <v>0</v>
      </c>
      <c r="CP21" s="7039"/>
      <c r="CQ21" s="7039"/>
      <c r="CR21" s="7039"/>
      <c r="CS21" s="7039"/>
      <c r="CT21" s="7039"/>
      <c r="CU21" s="7556"/>
      <c r="CV21" s="7715">
        <f>SUM(CW21:DB21)</f>
        <v>0</v>
      </c>
      <c r="CW21" s="7039"/>
      <c r="CX21" s="7039"/>
      <c r="CY21" s="7039"/>
      <c r="CZ21" s="7039"/>
      <c r="DA21" s="7039"/>
      <c r="DB21" s="7556"/>
      <c r="DC21" s="7715">
        <f>SUM(DD21:DI21)</f>
        <v>0</v>
      </c>
      <c r="DD21" s="7039"/>
      <c r="DE21" s="7039"/>
      <c r="DF21" s="7039"/>
      <c r="DG21" s="7039"/>
      <c r="DH21" s="7039"/>
      <c r="DI21" s="7556"/>
      <c r="DJ21" s="7715">
        <f>SUM(DK21:DP21)</f>
        <v>0</v>
      </c>
      <c r="DK21" s="7039"/>
      <c r="DL21" s="7039"/>
      <c r="DM21" s="7039"/>
      <c r="DN21" s="7039"/>
      <c r="DO21" s="7039"/>
      <c r="DP21" s="7556"/>
      <c r="DQ21" s="7715">
        <f>SUM(DR21:EB21)</f>
        <v>0</v>
      </c>
      <c r="DR21" s="7039"/>
      <c r="DS21" s="7039"/>
      <c r="DT21" s="7039"/>
      <c r="DU21" s="7039"/>
      <c r="DV21" s="7039"/>
      <c r="DW21" s="7039"/>
      <c r="DX21" s="7039"/>
      <c r="DY21" s="7039"/>
      <c r="DZ21" s="7039"/>
      <c r="EA21" s="7039"/>
      <c r="EB21" s="7556"/>
      <c r="EC21" s="1358"/>
      <c r="EO21" s="1279">
        <v>34</v>
      </c>
    </row>
    <row customHeight="1" ht="35.699999999999996">
      <c r="F22" s="1354" t="s">
        <v>1459</v>
      </c>
      <c r="G22" s="1361" t="s">
        <v>1460</v>
      </c>
      <c r="H22" s="1360">
        <f>SUM(I22:J22)</f>
        <v>0</v>
      </c>
      <c r="I22" s="1359"/>
      <c r="J22" s="1349"/>
      <c r="K22" s="7715">
        <f>SUM(L22:V22)</f>
        <v>0</v>
      </c>
      <c r="L22" s="7039"/>
      <c r="M22" s="7039"/>
      <c r="N22" s="7039"/>
      <c r="O22" s="7039"/>
      <c r="P22" s="7039"/>
      <c r="Q22" s="7039"/>
      <c r="R22" s="7039"/>
      <c r="S22" s="7039"/>
      <c r="T22" s="7039"/>
      <c r="U22" s="7039"/>
      <c r="V22" s="7556"/>
      <c r="W22" s="7715">
        <f>SUM(X22:AC22)</f>
        <v>0</v>
      </c>
      <c r="X22" s="7039"/>
      <c r="Y22" s="7039"/>
      <c r="Z22" s="7039"/>
      <c r="AA22" s="7039"/>
      <c r="AB22" s="7039"/>
      <c r="AC22" s="7556"/>
      <c r="AD22" s="7715">
        <f>SUM(AE22:AJ22)</f>
        <v>0</v>
      </c>
      <c r="AE22" s="7039"/>
      <c r="AF22" s="7039"/>
      <c r="AG22" s="7039"/>
      <c r="AH22" s="7039"/>
      <c r="AI22" s="7039"/>
      <c r="AJ22" s="7556"/>
      <c r="AK22" s="7715">
        <f>SUM(AL22:AQ22)</f>
        <v>0</v>
      </c>
      <c r="AL22" s="7039"/>
      <c r="AM22" s="7039"/>
      <c r="AN22" s="7039"/>
      <c r="AO22" s="7039"/>
      <c r="AP22" s="7039"/>
      <c r="AQ22" s="7556"/>
      <c r="AR22" s="7715">
        <f>SUM(AS22:AX22)</f>
        <v>0</v>
      </c>
      <c r="AS22" s="7039"/>
      <c r="AT22" s="7039"/>
      <c r="AU22" s="7039"/>
      <c r="AV22" s="7039"/>
      <c r="AW22" s="7039"/>
      <c r="AX22" s="7556"/>
      <c r="AY22" s="7715">
        <f>SUM(AZ22:BE22)</f>
        <v>0</v>
      </c>
      <c r="AZ22" s="7039"/>
      <c r="BA22" s="7039"/>
      <c r="BB22" s="7039"/>
      <c r="BC22" s="7039"/>
      <c r="BD22" s="7039"/>
      <c r="BE22" s="7556"/>
      <c r="BF22" s="7715">
        <f>SUM(BG22:BL22)</f>
        <v>0</v>
      </c>
      <c r="BG22" s="7039"/>
      <c r="BH22" s="7039"/>
      <c r="BI22" s="7039"/>
      <c r="BJ22" s="7039"/>
      <c r="BK22" s="7039"/>
      <c r="BL22" s="7556"/>
      <c r="BM22" s="7715">
        <f>SUM(BN22:BS22)</f>
        <v>0</v>
      </c>
      <c r="BN22" s="7039"/>
      <c r="BO22" s="7039"/>
      <c r="BP22" s="7039"/>
      <c r="BQ22" s="7039"/>
      <c r="BR22" s="7039"/>
      <c r="BS22" s="7556"/>
      <c r="BT22" s="7715">
        <f>SUM(BU22:BZ22)</f>
        <v>0</v>
      </c>
      <c r="BU22" s="7039"/>
      <c r="BV22" s="7039"/>
      <c r="BW22" s="7039"/>
      <c r="BX22" s="7039"/>
      <c r="BY22" s="7039"/>
      <c r="BZ22" s="7556"/>
      <c r="CA22" s="7715">
        <f>SUM(CB22:CG22)</f>
        <v>0</v>
      </c>
      <c r="CB22" s="7039"/>
      <c r="CC22" s="7039"/>
      <c r="CD22" s="7039"/>
      <c r="CE22" s="7039"/>
      <c r="CF22" s="7039"/>
      <c r="CG22" s="7556"/>
      <c r="CH22" s="7715">
        <f>SUM(CI22:CN22)</f>
        <v>0</v>
      </c>
      <c r="CI22" s="7039"/>
      <c r="CJ22" s="7039"/>
      <c r="CK22" s="7039"/>
      <c r="CL22" s="7039"/>
      <c r="CM22" s="7039"/>
      <c r="CN22" s="7556"/>
      <c r="CO22" s="7715">
        <f>SUM(CP22:CU22)</f>
        <v>0</v>
      </c>
      <c r="CP22" s="7039"/>
      <c r="CQ22" s="7039"/>
      <c r="CR22" s="7039"/>
      <c r="CS22" s="7039"/>
      <c r="CT22" s="7039"/>
      <c r="CU22" s="7556"/>
      <c r="CV22" s="7715">
        <f>SUM(CW22:DB22)</f>
        <v>0</v>
      </c>
      <c r="CW22" s="7039"/>
      <c r="CX22" s="7039"/>
      <c r="CY22" s="7039"/>
      <c r="CZ22" s="7039"/>
      <c r="DA22" s="7039"/>
      <c r="DB22" s="7556"/>
      <c r="DC22" s="7715">
        <f>SUM(DD22:DI22)</f>
        <v>0</v>
      </c>
      <c r="DD22" s="7039"/>
      <c r="DE22" s="7039"/>
      <c r="DF22" s="7039"/>
      <c r="DG22" s="7039"/>
      <c r="DH22" s="7039"/>
      <c r="DI22" s="7556"/>
      <c r="DJ22" s="7715">
        <f>SUM(DK22:DP22)</f>
        <v>0</v>
      </c>
      <c r="DK22" s="7039"/>
      <c r="DL22" s="7039"/>
      <c r="DM22" s="7039"/>
      <c r="DN22" s="7039"/>
      <c r="DO22" s="7039"/>
      <c r="DP22" s="7556"/>
      <c r="DQ22" s="7715">
        <f>SUM(DR22:EB22)</f>
        <v>0</v>
      </c>
      <c r="DR22" s="7039"/>
      <c r="DS22" s="7039"/>
      <c r="DT22" s="7039"/>
      <c r="DU22" s="7039"/>
      <c r="DV22" s="7039"/>
      <c r="DW22" s="7039"/>
      <c r="DX22" s="7039"/>
      <c r="DY22" s="7039"/>
      <c r="DZ22" s="7039"/>
      <c r="EA22" s="7039"/>
      <c r="EB22" s="7556"/>
      <c r="EC22" s="1358"/>
      <c r="EO22" s="1279">
        <v>34</v>
      </c>
    </row>
    <row customHeight="1" ht="24">
      <c r="F23" s="1354" t="s">
        <v>1461</v>
      </c>
      <c r="G23" s="1361" t="s">
        <v>1462</v>
      </c>
      <c r="H23" s="1360">
        <f>SUM(I23:J23)</f>
        <v>0</v>
      </c>
      <c r="I23" s="1359"/>
      <c r="J23" s="1349"/>
      <c r="K23" s="7715">
        <f>SUM(L23:V23)</f>
        <v>0</v>
      </c>
      <c r="L23" s="7039"/>
      <c r="M23" s="7039"/>
      <c r="N23" s="7039"/>
      <c r="O23" s="7039"/>
      <c r="P23" s="7039"/>
      <c r="Q23" s="7039"/>
      <c r="R23" s="7039"/>
      <c r="S23" s="7039"/>
      <c r="T23" s="7039"/>
      <c r="U23" s="7039"/>
      <c r="V23" s="7556"/>
      <c r="W23" s="7715">
        <f>SUM(X23:AC23)</f>
        <v>0</v>
      </c>
      <c r="X23" s="7039"/>
      <c r="Y23" s="7039"/>
      <c r="Z23" s="7039"/>
      <c r="AA23" s="7039"/>
      <c r="AB23" s="7039"/>
      <c r="AC23" s="7556"/>
      <c r="AD23" s="7715">
        <f>SUM(AE23:AJ23)</f>
        <v>0</v>
      </c>
      <c r="AE23" s="7039"/>
      <c r="AF23" s="7039"/>
      <c r="AG23" s="7039"/>
      <c r="AH23" s="7039"/>
      <c r="AI23" s="7039"/>
      <c r="AJ23" s="7556"/>
      <c r="AK23" s="7715">
        <f>SUM(AL23:AQ23)</f>
        <v>0</v>
      </c>
      <c r="AL23" s="7039"/>
      <c r="AM23" s="7039"/>
      <c r="AN23" s="7039"/>
      <c r="AO23" s="7039"/>
      <c r="AP23" s="7039"/>
      <c r="AQ23" s="7556"/>
      <c r="AR23" s="7715">
        <f>SUM(AS23:AX23)</f>
        <v>0</v>
      </c>
      <c r="AS23" s="7039"/>
      <c r="AT23" s="7039"/>
      <c r="AU23" s="7039"/>
      <c r="AV23" s="7039"/>
      <c r="AW23" s="7039"/>
      <c r="AX23" s="7556"/>
      <c r="AY23" s="7715">
        <f>SUM(AZ23:BE23)</f>
        <v>0</v>
      </c>
      <c r="AZ23" s="7039"/>
      <c r="BA23" s="7039"/>
      <c r="BB23" s="7039"/>
      <c r="BC23" s="7039"/>
      <c r="BD23" s="7039"/>
      <c r="BE23" s="7556"/>
      <c r="BF23" s="7715">
        <f>SUM(BG23:BL23)</f>
        <v>0</v>
      </c>
      <c r="BG23" s="7039"/>
      <c r="BH23" s="7039"/>
      <c r="BI23" s="7039"/>
      <c r="BJ23" s="7039"/>
      <c r="BK23" s="7039"/>
      <c r="BL23" s="7556"/>
      <c r="BM23" s="7715">
        <f>SUM(BN23:BS23)</f>
        <v>0</v>
      </c>
      <c r="BN23" s="7039"/>
      <c r="BO23" s="7039"/>
      <c r="BP23" s="7039"/>
      <c r="BQ23" s="7039"/>
      <c r="BR23" s="7039"/>
      <c r="BS23" s="7556"/>
      <c r="BT23" s="7715">
        <f>SUM(BU23:BZ23)</f>
        <v>0</v>
      </c>
      <c r="BU23" s="7039"/>
      <c r="BV23" s="7039"/>
      <c r="BW23" s="7039"/>
      <c r="BX23" s="7039"/>
      <c r="BY23" s="7039"/>
      <c r="BZ23" s="7556"/>
      <c r="CA23" s="7715">
        <f>SUM(CB23:CG23)</f>
        <v>0</v>
      </c>
      <c r="CB23" s="7039"/>
      <c r="CC23" s="7039"/>
      <c r="CD23" s="7039"/>
      <c r="CE23" s="7039"/>
      <c r="CF23" s="7039"/>
      <c r="CG23" s="7556"/>
      <c r="CH23" s="7715">
        <f>SUM(CI23:CN23)</f>
        <v>0</v>
      </c>
      <c r="CI23" s="7039"/>
      <c r="CJ23" s="7039"/>
      <c r="CK23" s="7039"/>
      <c r="CL23" s="7039"/>
      <c r="CM23" s="7039"/>
      <c r="CN23" s="7556"/>
      <c r="CO23" s="7715">
        <f>SUM(CP23:CU23)</f>
        <v>0</v>
      </c>
      <c r="CP23" s="7039"/>
      <c r="CQ23" s="7039"/>
      <c r="CR23" s="7039"/>
      <c r="CS23" s="7039"/>
      <c r="CT23" s="7039"/>
      <c r="CU23" s="7556"/>
      <c r="CV23" s="7715">
        <f>SUM(CW23:DB23)</f>
        <v>0</v>
      </c>
      <c r="CW23" s="7039"/>
      <c r="CX23" s="7039"/>
      <c r="CY23" s="7039"/>
      <c r="CZ23" s="7039"/>
      <c r="DA23" s="7039"/>
      <c r="DB23" s="7556"/>
      <c r="DC23" s="7715">
        <f>SUM(DD23:DI23)</f>
        <v>0</v>
      </c>
      <c r="DD23" s="7039"/>
      <c r="DE23" s="7039"/>
      <c r="DF23" s="7039"/>
      <c r="DG23" s="7039"/>
      <c r="DH23" s="7039"/>
      <c r="DI23" s="7556"/>
      <c r="DJ23" s="7715">
        <f>SUM(DK23:DP23)</f>
        <v>0</v>
      </c>
      <c r="DK23" s="7039"/>
      <c r="DL23" s="7039"/>
      <c r="DM23" s="7039"/>
      <c r="DN23" s="7039"/>
      <c r="DO23" s="7039"/>
      <c r="DP23" s="7556"/>
      <c r="DQ23" s="7715">
        <f>SUM(DR23:EB23)</f>
        <v>0</v>
      </c>
      <c r="DR23" s="7039"/>
      <c r="DS23" s="7039"/>
      <c r="DT23" s="7039"/>
      <c r="DU23" s="7039"/>
      <c r="DV23" s="7039"/>
      <c r="DW23" s="7039"/>
      <c r="DX23" s="7039"/>
      <c r="DY23" s="7039"/>
      <c r="DZ23" s="7039"/>
      <c r="EA23" s="7039"/>
      <c r="EB23" s="7556"/>
      <c r="EC23" s="1358"/>
      <c r="EO23" s="1279">
        <v>23</v>
      </c>
    </row>
    <row customHeight="1" ht="24">
      <c r="F24" s="1354" t="s">
        <v>1463</v>
      </c>
      <c r="G24" s="1361" t="s">
        <v>1464</v>
      </c>
      <c r="H24" s="1360">
        <f>SUM(I24:J24)</f>
        <v>0</v>
      </c>
      <c r="I24" s="1359"/>
      <c r="J24" s="1349"/>
      <c r="K24" s="7715">
        <f>SUM(L24:V24)</f>
        <v>0</v>
      </c>
      <c r="L24" s="7039"/>
      <c r="M24" s="7039"/>
      <c r="N24" s="7039"/>
      <c r="O24" s="7039"/>
      <c r="P24" s="7039"/>
      <c r="Q24" s="7039"/>
      <c r="R24" s="7039"/>
      <c r="S24" s="7039"/>
      <c r="T24" s="7039"/>
      <c r="U24" s="7039"/>
      <c r="V24" s="7556"/>
      <c r="W24" s="7715">
        <f>SUM(X24:AC24)</f>
        <v>0</v>
      </c>
      <c r="X24" s="7039"/>
      <c r="Y24" s="7039"/>
      <c r="Z24" s="7039"/>
      <c r="AA24" s="7039"/>
      <c r="AB24" s="7039"/>
      <c r="AC24" s="7556"/>
      <c r="AD24" s="7715">
        <f>SUM(AE24:AJ24)</f>
        <v>0</v>
      </c>
      <c r="AE24" s="7039"/>
      <c r="AF24" s="7039"/>
      <c r="AG24" s="7039"/>
      <c r="AH24" s="7039"/>
      <c r="AI24" s="7039"/>
      <c r="AJ24" s="7556"/>
      <c r="AK24" s="7715">
        <f>SUM(AL24:AQ24)</f>
        <v>0</v>
      </c>
      <c r="AL24" s="7039"/>
      <c r="AM24" s="7039"/>
      <c r="AN24" s="7039"/>
      <c r="AO24" s="7039"/>
      <c r="AP24" s="7039"/>
      <c r="AQ24" s="7556"/>
      <c r="AR24" s="7715">
        <f>SUM(AS24:AX24)</f>
        <v>0</v>
      </c>
      <c r="AS24" s="7039"/>
      <c r="AT24" s="7039"/>
      <c r="AU24" s="7039"/>
      <c r="AV24" s="7039"/>
      <c r="AW24" s="7039"/>
      <c r="AX24" s="7556"/>
      <c r="AY24" s="7715">
        <f>SUM(AZ24:BE24)</f>
        <v>0</v>
      </c>
      <c r="AZ24" s="7039"/>
      <c r="BA24" s="7039"/>
      <c r="BB24" s="7039"/>
      <c r="BC24" s="7039"/>
      <c r="BD24" s="7039"/>
      <c r="BE24" s="7556"/>
      <c r="BF24" s="7715">
        <f>SUM(BG24:BL24)</f>
        <v>0</v>
      </c>
      <c r="BG24" s="7039"/>
      <c r="BH24" s="7039"/>
      <c r="BI24" s="7039"/>
      <c r="BJ24" s="7039"/>
      <c r="BK24" s="7039"/>
      <c r="BL24" s="7556"/>
      <c r="BM24" s="7715">
        <f>SUM(BN24:BS24)</f>
        <v>0</v>
      </c>
      <c r="BN24" s="7039"/>
      <c r="BO24" s="7039"/>
      <c r="BP24" s="7039"/>
      <c r="BQ24" s="7039"/>
      <c r="BR24" s="7039"/>
      <c r="BS24" s="7556"/>
      <c r="BT24" s="7715">
        <f>SUM(BU24:BZ24)</f>
        <v>0</v>
      </c>
      <c r="BU24" s="7039"/>
      <c r="BV24" s="7039"/>
      <c r="BW24" s="7039"/>
      <c r="BX24" s="7039"/>
      <c r="BY24" s="7039"/>
      <c r="BZ24" s="7556"/>
      <c r="CA24" s="7715">
        <f>SUM(CB24:CG24)</f>
        <v>0</v>
      </c>
      <c r="CB24" s="7039"/>
      <c r="CC24" s="7039"/>
      <c r="CD24" s="7039"/>
      <c r="CE24" s="7039"/>
      <c r="CF24" s="7039"/>
      <c r="CG24" s="7556"/>
      <c r="CH24" s="7715">
        <f>SUM(CI24:CN24)</f>
        <v>0</v>
      </c>
      <c r="CI24" s="7039"/>
      <c r="CJ24" s="7039"/>
      <c r="CK24" s="7039"/>
      <c r="CL24" s="7039"/>
      <c r="CM24" s="7039"/>
      <c r="CN24" s="7556"/>
      <c r="CO24" s="7715">
        <f>SUM(CP24:CU24)</f>
        <v>0</v>
      </c>
      <c r="CP24" s="7039"/>
      <c r="CQ24" s="7039"/>
      <c r="CR24" s="7039"/>
      <c r="CS24" s="7039"/>
      <c r="CT24" s="7039"/>
      <c r="CU24" s="7556"/>
      <c r="CV24" s="7715">
        <f>SUM(CW24:DB24)</f>
        <v>0</v>
      </c>
      <c r="CW24" s="7039"/>
      <c r="CX24" s="7039"/>
      <c r="CY24" s="7039"/>
      <c r="CZ24" s="7039"/>
      <c r="DA24" s="7039"/>
      <c r="DB24" s="7556"/>
      <c r="DC24" s="7715">
        <f>SUM(DD24:DI24)</f>
        <v>0</v>
      </c>
      <c r="DD24" s="7039"/>
      <c r="DE24" s="7039"/>
      <c r="DF24" s="7039"/>
      <c r="DG24" s="7039"/>
      <c r="DH24" s="7039"/>
      <c r="DI24" s="7556"/>
      <c r="DJ24" s="7715">
        <f>SUM(DK24:DP24)</f>
        <v>0</v>
      </c>
      <c r="DK24" s="7039"/>
      <c r="DL24" s="7039"/>
      <c r="DM24" s="7039"/>
      <c r="DN24" s="7039"/>
      <c r="DO24" s="7039"/>
      <c r="DP24" s="7556"/>
      <c r="DQ24" s="7715">
        <f>SUM(DR24:EB24)</f>
        <v>0</v>
      </c>
      <c r="DR24" s="7039"/>
      <c r="DS24" s="7039"/>
      <c r="DT24" s="7039"/>
      <c r="DU24" s="7039"/>
      <c r="DV24" s="7039"/>
      <c r="DW24" s="7039"/>
      <c r="DX24" s="7039"/>
      <c r="DY24" s="7039"/>
      <c r="DZ24" s="7039"/>
      <c r="EA24" s="7039"/>
      <c r="EB24" s="7556"/>
      <c r="EC24" s="1358"/>
      <c r="EO24" s="1279">
        <v>23</v>
      </c>
    </row>
    <row customHeight="1" ht="35.699999999999996">
      <c r="F25" s="1354" t="s">
        <v>1465</v>
      </c>
      <c r="G25" s="1361" t="s">
        <v>1466</v>
      </c>
      <c r="H25" s="1360">
        <f>SUM(I25:J25)</f>
        <v>0</v>
      </c>
      <c r="I25" s="1359"/>
      <c r="J25" s="1349"/>
      <c r="K25" s="7715">
        <f>SUM(L25:V25)</f>
        <v>0</v>
      </c>
      <c r="L25" s="7039"/>
      <c r="M25" s="7039"/>
      <c r="N25" s="7039"/>
      <c r="O25" s="7039"/>
      <c r="P25" s="7039"/>
      <c r="Q25" s="7039"/>
      <c r="R25" s="7039"/>
      <c r="S25" s="7039"/>
      <c r="T25" s="7039"/>
      <c r="U25" s="7039"/>
      <c r="V25" s="7556"/>
      <c r="W25" s="7715">
        <f>SUM(X25:AC25)</f>
        <v>0</v>
      </c>
      <c r="X25" s="7039"/>
      <c r="Y25" s="7039"/>
      <c r="Z25" s="7039"/>
      <c r="AA25" s="7039"/>
      <c r="AB25" s="7039"/>
      <c r="AC25" s="7556"/>
      <c r="AD25" s="7715">
        <f>SUM(AE25:AJ25)</f>
        <v>0</v>
      </c>
      <c r="AE25" s="7039"/>
      <c r="AF25" s="7039"/>
      <c r="AG25" s="7039"/>
      <c r="AH25" s="7039"/>
      <c r="AI25" s="7039"/>
      <c r="AJ25" s="7556"/>
      <c r="AK25" s="7715">
        <f>SUM(AL25:AQ25)</f>
        <v>0</v>
      </c>
      <c r="AL25" s="7039"/>
      <c r="AM25" s="7039"/>
      <c r="AN25" s="7039"/>
      <c r="AO25" s="7039"/>
      <c r="AP25" s="7039"/>
      <c r="AQ25" s="7556"/>
      <c r="AR25" s="7715">
        <f>SUM(AS25:AX25)</f>
        <v>0</v>
      </c>
      <c r="AS25" s="7039"/>
      <c r="AT25" s="7039"/>
      <c r="AU25" s="7039"/>
      <c r="AV25" s="7039"/>
      <c r="AW25" s="7039"/>
      <c r="AX25" s="7556"/>
      <c r="AY25" s="7715">
        <f>SUM(AZ25:BE25)</f>
        <v>0</v>
      </c>
      <c r="AZ25" s="7039"/>
      <c r="BA25" s="7039"/>
      <c r="BB25" s="7039"/>
      <c r="BC25" s="7039"/>
      <c r="BD25" s="7039"/>
      <c r="BE25" s="7556"/>
      <c r="BF25" s="7715">
        <f>SUM(BG25:BL25)</f>
        <v>0</v>
      </c>
      <c r="BG25" s="7039"/>
      <c r="BH25" s="7039"/>
      <c r="BI25" s="7039"/>
      <c r="BJ25" s="7039"/>
      <c r="BK25" s="7039"/>
      <c r="BL25" s="7556"/>
      <c r="BM25" s="7715">
        <f>SUM(BN25:BS25)</f>
        <v>0</v>
      </c>
      <c r="BN25" s="7039"/>
      <c r="BO25" s="7039"/>
      <c r="BP25" s="7039"/>
      <c r="BQ25" s="7039"/>
      <c r="BR25" s="7039"/>
      <c r="BS25" s="7556"/>
      <c r="BT25" s="7715">
        <f>SUM(BU25:BZ25)</f>
        <v>0</v>
      </c>
      <c r="BU25" s="7039"/>
      <c r="BV25" s="7039"/>
      <c r="BW25" s="7039"/>
      <c r="BX25" s="7039"/>
      <c r="BY25" s="7039"/>
      <c r="BZ25" s="7556"/>
      <c r="CA25" s="7715">
        <f>SUM(CB25:CG25)</f>
        <v>0</v>
      </c>
      <c r="CB25" s="7039"/>
      <c r="CC25" s="7039"/>
      <c r="CD25" s="7039"/>
      <c r="CE25" s="7039"/>
      <c r="CF25" s="7039"/>
      <c r="CG25" s="7556"/>
      <c r="CH25" s="7715">
        <f>SUM(CI25:CN25)</f>
        <v>0</v>
      </c>
      <c r="CI25" s="7039"/>
      <c r="CJ25" s="7039"/>
      <c r="CK25" s="7039"/>
      <c r="CL25" s="7039"/>
      <c r="CM25" s="7039"/>
      <c r="CN25" s="7556"/>
      <c r="CO25" s="7715">
        <f>SUM(CP25:CU25)</f>
        <v>0</v>
      </c>
      <c r="CP25" s="7039"/>
      <c r="CQ25" s="7039"/>
      <c r="CR25" s="7039"/>
      <c r="CS25" s="7039"/>
      <c r="CT25" s="7039"/>
      <c r="CU25" s="7556"/>
      <c r="CV25" s="7715">
        <f>SUM(CW25:DB25)</f>
        <v>0</v>
      </c>
      <c r="CW25" s="7039"/>
      <c r="CX25" s="7039"/>
      <c r="CY25" s="7039"/>
      <c r="CZ25" s="7039"/>
      <c r="DA25" s="7039"/>
      <c r="DB25" s="7556"/>
      <c r="DC25" s="7715">
        <f>SUM(DD25:DI25)</f>
        <v>0</v>
      </c>
      <c r="DD25" s="7039"/>
      <c r="DE25" s="7039"/>
      <c r="DF25" s="7039"/>
      <c r="DG25" s="7039"/>
      <c r="DH25" s="7039"/>
      <c r="DI25" s="7556"/>
      <c r="DJ25" s="7715">
        <f>SUM(DK25:DP25)</f>
        <v>0</v>
      </c>
      <c r="DK25" s="7039"/>
      <c r="DL25" s="7039"/>
      <c r="DM25" s="7039"/>
      <c r="DN25" s="7039"/>
      <c r="DO25" s="7039"/>
      <c r="DP25" s="7556"/>
      <c r="DQ25" s="7715">
        <f>SUM(DR25:EB25)</f>
        <v>0</v>
      </c>
      <c r="DR25" s="7039"/>
      <c r="DS25" s="7039"/>
      <c r="DT25" s="7039"/>
      <c r="DU25" s="7039"/>
      <c r="DV25" s="7039"/>
      <c r="DW25" s="7039"/>
      <c r="DX25" s="7039"/>
      <c r="DY25" s="7039"/>
      <c r="DZ25" s="7039"/>
      <c r="EA25" s="7039"/>
      <c r="EB25" s="7556"/>
      <c r="EC25" s="1358"/>
      <c r="EO25" s="1279">
        <v>34</v>
      </c>
    </row>
    <row customHeight="1" ht="35.699999999999996">
      <c r="F26" s="1354" t="s">
        <v>1467</v>
      </c>
      <c r="G26" s="1361" t="s">
        <v>1468</v>
      </c>
      <c r="H26" s="1360">
        <f>SUM(I26:J26)</f>
        <v>0</v>
      </c>
      <c r="I26" s="1359"/>
      <c r="J26" s="1349"/>
      <c r="K26" s="7715">
        <f>SUM(L26:V26)</f>
        <v>0</v>
      </c>
      <c r="L26" s="7039"/>
      <c r="M26" s="7039"/>
      <c r="N26" s="7039"/>
      <c r="O26" s="7039"/>
      <c r="P26" s="7039"/>
      <c r="Q26" s="7039"/>
      <c r="R26" s="7039"/>
      <c r="S26" s="7039"/>
      <c r="T26" s="7039"/>
      <c r="U26" s="7039"/>
      <c r="V26" s="7556"/>
      <c r="W26" s="7715">
        <f>SUM(X26:AC26)</f>
        <v>0</v>
      </c>
      <c r="X26" s="7039"/>
      <c r="Y26" s="7039"/>
      <c r="Z26" s="7039"/>
      <c r="AA26" s="7039"/>
      <c r="AB26" s="7039"/>
      <c r="AC26" s="7556"/>
      <c r="AD26" s="7715">
        <f>SUM(AE26:AJ26)</f>
        <v>0</v>
      </c>
      <c r="AE26" s="7039"/>
      <c r="AF26" s="7039"/>
      <c r="AG26" s="7039"/>
      <c r="AH26" s="7039"/>
      <c r="AI26" s="7039"/>
      <c r="AJ26" s="7556"/>
      <c r="AK26" s="7715">
        <f>SUM(AL26:AQ26)</f>
        <v>0</v>
      </c>
      <c r="AL26" s="7039"/>
      <c r="AM26" s="7039"/>
      <c r="AN26" s="7039"/>
      <c r="AO26" s="7039"/>
      <c r="AP26" s="7039"/>
      <c r="AQ26" s="7556"/>
      <c r="AR26" s="7715">
        <f>SUM(AS26:AX26)</f>
        <v>0</v>
      </c>
      <c r="AS26" s="7039"/>
      <c r="AT26" s="7039"/>
      <c r="AU26" s="7039"/>
      <c r="AV26" s="7039"/>
      <c r="AW26" s="7039"/>
      <c r="AX26" s="7556"/>
      <c r="AY26" s="7715">
        <f>SUM(AZ26:BE26)</f>
        <v>0</v>
      </c>
      <c r="AZ26" s="7039"/>
      <c r="BA26" s="7039"/>
      <c r="BB26" s="7039"/>
      <c r="BC26" s="7039"/>
      <c r="BD26" s="7039"/>
      <c r="BE26" s="7556"/>
      <c r="BF26" s="7715">
        <f>SUM(BG26:BL26)</f>
        <v>0</v>
      </c>
      <c r="BG26" s="7039"/>
      <c r="BH26" s="7039"/>
      <c r="BI26" s="7039"/>
      <c r="BJ26" s="7039"/>
      <c r="BK26" s="7039"/>
      <c r="BL26" s="7556"/>
      <c r="BM26" s="7715">
        <f>SUM(BN26:BS26)</f>
        <v>0</v>
      </c>
      <c r="BN26" s="7039"/>
      <c r="BO26" s="7039"/>
      <c r="BP26" s="7039"/>
      <c r="BQ26" s="7039"/>
      <c r="BR26" s="7039"/>
      <c r="BS26" s="7556"/>
      <c r="BT26" s="7715">
        <f>SUM(BU26:BZ26)</f>
        <v>0</v>
      </c>
      <c r="BU26" s="7039"/>
      <c r="BV26" s="7039"/>
      <c r="BW26" s="7039"/>
      <c r="BX26" s="7039"/>
      <c r="BY26" s="7039"/>
      <c r="BZ26" s="7556"/>
      <c r="CA26" s="7715">
        <f>SUM(CB26:CG26)</f>
        <v>0</v>
      </c>
      <c r="CB26" s="7039"/>
      <c r="CC26" s="7039"/>
      <c r="CD26" s="7039"/>
      <c r="CE26" s="7039"/>
      <c r="CF26" s="7039"/>
      <c r="CG26" s="7556"/>
      <c r="CH26" s="7715">
        <f>SUM(CI26:CN26)</f>
        <v>0</v>
      </c>
      <c r="CI26" s="7039"/>
      <c r="CJ26" s="7039"/>
      <c r="CK26" s="7039"/>
      <c r="CL26" s="7039"/>
      <c r="CM26" s="7039"/>
      <c r="CN26" s="7556"/>
      <c r="CO26" s="7715">
        <f>SUM(CP26:CU26)</f>
        <v>0</v>
      </c>
      <c r="CP26" s="7039"/>
      <c r="CQ26" s="7039"/>
      <c r="CR26" s="7039"/>
      <c r="CS26" s="7039"/>
      <c r="CT26" s="7039"/>
      <c r="CU26" s="7556"/>
      <c r="CV26" s="7715">
        <f>SUM(CW26:DB26)</f>
        <v>0</v>
      </c>
      <c r="CW26" s="7039"/>
      <c r="CX26" s="7039"/>
      <c r="CY26" s="7039"/>
      <c r="CZ26" s="7039"/>
      <c r="DA26" s="7039"/>
      <c r="DB26" s="7556"/>
      <c r="DC26" s="7715">
        <f>SUM(DD26:DI26)</f>
        <v>0</v>
      </c>
      <c r="DD26" s="7039"/>
      <c r="DE26" s="7039"/>
      <c r="DF26" s="7039"/>
      <c r="DG26" s="7039"/>
      <c r="DH26" s="7039"/>
      <c r="DI26" s="7556"/>
      <c r="DJ26" s="7715">
        <f>SUM(DK26:DP26)</f>
        <v>0</v>
      </c>
      <c r="DK26" s="7039"/>
      <c r="DL26" s="7039"/>
      <c r="DM26" s="7039"/>
      <c r="DN26" s="7039"/>
      <c r="DO26" s="7039"/>
      <c r="DP26" s="7556"/>
      <c r="DQ26" s="7715">
        <f>SUM(DR26:EB26)</f>
        <v>0</v>
      </c>
      <c r="DR26" s="7039"/>
      <c r="DS26" s="7039"/>
      <c r="DT26" s="7039"/>
      <c r="DU26" s="7039"/>
      <c r="DV26" s="7039"/>
      <c r="DW26" s="7039"/>
      <c r="DX26" s="7039"/>
      <c r="DY26" s="7039"/>
      <c r="DZ26" s="7039"/>
      <c r="EA26" s="7039"/>
      <c r="EB26" s="7556"/>
      <c r="EC26" s="1358"/>
      <c r="EO26" s="1279">
        <v>34</v>
      </c>
    </row>
    <row customHeight="1" ht="11.549999999999999">
      <c r="F27" s="1354" t="s">
        <v>1469</v>
      </c>
      <c r="G27" s="1361" t="s">
        <v>1470</v>
      </c>
      <c r="H27" s="1360">
        <f>SUM(I27:J27)</f>
        <v>0</v>
      </c>
      <c r="I27" s="1359"/>
      <c r="J27" s="1349"/>
      <c r="K27" s="7715">
        <f>SUM(L27:V27)</f>
        <v>0</v>
      </c>
      <c r="L27" s="7039"/>
      <c r="M27" s="7039"/>
      <c r="N27" s="7039"/>
      <c r="O27" s="7039"/>
      <c r="P27" s="7039"/>
      <c r="Q27" s="7039"/>
      <c r="R27" s="7039"/>
      <c r="S27" s="7039"/>
      <c r="T27" s="7039"/>
      <c r="U27" s="7039"/>
      <c r="V27" s="7556"/>
      <c r="W27" s="7715">
        <f>SUM(X27:AC27)</f>
        <v>0</v>
      </c>
      <c r="X27" s="7039"/>
      <c r="Y27" s="7039"/>
      <c r="Z27" s="7039"/>
      <c r="AA27" s="7039"/>
      <c r="AB27" s="7039"/>
      <c r="AC27" s="7556"/>
      <c r="AD27" s="7715">
        <f>SUM(AE27:AJ27)</f>
        <v>0</v>
      </c>
      <c r="AE27" s="7039"/>
      <c r="AF27" s="7039"/>
      <c r="AG27" s="7039"/>
      <c r="AH27" s="7039"/>
      <c r="AI27" s="7039"/>
      <c r="AJ27" s="7556"/>
      <c r="AK27" s="7715">
        <f>SUM(AL27:AQ27)</f>
        <v>0</v>
      </c>
      <c r="AL27" s="7039"/>
      <c r="AM27" s="7039"/>
      <c r="AN27" s="7039"/>
      <c r="AO27" s="7039"/>
      <c r="AP27" s="7039"/>
      <c r="AQ27" s="7556"/>
      <c r="AR27" s="7715">
        <f>SUM(AS27:AX27)</f>
        <v>0</v>
      </c>
      <c r="AS27" s="7039"/>
      <c r="AT27" s="7039"/>
      <c r="AU27" s="7039"/>
      <c r="AV27" s="7039"/>
      <c r="AW27" s="7039"/>
      <c r="AX27" s="7556"/>
      <c r="AY27" s="7715">
        <f>SUM(AZ27:BE27)</f>
        <v>0</v>
      </c>
      <c r="AZ27" s="7039"/>
      <c r="BA27" s="7039"/>
      <c r="BB27" s="7039"/>
      <c r="BC27" s="7039"/>
      <c r="BD27" s="7039"/>
      <c r="BE27" s="7556"/>
      <c r="BF27" s="7715">
        <f>SUM(BG27:BL27)</f>
        <v>0</v>
      </c>
      <c r="BG27" s="7039"/>
      <c r="BH27" s="7039"/>
      <c r="BI27" s="7039"/>
      <c r="BJ27" s="7039"/>
      <c r="BK27" s="7039"/>
      <c r="BL27" s="7556"/>
      <c r="BM27" s="7715">
        <f>SUM(BN27:BS27)</f>
        <v>0</v>
      </c>
      <c r="BN27" s="7039"/>
      <c r="BO27" s="7039"/>
      <c r="BP27" s="7039"/>
      <c r="BQ27" s="7039"/>
      <c r="BR27" s="7039"/>
      <c r="BS27" s="7556"/>
      <c r="BT27" s="7715">
        <f>SUM(BU27:BZ27)</f>
        <v>0</v>
      </c>
      <c r="BU27" s="7039"/>
      <c r="BV27" s="7039"/>
      <c r="BW27" s="7039"/>
      <c r="BX27" s="7039"/>
      <c r="BY27" s="7039"/>
      <c r="BZ27" s="7556"/>
      <c r="CA27" s="7715">
        <f>SUM(CB27:CG27)</f>
        <v>0</v>
      </c>
      <c r="CB27" s="7039"/>
      <c r="CC27" s="7039"/>
      <c r="CD27" s="7039"/>
      <c r="CE27" s="7039"/>
      <c r="CF27" s="7039"/>
      <c r="CG27" s="7556"/>
      <c r="CH27" s="7715">
        <f>SUM(CI27:CN27)</f>
        <v>0</v>
      </c>
      <c r="CI27" s="7039"/>
      <c r="CJ27" s="7039"/>
      <c r="CK27" s="7039"/>
      <c r="CL27" s="7039"/>
      <c r="CM27" s="7039"/>
      <c r="CN27" s="7556"/>
      <c r="CO27" s="7715">
        <f>SUM(CP27:CU27)</f>
        <v>0</v>
      </c>
      <c r="CP27" s="7039"/>
      <c r="CQ27" s="7039"/>
      <c r="CR27" s="7039"/>
      <c r="CS27" s="7039"/>
      <c r="CT27" s="7039"/>
      <c r="CU27" s="7556"/>
      <c r="CV27" s="7715">
        <f>SUM(CW27:DB27)</f>
        <v>0</v>
      </c>
      <c r="CW27" s="7039"/>
      <c r="CX27" s="7039"/>
      <c r="CY27" s="7039"/>
      <c r="CZ27" s="7039"/>
      <c r="DA27" s="7039"/>
      <c r="DB27" s="7556"/>
      <c r="DC27" s="7715">
        <f>SUM(DD27:DI27)</f>
        <v>0</v>
      </c>
      <c r="DD27" s="7039"/>
      <c r="DE27" s="7039"/>
      <c r="DF27" s="7039"/>
      <c r="DG27" s="7039"/>
      <c r="DH27" s="7039"/>
      <c r="DI27" s="7556"/>
      <c r="DJ27" s="7715">
        <f>SUM(DK27:DP27)</f>
        <v>0</v>
      </c>
      <c r="DK27" s="7039"/>
      <c r="DL27" s="7039"/>
      <c r="DM27" s="7039"/>
      <c r="DN27" s="7039"/>
      <c r="DO27" s="7039"/>
      <c r="DP27" s="7556"/>
      <c r="DQ27" s="7715">
        <f>SUM(DR27:EB27)</f>
        <v>0</v>
      </c>
      <c r="DR27" s="7039"/>
      <c r="DS27" s="7039"/>
      <c r="DT27" s="7039"/>
      <c r="DU27" s="7039"/>
      <c r="DV27" s="7039"/>
      <c r="DW27" s="7039"/>
      <c r="DX27" s="7039"/>
      <c r="DY27" s="7039"/>
      <c r="DZ27" s="7039"/>
      <c r="EA27" s="7039"/>
      <c r="EB27" s="7556"/>
      <c r="EC27" s="1358"/>
      <c r="EO27" s="1279">
        <v>11</v>
      </c>
    </row>
    <row customHeight="1" ht="11.549999999999999">
      <c r="F28" s="1354">
        <v>2</v>
      </c>
      <c r="G28" s="814" t="s">
        <v>1471</v>
      </c>
      <c r="H28" s="1360">
        <f>SUM(I28:J28)</f>
        <v>0</v>
      </c>
      <c r="I28" s="1360">
        <f>SUM(I29:I31)</f>
        <v>0</v>
      </c>
      <c r="J28" s="1349"/>
      <c r="K28" s="7715">
        <f>SUM(L28:V28)</f>
        <v>0</v>
      </c>
      <c r="L28" s="7715">
        <f>SUM(L29:L31)</f>
        <v>0</v>
      </c>
      <c r="M28" s="7715">
        <f>SUM(M29:M31)</f>
        <v>0</v>
      </c>
      <c r="N28" s="7715">
        <f>SUM(N29:N31)</f>
        <v>0</v>
      </c>
      <c r="O28" s="7715">
        <f>SUM(O29:O31)</f>
        <v>0</v>
      </c>
      <c r="P28" s="7715">
        <f>SUM(P29:P31)</f>
        <v>0</v>
      </c>
      <c r="Q28" s="7715">
        <f>SUM(Q29:Q31)</f>
        <v>0</v>
      </c>
      <c r="R28" s="7715">
        <f>SUM(R29:R31)</f>
        <v>0</v>
      </c>
      <c r="S28" s="7715">
        <f>SUM(S29:S31)</f>
        <v>0</v>
      </c>
      <c r="T28" s="7715">
        <f>SUM(T29:T31)</f>
        <v>0</v>
      </c>
      <c r="U28" s="7715">
        <f>SUM(U29:U31)</f>
        <v>0</v>
      </c>
      <c r="V28" s="7556"/>
      <c r="W28" s="7715">
        <f>SUM(X28:AC28)</f>
        <v>0</v>
      </c>
      <c r="X28" s="7715">
        <f>SUM(X29:X31)</f>
        <v>0</v>
      </c>
      <c r="Y28" s="7715">
        <f>SUM(Y29:Y31)</f>
        <v>0</v>
      </c>
      <c r="Z28" s="7715">
        <f>SUM(Z29:Z31)</f>
        <v>0</v>
      </c>
      <c r="AA28" s="7715">
        <f>SUM(AA29:AA31)</f>
        <v>0</v>
      </c>
      <c r="AB28" s="7715">
        <f>SUM(AB29:AB31)</f>
        <v>0</v>
      </c>
      <c r="AC28" s="7556"/>
      <c r="AD28" s="7715">
        <f>SUM(AE28:AJ28)</f>
        <v>0</v>
      </c>
      <c r="AE28" s="7715">
        <f>SUM(AE29:AE31)</f>
        <v>0</v>
      </c>
      <c r="AF28" s="7715">
        <f>SUM(AF29:AF31)</f>
        <v>0</v>
      </c>
      <c r="AG28" s="7715">
        <f>SUM(AG29:AG31)</f>
        <v>0</v>
      </c>
      <c r="AH28" s="7715">
        <f>SUM(AH29:AH31)</f>
        <v>0</v>
      </c>
      <c r="AI28" s="7715">
        <f>SUM(AI29:AI31)</f>
        <v>0</v>
      </c>
      <c r="AJ28" s="7556"/>
      <c r="AK28" s="7715">
        <f>SUM(AL28:AQ28)</f>
        <v>0</v>
      </c>
      <c r="AL28" s="7715">
        <f>SUM(AL29:AL31)</f>
        <v>0</v>
      </c>
      <c r="AM28" s="7715">
        <f>SUM(AM29:AM31)</f>
        <v>0</v>
      </c>
      <c r="AN28" s="7715">
        <f>SUM(AN29:AN31)</f>
        <v>0</v>
      </c>
      <c r="AO28" s="7715">
        <f>SUM(AO29:AO31)</f>
        <v>0</v>
      </c>
      <c r="AP28" s="7715">
        <f>SUM(AP29:AP31)</f>
        <v>0</v>
      </c>
      <c r="AQ28" s="7556"/>
      <c r="AR28" s="7715">
        <f>SUM(AS28:AX28)</f>
        <v>0</v>
      </c>
      <c r="AS28" s="7715">
        <f>SUM(AS29:AS31)</f>
        <v>0</v>
      </c>
      <c r="AT28" s="7715">
        <f>SUM(AT29:AT31)</f>
        <v>0</v>
      </c>
      <c r="AU28" s="7715">
        <f>SUM(AU29:AU31)</f>
        <v>0</v>
      </c>
      <c r="AV28" s="7715">
        <f>SUM(AV29:AV31)</f>
        <v>0</v>
      </c>
      <c r="AW28" s="7715">
        <f>SUM(AW29:AW31)</f>
        <v>0</v>
      </c>
      <c r="AX28" s="7556"/>
      <c r="AY28" s="7715">
        <f>SUM(AZ28:BE28)</f>
        <v>0</v>
      </c>
      <c r="AZ28" s="7715">
        <f>SUM(AZ29:AZ31)</f>
        <v>0</v>
      </c>
      <c r="BA28" s="7715">
        <f>SUM(BA29:BA31)</f>
        <v>0</v>
      </c>
      <c r="BB28" s="7715">
        <f>SUM(BB29:BB31)</f>
        <v>0</v>
      </c>
      <c r="BC28" s="7715">
        <f>SUM(BC29:BC31)</f>
        <v>0</v>
      </c>
      <c r="BD28" s="7715">
        <f>SUM(BD29:BD31)</f>
        <v>0</v>
      </c>
      <c r="BE28" s="7556"/>
      <c r="BF28" s="7715">
        <f>SUM(BG28:BL28)</f>
        <v>0</v>
      </c>
      <c r="BG28" s="7715">
        <f>SUM(BG29:BG31)</f>
        <v>0</v>
      </c>
      <c r="BH28" s="7715">
        <f>SUM(BH29:BH31)</f>
        <v>0</v>
      </c>
      <c r="BI28" s="7715">
        <f>SUM(BI29:BI31)</f>
        <v>0</v>
      </c>
      <c r="BJ28" s="7715">
        <f>SUM(BJ29:BJ31)</f>
        <v>0</v>
      </c>
      <c r="BK28" s="7715">
        <f>SUM(BK29:BK31)</f>
        <v>0</v>
      </c>
      <c r="BL28" s="7556"/>
      <c r="BM28" s="7715">
        <f>SUM(BN28:BS28)</f>
        <v>0</v>
      </c>
      <c r="BN28" s="7715">
        <f>SUM(BN29:BN31)</f>
        <v>0</v>
      </c>
      <c r="BO28" s="7715">
        <f>SUM(BO29:BO31)</f>
        <v>0</v>
      </c>
      <c r="BP28" s="7715">
        <f>SUM(BP29:BP31)</f>
        <v>0</v>
      </c>
      <c r="BQ28" s="7715">
        <f>SUM(BQ29:BQ31)</f>
        <v>0</v>
      </c>
      <c r="BR28" s="7715">
        <f>SUM(BR29:BR31)</f>
        <v>0</v>
      </c>
      <c r="BS28" s="7556"/>
      <c r="BT28" s="7715">
        <f>SUM(BU28:BZ28)</f>
        <v>0</v>
      </c>
      <c r="BU28" s="7715">
        <f>SUM(BU29:BU31)</f>
        <v>0</v>
      </c>
      <c r="BV28" s="7715">
        <f>SUM(BV29:BV31)</f>
        <v>0</v>
      </c>
      <c r="BW28" s="7715">
        <f>SUM(BW29:BW31)</f>
        <v>0</v>
      </c>
      <c r="BX28" s="7715">
        <f>SUM(BX29:BX31)</f>
        <v>0</v>
      </c>
      <c r="BY28" s="7715">
        <f>SUM(BY29:BY31)</f>
        <v>0</v>
      </c>
      <c r="BZ28" s="7556"/>
      <c r="CA28" s="7715">
        <f>SUM(CB28:CG28)</f>
        <v>0</v>
      </c>
      <c r="CB28" s="7715">
        <f>SUM(CB29:CB31)</f>
        <v>0</v>
      </c>
      <c r="CC28" s="7715">
        <f>SUM(CC29:CC31)</f>
        <v>0</v>
      </c>
      <c r="CD28" s="7715">
        <f>SUM(CD29:CD31)</f>
        <v>0</v>
      </c>
      <c r="CE28" s="7715">
        <f>SUM(CE29:CE31)</f>
        <v>0</v>
      </c>
      <c r="CF28" s="7715">
        <f>SUM(CF29:CF31)</f>
        <v>0</v>
      </c>
      <c r="CG28" s="7556"/>
      <c r="CH28" s="7715">
        <f>SUM(CI28:CN28)</f>
        <v>0</v>
      </c>
      <c r="CI28" s="7715">
        <f>SUM(CI29:CI31)</f>
        <v>0</v>
      </c>
      <c r="CJ28" s="7715">
        <f>SUM(CJ29:CJ31)</f>
        <v>0</v>
      </c>
      <c r="CK28" s="7715">
        <f>SUM(CK29:CK31)</f>
        <v>0</v>
      </c>
      <c r="CL28" s="7715">
        <f>SUM(CL29:CL31)</f>
        <v>0</v>
      </c>
      <c r="CM28" s="7715">
        <f>SUM(CM29:CM31)</f>
        <v>0</v>
      </c>
      <c r="CN28" s="7556"/>
      <c r="CO28" s="7715">
        <f>SUM(CP28:CU28)</f>
        <v>0</v>
      </c>
      <c r="CP28" s="7715">
        <f>SUM(CP29:CP31)</f>
        <v>0</v>
      </c>
      <c r="CQ28" s="7715">
        <f>SUM(CQ29:CQ31)</f>
        <v>0</v>
      </c>
      <c r="CR28" s="7715">
        <f>SUM(CR29:CR31)</f>
        <v>0</v>
      </c>
      <c r="CS28" s="7715">
        <f>SUM(CS29:CS31)</f>
        <v>0</v>
      </c>
      <c r="CT28" s="7715">
        <f>SUM(CT29:CT31)</f>
        <v>0</v>
      </c>
      <c r="CU28" s="7556"/>
      <c r="CV28" s="7715">
        <f>SUM(CW28:DB28)</f>
        <v>0</v>
      </c>
      <c r="CW28" s="7715">
        <f>SUM(CW29:CW31)</f>
        <v>0</v>
      </c>
      <c r="CX28" s="7715">
        <f>SUM(CX29:CX31)</f>
        <v>0</v>
      </c>
      <c r="CY28" s="7715">
        <f>SUM(CY29:CY31)</f>
        <v>0</v>
      </c>
      <c r="CZ28" s="7715">
        <f>SUM(CZ29:CZ31)</f>
        <v>0</v>
      </c>
      <c r="DA28" s="7715">
        <f>SUM(DA29:DA31)</f>
        <v>0</v>
      </c>
      <c r="DB28" s="7556"/>
      <c r="DC28" s="7715">
        <f>SUM(DD28:DI28)</f>
        <v>0</v>
      </c>
      <c r="DD28" s="7715">
        <f>SUM(DD29:DD31)</f>
        <v>0</v>
      </c>
      <c r="DE28" s="7715">
        <f>SUM(DE29:DE31)</f>
        <v>0</v>
      </c>
      <c r="DF28" s="7715">
        <f>SUM(DF29:DF31)</f>
        <v>0</v>
      </c>
      <c r="DG28" s="7715">
        <f>SUM(DG29:DG31)</f>
        <v>0</v>
      </c>
      <c r="DH28" s="7715">
        <f>SUM(DH29:DH31)</f>
        <v>0</v>
      </c>
      <c r="DI28" s="7556"/>
      <c r="DJ28" s="7715">
        <f>SUM(DK28:DP28)</f>
        <v>0</v>
      </c>
      <c r="DK28" s="7715">
        <f>SUM(DK29:DK31)</f>
        <v>0</v>
      </c>
      <c r="DL28" s="7715">
        <f>SUM(DL29:DL31)</f>
        <v>0</v>
      </c>
      <c r="DM28" s="7715">
        <f>SUM(DM29:DM31)</f>
        <v>0</v>
      </c>
      <c r="DN28" s="7715">
        <f>SUM(DN29:DN31)</f>
        <v>0</v>
      </c>
      <c r="DO28" s="7715">
        <f>SUM(DO29:DO31)</f>
        <v>0</v>
      </c>
      <c r="DP28" s="7556"/>
      <c r="DQ28" s="7715">
        <f>SUM(DR28:EB28)</f>
        <v>0</v>
      </c>
      <c r="DR28" s="7715">
        <f>SUM(DR29:DR31)</f>
        <v>0</v>
      </c>
      <c r="DS28" s="7715">
        <f>SUM(DS29:DS31)</f>
        <v>0</v>
      </c>
      <c r="DT28" s="7715">
        <f>SUM(DT29:DT31)</f>
        <v>0</v>
      </c>
      <c r="DU28" s="7715">
        <f>SUM(DU29:DU31)</f>
        <v>0</v>
      </c>
      <c r="DV28" s="7715">
        <f>SUM(DV29:DV31)</f>
        <v>0</v>
      </c>
      <c r="DW28" s="7715">
        <f>SUM(DW29:DW31)</f>
        <v>0</v>
      </c>
      <c r="DX28" s="7715">
        <f>SUM(DX29:DX31)</f>
        <v>0</v>
      </c>
      <c r="DY28" s="7715">
        <f>SUM(DY29:DY31)</f>
        <v>0</v>
      </c>
      <c r="DZ28" s="7715">
        <f>SUM(DZ29:DZ31)</f>
        <v>0</v>
      </c>
      <c r="EA28" s="7715">
        <f>SUM(EA29:EA31)</f>
        <v>0</v>
      </c>
      <c r="EB28" s="7556"/>
      <c r="EC28" s="1358"/>
      <c r="EO28" s="1279">
        <v>11</v>
      </c>
    </row>
    <row customHeight="1" ht="11.549999999999999">
      <c r="F29" s="1354" t="s">
        <v>865</v>
      </c>
      <c r="G29" s="1361" t="s">
        <v>1472</v>
      </c>
      <c r="H29" s="1360">
        <f>SUM(I29:J29)</f>
        <v>0</v>
      </c>
      <c r="I29" s="1359"/>
      <c r="J29" s="1349"/>
      <c r="K29" s="7715">
        <f>SUM(L29:V29)</f>
        <v>0</v>
      </c>
      <c r="L29" s="7039"/>
      <c r="M29" s="7039"/>
      <c r="N29" s="7039"/>
      <c r="O29" s="7039"/>
      <c r="P29" s="7039"/>
      <c r="Q29" s="7039"/>
      <c r="R29" s="7039"/>
      <c r="S29" s="7039"/>
      <c r="T29" s="7039"/>
      <c r="U29" s="7039"/>
      <c r="V29" s="7556"/>
      <c r="W29" s="7715">
        <f>SUM(X29:AC29)</f>
        <v>0</v>
      </c>
      <c r="X29" s="7039"/>
      <c r="Y29" s="7039"/>
      <c r="Z29" s="7039"/>
      <c r="AA29" s="7039"/>
      <c r="AB29" s="7039"/>
      <c r="AC29" s="7556"/>
      <c r="AD29" s="7715">
        <f>SUM(AE29:AJ29)</f>
        <v>0</v>
      </c>
      <c r="AE29" s="7039"/>
      <c r="AF29" s="7039"/>
      <c r="AG29" s="7039"/>
      <c r="AH29" s="7039"/>
      <c r="AI29" s="7039"/>
      <c r="AJ29" s="7556"/>
      <c r="AK29" s="7715">
        <f>SUM(AL29:AQ29)</f>
        <v>0</v>
      </c>
      <c r="AL29" s="7039"/>
      <c r="AM29" s="7039"/>
      <c r="AN29" s="7039"/>
      <c r="AO29" s="7039"/>
      <c r="AP29" s="7039"/>
      <c r="AQ29" s="7556"/>
      <c r="AR29" s="7715">
        <f>SUM(AS29:AX29)</f>
        <v>0</v>
      </c>
      <c r="AS29" s="7039"/>
      <c r="AT29" s="7039"/>
      <c r="AU29" s="7039"/>
      <c r="AV29" s="7039"/>
      <c r="AW29" s="7039"/>
      <c r="AX29" s="7556"/>
      <c r="AY29" s="7715">
        <f>SUM(AZ29:BE29)</f>
        <v>0</v>
      </c>
      <c r="AZ29" s="7039"/>
      <c r="BA29" s="7039"/>
      <c r="BB29" s="7039"/>
      <c r="BC29" s="7039"/>
      <c r="BD29" s="7039"/>
      <c r="BE29" s="7556"/>
      <c r="BF29" s="7715">
        <f>SUM(BG29:BL29)</f>
        <v>0</v>
      </c>
      <c r="BG29" s="7039"/>
      <c r="BH29" s="7039"/>
      <c r="BI29" s="7039"/>
      <c r="BJ29" s="7039"/>
      <c r="BK29" s="7039"/>
      <c r="BL29" s="7556"/>
      <c r="BM29" s="7715">
        <f>SUM(BN29:BS29)</f>
        <v>0</v>
      </c>
      <c r="BN29" s="7039"/>
      <c r="BO29" s="7039"/>
      <c r="BP29" s="7039"/>
      <c r="BQ29" s="7039"/>
      <c r="BR29" s="7039"/>
      <c r="BS29" s="7556"/>
      <c r="BT29" s="7715">
        <f>SUM(BU29:BZ29)</f>
        <v>0</v>
      </c>
      <c r="BU29" s="7039"/>
      <c r="BV29" s="7039"/>
      <c r="BW29" s="7039"/>
      <c r="BX29" s="7039"/>
      <c r="BY29" s="7039"/>
      <c r="BZ29" s="7556"/>
      <c r="CA29" s="7715">
        <f>SUM(CB29:CG29)</f>
        <v>0</v>
      </c>
      <c r="CB29" s="7039"/>
      <c r="CC29" s="7039"/>
      <c r="CD29" s="7039"/>
      <c r="CE29" s="7039"/>
      <c r="CF29" s="7039"/>
      <c r="CG29" s="7556"/>
      <c r="CH29" s="7715">
        <f>SUM(CI29:CN29)</f>
        <v>0</v>
      </c>
      <c r="CI29" s="7039"/>
      <c r="CJ29" s="7039"/>
      <c r="CK29" s="7039"/>
      <c r="CL29" s="7039"/>
      <c r="CM29" s="7039"/>
      <c r="CN29" s="7556"/>
      <c r="CO29" s="7715">
        <f>SUM(CP29:CU29)</f>
        <v>0</v>
      </c>
      <c r="CP29" s="7039"/>
      <c r="CQ29" s="7039"/>
      <c r="CR29" s="7039"/>
      <c r="CS29" s="7039"/>
      <c r="CT29" s="7039"/>
      <c r="CU29" s="7556"/>
      <c r="CV29" s="7715">
        <f>SUM(CW29:DB29)</f>
        <v>0</v>
      </c>
      <c r="CW29" s="7039"/>
      <c r="CX29" s="7039"/>
      <c r="CY29" s="7039"/>
      <c r="CZ29" s="7039"/>
      <c r="DA29" s="7039"/>
      <c r="DB29" s="7556"/>
      <c r="DC29" s="7715">
        <f>SUM(DD29:DI29)</f>
        <v>0</v>
      </c>
      <c r="DD29" s="7039"/>
      <c r="DE29" s="7039"/>
      <c r="DF29" s="7039"/>
      <c r="DG29" s="7039"/>
      <c r="DH29" s="7039"/>
      <c r="DI29" s="7556"/>
      <c r="DJ29" s="7715">
        <f>SUM(DK29:DP29)</f>
        <v>0</v>
      </c>
      <c r="DK29" s="7039"/>
      <c r="DL29" s="7039"/>
      <c r="DM29" s="7039"/>
      <c r="DN29" s="7039"/>
      <c r="DO29" s="7039"/>
      <c r="DP29" s="7556"/>
      <c r="DQ29" s="7715">
        <f>SUM(DR29:EB29)</f>
        <v>0</v>
      </c>
      <c r="DR29" s="7039"/>
      <c r="DS29" s="7039"/>
      <c r="DT29" s="7039"/>
      <c r="DU29" s="7039"/>
      <c r="DV29" s="7039"/>
      <c r="DW29" s="7039"/>
      <c r="DX29" s="7039"/>
      <c r="DY29" s="7039"/>
      <c r="DZ29" s="7039"/>
      <c r="EA29" s="7039"/>
      <c r="EB29" s="7556"/>
      <c r="EC29" s="1358"/>
      <c r="EO29" s="1279">
        <v>11</v>
      </c>
    </row>
    <row customHeight="1" ht="11.549999999999999">
      <c r="F30" s="1354" t="s">
        <v>419</v>
      </c>
      <c r="G30" s="1361" t="s">
        <v>1473</v>
      </c>
      <c r="H30" s="1360">
        <f>SUM(I30:J30)</f>
        <v>0</v>
      </c>
      <c r="I30" s="1359"/>
      <c r="J30" s="1349"/>
      <c r="K30" s="7715">
        <f>SUM(L30:V30)</f>
        <v>0</v>
      </c>
      <c r="L30" s="7039"/>
      <c r="M30" s="7039"/>
      <c r="N30" s="7039"/>
      <c r="O30" s="7039"/>
      <c r="P30" s="7039"/>
      <c r="Q30" s="7039"/>
      <c r="R30" s="7039"/>
      <c r="S30" s="7039"/>
      <c r="T30" s="7039"/>
      <c r="U30" s="7039"/>
      <c r="V30" s="7556"/>
      <c r="W30" s="7715">
        <f>SUM(X30:AC30)</f>
        <v>0</v>
      </c>
      <c r="X30" s="7039"/>
      <c r="Y30" s="7039"/>
      <c r="Z30" s="7039"/>
      <c r="AA30" s="7039"/>
      <c r="AB30" s="7039"/>
      <c r="AC30" s="7556"/>
      <c r="AD30" s="7715">
        <f>SUM(AE30:AJ30)</f>
        <v>0</v>
      </c>
      <c r="AE30" s="7039"/>
      <c r="AF30" s="7039"/>
      <c r="AG30" s="7039"/>
      <c r="AH30" s="7039"/>
      <c r="AI30" s="7039"/>
      <c r="AJ30" s="7556"/>
      <c r="AK30" s="7715">
        <f>SUM(AL30:AQ30)</f>
        <v>0</v>
      </c>
      <c r="AL30" s="7039"/>
      <c r="AM30" s="7039"/>
      <c r="AN30" s="7039"/>
      <c r="AO30" s="7039"/>
      <c r="AP30" s="7039"/>
      <c r="AQ30" s="7556"/>
      <c r="AR30" s="7715">
        <f>SUM(AS30:AX30)</f>
        <v>0</v>
      </c>
      <c r="AS30" s="7039"/>
      <c r="AT30" s="7039"/>
      <c r="AU30" s="7039"/>
      <c r="AV30" s="7039"/>
      <c r="AW30" s="7039"/>
      <c r="AX30" s="7556"/>
      <c r="AY30" s="7715">
        <f>SUM(AZ30:BE30)</f>
        <v>0</v>
      </c>
      <c r="AZ30" s="7039"/>
      <c r="BA30" s="7039"/>
      <c r="BB30" s="7039"/>
      <c r="BC30" s="7039"/>
      <c r="BD30" s="7039"/>
      <c r="BE30" s="7556"/>
      <c r="BF30" s="7715">
        <f>SUM(BG30:BL30)</f>
        <v>0</v>
      </c>
      <c r="BG30" s="7039"/>
      <c r="BH30" s="7039"/>
      <c r="BI30" s="7039"/>
      <c r="BJ30" s="7039"/>
      <c r="BK30" s="7039"/>
      <c r="BL30" s="7556"/>
      <c r="BM30" s="7715">
        <f>SUM(BN30:BS30)</f>
        <v>0</v>
      </c>
      <c r="BN30" s="7039"/>
      <c r="BO30" s="7039"/>
      <c r="BP30" s="7039"/>
      <c r="BQ30" s="7039"/>
      <c r="BR30" s="7039"/>
      <c r="BS30" s="7556"/>
      <c r="BT30" s="7715">
        <f>SUM(BU30:BZ30)</f>
        <v>0</v>
      </c>
      <c r="BU30" s="7039"/>
      <c r="BV30" s="7039"/>
      <c r="BW30" s="7039"/>
      <c r="BX30" s="7039"/>
      <c r="BY30" s="7039"/>
      <c r="BZ30" s="7556"/>
      <c r="CA30" s="7715">
        <f>SUM(CB30:CG30)</f>
        <v>0</v>
      </c>
      <c r="CB30" s="7039"/>
      <c r="CC30" s="7039"/>
      <c r="CD30" s="7039"/>
      <c r="CE30" s="7039"/>
      <c r="CF30" s="7039"/>
      <c r="CG30" s="7556"/>
      <c r="CH30" s="7715">
        <f>SUM(CI30:CN30)</f>
        <v>0</v>
      </c>
      <c r="CI30" s="7039"/>
      <c r="CJ30" s="7039"/>
      <c r="CK30" s="7039"/>
      <c r="CL30" s="7039"/>
      <c r="CM30" s="7039"/>
      <c r="CN30" s="7556"/>
      <c r="CO30" s="7715">
        <f>SUM(CP30:CU30)</f>
        <v>0</v>
      </c>
      <c r="CP30" s="7039"/>
      <c r="CQ30" s="7039"/>
      <c r="CR30" s="7039"/>
      <c r="CS30" s="7039"/>
      <c r="CT30" s="7039"/>
      <c r="CU30" s="7556"/>
      <c r="CV30" s="7715">
        <f>SUM(CW30:DB30)</f>
        <v>0</v>
      </c>
      <c r="CW30" s="7039"/>
      <c r="CX30" s="7039"/>
      <c r="CY30" s="7039"/>
      <c r="CZ30" s="7039"/>
      <c r="DA30" s="7039"/>
      <c r="DB30" s="7556"/>
      <c r="DC30" s="7715">
        <f>SUM(DD30:DI30)</f>
        <v>0</v>
      </c>
      <c r="DD30" s="7039"/>
      <c r="DE30" s="7039"/>
      <c r="DF30" s="7039"/>
      <c r="DG30" s="7039"/>
      <c r="DH30" s="7039"/>
      <c r="DI30" s="7556"/>
      <c r="DJ30" s="7715">
        <f>SUM(DK30:DP30)</f>
        <v>0</v>
      </c>
      <c r="DK30" s="7039"/>
      <c r="DL30" s="7039"/>
      <c r="DM30" s="7039"/>
      <c r="DN30" s="7039"/>
      <c r="DO30" s="7039"/>
      <c r="DP30" s="7556"/>
      <c r="DQ30" s="7715">
        <f>SUM(DR30:EB30)</f>
        <v>0</v>
      </c>
      <c r="DR30" s="7039"/>
      <c r="DS30" s="7039"/>
      <c r="DT30" s="7039"/>
      <c r="DU30" s="7039"/>
      <c r="DV30" s="7039"/>
      <c r="DW30" s="7039"/>
      <c r="DX30" s="7039"/>
      <c r="DY30" s="7039"/>
      <c r="DZ30" s="7039"/>
      <c r="EA30" s="7039"/>
      <c r="EB30" s="7556"/>
      <c r="EC30" s="1358"/>
      <c r="EO30" s="1279">
        <v>11</v>
      </c>
    </row>
    <row customHeight="1" ht="11.549999999999999">
      <c r="F31" s="1354" t="s">
        <v>422</v>
      </c>
      <c r="G31" s="1361" t="s">
        <v>1474</v>
      </c>
      <c r="H31" s="1360">
        <f>SUM(I31:J31)</f>
        <v>0</v>
      </c>
      <c r="I31" s="1359"/>
      <c r="J31" s="1349"/>
      <c r="K31" s="7715">
        <f>SUM(L31:V31)</f>
        <v>0</v>
      </c>
      <c r="L31" s="7039"/>
      <c r="M31" s="7039"/>
      <c r="N31" s="7039"/>
      <c r="O31" s="7039"/>
      <c r="P31" s="7039"/>
      <c r="Q31" s="7039"/>
      <c r="R31" s="7039"/>
      <c r="S31" s="7039"/>
      <c r="T31" s="7039"/>
      <c r="U31" s="7039"/>
      <c r="V31" s="7556"/>
      <c r="W31" s="7715">
        <f>SUM(X31:AC31)</f>
        <v>0</v>
      </c>
      <c r="X31" s="7039"/>
      <c r="Y31" s="7039"/>
      <c r="Z31" s="7039"/>
      <c r="AA31" s="7039"/>
      <c r="AB31" s="7039"/>
      <c r="AC31" s="7556"/>
      <c r="AD31" s="7715">
        <f>SUM(AE31:AJ31)</f>
        <v>0</v>
      </c>
      <c r="AE31" s="7039"/>
      <c r="AF31" s="7039"/>
      <c r="AG31" s="7039"/>
      <c r="AH31" s="7039"/>
      <c r="AI31" s="7039"/>
      <c r="AJ31" s="7556"/>
      <c r="AK31" s="7715">
        <f>SUM(AL31:AQ31)</f>
        <v>0</v>
      </c>
      <c r="AL31" s="7039"/>
      <c r="AM31" s="7039"/>
      <c r="AN31" s="7039"/>
      <c r="AO31" s="7039"/>
      <c r="AP31" s="7039"/>
      <c r="AQ31" s="7556"/>
      <c r="AR31" s="7715">
        <f>SUM(AS31:AX31)</f>
        <v>0</v>
      </c>
      <c r="AS31" s="7039"/>
      <c r="AT31" s="7039"/>
      <c r="AU31" s="7039"/>
      <c r="AV31" s="7039"/>
      <c r="AW31" s="7039"/>
      <c r="AX31" s="7556"/>
      <c r="AY31" s="7715">
        <f>SUM(AZ31:BE31)</f>
        <v>0</v>
      </c>
      <c r="AZ31" s="7039"/>
      <c r="BA31" s="7039"/>
      <c r="BB31" s="7039"/>
      <c r="BC31" s="7039"/>
      <c r="BD31" s="7039"/>
      <c r="BE31" s="7556"/>
      <c r="BF31" s="7715">
        <f>SUM(BG31:BL31)</f>
        <v>0</v>
      </c>
      <c r="BG31" s="7039"/>
      <c r="BH31" s="7039"/>
      <c r="BI31" s="7039"/>
      <c r="BJ31" s="7039"/>
      <c r="BK31" s="7039"/>
      <c r="BL31" s="7556"/>
      <c r="BM31" s="7715">
        <f>SUM(BN31:BS31)</f>
        <v>0</v>
      </c>
      <c r="BN31" s="7039"/>
      <c r="BO31" s="7039"/>
      <c r="BP31" s="7039"/>
      <c r="BQ31" s="7039"/>
      <c r="BR31" s="7039"/>
      <c r="BS31" s="7556"/>
      <c r="BT31" s="7715">
        <f>SUM(BU31:BZ31)</f>
        <v>0</v>
      </c>
      <c r="BU31" s="7039"/>
      <c r="BV31" s="7039"/>
      <c r="BW31" s="7039"/>
      <c r="BX31" s="7039"/>
      <c r="BY31" s="7039"/>
      <c r="BZ31" s="7556"/>
      <c r="CA31" s="7715">
        <f>SUM(CB31:CG31)</f>
        <v>0</v>
      </c>
      <c r="CB31" s="7039"/>
      <c r="CC31" s="7039"/>
      <c r="CD31" s="7039"/>
      <c r="CE31" s="7039"/>
      <c r="CF31" s="7039"/>
      <c r="CG31" s="7556"/>
      <c r="CH31" s="7715">
        <f>SUM(CI31:CN31)</f>
        <v>0</v>
      </c>
      <c r="CI31" s="7039"/>
      <c r="CJ31" s="7039"/>
      <c r="CK31" s="7039"/>
      <c r="CL31" s="7039"/>
      <c r="CM31" s="7039"/>
      <c r="CN31" s="7556"/>
      <c r="CO31" s="7715">
        <f>SUM(CP31:CU31)</f>
        <v>0</v>
      </c>
      <c r="CP31" s="7039"/>
      <c r="CQ31" s="7039"/>
      <c r="CR31" s="7039"/>
      <c r="CS31" s="7039"/>
      <c r="CT31" s="7039"/>
      <c r="CU31" s="7556"/>
      <c r="CV31" s="7715">
        <f>SUM(CW31:DB31)</f>
        <v>0</v>
      </c>
      <c r="CW31" s="7039"/>
      <c r="CX31" s="7039"/>
      <c r="CY31" s="7039"/>
      <c r="CZ31" s="7039"/>
      <c r="DA31" s="7039"/>
      <c r="DB31" s="7556"/>
      <c r="DC31" s="7715">
        <f>SUM(DD31:DI31)</f>
        <v>0</v>
      </c>
      <c r="DD31" s="7039"/>
      <c r="DE31" s="7039"/>
      <c r="DF31" s="7039"/>
      <c r="DG31" s="7039"/>
      <c r="DH31" s="7039"/>
      <c r="DI31" s="7556"/>
      <c r="DJ31" s="7715">
        <f>SUM(DK31:DP31)</f>
        <v>0</v>
      </c>
      <c r="DK31" s="7039"/>
      <c r="DL31" s="7039"/>
      <c r="DM31" s="7039"/>
      <c r="DN31" s="7039"/>
      <c r="DO31" s="7039"/>
      <c r="DP31" s="7556"/>
      <c r="DQ31" s="7715">
        <f>SUM(DR31:EB31)</f>
        <v>0</v>
      </c>
      <c r="DR31" s="7039"/>
      <c r="DS31" s="7039"/>
      <c r="DT31" s="7039"/>
      <c r="DU31" s="7039"/>
      <c r="DV31" s="7039"/>
      <c r="DW31" s="7039"/>
      <c r="DX31" s="7039"/>
      <c r="DY31" s="7039"/>
      <c r="DZ31" s="7039"/>
      <c r="EA31" s="7039"/>
      <c r="EB31" s="7556"/>
      <c r="EC31" s="1358"/>
      <c r="EO31" s="1279">
        <v>11</v>
      </c>
    </row>
    <row customHeight="1" ht="11.549999999999999">
      <c r="F32" s="1354">
        <v>3</v>
      </c>
      <c r="G32" s="814" t="s">
        <v>1475</v>
      </c>
      <c r="H32" s="1360">
        <f>SUM(I32:J32)</f>
        <v>0</v>
      </c>
      <c r="I32" s="1360">
        <f>SUM(I33:I34)</f>
        <v>0</v>
      </c>
      <c r="J32" s="1349"/>
      <c r="K32" s="7715">
        <f>SUM(L32:V32)</f>
        <v>0</v>
      </c>
      <c r="L32" s="7715">
        <f>SUM(L33:L34)</f>
        <v>0</v>
      </c>
      <c r="M32" s="7715">
        <f>SUM(M33:M34)</f>
        <v>0</v>
      </c>
      <c r="N32" s="7715">
        <f>SUM(N33:N34)</f>
        <v>0</v>
      </c>
      <c r="O32" s="7715">
        <f>SUM(O33:O34)</f>
        <v>0</v>
      </c>
      <c r="P32" s="7715">
        <f>SUM(P33:P34)</f>
        <v>0</v>
      </c>
      <c r="Q32" s="7715">
        <f>SUM(Q33:Q34)</f>
        <v>0</v>
      </c>
      <c r="R32" s="7715">
        <f>SUM(R33:R34)</f>
        <v>0</v>
      </c>
      <c r="S32" s="7715">
        <f>SUM(S33:S34)</f>
        <v>0</v>
      </c>
      <c r="T32" s="7715">
        <f>SUM(T33:T34)</f>
        <v>0</v>
      </c>
      <c r="U32" s="7715">
        <f>SUM(U33:U34)</f>
        <v>0</v>
      </c>
      <c r="V32" s="7556"/>
      <c r="W32" s="7715">
        <f>SUM(X32:AC32)</f>
        <v>0</v>
      </c>
      <c r="X32" s="7715">
        <f>SUM(X33:X34)</f>
        <v>0</v>
      </c>
      <c r="Y32" s="7715">
        <f>SUM(Y33:Y34)</f>
        <v>0</v>
      </c>
      <c r="Z32" s="7715">
        <f>SUM(Z33:Z34)</f>
        <v>0</v>
      </c>
      <c r="AA32" s="7715">
        <f>SUM(AA33:AA34)</f>
        <v>0</v>
      </c>
      <c r="AB32" s="7715">
        <f>SUM(AB33:AB34)</f>
        <v>0</v>
      </c>
      <c r="AC32" s="7556"/>
      <c r="AD32" s="7715">
        <f>SUM(AE32:AJ32)</f>
        <v>0</v>
      </c>
      <c r="AE32" s="7715">
        <f>SUM(AE33:AE34)</f>
        <v>0</v>
      </c>
      <c r="AF32" s="7715">
        <f>SUM(AF33:AF34)</f>
        <v>0</v>
      </c>
      <c r="AG32" s="7715">
        <f>SUM(AG33:AG34)</f>
        <v>0</v>
      </c>
      <c r="AH32" s="7715">
        <f>SUM(AH33:AH34)</f>
        <v>0</v>
      </c>
      <c r="AI32" s="7715">
        <f>SUM(AI33:AI34)</f>
        <v>0</v>
      </c>
      <c r="AJ32" s="7556"/>
      <c r="AK32" s="7715">
        <f>SUM(AL32:AQ32)</f>
        <v>0</v>
      </c>
      <c r="AL32" s="7715">
        <f>SUM(AL33:AL34)</f>
        <v>0</v>
      </c>
      <c r="AM32" s="7715">
        <f>SUM(AM33:AM34)</f>
        <v>0</v>
      </c>
      <c r="AN32" s="7715">
        <f>SUM(AN33:AN34)</f>
        <v>0</v>
      </c>
      <c r="AO32" s="7715">
        <f>SUM(AO33:AO34)</f>
        <v>0</v>
      </c>
      <c r="AP32" s="7715">
        <f>SUM(AP33:AP34)</f>
        <v>0</v>
      </c>
      <c r="AQ32" s="7556"/>
      <c r="AR32" s="7715">
        <f>SUM(AS32:AX32)</f>
        <v>0</v>
      </c>
      <c r="AS32" s="7715">
        <f>SUM(AS33:AS34)</f>
        <v>0</v>
      </c>
      <c r="AT32" s="7715">
        <f>SUM(AT33:AT34)</f>
        <v>0</v>
      </c>
      <c r="AU32" s="7715">
        <f>SUM(AU33:AU34)</f>
        <v>0</v>
      </c>
      <c r="AV32" s="7715">
        <f>SUM(AV33:AV34)</f>
        <v>0</v>
      </c>
      <c r="AW32" s="7715">
        <f>SUM(AW33:AW34)</f>
        <v>0</v>
      </c>
      <c r="AX32" s="7556"/>
      <c r="AY32" s="7715">
        <f>SUM(AZ32:BE32)</f>
        <v>0</v>
      </c>
      <c r="AZ32" s="7715">
        <f>SUM(AZ33:AZ34)</f>
        <v>0</v>
      </c>
      <c r="BA32" s="7715">
        <f>SUM(BA33:BA34)</f>
        <v>0</v>
      </c>
      <c r="BB32" s="7715">
        <f>SUM(BB33:BB34)</f>
        <v>0</v>
      </c>
      <c r="BC32" s="7715">
        <f>SUM(BC33:BC34)</f>
        <v>0</v>
      </c>
      <c r="BD32" s="7715">
        <f>SUM(BD33:BD34)</f>
        <v>0</v>
      </c>
      <c r="BE32" s="7556"/>
      <c r="BF32" s="7715">
        <f>SUM(BG32:BL32)</f>
        <v>0</v>
      </c>
      <c r="BG32" s="7715">
        <f>SUM(BG33:BG34)</f>
        <v>0</v>
      </c>
      <c r="BH32" s="7715">
        <f>SUM(BH33:BH34)</f>
        <v>0</v>
      </c>
      <c r="BI32" s="7715">
        <f>SUM(BI33:BI34)</f>
        <v>0</v>
      </c>
      <c r="BJ32" s="7715">
        <f>SUM(BJ33:BJ34)</f>
        <v>0</v>
      </c>
      <c r="BK32" s="7715">
        <f>SUM(BK33:BK34)</f>
        <v>0</v>
      </c>
      <c r="BL32" s="7556"/>
      <c r="BM32" s="7715">
        <f>SUM(BN32:BS32)</f>
        <v>0</v>
      </c>
      <c r="BN32" s="7715">
        <f>SUM(BN33:BN34)</f>
        <v>0</v>
      </c>
      <c r="BO32" s="7715">
        <f>SUM(BO33:BO34)</f>
        <v>0</v>
      </c>
      <c r="BP32" s="7715">
        <f>SUM(BP33:BP34)</f>
        <v>0</v>
      </c>
      <c r="BQ32" s="7715">
        <f>SUM(BQ33:BQ34)</f>
        <v>0</v>
      </c>
      <c r="BR32" s="7715">
        <f>SUM(BR33:BR34)</f>
        <v>0</v>
      </c>
      <c r="BS32" s="7556"/>
      <c r="BT32" s="7715">
        <f>SUM(BU32:BZ32)</f>
        <v>0</v>
      </c>
      <c r="BU32" s="7715">
        <f>SUM(BU33:BU34)</f>
        <v>0</v>
      </c>
      <c r="BV32" s="7715">
        <f>SUM(BV33:BV34)</f>
        <v>0</v>
      </c>
      <c r="BW32" s="7715">
        <f>SUM(BW33:BW34)</f>
        <v>0</v>
      </c>
      <c r="BX32" s="7715">
        <f>SUM(BX33:BX34)</f>
        <v>0</v>
      </c>
      <c r="BY32" s="7715">
        <f>SUM(BY33:BY34)</f>
        <v>0</v>
      </c>
      <c r="BZ32" s="7556"/>
      <c r="CA32" s="7715">
        <f>SUM(CB32:CG32)</f>
        <v>0</v>
      </c>
      <c r="CB32" s="7715">
        <f>SUM(CB33:CB34)</f>
        <v>0</v>
      </c>
      <c r="CC32" s="7715">
        <f>SUM(CC33:CC34)</f>
        <v>0</v>
      </c>
      <c r="CD32" s="7715">
        <f>SUM(CD33:CD34)</f>
        <v>0</v>
      </c>
      <c r="CE32" s="7715">
        <f>SUM(CE33:CE34)</f>
        <v>0</v>
      </c>
      <c r="CF32" s="7715">
        <f>SUM(CF33:CF34)</f>
        <v>0</v>
      </c>
      <c r="CG32" s="7556"/>
      <c r="CH32" s="7715">
        <f>SUM(CI32:CN32)</f>
        <v>0</v>
      </c>
      <c r="CI32" s="7715">
        <f>SUM(CI33:CI34)</f>
        <v>0</v>
      </c>
      <c r="CJ32" s="7715">
        <f>SUM(CJ33:CJ34)</f>
        <v>0</v>
      </c>
      <c r="CK32" s="7715">
        <f>SUM(CK33:CK34)</f>
        <v>0</v>
      </c>
      <c r="CL32" s="7715">
        <f>SUM(CL33:CL34)</f>
        <v>0</v>
      </c>
      <c r="CM32" s="7715">
        <f>SUM(CM33:CM34)</f>
        <v>0</v>
      </c>
      <c r="CN32" s="7556"/>
      <c r="CO32" s="7715">
        <f>SUM(CP32:CU32)</f>
        <v>0</v>
      </c>
      <c r="CP32" s="7715">
        <f>SUM(CP33:CP34)</f>
        <v>0</v>
      </c>
      <c r="CQ32" s="7715">
        <f>SUM(CQ33:CQ34)</f>
        <v>0</v>
      </c>
      <c r="CR32" s="7715">
        <f>SUM(CR33:CR34)</f>
        <v>0</v>
      </c>
      <c r="CS32" s="7715">
        <f>SUM(CS33:CS34)</f>
        <v>0</v>
      </c>
      <c r="CT32" s="7715">
        <f>SUM(CT33:CT34)</f>
        <v>0</v>
      </c>
      <c r="CU32" s="7556"/>
      <c r="CV32" s="7715">
        <f>SUM(CW32:DB32)</f>
        <v>0</v>
      </c>
      <c r="CW32" s="7715">
        <f>SUM(CW33:CW34)</f>
        <v>0</v>
      </c>
      <c r="CX32" s="7715">
        <f>SUM(CX33:CX34)</f>
        <v>0</v>
      </c>
      <c r="CY32" s="7715">
        <f>SUM(CY33:CY34)</f>
        <v>0</v>
      </c>
      <c r="CZ32" s="7715">
        <f>SUM(CZ33:CZ34)</f>
        <v>0</v>
      </c>
      <c r="DA32" s="7715">
        <f>SUM(DA33:DA34)</f>
        <v>0</v>
      </c>
      <c r="DB32" s="7556"/>
      <c r="DC32" s="7715">
        <f>SUM(DD32:DI32)</f>
        <v>0</v>
      </c>
      <c r="DD32" s="7715">
        <f>SUM(DD33:DD34)</f>
        <v>0</v>
      </c>
      <c r="DE32" s="7715">
        <f>SUM(DE33:DE34)</f>
        <v>0</v>
      </c>
      <c r="DF32" s="7715">
        <f>SUM(DF33:DF34)</f>
        <v>0</v>
      </c>
      <c r="DG32" s="7715">
        <f>SUM(DG33:DG34)</f>
        <v>0</v>
      </c>
      <c r="DH32" s="7715">
        <f>SUM(DH33:DH34)</f>
        <v>0</v>
      </c>
      <c r="DI32" s="7556"/>
      <c r="DJ32" s="7715">
        <f>SUM(DK32:DP32)</f>
        <v>0</v>
      </c>
      <c r="DK32" s="7715">
        <f>SUM(DK33:DK34)</f>
        <v>0</v>
      </c>
      <c r="DL32" s="7715">
        <f>SUM(DL33:DL34)</f>
        <v>0</v>
      </c>
      <c r="DM32" s="7715">
        <f>SUM(DM33:DM34)</f>
        <v>0</v>
      </c>
      <c r="DN32" s="7715">
        <f>SUM(DN33:DN34)</f>
        <v>0</v>
      </c>
      <c r="DO32" s="7715">
        <f>SUM(DO33:DO34)</f>
        <v>0</v>
      </c>
      <c r="DP32" s="7556"/>
      <c r="DQ32" s="7715">
        <f>SUM(DR32:EB32)</f>
        <v>0</v>
      </c>
      <c r="DR32" s="7715">
        <f>SUM(DR33:DR34)</f>
        <v>0</v>
      </c>
      <c r="DS32" s="7715">
        <f>SUM(DS33:DS34)</f>
        <v>0</v>
      </c>
      <c r="DT32" s="7715">
        <f>SUM(DT33:DT34)</f>
        <v>0</v>
      </c>
      <c r="DU32" s="7715">
        <f>SUM(DU33:DU34)</f>
        <v>0</v>
      </c>
      <c r="DV32" s="7715">
        <f>SUM(DV33:DV34)</f>
        <v>0</v>
      </c>
      <c r="DW32" s="7715">
        <f>SUM(DW33:DW34)</f>
        <v>0</v>
      </c>
      <c r="DX32" s="7715">
        <f>SUM(DX33:DX34)</f>
        <v>0</v>
      </c>
      <c r="DY32" s="7715">
        <f>SUM(DY33:DY34)</f>
        <v>0</v>
      </c>
      <c r="DZ32" s="7715">
        <f>SUM(DZ33:DZ34)</f>
        <v>0</v>
      </c>
      <c r="EA32" s="7715">
        <f>SUM(EA33:EA34)</f>
        <v>0</v>
      </c>
      <c r="EB32" s="7556"/>
      <c r="EC32" s="1358"/>
      <c r="EO32" s="1279">
        <v>11</v>
      </c>
    </row>
    <row customHeight="1" ht="48.29999999999999">
      <c r="F33" s="1354" t="s">
        <v>436</v>
      </c>
      <c r="G33" s="1361" t="s">
        <v>1476</v>
      </c>
      <c r="H33" s="1360">
        <f>SUM(I33:J33)</f>
        <v>0</v>
      </c>
      <c r="I33" s="1359"/>
      <c r="J33" s="1349"/>
      <c r="K33" s="7715">
        <f>SUM(L33:V33)</f>
        <v>0</v>
      </c>
      <c r="L33" s="7039"/>
      <c r="M33" s="7039"/>
      <c r="N33" s="7039"/>
      <c r="O33" s="7039"/>
      <c r="P33" s="7039"/>
      <c r="Q33" s="7039"/>
      <c r="R33" s="7039"/>
      <c r="S33" s="7039"/>
      <c r="T33" s="7039"/>
      <c r="U33" s="7039"/>
      <c r="V33" s="7556"/>
      <c r="W33" s="7715">
        <f>SUM(X33:AC33)</f>
        <v>0</v>
      </c>
      <c r="X33" s="7039"/>
      <c r="Y33" s="7039"/>
      <c r="Z33" s="7039"/>
      <c r="AA33" s="7039"/>
      <c r="AB33" s="7039"/>
      <c r="AC33" s="7556"/>
      <c r="AD33" s="7715">
        <f>SUM(AE33:AJ33)</f>
        <v>0</v>
      </c>
      <c r="AE33" s="7039"/>
      <c r="AF33" s="7039"/>
      <c r="AG33" s="7039"/>
      <c r="AH33" s="7039"/>
      <c r="AI33" s="7039"/>
      <c r="AJ33" s="7556"/>
      <c r="AK33" s="7715">
        <f>SUM(AL33:AQ33)</f>
        <v>0</v>
      </c>
      <c r="AL33" s="7039"/>
      <c r="AM33" s="7039"/>
      <c r="AN33" s="7039"/>
      <c r="AO33" s="7039"/>
      <c r="AP33" s="7039"/>
      <c r="AQ33" s="7556"/>
      <c r="AR33" s="7715">
        <f>SUM(AS33:AX33)</f>
        <v>0</v>
      </c>
      <c r="AS33" s="7039"/>
      <c r="AT33" s="7039"/>
      <c r="AU33" s="7039"/>
      <c r="AV33" s="7039"/>
      <c r="AW33" s="7039"/>
      <c r="AX33" s="7556"/>
      <c r="AY33" s="7715">
        <f>SUM(AZ33:BE33)</f>
        <v>0</v>
      </c>
      <c r="AZ33" s="7039"/>
      <c r="BA33" s="7039"/>
      <c r="BB33" s="7039"/>
      <c r="BC33" s="7039"/>
      <c r="BD33" s="7039"/>
      <c r="BE33" s="7556"/>
      <c r="BF33" s="7715">
        <f>SUM(BG33:BL33)</f>
        <v>0</v>
      </c>
      <c r="BG33" s="7039"/>
      <c r="BH33" s="7039"/>
      <c r="BI33" s="7039"/>
      <c r="BJ33" s="7039"/>
      <c r="BK33" s="7039"/>
      <c r="BL33" s="7556"/>
      <c r="BM33" s="7715">
        <f>SUM(BN33:BS33)</f>
        <v>0</v>
      </c>
      <c r="BN33" s="7039"/>
      <c r="BO33" s="7039"/>
      <c r="BP33" s="7039"/>
      <c r="BQ33" s="7039"/>
      <c r="BR33" s="7039"/>
      <c r="BS33" s="7556"/>
      <c r="BT33" s="7715">
        <f>SUM(BU33:BZ33)</f>
        <v>0</v>
      </c>
      <c r="BU33" s="7039"/>
      <c r="BV33" s="7039"/>
      <c r="BW33" s="7039"/>
      <c r="BX33" s="7039"/>
      <c r="BY33" s="7039"/>
      <c r="BZ33" s="7556"/>
      <c r="CA33" s="7715">
        <f>SUM(CB33:CG33)</f>
        <v>0</v>
      </c>
      <c r="CB33" s="7039"/>
      <c r="CC33" s="7039"/>
      <c r="CD33" s="7039"/>
      <c r="CE33" s="7039"/>
      <c r="CF33" s="7039"/>
      <c r="CG33" s="7556"/>
      <c r="CH33" s="7715">
        <f>SUM(CI33:CN33)</f>
        <v>0</v>
      </c>
      <c r="CI33" s="7039"/>
      <c r="CJ33" s="7039"/>
      <c r="CK33" s="7039"/>
      <c r="CL33" s="7039"/>
      <c r="CM33" s="7039"/>
      <c r="CN33" s="7556"/>
      <c r="CO33" s="7715">
        <f>SUM(CP33:CU33)</f>
        <v>0</v>
      </c>
      <c r="CP33" s="7039"/>
      <c r="CQ33" s="7039"/>
      <c r="CR33" s="7039"/>
      <c r="CS33" s="7039"/>
      <c r="CT33" s="7039"/>
      <c r="CU33" s="7556"/>
      <c r="CV33" s="7715">
        <f>SUM(CW33:DB33)</f>
        <v>0</v>
      </c>
      <c r="CW33" s="7039"/>
      <c r="CX33" s="7039"/>
      <c r="CY33" s="7039"/>
      <c r="CZ33" s="7039"/>
      <c r="DA33" s="7039"/>
      <c r="DB33" s="7556"/>
      <c r="DC33" s="7715">
        <f>SUM(DD33:DI33)</f>
        <v>0</v>
      </c>
      <c r="DD33" s="7039"/>
      <c r="DE33" s="7039"/>
      <c r="DF33" s="7039"/>
      <c r="DG33" s="7039"/>
      <c r="DH33" s="7039"/>
      <c r="DI33" s="7556"/>
      <c r="DJ33" s="7715">
        <f>SUM(DK33:DP33)</f>
        <v>0</v>
      </c>
      <c r="DK33" s="7039"/>
      <c r="DL33" s="7039"/>
      <c r="DM33" s="7039"/>
      <c r="DN33" s="7039"/>
      <c r="DO33" s="7039"/>
      <c r="DP33" s="7556"/>
      <c r="DQ33" s="7715">
        <f>SUM(DR33:EB33)</f>
        <v>0</v>
      </c>
      <c r="DR33" s="7039"/>
      <c r="DS33" s="7039"/>
      <c r="DT33" s="7039"/>
      <c r="DU33" s="7039"/>
      <c r="DV33" s="7039"/>
      <c r="DW33" s="7039"/>
      <c r="DX33" s="7039"/>
      <c r="DY33" s="7039"/>
      <c r="DZ33" s="7039"/>
      <c r="EA33" s="7039"/>
      <c r="EB33" s="7556"/>
      <c r="EC33" s="1358"/>
      <c r="EO33" s="1279">
        <v>46</v>
      </c>
    </row>
    <row customHeight="1" ht="11.549999999999999">
      <c r="F34" s="1354" t="s">
        <v>444</v>
      </c>
      <c r="G34" s="1361" t="s">
        <v>1477</v>
      </c>
      <c r="H34" s="1360">
        <f>SUM(I34:J34)</f>
        <v>0</v>
      </c>
      <c r="I34" s="1359"/>
      <c r="J34" s="1349"/>
      <c r="K34" s="7715">
        <f>SUM(L34:V34)</f>
        <v>0</v>
      </c>
      <c r="L34" s="7039"/>
      <c r="M34" s="7039"/>
      <c r="N34" s="7039"/>
      <c r="O34" s="7039"/>
      <c r="P34" s="7039"/>
      <c r="Q34" s="7039"/>
      <c r="R34" s="7039"/>
      <c r="S34" s="7039"/>
      <c r="T34" s="7039"/>
      <c r="U34" s="7039"/>
      <c r="V34" s="7556"/>
      <c r="W34" s="7715">
        <f>SUM(X34:AC34)</f>
        <v>0</v>
      </c>
      <c r="X34" s="7039"/>
      <c r="Y34" s="7039"/>
      <c r="Z34" s="7039"/>
      <c r="AA34" s="7039"/>
      <c r="AB34" s="7039"/>
      <c r="AC34" s="7556"/>
      <c r="AD34" s="7715">
        <f>SUM(AE34:AJ34)</f>
        <v>0</v>
      </c>
      <c r="AE34" s="7039"/>
      <c r="AF34" s="7039"/>
      <c r="AG34" s="7039"/>
      <c r="AH34" s="7039"/>
      <c r="AI34" s="7039"/>
      <c r="AJ34" s="7556"/>
      <c r="AK34" s="7715">
        <f>SUM(AL34:AQ34)</f>
        <v>0</v>
      </c>
      <c r="AL34" s="7039"/>
      <c r="AM34" s="7039"/>
      <c r="AN34" s="7039"/>
      <c r="AO34" s="7039"/>
      <c r="AP34" s="7039"/>
      <c r="AQ34" s="7556"/>
      <c r="AR34" s="7715">
        <f>SUM(AS34:AX34)</f>
        <v>0</v>
      </c>
      <c r="AS34" s="7039"/>
      <c r="AT34" s="7039"/>
      <c r="AU34" s="7039"/>
      <c r="AV34" s="7039"/>
      <c r="AW34" s="7039"/>
      <c r="AX34" s="7556"/>
      <c r="AY34" s="7715">
        <f>SUM(AZ34:BE34)</f>
        <v>0</v>
      </c>
      <c r="AZ34" s="7039"/>
      <c r="BA34" s="7039"/>
      <c r="BB34" s="7039"/>
      <c r="BC34" s="7039"/>
      <c r="BD34" s="7039"/>
      <c r="BE34" s="7556"/>
      <c r="BF34" s="7715">
        <f>SUM(BG34:BL34)</f>
        <v>0</v>
      </c>
      <c r="BG34" s="7039"/>
      <c r="BH34" s="7039"/>
      <c r="BI34" s="7039"/>
      <c r="BJ34" s="7039"/>
      <c r="BK34" s="7039"/>
      <c r="BL34" s="7556"/>
      <c r="BM34" s="7715">
        <f>SUM(BN34:BS34)</f>
        <v>0</v>
      </c>
      <c r="BN34" s="7039"/>
      <c r="BO34" s="7039"/>
      <c r="BP34" s="7039"/>
      <c r="BQ34" s="7039"/>
      <c r="BR34" s="7039"/>
      <c r="BS34" s="7556"/>
      <c r="BT34" s="7715">
        <f>SUM(BU34:BZ34)</f>
        <v>0</v>
      </c>
      <c r="BU34" s="7039"/>
      <c r="BV34" s="7039"/>
      <c r="BW34" s="7039"/>
      <c r="BX34" s="7039"/>
      <c r="BY34" s="7039"/>
      <c r="BZ34" s="7556"/>
      <c r="CA34" s="7715">
        <f>SUM(CB34:CG34)</f>
        <v>0</v>
      </c>
      <c r="CB34" s="7039"/>
      <c r="CC34" s="7039"/>
      <c r="CD34" s="7039"/>
      <c r="CE34" s="7039"/>
      <c r="CF34" s="7039"/>
      <c r="CG34" s="7556"/>
      <c r="CH34" s="7715">
        <f>SUM(CI34:CN34)</f>
        <v>0</v>
      </c>
      <c r="CI34" s="7039"/>
      <c r="CJ34" s="7039"/>
      <c r="CK34" s="7039"/>
      <c r="CL34" s="7039"/>
      <c r="CM34" s="7039"/>
      <c r="CN34" s="7556"/>
      <c r="CO34" s="7715">
        <f>SUM(CP34:CU34)</f>
        <v>0</v>
      </c>
      <c r="CP34" s="7039"/>
      <c r="CQ34" s="7039"/>
      <c r="CR34" s="7039"/>
      <c r="CS34" s="7039"/>
      <c r="CT34" s="7039"/>
      <c r="CU34" s="7556"/>
      <c r="CV34" s="7715">
        <f>SUM(CW34:DB34)</f>
        <v>0</v>
      </c>
      <c r="CW34" s="7039"/>
      <c r="CX34" s="7039"/>
      <c r="CY34" s="7039"/>
      <c r="CZ34" s="7039"/>
      <c r="DA34" s="7039"/>
      <c r="DB34" s="7556"/>
      <c r="DC34" s="7715">
        <f>SUM(DD34:DI34)</f>
        <v>0</v>
      </c>
      <c r="DD34" s="7039"/>
      <c r="DE34" s="7039"/>
      <c r="DF34" s="7039"/>
      <c r="DG34" s="7039"/>
      <c r="DH34" s="7039"/>
      <c r="DI34" s="7556"/>
      <c r="DJ34" s="7715">
        <f>SUM(DK34:DP34)</f>
        <v>0</v>
      </c>
      <c r="DK34" s="7039"/>
      <c r="DL34" s="7039"/>
      <c r="DM34" s="7039"/>
      <c r="DN34" s="7039"/>
      <c r="DO34" s="7039"/>
      <c r="DP34" s="7556"/>
      <c r="DQ34" s="7715">
        <f>SUM(DR34:EB34)</f>
        <v>0</v>
      </c>
      <c r="DR34" s="7039"/>
      <c r="DS34" s="7039"/>
      <c r="DT34" s="7039"/>
      <c r="DU34" s="7039"/>
      <c r="DV34" s="7039"/>
      <c r="DW34" s="7039"/>
      <c r="DX34" s="7039"/>
      <c r="DY34" s="7039"/>
      <c r="DZ34" s="7039"/>
      <c r="EA34" s="7039"/>
      <c r="EB34" s="7556"/>
      <c r="EC34" s="1358"/>
      <c r="EO34" s="1279">
        <v>11</v>
      </c>
    </row>
    <row customHeight="1" ht="11.549999999999999">
      <c r="F35" s="1354">
        <v>4</v>
      </c>
      <c r="G35" s="814" t="s">
        <v>1478</v>
      </c>
      <c r="H35" s="1360">
        <f>SUM(I35:J35)</f>
        <v>0</v>
      </c>
      <c r="I35" s="1359"/>
      <c r="J35" s="1349"/>
      <c r="K35" s="7715">
        <f>SUM(L35:V35)</f>
        <v>0</v>
      </c>
      <c r="L35" s="7039"/>
      <c r="M35" s="7039"/>
      <c r="N35" s="7039"/>
      <c r="O35" s="7039"/>
      <c r="P35" s="7039"/>
      <c r="Q35" s="7039"/>
      <c r="R35" s="7039"/>
      <c r="S35" s="7039"/>
      <c r="T35" s="7039"/>
      <c r="U35" s="7039"/>
      <c r="V35" s="7556"/>
      <c r="W35" s="7715">
        <f>SUM(X35:AC35)</f>
        <v>0</v>
      </c>
      <c r="X35" s="7039"/>
      <c r="Y35" s="7039"/>
      <c r="Z35" s="7039"/>
      <c r="AA35" s="7039"/>
      <c r="AB35" s="7039"/>
      <c r="AC35" s="7556"/>
      <c r="AD35" s="7715">
        <f>SUM(AE35:AJ35)</f>
        <v>0</v>
      </c>
      <c r="AE35" s="7039"/>
      <c r="AF35" s="7039"/>
      <c r="AG35" s="7039"/>
      <c r="AH35" s="7039"/>
      <c r="AI35" s="7039"/>
      <c r="AJ35" s="7556"/>
      <c r="AK35" s="7715">
        <f>SUM(AL35:AQ35)</f>
        <v>0</v>
      </c>
      <c r="AL35" s="7039"/>
      <c r="AM35" s="7039"/>
      <c r="AN35" s="7039"/>
      <c r="AO35" s="7039"/>
      <c r="AP35" s="7039"/>
      <c r="AQ35" s="7556"/>
      <c r="AR35" s="7715">
        <f>SUM(AS35:AX35)</f>
        <v>0</v>
      </c>
      <c r="AS35" s="7039"/>
      <c r="AT35" s="7039"/>
      <c r="AU35" s="7039"/>
      <c r="AV35" s="7039"/>
      <c r="AW35" s="7039"/>
      <c r="AX35" s="7556"/>
      <c r="AY35" s="7715">
        <f>SUM(AZ35:BE35)</f>
        <v>0</v>
      </c>
      <c r="AZ35" s="7039"/>
      <c r="BA35" s="7039"/>
      <c r="BB35" s="7039"/>
      <c r="BC35" s="7039"/>
      <c r="BD35" s="7039"/>
      <c r="BE35" s="7556"/>
      <c r="BF35" s="7715">
        <f>SUM(BG35:BL35)</f>
        <v>0</v>
      </c>
      <c r="BG35" s="7039"/>
      <c r="BH35" s="7039"/>
      <c r="BI35" s="7039"/>
      <c r="BJ35" s="7039"/>
      <c r="BK35" s="7039"/>
      <c r="BL35" s="7556"/>
      <c r="BM35" s="7715">
        <f>SUM(BN35:BS35)</f>
        <v>0</v>
      </c>
      <c r="BN35" s="7039"/>
      <c r="BO35" s="7039"/>
      <c r="BP35" s="7039"/>
      <c r="BQ35" s="7039"/>
      <c r="BR35" s="7039"/>
      <c r="BS35" s="7556"/>
      <c r="BT35" s="7715">
        <f>SUM(BU35:BZ35)</f>
        <v>0</v>
      </c>
      <c r="BU35" s="7039"/>
      <c r="BV35" s="7039"/>
      <c r="BW35" s="7039"/>
      <c r="BX35" s="7039"/>
      <c r="BY35" s="7039"/>
      <c r="BZ35" s="7556"/>
      <c r="CA35" s="7715">
        <f>SUM(CB35:CG35)</f>
        <v>0</v>
      </c>
      <c r="CB35" s="7039"/>
      <c r="CC35" s="7039"/>
      <c r="CD35" s="7039"/>
      <c r="CE35" s="7039"/>
      <c r="CF35" s="7039"/>
      <c r="CG35" s="7556"/>
      <c r="CH35" s="7715">
        <f>SUM(CI35:CN35)</f>
        <v>0</v>
      </c>
      <c r="CI35" s="7039"/>
      <c r="CJ35" s="7039"/>
      <c r="CK35" s="7039"/>
      <c r="CL35" s="7039"/>
      <c r="CM35" s="7039"/>
      <c r="CN35" s="7556"/>
      <c r="CO35" s="7715">
        <f>SUM(CP35:CU35)</f>
        <v>0</v>
      </c>
      <c r="CP35" s="7039"/>
      <c r="CQ35" s="7039"/>
      <c r="CR35" s="7039"/>
      <c r="CS35" s="7039"/>
      <c r="CT35" s="7039"/>
      <c r="CU35" s="7556"/>
      <c r="CV35" s="7715">
        <f>SUM(CW35:DB35)</f>
        <v>0</v>
      </c>
      <c r="CW35" s="7039"/>
      <c r="CX35" s="7039"/>
      <c r="CY35" s="7039"/>
      <c r="CZ35" s="7039"/>
      <c r="DA35" s="7039"/>
      <c r="DB35" s="7556"/>
      <c r="DC35" s="7715">
        <f>SUM(DD35:DI35)</f>
        <v>0</v>
      </c>
      <c r="DD35" s="7039"/>
      <c r="DE35" s="7039"/>
      <c r="DF35" s="7039"/>
      <c r="DG35" s="7039"/>
      <c r="DH35" s="7039"/>
      <c r="DI35" s="7556"/>
      <c r="DJ35" s="7715">
        <f>SUM(DK35:DP35)</f>
        <v>0</v>
      </c>
      <c r="DK35" s="7039"/>
      <c r="DL35" s="7039"/>
      <c r="DM35" s="7039"/>
      <c r="DN35" s="7039"/>
      <c r="DO35" s="7039"/>
      <c r="DP35" s="7556"/>
      <c r="DQ35" s="7715">
        <f>SUM(DR35:EB35)</f>
        <v>0</v>
      </c>
      <c r="DR35" s="7039"/>
      <c r="DS35" s="7039"/>
      <c r="DT35" s="7039"/>
      <c r="DU35" s="7039"/>
      <c r="DV35" s="7039"/>
      <c r="DW35" s="7039"/>
      <c r="DX35" s="7039"/>
      <c r="DY35" s="7039"/>
      <c r="DZ35" s="7039"/>
      <c r="EA35" s="7039"/>
      <c r="EB35" s="7556"/>
      <c r="EC35" s="1358"/>
      <c r="EO35" s="1279">
        <v>11</v>
      </c>
    </row>
    <row customHeight="1" ht="11.549999999999999">
      <c r="F36" s="1354"/>
      <c r="G36" s="817" t="s">
        <v>1479</v>
      </c>
      <c r="H36" s="1360">
        <f>SUM(I36:J36)</f>
        <v>0</v>
      </c>
      <c r="I36" s="1360">
        <f>SUM(I15,I28,I32,I35)</f>
        <v>0</v>
      </c>
      <c r="J36" s="1349"/>
      <c r="K36" s="7715">
        <f>SUM(L36:V36)</f>
        <v>0</v>
      </c>
      <c r="L36" s="7715">
        <f>SUM(L15,L28,L32,L35)</f>
        <v>0</v>
      </c>
      <c r="M36" s="7715">
        <f>SUM(M15,M28,M32,M35)</f>
        <v>0</v>
      </c>
      <c r="N36" s="7715">
        <f>SUM(N15,N28,N32,N35)</f>
        <v>0</v>
      </c>
      <c r="O36" s="7715">
        <f>SUM(O15,O28,O32,O35)</f>
        <v>0</v>
      </c>
      <c r="P36" s="7715">
        <f>SUM(P15,P28,P32,P35)</f>
        <v>0</v>
      </c>
      <c r="Q36" s="7715">
        <f>SUM(Q15,Q28,Q32,Q35)</f>
        <v>0</v>
      </c>
      <c r="R36" s="7715">
        <f>SUM(R15,R28,R32,R35)</f>
        <v>0</v>
      </c>
      <c r="S36" s="7715">
        <f>SUM(S15,S28,S32,S35)</f>
        <v>0</v>
      </c>
      <c r="T36" s="7715">
        <f>SUM(T15,T28,T32,T35)</f>
        <v>0</v>
      </c>
      <c r="U36" s="7715">
        <f>SUM(U15,U28,U32,U35)</f>
        <v>0</v>
      </c>
      <c r="V36" s="7556"/>
      <c r="W36" s="7715">
        <f>SUM(X36:AC36)</f>
        <v>0</v>
      </c>
      <c r="X36" s="7715">
        <f>SUM(X15,X28,X32,X35)</f>
        <v>0</v>
      </c>
      <c r="Y36" s="7715">
        <f>SUM(Y15,Y28,Y32,Y35)</f>
        <v>0</v>
      </c>
      <c r="Z36" s="7715">
        <f>SUM(Z15,Z28,Z32,Z35)</f>
        <v>0</v>
      </c>
      <c r="AA36" s="7715">
        <f>SUM(AA15,AA28,AA32,AA35)</f>
        <v>0</v>
      </c>
      <c r="AB36" s="7715">
        <f>SUM(AB15,AB28,AB32,AB35)</f>
        <v>0</v>
      </c>
      <c r="AC36" s="7556"/>
      <c r="AD36" s="7715">
        <f>SUM(AE36:AJ36)</f>
        <v>0</v>
      </c>
      <c r="AE36" s="7715">
        <f>SUM(AE15,AE28,AE32,AE35)</f>
        <v>0</v>
      </c>
      <c r="AF36" s="7715">
        <f>SUM(AF15,AF28,AF32,AF35)</f>
        <v>0</v>
      </c>
      <c r="AG36" s="7715">
        <f>SUM(AG15,AG28,AG32,AG35)</f>
        <v>0</v>
      </c>
      <c r="AH36" s="7715">
        <f>SUM(AH15,AH28,AH32,AH35)</f>
        <v>0</v>
      </c>
      <c r="AI36" s="7715">
        <f>SUM(AI15,AI28,AI32,AI35)</f>
        <v>0</v>
      </c>
      <c r="AJ36" s="7556"/>
      <c r="AK36" s="7715">
        <f>SUM(AL36:AQ36)</f>
        <v>0</v>
      </c>
      <c r="AL36" s="7715">
        <f>SUM(AL15,AL28,AL32,AL35)</f>
        <v>0</v>
      </c>
      <c r="AM36" s="7715">
        <f>SUM(AM15,AM28,AM32,AM35)</f>
        <v>0</v>
      </c>
      <c r="AN36" s="7715">
        <f>SUM(AN15,AN28,AN32,AN35)</f>
        <v>0</v>
      </c>
      <c r="AO36" s="7715">
        <f>SUM(AO15,AO28,AO32,AO35)</f>
        <v>0</v>
      </c>
      <c r="AP36" s="7715">
        <f>SUM(AP15,AP28,AP32,AP35)</f>
        <v>0</v>
      </c>
      <c r="AQ36" s="7556"/>
      <c r="AR36" s="7715">
        <f>SUM(AS36:AX36)</f>
        <v>0</v>
      </c>
      <c r="AS36" s="7715">
        <f>SUM(AS15,AS28,AS32,AS35)</f>
        <v>0</v>
      </c>
      <c r="AT36" s="7715">
        <f>SUM(AT15,AT28,AT32,AT35)</f>
        <v>0</v>
      </c>
      <c r="AU36" s="7715">
        <f>SUM(AU15,AU28,AU32,AU35)</f>
        <v>0</v>
      </c>
      <c r="AV36" s="7715">
        <f>SUM(AV15,AV28,AV32,AV35)</f>
        <v>0</v>
      </c>
      <c r="AW36" s="7715">
        <f>SUM(AW15,AW28,AW32,AW35)</f>
        <v>0</v>
      </c>
      <c r="AX36" s="7556"/>
      <c r="AY36" s="7715">
        <f>SUM(AZ36:BE36)</f>
        <v>0</v>
      </c>
      <c r="AZ36" s="7715">
        <f>SUM(AZ15,AZ28,AZ32,AZ35)</f>
        <v>0</v>
      </c>
      <c r="BA36" s="7715">
        <f>SUM(BA15,BA28,BA32,BA35)</f>
        <v>0</v>
      </c>
      <c r="BB36" s="7715">
        <f>SUM(BB15,BB28,BB32,BB35)</f>
        <v>0</v>
      </c>
      <c r="BC36" s="7715">
        <f>SUM(BC15,BC28,BC32,BC35)</f>
        <v>0</v>
      </c>
      <c r="BD36" s="7715">
        <f>SUM(BD15,BD28,BD32,BD35)</f>
        <v>0</v>
      </c>
      <c r="BE36" s="7556"/>
      <c r="BF36" s="7715">
        <f>SUM(BG36:BL36)</f>
        <v>0</v>
      </c>
      <c r="BG36" s="7715">
        <f>SUM(BG15,BG28,BG32,BG35)</f>
        <v>0</v>
      </c>
      <c r="BH36" s="7715">
        <f>SUM(BH15,BH28,BH32,BH35)</f>
        <v>0</v>
      </c>
      <c r="BI36" s="7715">
        <f>SUM(BI15,BI28,BI32,BI35)</f>
        <v>0</v>
      </c>
      <c r="BJ36" s="7715">
        <f>SUM(BJ15,BJ28,BJ32,BJ35)</f>
        <v>0</v>
      </c>
      <c r="BK36" s="7715">
        <f>SUM(BK15,BK28,BK32,BK35)</f>
        <v>0</v>
      </c>
      <c r="BL36" s="7556"/>
      <c r="BM36" s="7715">
        <f>SUM(BN36:BS36)</f>
        <v>0</v>
      </c>
      <c r="BN36" s="7715">
        <f>SUM(BN15,BN28,BN32,BN35)</f>
        <v>0</v>
      </c>
      <c r="BO36" s="7715">
        <f>SUM(BO15,BO28,BO32,BO35)</f>
        <v>0</v>
      </c>
      <c r="BP36" s="7715">
        <f>SUM(BP15,BP28,BP32,BP35)</f>
        <v>0</v>
      </c>
      <c r="BQ36" s="7715">
        <f>SUM(BQ15,BQ28,BQ32,BQ35)</f>
        <v>0</v>
      </c>
      <c r="BR36" s="7715">
        <f>SUM(BR15,BR28,BR32,BR35)</f>
        <v>0</v>
      </c>
      <c r="BS36" s="7556"/>
      <c r="BT36" s="7715">
        <f>SUM(BU36:BZ36)</f>
        <v>0</v>
      </c>
      <c r="BU36" s="7715">
        <f>SUM(BU15,BU28,BU32,BU35)</f>
        <v>0</v>
      </c>
      <c r="BV36" s="7715">
        <f>SUM(BV15,BV28,BV32,BV35)</f>
        <v>0</v>
      </c>
      <c r="BW36" s="7715">
        <f>SUM(BW15,BW28,BW32,BW35)</f>
        <v>0</v>
      </c>
      <c r="BX36" s="7715">
        <f>SUM(BX15,BX28,BX32,BX35)</f>
        <v>0</v>
      </c>
      <c r="BY36" s="7715">
        <f>SUM(BY15,BY28,BY32,BY35)</f>
        <v>0</v>
      </c>
      <c r="BZ36" s="7556"/>
      <c r="CA36" s="7715">
        <f>SUM(CB36:CG36)</f>
        <v>0</v>
      </c>
      <c r="CB36" s="7715">
        <f>SUM(CB15,CB28,CB32,CB35)</f>
        <v>0</v>
      </c>
      <c r="CC36" s="7715">
        <f>SUM(CC15,CC28,CC32,CC35)</f>
        <v>0</v>
      </c>
      <c r="CD36" s="7715">
        <f>SUM(CD15,CD28,CD32,CD35)</f>
        <v>0</v>
      </c>
      <c r="CE36" s="7715">
        <f>SUM(CE15,CE28,CE32,CE35)</f>
        <v>0</v>
      </c>
      <c r="CF36" s="7715">
        <f>SUM(CF15,CF28,CF32,CF35)</f>
        <v>0</v>
      </c>
      <c r="CG36" s="7556"/>
      <c r="CH36" s="7715">
        <f>SUM(CI36:CN36)</f>
        <v>0</v>
      </c>
      <c r="CI36" s="7715">
        <f>SUM(CI15,CI28,CI32,CI35)</f>
        <v>0</v>
      </c>
      <c r="CJ36" s="7715">
        <f>SUM(CJ15,CJ28,CJ32,CJ35)</f>
        <v>0</v>
      </c>
      <c r="CK36" s="7715">
        <f>SUM(CK15,CK28,CK32,CK35)</f>
        <v>0</v>
      </c>
      <c r="CL36" s="7715">
        <f>SUM(CL15,CL28,CL32,CL35)</f>
        <v>0</v>
      </c>
      <c r="CM36" s="7715">
        <f>SUM(CM15,CM28,CM32,CM35)</f>
        <v>0</v>
      </c>
      <c r="CN36" s="7556"/>
      <c r="CO36" s="7715">
        <f>SUM(CP36:CU36)</f>
        <v>0</v>
      </c>
      <c r="CP36" s="7715">
        <f>SUM(CP15,CP28,CP32,CP35)</f>
        <v>0</v>
      </c>
      <c r="CQ36" s="7715">
        <f>SUM(CQ15,CQ28,CQ32,CQ35)</f>
        <v>0</v>
      </c>
      <c r="CR36" s="7715">
        <f>SUM(CR15,CR28,CR32,CR35)</f>
        <v>0</v>
      </c>
      <c r="CS36" s="7715">
        <f>SUM(CS15,CS28,CS32,CS35)</f>
        <v>0</v>
      </c>
      <c r="CT36" s="7715">
        <f>SUM(CT15,CT28,CT32,CT35)</f>
        <v>0</v>
      </c>
      <c r="CU36" s="7556"/>
      <c r="CV36" s="7715">
        <f>SUM(CW36:DB36)</f>
        <v>0</v>
      </c>
      <c r="CW36" s="7715">
        <f>SUM(CW15,CW28,CW32,CW35)</f>
        <v>0</v>
      </c>
      <c r="CX36" s="7715">
        <f>SUM(CX15,CX28,CX32,CX35)</f>
        <v>0</v>
      </c>
      <c r="CY36" s="7715">
        <f>SUM(CY15,CY28,CY32,CY35)</f>
        <v>0</v>
      </c>
      <c r="CZ36" s="7715">
        <f>SUM(CZ15,CZ28,CZ32,CZ35)</f>
        <v>0</v>
      </c>
      <c r="DA36" s="7715">
        <f>SUM(DA15,DA28,DA32,DA35)</f>
        <v>0</v>
      </c>
      <c r="DB36" s="7556"/>
      <c r="DC36" s="7715">
        <f>SUM(DD36:DI36)</f>
        <v>0</v>
      </c>
      <c r="DD36" s="7715">
        <f>SUM(DD15,DD28,DD32,DD35)</f>
        <v>0</v>
      </c>
      <c r="DE36" s="7715">
        <f>SUM(DE15,DE28,DE32,DE35)</f>
        <v>0</v>
      </c>
      <c r="DF36" s="7715">
        <f>SUM(DF15,DF28,DF32,DF35)</f>
        <v>0</v>
      </c>
      <c r="DG36" s="7715">
        <f>SUM(DG15,DG28,DG32,DG35)</f>
        <v>0</v>
      </c>
      <c r="DH36" s="7715">
        <f>SUM(DH15,DH28,DH32,DH35)</f>
        <v>0</v>
      </c>
      <c r="DI36" s="7556"/>
      <c r="DJ36" s="7715">
        <f>SUM(DK36:DP36)</f>
        <v>0</v>
      </c>
      <c r="DK36" s="7715">
        <f>SUM(DK15,DK28,DK32,DK35)</f>
        <v>0</v>
      </c>
      <c r="DL36" s="7715">
        <f>SUM(DL15,DL28,DL32,DL35)</f>
        <v>0</v>
      </c>
      <c r="DM36" s="7715">
        <f>SUM(DM15,DM28,DM32,DM35)</f>
        <v>0</v>
      </c>
      <c r="DN36" s="7715">
        <f>SUM(DN15,DN28,DN32,DN35)</f>
        <v>0</v>
      </c>
      <c r="DO36" s="7715">
        <f>SUM(DO15,DO28,DO32,DO35)</f>
        <v>0</v>
      </c>
      <c r="DP36" s="7556"/>
      <c r="DQ36" s="7715">
        <f>SUM(DR36:EB36)</f>
        <v>0</v>
      </c>
      <c r="DR36" s="7715">
        <f>SUM(DR15,DR28,DR32,DR35)</f>
        <v>0</v>
      </c>
      <c r="DS36" s="7715">
        <f>SUM(DS15,DS28,DS32,DS35)</f>
        <v>0</v>
      </c>
      <c r="DT36" s="7715">
        <f>SUM(DT15,DT28,DT32,DT35)</f>
        <v>0</v>
      </c>
      <c r="DU36" s="7715">
        <f>SUM(DU15,DU28,DU32,DU35)</f>
        <v>0</v>
      </c>
      <c r="DV36" s="7715">
        <f>SUM(DV15,DV28,DV32,DV35)</f>
        <v>0</v>
      </c>
      <c r="DW36" s="7715">
        <f>SUM(DW15,DW28,DW32,DW35)</f>
        <v>0</v>
      </c>
      <c r="DX36" s="7715">
        <f>SUM(DX15,DX28,DX32,DX35)</f>
        <v>0</v>
      </c>
      <c r="DY36" s="7715">
        <f>SUM(DY15,DY28,DY32,DY35)</f>
        <v>0</v>
      </c>
      <c r="DZ36" s="7715">
        <f>SUM(DZ15,DZ28,DZ32,DZ35)</f>
        <v>0</v>
      </c>
      <c r="EA36" s="7715">
        <f>SUM(EA15,EA28,EA32,EA35)</f>
        <v>0</v>
      </c>
      <c r="EB36" s="7556"/>
      <c r="EC36" s="1358"/>
      <c r="EO36" s="1279">
        <v>11</v>
      </c>
    </row>
    <row customHeight="1" ht="29.25">
      <c r="F37" s="1355" t="s">
        <v>1480</v>
      </c>
      <c r="G37" s="2559" t="s">
        <v>1481</v>
      </c>
      <c r="H37" s="2559"/>
      <c r="I37" s="2559"/>
      <c r="J37" s="2559"/>
      <c r="K37" s="7960"/>
      <c r="L37" s="7960"/>
      <c r="M37" s="7960"/>
      <c r="N37" s="7960"/>
      <c r="O37" s="7960"/>
      <c r="P37" s="7960"/>
      <c r="Q37" s="7960"/>
      <c r="R37" s="7960"/>
      <c r="S37" s="7960"/>
      <c r="T37" s="7960"/>
      <c r="U37" s="7960"/>
      <c r="V37" s="7960"/>
      <c r="W37" s="7960"/>
      <c r="X37" s="7960"/>
      <c r="Y37" s="7960"/>
      <c r="Z37" s="7960"/>
      <c r="AA37" s="7960"/>
      <c r="AB37" s="7960"/>
      <c r="AC37" s="7960"/>
      <c r="AD37" s="7960"/>
      <c r="AE37" s="7960"/>
      <c r="AF37" s="7960"/>
      <c r="AG37" s="7960"/>
      <c r="AH37" s="7960"/>
      <c r="AI37" s="7960"/>
      <c r="AJ37" s="7960"/>
      <c r="AK37" s="7960"/>
      <c r="AL37" s="7960"/>
      <c r="AM37" s="7960"/>
      <c r="AN37" s="7960"/>
      <c r="AO37" s="7960"/>
      <c r="AP37" s="7960"/>
      <c r="AQ37" s="7960"/>
      <c r="AR37" s="7960"/>
      <c r="AS37" s="7960"/>
      <c r="AT37" s="7960"/>
      <c r="AU37" s="7960"/>
      <c r="AV37" s="7960"/>
      <c r="AW37" s="7960"/>
      <c r="AX37" s="7960"/>
      <c r="AY37" s="7960"/>
      <c r="AZ37" s="7960"/>
      <c r="BA37" s="7960"/>
      <c r="BB37" s="7960"/>
      <c r="BC37" s="7960"/>
      <c r="BD37" s="7960"/>
      <c r="BE37" s="7960"/>
      <c r="BF37" s="7960"/>
      <c r="BG37" s="7960"/>
      <c r="BH37" s="7960"/>
      <c r="BI37" s="7960"/>
      <c r="BJ37" s="7960"/>
      <c r="BK37" s="7960"/>
      <c r="BL37" s="7960"/>
      <c r="BM37" s="7960"/>
      <c r="BN37" s="7960"/>
      <c r="BO37" s="7960"/>
      <c r="BP37" s="7960"/>
      <c r="BQ37" s="7960"/>
      <c r="BR37" s="7960"/>
      <c r="BS37" s="7960"/>
      <c r="BT37" s="7960"/>
      <c r="BU37" s="7960"/>
      <c r="BV37" s="7960"/>
      <c r="BW37" s="7960"/>
      <c r="BX37" s="7960"/>
      <c r="BY37" s="7960"/>
      <c r="BZ37" s="7960"/>
      <c r="CA37" s="7960"/>
      <c r="CB37" s="7960"/>
      <c r="CC37" s="7960"/>
      <c r="CD37" s="7960"/>
      <c r="CE37" s="7960"/>
      <c r="CF37" s="7960"/>
      <c r="CG37" s="7960"/>
      <c r="CH37" s="7960"/>
      <c r="CI37" s="7960"/>
      <c r="CJ37" s="7960"/>
      <c r="CK37" s="7960"/>
      <c r="CL37" s="7960"/>
      <c r="CM37" s="7960"/>
      <c r="CN37" s="7960"/>
      <c r="CO37" s="7960"/>
      <c r="CP37" s="7960"/>
      <c r="CQ37" s="7960"/>
      <c r="CR37" s="7960"/>
      <c r="CS37" s="7960"/>
      <c r="CT37" s="7960"/>
      <c r="CU37" s="7960"/>
      <c r="CV37" s="7960"/>
      <c r="CW37" s="7960"/>
      <c r="CX37" s="7960"/>
      <c r="CY37" s="7960"/>
      <c r="CZ37" s="7960"/>
      <c r="DA37" s="7960"/>
      <c r="DB37" s="7960"/>
      <c r="DC37" s="7960"/>
      <c r="DD37" s="7960"/>
      <c r="DE37" s="7960"/>
      <c r="DF37" s="7960"/>
      <c r="DG37" s="7960"/>
      <c r="DH37" s="7960"/>
      <c r="DI37" s="7960"/>
      <c r="DJ37" s="7960"/>
      <c r="DK37" s="7960"/>
      <c r="DL37" s="7960"/>
      <c r="DM37" s="7960"/>
      <c r="DN37" s="7960"/>
      <c r="DO37" s="7960"/>
      <c r="DP37" s="7960"/>
      <c r="DQ37" s="7960"/>
      <c r="DR37" s="7960"/>
      <c r="DS37" s="7960"/>
      <c r="DT37" s="7960"/>
      <c r="DU37" s="7960"/>
      <c r="DV37" s="7960"/>
      <c r="DW37" s="7960"/>
      <c r="DX37" s="7960"/>
      <c r="DY37" s="7960"/>
      <c r="DZ37" s="7960"/>
      <c r="EA37" s="7960"/>
      <c r="EB37" s="7960"/>
      <c r="EC37" s="1358"/>
      <c r="EO37" s="1279">
        <v>28</v>
      </c>
    </row>
    <row customHeight="1" ht="24">
      <c r="F38" s="1354" t="s">
        <v>210</v>
      </c>
      <c r="G38" s="814" t="s">
        <v>1482</v>
      </c>
      <c r="H38" s="1360">
        <f>SUM(I38:J38)</f>
        <v>0</v>
      </c>
      <c r="I38" s="1360">
        <f>SUM(I39,I44,I47)</f>
        <v>0</v>
      </c>
      <c r="J38" s="1349"/>
      <c r="K38" s="7715">
        <f>SUM(L38:V38)</f>
        <v>0</v>
      </c>
      <c r="L38" s="7715">
        <f>SUM(L39,L44,L47)</f>
        <v>0</v>
      </c>
      <c r="M38" s="7715">
        <f>SUM(M39,M44,M47)</f>
        <v>0</v>
      </c>
      <c r="N38" s="7715">
        <f>SUM(N39,N44,N47)</f>
        <v>0</v>
      </c>
      <c r="O38" s="7715">
        <f>SUM(O39,O44,O47)</f>
        <v>0</v>
      </c>
      <c r="P38" s="7715">
        <f>SUM(P39,P44,P47)</f>
        <v>0</v>
      </c>
      <c r="Q38" s="7715">
        <f>SUM(Q39,Q44,Q47)</f>
        <v>0</v>
      </c>
      <c r="R38" s="7715">
        <f>SUM(R39,R44,R47)</f>
        <v>0</v>
      </c>
      <c r="S38" s="7715">
        <f>SUM(S39,S44,S47)</f>
        <v>0</v>
      </c>
      <c r="T38" s="7715">
        <f>SUM(T39,T44,T47)</f>
        <v>0</v>
      </c>
      <c r="U38" s="7715">
        <f>SUM(U39,U44,U47)</f>
        <v>0</v>
      </c>
      <c r="V38" s="7556"/>
      <c r="W38" s="7715">
        <f>SUM(X38:AC38)</f>
        <v>0</v>
      </c>
      <c r="X38" s="7715">
        <f>SUM(X39,X44,X47)</f>
        <v>0</v>
      </c>
      <c r="Y38" s="7715">
        <f>SUM(Y39,Y44,Y47)</f>
        <v>0</v>
      </c>
      <c r="Z38" s="7715">
        <f>SUM(Z39,Z44,Z47)</f>
        <v>0</v>
      </c>
      <c r="AA38" s="7715">
        <f>SUM(AA39,AA44,AA47)</f>
        <v>0</v>
      </c>
      <c r="AB38" s="7715">
        <f>SUM(AB39,AB44,AB47)</f>
        <v>0</v>
      </c>
      <c r="AC38" s="7556"/>
      <c r="AD38" s="7715">
        <f>SUM(AE38:AJ38)</f>
        <v>0</v>
      </c>
      <c r="AE38" s="7715">
        <f>SUM(AE39,AE44,AE47)</f>
        <v>0</v>
      </c>
      <c r="AF38" s="7715">
        <f>SUM(AF39,AF44,AF47)</f>
        <v>0</v>
      </c>
      <c r="AG38" s="7715">
        <f>SUM(AG39,AG44,AG47)</f>
        <v>0</v>
      </c>
      <c r="AH38" s="7715">
        <f>SUM(AH39,AH44,AH47)</f>
        <v>0</v>
      </c>
      <c r="AI38" s="7715">
        <f>SUM(AI39,AI44,AI47)</f>
        <v>0</v>
      </c>
      <c r="AJ38" s="7556"/>
      <c r="AK38" s="7715">
        <f>SUM(AL38:AQ38)</f>
        <v>0</v>
      </c>
      <c r="AL38" s="7715">
        <f>SUM(AL39,AL44,AL47)</f>
        <v>0</v>
      </c>
      <c r="AM38" s="7715">
        <f>SUM(AM39,AM44,AM47)</f>
        <v>0</v>
      </c>
      <c r="AN38" s="7715">
        <f>SUM(AN39,AN44,AN47)</f>
        <v>0</v>
      </c>
      <c r="AO38" s="7715">
        <f>SUM(AO39,AO44,AO47)</f>
        <v>0</v>
      </c>
      <c r="AP38" s="7715">
        <f>SUM(AP39,AP44,AP47)</f>
        <v>0</v>
      </c>
      <c r="AQ38" s="7556"/>
      <c r="AR38" s="7715">
        <f>SUM(AS38:AX38)</f>
        <v>0</v>
      </c>
      <c r="AS38" s="7715">
        <f>SUM(AS39,AS44,AS47)</f>
        <v>0</v>
      </c>
      <c r="AT38" s="7715">
        <f>SUM(AT39,AT44,AT47)</f>
        <v>0</v>
      </c>
      <c r="AU38" s="7715">
        <f>SUM(AU39,AU44,AU47)</f>
        <v>0</v>
      </c>
      <c r="AV38" s="7715">
        <f>SUM(AV39,AV44,AV47)</f>
        <v>0</v>
      </c>
      <c r="AW38" s="7715">
        <f>SUM(AW39,AW44,AW47)</f>
        <v>0</v>
      </c>
      <c r="AX38" s="7556"/>
      <c r="AY38" s="7715">
        <f>SUM(AZ38:BE38)</f>
        <v>0</v>
      </c>
      <c r="AZ38" s="7715">
        <f>SUM(AZ39,AZ44,AZ47)</f>
        <v>0</v>
      </c>
      <c r="BA38" s="7715">
        <f>SUM(BA39,BA44,BA47)</f>
        <v>0</v>
      </c>
      <c r="BB38" s="7715">
        <f>SUM(BB39,BB44,BB47)</f>
        <v>0</v>
      </c>
      <c r="BC38" s="7715">
        <f>SUM(BC39,BC44,BC47)</f>
        <v>0</v>
      </c>
      <c r="BD38" s="7715">
        <f>SUM(BD39,BD44,BD47)</f>
        <v>0</v>
      </c>
      <c r="BE38" s="7556"/>
      <c r="BF38" s="7715">
        <f>SUM(BG38:BL38)</f>
        <v>0</v>
      </c>
      <c r="BG38" s="7715">
        <f>SUM(BG39,BG44,BG47)</f>
        <v>0</v>
      </c>
      <c r="BH38" s="7715">
        <f>SUM(BH39,BH44,BH47)</f>
        <v>0</v>
      </c>
      <c r="BI38" s="7715">
        <f>SUM(BI39,BI44,BI47)</f>
        <v>0</v>
      </c>
      <c r="BJ38" s="7715">
        <f>SUM(BJ39,BJ44,BJ47)</f>
        <v>0</v>
      </c>
      <c r="BK38" s="7715">
        <f>SUM(BK39,BK44,BK47)</f>
        <v>0</v>
      </c>
      <c r="BL38" s="7556"/>
      <c r="BM38" s="7715">
        <f>SUM(BN38:BS38)</f>
        <v>0</v>
      </c>
      <c r="BN38" s="7715">
        <f>SUM(BN39,BN44,BN47)</f>
        <v>0</v>
      </c>
      <c r="BO38" s="7715">
        <f>SUM(BO39,BO44,BO47)</f>
        <v>0</v>
      </c>
      <c r="BP38" s="7715">
        <f>SUM(BP39,BP44,BP47)</f>
        <v>0</v>
      </c>
      <c r="BQ38" s="7715">
        <f>SUM(BQ39,BQ44,BQ47)</f>
        <v>0</v>
      </c>
      <c r="BR38" s="7715">
        <f>SUM(BR39,BR44,BR47)</f>
        <v>0</v>
      </c>
      <c r="BS38" s="7556"/>
      <c r="BT38" s="7715">
        <f>SUM(BU38:BZ38)</f>
        <v>0</v>
      </c>
      <c r="BU38" s="7715">
        <f>SUM(BU39,BU44,BU47)</f>
        <v>0</v>
      </c>
      <c r="BV38" s="7715">
        <f>SUM(BV39,BV44,BV47)</f>
        <v>0</v>
      </c>
      <c r="BW38" s="7715">
        <f>SUM(BW39,BW44,BW47)</f>
        <v>0</v>
      </c>
      <c r="BX38" s="7715">
        <f>SUM(BX39,BX44,BX47)</f>
        <v>0</v>
      </c>
      <c r="BY38" s="7715">
        <f>SUM(BY39,BY44,BY47)</f>
        <v>0</v>
      </c>
      <c r="BZ38" s="7556"/>
      <c r="CA38" s="7715">
        <f>SUM(CB38:CG38)</f>
        <v>0</v>
      </c>
      <c r="CB38" s="7715">
        <f>SUM(CB39,CB44,CB47)</f>
        <v>0</v>
      </c>
      <c r="CC38" s="7715">
        <f>SUM(CC39,CC44,CC47)</f>
        <v>0</v>
      </c>
      <c r="CD38" s="7715">
        <f>SUM(CD39,CD44,CD47)</f>
        <v>0</v>
      </c>
      <c r="CE38" s="7715">
        <f>SUM(CE39,CE44,CE47)</f>
        <v>0</v>
      </c>
      <c r="CF38" s="7715">
        <f>SUM(CF39,CF44,CF47)</f>
        <v>0</v>
      </c>
      <c r="CG38" s="7556"/>
      <c r="CH38" s="7715">
        <f>SUM(CI38:CN38)</f>
        <v>0</v>
      </c>
      <c r="CI38" s="7715">
        <f>SUM(CI39,CI44,CI47)</f>
        <v>0</v>
      </c>
      <c r="CJ38" s="7715">
        <f>SUM(CJ39,CJ44,CJ47)</f>
        <v>0</v>
      </c>
      <c r="CK38" s="7715">
        <f>SUM(CK39,CK44,CK47)</f>
        <v>0</v>
      </c>
      <c r="CL38" s="7715">
        <f>SUM(CL39,CL44,CL47)</f>
        <v>0</v>
      </c>
      <c r="CM38" s="7715">
        <f>SUM(CM39,CM44,CM47)</f>
        <v>0</v>
      </c>
      <c r="CN38" s="7556"/>
      <c r="CO38" s="7715">
        <f>SUM(CP38:CU38)</f>
        <v>0</v>
      </c>
      <c r="CP38" s="7715">
        <f>SUM(CP39,CP44,CP47)</f>
        <v>0</v>
      </c>
      <c r="CQ38" s="7715">
        <f>SUM(CQ39,CQ44,CQ47)</f>
        <v>0</v>
      </c>
      <c r="CR38" s="7715">
        <f>SUM(CR39,CR44,CR47)</f>
        <v>0</v>
      </c>
      <c r="CS38" s="7715">
        <f>SUM(CS39,CS44,CS47)</f>
        <v>0</v>
      </c>
      <c r="CT38" s="7715">
        <f>SUM(CT39,CT44,CT47)</f>
        <v>0</v>
      </c>
      <c r="CU38" s="7556"/>
      <c r="CV38" s="7715">
        <f>SUM(CW38:DB38)</f>
        <v>0</v>
      </c>
      <c r="CW38" s="7715">
        <f>SUM(CW39,CW44,CW47)</f>
        <v>0</v>
      </c>
      <c r="CX38" s="7715">
        <f>SUM(CX39,CX44,CX47)</f>
        <v>0</v>
      </c>
      <c r="CY38" s="7715">
        <f>SUM(CY39,CY44,CY47)</f>
        <v>0</v>
      </c>
      <c r="CZ38" s="7715">
        <f>SUM(CZ39,CZ44,CZ47)</f>
        <v>0</v>
      </c>
      <c r="DA38" s="7715">
        <f>SUM(DA39,DA44,DA47)</f>
        <v>0</v>
      </c>
      <c r="DB38" s="7556"/>
      <c r="DC38" s="7715">
        <f>SUM(DD38:DI38)</f>
        <v>0</v>
      </c>
      <c r="DD38" s="7715">
        <f>SUM(DD39,DD44,DD47)</f>
        <v>0</v>
      </c>
      <c r="DE38" s="7715">
        <f>SUM(DE39,DE44,DE47)</f>
        <v>0</v>
      </c>
      <c r="DF38" s="7715">
        <f>SUM(DF39,DF44,DF47)</f>
        <v>0</v>
      </c>
      <c r="DG38" s="7715">
        <f>SUM(DG39,DG44,DG47)</f>
        <v>0</v>
      </c>
      <c r="DH38" s="7715">
        <f>SUM(DH39,DH44,DH47)</f>
        <v>0</v>
      </c>
      <c r="DI38" s="7556"/>
      <c r="DJ38" s="7715">
        <f>SUM(DK38:DP38)</f>
        <v>0</v>
      </c>
      <c r="DK38" s="7715">
        <f>SUM(DK39,DK44,DK47)</f>
        <v>0</v>
      </c>
      <c r="DL38" s="7715">
        <f>SUM(DL39,DL44,DL47)</f>
        <v>0</v>
      </c>
      <c r="DM38" s="7715">
        <f>SUM(DM39,DM44,DM47)</f>
        <v>0</v>
      </c>
      <c r="DN38" s="7715">
        <f>SUM(DN39,DN44,DN47)</f>
        <v>0</v>
      </c>
      <c r="DO38" s="7715">
        <f>SUM(DO39,DO44,DO47)</f>
        <v>0</v>
      </c>
      <c r="DP38" s="7556"/>
      <c r="DQ38" s="7715">
        <f>SUM(DR38:EB38)</f>
        <v>0</v>
      </c>
      <c r="DR38" s="7715">
        <f>SUM(DR39,DR44,DR47)</f>
        <v>0</v>
      </c>
      <c r="DS38" s="7715">
        <f>SUM(DS39,DS44,DS47)</f>
        <v>0</v>
      </c>
      <c r="DT38" s="7715">
        <f>SUM(DT39,DT44,DT47)</f>
        <v>0</v>
      </c>
      <c r="DU38" s="7715">
        <f>SUM(DU39,DU44,DU47)</f>
        <v>0</v>
      </c>
      <c r="DV38" s="7715">
        <f>SUM(DV39,DV44,DV47)</f>
        <v>0</v>
      </c>
      <c r="DW38" s="7715">
        <f>SUM(DW39,DW44,DW47)</f>
        <v>0</v>
      </c>
      <c r="DX38" s="7715">
        <f>SUM(DX39,DX44,DX47)</f>
        <v>0</v>
      </c>
      <c r="DY38" s="7715">
        <f>SUM(DY39,DY44,DY47)</f>
        <v>0</v>
      </c>
      <c r="DZ38" s="7715">
        <f>SUM(DZ39,DZ44,DZ47)</f>
        <v>0</v>
      </c>
      <c r="EA38" s="7715">
        <f>SUM(EA39,EA44,EA47)</f>
        <v>0</v>
      </c>
      <c r="EB38" s="7556"/>
      <c r="EC38" s="1358"/>
      <c r="EO38" s="1279">
        <v>23</v>
      </c>
    </row>
    <row customHeight="1" ht="11.549999999999999">
      <c r="F39" s="1354" t="s">
        <v>1447</v>
      </c>
      <c r="G39" s="1361" t="s">
        <v>1446</v>
      </c>
      <c r="H39" s="1360">
        <f>SUM(I39:J39)</f>
        <v>0</v>
      </c>
      <c r="I39" s="1360">
        <f>SUM(I40:I43)</f>
        <v>0</v>
      </c>
      <c r="J39" s="1349"/>
      <c r="K39" s="7715">
        <f>SUM(L39:V39)</f>
        <v>0</v>
      </c>
      <c r="L39" s="7715">
        <f>SUM(L40:L43)</f>
        <v>0</v>
      </c>
      <c r="M39" s="7715">
        <f>SUM(M40:M43)</f>
        <v>0</v>
      </c>
      <c r="N39" s="7715">
        <f>SUM(N40:N43)</f>
        <v>0</v>
      </c>
      <c r="O39" s="7715">
        <f>SUM(O40:O43)</f>
        <v>0</v>
      </c>
      <c r="P39" s="7715">
        <f>SUM(P40:P43)</f>
        <v>0</v>
      </c>
      <c r="Q39" s="7715">
        <f>SUM(Q40:Q43)</f>
        <v>0</v>
      </c>
      <c r="R39" s="7715">
        <f>SUM(R40:R43)</f>
        <v>0</v>
      </c>
      <c r="S39" s="7715">
        <f>SUM(S40:S43)</f>
        <v>0</v>
      </c>
      <c r="T39" s="7715">
        <f>SUM(T40:T43)</f>
        <v>0</v>
      </c>
      <c r="U39" s="7715">
        <f>SUM(U40:U43)</f>
        <v>0</v>
      </c>
      <c r="V39" s="7556"/>
      <c r="W39" s="7715">
        <f>SUM(X39:AC39)</f>
        <v>0</v>
      </c>
      <c r="X39" s="7715">
        <f>SUM(X40:X43)</f>
        <v>0</v>
      </c>
      <c r="Y39" s="7715">
        <f>SUM(Y40:Y43)</f>
        <v>0</v>
      </c>
      <c r="Z39" s="7715">
        <f>SUM(Z40:Z43)</f>
        <v>0</v>
      </c>
      <c r="AA39" s="7715">
        <f>SUM(AA40:AA43)</f>
        <v>0</v>
      </c>
      <c r="AB39" s="7715">
        <f>SUM(AB40:AB43)</f>
        <v>0</v>
      </c>
      <c r="AC39" s="7556"/>
      <c r="AD39" s="7715">
        <f>SUM(AE39:AJ39)</f>
        <v>0</v>
      </c>
      <c r="AE39" s="7715">
        <f>SUM(AE40:AE43)</f>
        <v>0</v>
      </c>
      <c r="AF39" s="7715">
        <f>SUM(AF40:AF43)</f>
        <v>0</v>
      </c>
      <c r="AG39" s="7715">
        <f>SUM(AG40:AG43)</f>
        <v>0</v>
      </c>
      <c r="AH39" s="7715">
        <f>SUM(AH40:AH43)</f>
        <v>0</v>
      </c>
      <c r="AI39" s="7715">
        <f>SUM(AI40:AI43)</f>
        <v>0</v>
      </c>
      <c r="AJ39" s="7556"/>
      <c r="AK39" s="7715">
        <f>SUM(AL39:AQ39)</f>
        <v>0</v>
      </c>
      <c r="AL39" s="7715">
        <f>SUM(AL40:AL43)</f>
        <v>0</v>
      </c>
      <c r="AM39" s="7715">
        <f>SUM(AM40:AM43)</f>
        <v>0</v>
      </c>
      <c r="AN39" s="7715">
        <f>SUM(AN40:AN43)</f>
        <v>0</v>
      </c>
      <c r="AO39" s="7715">
        <f>SUM(AO40:AO43)</f>
        <v>0</v>
      </c>
      <c r="AP39" s="7715">
        <f>SUM(AP40:AP43)</f>
        <v>0</v>
      </c>
      <c r="AQ39" s="7556"/>
      <c r="AR39" s="7715">
        <f>SUM(AS39:AX39)</f>
        <v>0</v>
      </c>
      <c r="AS39" s="7715">
        <f>SUM(AS40:AS43)</f>
        <v>0</v>
      </c>
      <c r="AT39" s="7715">
        <f>SUM(AT40:AT43)</f>
        <v>0</v>
      </c>
      <c r="AU39" s="7715">
        <f>SUM(AU40:AU43)</f>
        <v>0</v>
      </c>
      <c r="AV39" s="7715">
        <f>SUM(AV40:AV43)</f>
        <v>0</v>
      </c>
      <c r="AW39" s="7715">
        <f>SUM(AW40:AW43)</f>
        <v>0</v>
      </c>
      <c r="AX39" s="7556"/>
      <c r="AY39" s="7715">
        <f>SUM(AZ39:BE39)</f>
        <v>0</v>
      </c>
      <c r="AZ39" s="7715">
        <f>SUM(AZ40:AZ43)</f>
        <v>0</v>
      </c>
      <c r="BA39" s="7715">
        <f>SUM(BA40:BA43)</f>
        <v>0</v>
      </c>
      <c r="BB39" s="7715">
        <f>SUM(BB40:BB43)</f>
        <v>0</v>
      </c>
      <c r="BC39" s="7715">
        <f>SUM(BC40:BC43)</f>
        <v>0</v>
      </c>
      <c r="BD39" s="7715">
        <f>SUM(BD40:BD43)</f>
        <v>0</v>
      </c>
      <c r="BE39" s="7556"/>
      <c r="BF39" s="7715">
        <f>SUM(BG39:BL39)</f>
        <v>0</v>
      </c>
      <c r="BG39" s="7715">
        <f>SUM(BG40:BG43)</f>
        <v>0</v>
      </c>
      <c r="BH39" s="7715">
        <f>SUM(BH40:BH43)</f>
        <v>0</v>
      </c>
      <c r="BI39" s="7715">
        <f>SUM(BI40:BI43)</f>
        <v>0</v>
      </c>
      <c r="BJ39" s="7715">
        <f>SUM(BJ40:BJ43)</f>
        <v>0</v>
      </c>
      <c r="BK39" s="7715">
        <f>SUM(BK40:BK43)</f>
        <v>0</v>
      </c>
      <c r="BL39" s="7556"/>
      <c r="BM39" s="7715">
        <f>SUM(BN39:BS39)</f>
        <v>0</v>
      </c>
      <c r="BN39" s="7715">
        <f>SUM(BN40:BN43)</f>
        <v>0</v>
      </c>
      <c r="BO39" s="7715">
        <f>SUM(BO40:BO43)</f>
        <v>0</v>
      </c>
      <c r="BP39" s="7715">
        <f>SUM(BP40:BP43)</f>
        <v>0</v>
      </c>
      <c r="BQ39" s="7715">
        <f>SUM(BQ40:BQ43)</f>
        <v>0</v>
      </c>
      <c r="BR39" s="7715">
        <f>SUM(BR40:BR43)</f>
        <v>0</v>
      </c>
      <c r="BS39" s="7556"/>
      <c r="BT39" s="7715">
        <f>SUM(BU39:BZ39)</f>
        <v>0</v>
      </c>
      <c r="BU39" s="7715">
        <f>SUM(BU40:BU43)</f>
        <v>0</v>
      </c>
      <c r="BV39" s="7715">
        <f>SUM(BV40:BV43)</f>
        <v>0</v>
      </c>
      <c r="BW39" s="7715">
        <f>SUM(BW40:BW43)</f>
        <v>0</v>
      </c>
      <c r="BX39" s="7715">
        <f>SUM(BX40:BX43)</f>
        <v>0</v>
      </c>
      <c r="BY39" s="7715">
        <f>SUM(BY40:BY43)</f>
        <v>0</v>
      </c>
      <c r="BZ39" s="7556"/>
      <c r="CA39" s="7715">
        <f>SUM(CB39:CG39)</f>
        <v>0</v>
      </c>
      <c r="CB39" s="7715">
        <f>SUM(CB40:CB43)</f>
        <v>0</v>
      </c>
      <c r="CC39" s="7715">
        <f>SUM(CC40:CC43)</f>
        <v>0</v>
      </c>
      <c r="CD39" s="7715">
        <f>SUM(CD40:CD43)</f>
        <v>0</v>
      </c>
      <c r="CE39" s="7715">
        <f>SUM(CE40:CE43)</f>
        <v>0</v>
      </c>
      <c r="CF39" s="7715">
        <f>SUM(CF40:CF43)</f>
        <v>0</v>
      </c>
      <c r="CG39" s="7556"/>
      <c r="CH39" s="7715">
        <f>SUM(CI39:CN39)</f>
        <v>0</v>
      </c>
      <c r="CI39" s="7715">
        <f>SUM(CI40:CI43)</f>
        <v>0</v>
      </c>
      <c r="CJ39" s="7715">
        <f>SUM(CJ40:CJ43)</f>
        <v>0</v>
      </c>
      <c r="CK39" s="7715">
        <f>SUM(CK40:CK43)</f>
        <v>0</v>
      </c>
      <c r="CL39" s="7715">
        <f>SUM(CL40:CL43)</f>
        <v>0</v>
      </c>
      <c r="CM39" s="7715">
        <f>SUM(CM40:CM43)</f>
        <v>0</v>
      </c>
      <c r="CN39" s="7556"/>
      <c r="CO39" s="7715">
        <f>SUM(CP39:CU39)</f>
        <v>0</v>
      </c>
      <c r="CP39" s="7715">
        <f>SUM(CP40:CP43)</f>
        <v>0</v>
      </c>
      <c r="CQ39" s="7715">
        <f>SUM(CQ40:CQ43)</f>
        <v>0</v>
      </c>
      <c r="CR39" s="7715">
        <f>SUM(CR40:CR43)</f>
        <v>0</v>
      </c>
      <c r="CS39" s="7715">
        <f>SUM(CS40:CS43)</f>
        <v>0</v>
      </c>
      <c r="CT39" s="7715">
        <f>SUM(CT40:CT43)</f>
        <v>0</v>
      </c>
      <c r="CU39" s="7556"/>
      <c r="CV39" s="7715">
        <f>SUM(CW39:DB39)</f>
        <v>0</v>
      </c>
      <c r="CW39" s="7715">
        <f>SUM(CW40:CW43)</f>
        <v>0</v>
      </c>
      <c r="CX39" s="7715">
        <f>SUM(CX40:CX43)</f>
        <v>0</v>
      </c>
      <c r="CY39" s="7715">
        <f>SUM(CY40:CY43)</f>
        <v>0</v>
      </c>
      <c r="CZ39" s="7715">
        <f>SUM(CZ40:CZ43)</f>
        <v>0</v>
      </c>
      <c r="DA39" s="7715">
        <f>SUM(DA40:DA43)</f>
        <v>0</v>
      </c>
      <c r="DB39" s="7556"/>
      <c r="DC39" s="7715">
        <f>SUM(DD39:DI39)</f>
        <v>0</v>
      </c>
      <c r="DD39" s="7715">
        <f>SUM(DD40:DD43)</f>
        <v>0</v>
      </c>
      <c r="DE39" s="7715">
        <f>SUM(DE40:DE43)</f>
        <v>0</v>
      </c>
      <c r="DF39" s="7715">
        <f>SUM(DF40:DF43)</f>
        <v>0</v>
      </c>
      <c r="DG39" s="7715">
        <f>SUM(DG40:DG43)</f>
        <v>0</v>
      </c>
      <c r="DH39" s="7715">
        <f>SUM(DH40:DH43)</f>
        <v>0</v>
      </c>
      <c r="DI39" s="7556"/>
      <c r="DJ39" s="7715">
        <f>SUM(DK39:DP39)</f>
        <v>0</v>
      </c>
      <c r="DK39" s="7715">
        <f>SUM(DK40:DK43)</f>
        <v>0</v>
      </c>
      <c r="DL39" s="7715">
        <f>SUM(DL40:DL43)</f>
        <v>0</v>
      </c>
      <c r="DM39" s="7715">
        <f>SUM(DM40:DM43)</f>
        <v>0</v>
      </c>
      <c r="DN39" s="7715">
        <f>SUM(DN40:DN43)</f>
        <v>0</v>
      </c>
      <c r="DO39" s="7715">
        <f>SUM(DO40:DO43)</f>
        <v>0</v>
      </c>
      <c r="DP39" s="7556"/>
      <c r="DQ39" s="7715">
        <f>SUM(DR39:EB39)</f>
        <v>0</v>
      </c>
      <c r="DR39" s="7715">
        <f>SUM(DR40:DR43)</f>
        <v>0</v>
      </c>
      <c r="DS39" s="7715">
        <f>SUM(DS40:DS43)</f>
        <v>0</v>
      </c>
      <c r="DT39" s="7715">
        <f>SUM(DT40:DT43)</f>
        <v>0</v>
      </c>
      <c r="DU39" s="7715">
        <f>SUM(DU40:DU43)</f>
        <v>0</v>
      </c>
      <c r="DV39" s="7715">
        <f>SUM(DV40:DV43)</f>
        <v>0</v>
      </c>
      <c r="DW39" s="7715">
        <f>SUM(DW40:DW43)</f>
        <v>0</v>
      </c>
      <c r="DX39" s="7715">
        <f>SUM(DX40:DX43)</f>
        <v>0</v>
      </c>
      <c r="DY39" s="7715">
        <f>SUM(DY40:DY43)</f>
        <v>0</v>
      </c>
      <c r="DZ39" s="7715">
        <f>SUM(DZ40:DZ43)</f>
        <v>0</v>
      </c>
      <c r="EA39" s="7715">
        <f>SUM(EA40:EA43)</f>
        <v>0</v>
      </c>
      <c r="EB39" s="7556"/>
      <c r="EC39" s="1358"/>
      <c r="EO39" s="1279">
        <v>11</v>
      </c>
    </row>
    <row customHeight="1" ht="24">
      <c r="F40" s="1354" t="s">
        <v>1483</v>
      </c>
      <c r="G40" s="1362" t="s">
        <v>1484</v>
      </c>
      <c r="H40" s="1360">
        <f>SUM(I40:J40)</f>
        <v>0</v>
      </c>
      <c r="I40" s="1359"/>
      <c r="J40" s="1349"/>
      <c r="K40" s="7715">
        <f>SUM(L40:V40)</f>
        <v>0</v>
      </c>
      <c r="L40" s="7039"/>
      <c r="M40" s="7039"/>
      <c r="N40" s="7039"/>
      <c r="O40" s="7039"/>
      <c r="P40" s="7039"/>
      <c r="Q40" s="7039"/>
      <c r="R40" s="7039"/>
      <c r="S40" s="7039"/>
      <c r="T40" s="7039"/>
      <c r="U40" s="7039"/>
      <c r="V40" s="7556"/>
      <c r="W40" s="7715">
        <f>SUM(X40:AC40)</f>
        <v>0</v>
      </c>
      <c r="X40" s="7039"/>
      <c r="Y40" s="7039"/>
      <c r="Z40" s="7039"/>
      <c r="AA40" s="7039"/>
      <c r="AB40" s="7039"/>
      <c r="AC40" s="7556"/>
      <c r="AD40" s="7715">
        <f>SUM(AE40:AJ40)</f>
        <v>0</v>
      </c>
      <c r="AE40" s="7039"/>
      <c r="AF40" s="7039"/>
      <c r="AG40" s="7039"/>
      <c r="AH40" s="7039"/>
      <c r="AI40" s="7039"/>
      <c r="AJ40" s="7556"/>
      <c r="AK40" s="7715">
        <f>SUM(AL40:AQ40)</f>
        <v>0</v>
      </c>
      <c r="AL40" s="7039"/>
      <c r="AM40" s="7039"/>
      <c r="AN40" s="7039"/>
      <c r="AO40" s="7039"/>
      <c r="AP40" s="7039"/>
      <c r="AQ40" s="7556"/>
      <c r="AR40" s="7715">
        <f>SUM(AS40:AX40)</f>
        <v>0</v>
      </c>
      <c r="AS40" s="7039"/>
      <c r="AT40" s="7039"/>
      <c r="AU40" s="7039"/>
      <c r="AV40" s="7039"/>
      <c r="AW40" s="7039"/>
      <c r="AX40" s="7556"/>
      <c r="AY40" s="7715">
        <f>SUM(AZ40:BE40)</f>
        <v>0</v>
      </c>
      <c r="AZ40" s="7039"/>
      <c r="BA40" s="7039"/>
      <c r="BB40" s="7039"/>
      <c r="BC40" s="7039"/>
      <c r="BD40" s="7039"/>
      <c r="BE40" s="7556"/>
      <c r="BF40" s="7715">
        <f>SUM(BG40:BL40)</f>
        <v>0</v>
      </c>
      <c r="BG40" s="7039"/>
      <c r="BH40" s="7039"/>
      <c r="BI40" s="7039"/>
      <c r="BJ40" s="7039"/>
      <c r="BK40" s="7039"/>
      <c r="BL40" s="7556"/>
      <c r="BM40" s="7715">
        <f>SUM(BN40:BS40)</f>
        <v>0</v>
      </c>
      <c r="BN40" s="7039"/>
      <c r="BO40" s="7039"/>
      <c r="BP40" s="7039"/>
      <c r="BQ40" s="7039"/>
      <c r="BR40" s="7039"/>
      <c r="BS40" s="7556"/>
      <c r="BT40" s="7715">
        <f>SUM(BU40:BZ40)</f>
        <v>0</v>
      </c>
      <c r="BU40" s="7039"/>
      <c r="BV40" s="7039"/>
      <c r="BW40" s="7039"/>
      <c r="BX40" s="7039"/>
      <c r="BY40" s="7039"/>
      <c r="BZ40" s="7556"/>
      <c r="CA40" s="7715">
        <f>SUM(CB40:CG40)</f>
        <v>0</v>
      </c>
      <c r="CB40" s="7039"/>
      <c r="CC40" s="7039"/>
      <c r="CD40" s="7039"/>
      <c r="CE40" s="7039"/>
      <c r="CF40" s="7039"/>
      <c r="CG40" s="7556"/>
      <c r="CH40" s="7715">
        <f>SUM(CI40:CN40)</f>
        <v>0</v>
      </c>
      <c r="CI40" s="7039"/>
      <c r="CJ40" s="7039"/>
      <c r="CK40" s="7039"/>
      <c r="CL40" s="7039"/>
      <c r="CM40" s="7039"/>
      <c r="CN40" s="7556"/>
      <c r="CO40" s="7715">
        <f>SUM(CP40:CU40)</f>
        <v>0</v>
      </c>
      <c r="CP40" s="7039"/>
      <c r="CQ40" s="7039"/>
      <c r="CR40" s="7039"/>
      <c r="CS40" s="7039"/>
      <c r="CT40" s="7039"/>
      <c r="CU40" s="7556"/>
      <c r="CV40" s="7715">
        <f>SUM(CW40:DB40)</f>
        <v>0</v>
      </c>
      <c r="CW40" s="7039"/>
      <c r="CX40" s="7039"/>
      <c r="CY40" s="7039"/>
      <c r="CZ40" s="7039"/>
      <c r="DA40" s="7039"/>
      <c r="DB40" s="7556"/>
      <c r="DC40" s="7715">
        <f>SUM(DD40:DI40)</f>
        <v>0</v>
      </c>
      <c r="DD40" s="7039"/>
      <c r="DE40" s="7039"/>
      <c r="DF40" s="7039"/>
      <c r="DG40" s="7039"/>
      <c r="DH40" s="7039"/>
      <c r="DI40" s="7556"/>
      <c r="DJ40" s="7715">
        <f>SUM(DK40:DP40)</f>
        <v>0</v>
      </c>
      <c r="DK40" s="7039"/>
      <c r="DL40" s="7039"/>
      <c r="DM40" s="7039"/>
      <c r="DN40" s="7039"/>
      <c r="DO40" s="7039"/>
      <c r="DP40" s="7556"/>
      <c r="DQ40" s="7715">
        <f>SUM(DR40:EB40)</f>
        <v>0</v>
      </c>
      <c r="DR40" s="7039"/>
      <c r="DS40" s="7039"/>
      <c r="DT40" s="7039"/>
      <c r="DU40" s="7039"/>
      <c r="DV40" s="7039"/>
      <c r="DW40" s="7039"/>
      <c r="DX40" s="7039"/>
      <c r="DY40" s="7039"/>
      <c r="DZ40" s="7039"/>
      <c r="EA40" s="7039"/>
      <c r="EB40" s="7556"/>
      <c r="EC40" s="1358"/>
      <c r="EO40" s="1279">
        <v>23</v>
      </c>
    </row>
    <row customHeight="1" ht="11.549999999999999">
      <c r="F41" s="1354" t="s">
        <v>1485</v>
      </c>
      <c r="G41" s="1362" t="s">
        <v>1486</v>
      </c>
      <c r="H41" s="1360">
        <f>SUM(I41:J41)</f>
        <v>0</v>
      </c>
      <c r="I41" s="1359"/>
      <c r="J41" s="1349"/>
      <c r="K41" s="7715">
        <f>SUM(L41:V41)</f>
        <v>0</v>
      </c>
      <c r="L41" s="7039"/>
      <c r="M41" s="7039"/>
      <c r="N41" s="7039"/>
      <c r="O41" s="7039"/>
      <c r="P41" s="7039"/>
      <c r="Q41" s="7039"/>
      <c r="R41" s="7039"/>
      <c r="S41" s="7039"/>
      <c r="T41" s="7039"/>
      <c r="U41" s="7039"/>
      <c r="V41" s="7556"/>
      <c r="W41" s="7715">
        <f>SUM(X41:AC41)</f>
        <v>0</v>
      </c>
      <c r="X41" s="7039"/>
      <c r="Y41" s="7039"/>
      <c r="Z41" s="7039"/>
      <c r="AA41" s="7039"/>
      <c r="AB41" s="7039"/>
      <c r="AC41" s="7556"/>
      <c r="AD41" s="7715">
        <f>SUM(AE41:AJ41)</f>
        <v>0</v>
      </c>
      <c r="AE41" s="7039"/>
      <c r="AF41" s="7039"/>
      <c r="AG41" s="7039"/>
      <c r="AH41" s="7039"/>
      <c r="AI41" s="7039"/>
      <c r="AJ41" s="7556"/>
      <c r="AK41" s="7715">
        <f>SUM(AL41:AQ41)</f>
        <v>0</v>
      </c>
      <c r="AL41" s="7039"/>
      <c r="AM41" s="7039"/>
      <c r="AN41" s="7039"/>
      <c r="AO41" s="7039"/>
      <c r="AP41" s="7039"/>
      <c r="AQ41" s="7556"/>
      <c r="AR41" s="7715">
        <f>SUM(AS41:AX41)</f>
        <v>0</v>
      </c>
      <c r="AS41" s="7039"/>
      <c r="AT41" s="7039"/>
      <c r="AU41" s="7039"/>
      <c r="AV41" s="7039"/>
      <c r="AW41" s="7039"/>
      <c r="AX41" s="7556"/>
      <c r="AY41" s="7715">
        <f>SUM(AZ41:BE41)</f>
        <v>0</v>
      </c>
      <c r="AZ41" s="7039"/>
      <c r="BA41" s="7039"/>
      <c r="BB41" s="7039"/>
      <c r="BC41" s="7039"/>
      <c r="BD41" s="7039"/>
      <c r="BE41" s="7556"/>
      <c r="BF41" s="7715">
        <f>SUM(BG41:BL41)</f>
        <v>0</v>
      </c>
      <c r="BG41" s="7039"/>
      <c r="BH41" s="7039"/>
      <c r="BI41" s="7039"/>
      <c r="BJ41" s="7039"/>
      <c r="BK41" s="7039"/>
      <c r="BL41" s="7556"/>
      <c r="BM41" s="7715">
        <f>SUM(BN41:BS41)</f>
        <v>0</v>
      </c>
      <c r="BN41" s="7039"/>
      <c r="BO41" s="7039"/>
      <c r="BP41" s="7039"/>
      <c r="BQ41" s="7039"/>
      <c r="BR41" s="7039"/>
      <c r="BS41" s="7556"/>
      <c r="BT41" s="7715">
        <f>SUM(BU41:BZ41)</f>
        <v>0</v>
      </c>
      <c r="BU41" s="7039"/>
      <c r="BV41" s="7039"/>
      <c r="BW41" s="7039"/>
      <c r="BX41" s="7039"/>
      <c r="BY41" s="7039"/>
      <c r="BZ41" s="7556"/>
      <c r="CA41" s="7715">
        <f>SUM(CB41:CG41)</f>
        <v>0</v>
      </c>
      <c r="CB41" s="7039"/>
      <c r="CC41" s="7039"/>
      <c r="CD41" s="7039"/>
      <c r="CE41" s="7039"/>
      <c r="CF41" s="7039"/>
      <c r="CG41" s="7556"/>
      <c r="CH41" s="7715">
        <f>SUM(CI41:CN41)</f>
        <v>0</v>
      </c>
      <c r="CI41" s="7039"/>
      <c r="CJ41" s="7039"/>
      <c r="CK41" s="7039"/>
      <c r="CL41" s="7039"/>
      <c r="CM41" s="7039"/>
      <c r="CN41" s="7556"/>
      <c r="CO41" s="7715">
        <f>SUM(CP41:CU41)</f>
        <v>0</v>
      </c>
      <c r="CP41" s="7039"/>
      <c r="CQ41" s="7039"/>
      <c r="CR41" s="7039"/>
      <c r="CS41" s="7039"/>
      <c r="CT41" s="7039"/>
      <c r="CU41" s="7556"/>
      <c r="CV41" s="7715">
        <f>SUM(CW41:DB41)</f>
        <v>0</v>
      </c>
      <c r="CW41" s="7039"/>
      <c r="CX41" s="7039"/>
      <c r="CY41" s="7039"/>
      <c r="CZ41" s="7039"/>
      <c r="DA41" s="7039"/>
      <c r="DB41" s="7556"/>
      <c r="DC41" s="7715">
        <f>SUM(DD41:DI41)</f>
        <v>0</v>
      </c>
      <c r="DD41" s="7039"/>
      <c r="DE41" s="7039"/>
      <c r="DF41" s="7039"/>
      <c r="DG41" s="7039"/>
      <c r="DH41" s="7039"/>
      <c r="DI41" s="7556"/>
      <c r="DJ41" s="7715">
        <f>SUM(DK41:DP41)</f>
        <v>0</v>
      </c>
      <c r="DK41" s="7039"/>
      <c r="DL41" s="7039"/>
      <c r="DM41" s="7039"/>
      <c r="DN41" s="7039"/>
      <c r="DO41" s="7039"/>
      <c r="DP41" s="7556"/>
      <c r="DQ41" s="7715">
        <f>SUM(DR41:EB41)</f>
        <v>0</v>
      </c>
      <c r="DR41" s="7039"/>
      <c r="DS41" s="7039"/>
      <c r="DT41" s="7039"/>
      <c r="DU41" s="7039"/>
      <c r="DV41" s="7039"/>
      <c r="DW41" s="7039"/>
      <c r="DX41" s="7039"/>
      <c r="DY41" s="7039"/>
      <c r="DZ41" s="7039"/>
      <c r="EA41" s="7039"/>
      <c r="EB41" s="7556"/>
      <c r="EC41" s="1358"/>
      <c r="EO41" s="1279">
        <v>11</v>
      </c>
    </row>
    <row customHeight="1" ht="11.549999999999999">
      <c r="F42" s="1354" t="s">
        <v>1487</v>
      </c>
      <c r="G42" s="1362" t="s">
        <v>1488</v>
      </c>
      <c r="H42" s="1360">
        <f>SUM(I42:J42)</f>
        <v>0</v>
      </c>
      <c r="I42" s="1359"/>
      <c r="J42" s="1349"/>
      <c r="K42" s="7715">
        <f>SUM(L42:V42)</f>
        <v>0</v>
      </c>
      <c r="L42" s="7039"/>
      <c r="M42" s="7039"/>
      <c r="N42" s="7039"/>
      <c r="O42" s="7039"/>
      <c r="P42" s="7039"/>
      <c r="Q42" s="7039"/>
      <c r="R42" s="7039"/>
      <c r="S42" s="7039"/>
      <c r="T42" s="7039"/>
      <c r="U42" s="7039"/>
      <c r="V42" s="7556"/>
      <c r="W42" s="7715">
        <f>SUM(X42:AC42)</f>
        <v>0</v>
      </c>
      <c r="X42" s="7039"/>
      <c r="Y42" s="7039"/>
      <c r="Z42" s="7039"/>
      <c r="AA42" s="7039"/>
      <c r="AB42" s="7039"/>
      <c r="AC42" s="7556"/>
      <c r="AD42" s="7715">
        <f>SUM(AE42:AJ42)</f>
        <v>0</v>
      </c>
      <c r="AE42" s="7039"/>
      <c r="AF42" s="7039"/>
      <c r="AG42" s="7039"/>
      <c r="AH42" s="7039"/>
      <c r="AI42" s="7039"/>
      <c r="AJ42" s="7556"/>
      <c r="AK42" s="7715">
        <f>SUM(AL42:AQ42)</f>
        <v>0</v>
      </c>
      <c r="AL42" s="7039"/>
      <c r="AM42" s="7039"/>
      <c r="AN42" s="7039"/>
      <c r="AO42" s="7039"/>
      <c r="AP42" s="7039"/>
      <c r="AQ42" s="7556"/>
      <c r="AR42" s="7715">
        <f>SUM(AS42:AX42)</f>
        <v>0</v>
      </c>
      <c r="AS42" s="7039"/>
      <c r="AT42" s="7039"/>
      <c r="AU42" s="7039"/>
      <c r="AV42" s="7039"/>
      <c r="AW42" s="7039"/>
      <c r="AX42" s="7556"/>
      <c r="AY42" s="7715">
        <f>SUM(AZ42:BE42)</f>
        <v>0</v>
      </c>
      <c r="AZ42" s="7039"/>
      <c r="BA42" s="7039"/>
      <c r="BB42" s="7039"/>
      <c r="BC42" s="7039"/>
      <c r="BD42" s="7039"/>
      <c r="BE42" s="7556"/>
      <c r="BF42" s="7715">
        <f>SUM(BG42:BL42)</f>
        <v>0</v>
      </c>
      <c r="BG42" s="7039"/>
      <c r="BH42" s="7039"/>
      <c r="BI42" s="7039"/>
      <c r="BJ42" s="7039"/>
      <c r="BK42" s="7039"/>
      <c r="BL42" s="7556"/>
      <c r="BM42" s="7715">
        <f>SUM(BN42:BS42)</f>
        <v>0</v>
      </c>
      <c r="BN42" s="7039"/>
      <c r="BO42" s="7039"/>
      <c r="BP42" s="7039"/>
      <c r="BQ42" s="7039"/>
      <c r="BR42" s="7039"/>
      <c r="BS42" s="7556"/>
      <c r="BT42" s="7715">
        <f>SUM(BU42:BZ42)</f>
        <v>0</v>
      </c>
      <c r="BU42" s="7039"/>
      <c r="BV42" s="7039"/>
      <c r="BW42" s="7039"/>
      <c r="BX42" s="7039"/>
      <c r="BY42" s="7039"/>
      <c r="BZ42" s="7556"/>
      <c r="CA42" s="7715">
        <f>SUM(CB42:CG42)</f>
        <v>0</v>
      </c>
      <c r="CB42" s="7039"/>
      <c r="CC42" s="7039"/>
      <c r="CD42" s="7039"/>
      <c r="CE42" s="7039"/>
      <c r="CF42" s="7039"/>
      <c r="CG42" s="7556"/>
      <c r="CH42" s="7715">
        <f>SUM(CI42:CN42)</f>
        <v>0</v>
      </c>
      <c r="CI42" s="7039"/>
      <c r="CJ42" s="7039"/>
      <c r="CK42" s="7039"/>
      <c r="CL42" s="7039"/>
      <c r="CM42" s="7039"/>
      <c r="CN42" s="7556"/>
      <c r="CO42" s="7715">
        <f>SUM(CP42:CU42)</f>
        <v>0</v>
      </c>
      <c r="CP42" s="7039"/>
      <c r="CQ42" s="7039"/>
      <c r="CR42" s="7039"/>
      <c r="CS42" s="7039"/>
      <c r="CT42" s="7039"/>
      <c r="CU42" s="7556"/>
      <c r="CV42" s="7715">
        <f>SUM(CW42:DB42)</f>
        <v>0</v>
      </c>
      <c r="CW42" s="7039"/>
      <c r="CX42" s="7039"/>
      <c r="CY42" s="7039"/>
      <c r="CZ42" s="7039"/>
      <c r="DA42" s="7039"/>
      <c r="DB42" s="7556"/>
      <c r="DC42" s="7715">
        <f>SUM(DD42:DI42)</f>
        <v>0</v>
      </c>
      <c r="DD42" s="7039"/>
      <c r="DE42" s="7039"/>
      <c r="DF42" s="7039"/>
      <c r="DG42" s="7039"/>
      <c r="DH42" s="7039"/>
      <c r="DI42" s="7556"/>
      <c r="DJ42" s="7715">
        <f>SUM(DK42:DP42)</f>
        <v>0</v>
      </c>
      <c r="DK42" s="7039"/>
      <c r="DL42" s="7039"/>
      <c r="DM42" s="7039"/>
      <c r="DN42" s="7039"/>
      <c r="DO42" s="7039"/>
      <c r="DP42" s="7556"/>
      <c r="DQ42" s="7715">
        <f>SUM(DR42:EB42)</f>
        <v>0</v>
      </c>
      <c r="DR42" s="7039"/>
      <c r="DS42" s="7039"/>
      <c r="DT42" s="7039"/>
      <c r="DU42" s="7039"/>
      <c r="DV42" s="7039"/>
      <c r="DW42" s="7039"/>
      <c r="DX42" s="7039"/>
      <c r="DY42" s="7039"/>
      <c r="DZ42" s="7039"/>
      <c r="EA42" s="7039"/>
      <c r="EB42" s="7556"/>
      <c r="EC42" s="1358"/>
      <c r="EO42" s="1279">
        <v>11</v>
      </c>
    </row>
    <row customHeight="1" ht="35.699999999999996">
      <c r="F43" s="1354" t="s">
        <v>1489</v>
      </c>
      <c r="G43" s="1362" t="s">
        <v>1490</v>
      </c>
      <c r="H43" s="1360">
        <f>SUM(I43:J43)</f>
        <v>0</v>
      </c>
      <c r="I43" s="1359"/>
      <c r="J43" s="1349"/>
      <c r="K43" s="7715">
        <f>SUM(L43:V43)</f>
        <v>0</v>
      </c>
      <c r="L43" s="7039"/>
      <c r="M43" s="7039"/>
      <c r="N43" s="7039"/>
      <c r="O43" s="7039"/>
      <c r="P43" s="7039"/>
      <c r="Q43" s="7039"/>
      <c r="R43" s="7039"/>
      <c r="S43" s="7039"/>
      <c r="T43" s="7039"/>
      <c r="U43" s="7039"/>
      <c r="V43" s="7556"/>
      <c r="W43" s="7715">
        <f>SUM(X43:AC43)</f>
        <v>0</v>
      </c>
      <c r="X43" s="7039"/>
      <c r="Y43" s="7039"/>
      <c r="Z43" s="7039"/>
      <c r="AA43" s="7039"/>
      <c r="AB43" s="7039"/>
      <c r="AC43" s="7556"/>
      <c r="AD43" s="7715">
        <f>SUM(AE43:AJ43)</f>
        <v>0</v>
      </c>
      <c r="AE43" s="7039"/>
      <c r="AF43" s="7039"/>
      <c r="AG43" s="7039"/>
      <c r="AH43" s="7039"/>
      <c r="AI43" s="7039"/>
      <c r="AJ43" s="7556"/>
      <c r="AK43" s="7715">
        <f>SUM(AL43:AQ43)</f>
        <v>0</v>
      </c>
      <c r="AL43" s="7039"/>
      <c r="AM43" s="7039"/>
      <c r="AN43" s="7039"/>
      <c r="AO43" s="7039"/>
      <c r="AP43" s="7039"/>
      <c r="AQ43" s="7556"/>
      <c r="AR43" s="7715">
        <f>SUM(AS43:AX43)</f>
        <v>0</v>
      </c>
      <c r="AS43" s="7039"/>
      <c r="AT43" s="7039"/>
      <c r="AU43" s="7039"/>
      <c r="AV43" s="7039"/>
      <c r="AW43" s="7039"/>
      <c r="AX43" s="7556"/>
      <c r="AY43" s="7715">
        <f>SUM(AZ43:BE43)</f>
        <v>0</v>
      </c>
      <c r="AZ43" s="7039"/>
      <c r="BA43" s="7039"/>
      <c r="BB43" s="7039"/>
      <c r="BC43" s="7039"/>
      <c r="BD43" s="7039"/>
      <c r="BE43" s="7556"/>
      <c r="BF43" s="7715">
        <f>SUM(BG43:BL43)</f>
        <v>0</v>
      </c>
      <c r="BG43" s="7039"/>
      <c r="BH43" s="7039"/>
      <c r="BI43" s="7039"/>
      <c r="BJ43" s="7039"/>
      <c r="BK43" s="7039"/>
      <c r="BL43" s="7556"/>
      <c r="BM43" s="7715">
        <f>SUM(BN43:BS43)</f>
        <v>0</v>
      </c>
      <c r="BN43" s="7039"/>
      <c r="BO43" s="7039"/>
      <c r="BP43" s="7039"/>
      <c r="BQ43" s="7039"/>
      <c r="BR43" s="7039"/>
      <c r="BS43" s="7556"/>
      <c r="BT43" s="7715">
        <f>SUM(BU43:BZ43)</f>
        <v>0</v>
      </c>
      <c r="BU43" s="7039"/>
      <c r="BV43" s="7039"/>
      <c r="BW43" s="7039"/>
      <c r="BX43" s="7039"/>
      <c r="BY43" s="7039"/>
      <c r="BZ43" s="7556"/>
      <c r="CA43" s="7715">
        <f>SUM(CB43:CG43)</f>
        <v>0</v>
      </c>
      <c r="CB43" s="7039"/>
      <c r="CC43" s="7039"/>
      <c r="CD43" s="7039"/>
      <c r="CE43" s="7039"/>
      <c r="CF43" s="7039"/>
      <c r="CG43" s="7556"/>
      <c r="CH43" s="7715">
        <f>SUM(CI43:CN43)</f>
        <v>0</v>
      </c>
      <c r="CI43" s="7039"/>
      <c r="CJ43" s="7039"/>
      <c r="CK43" s="7039"/>
      <c r="CL43" s="7039"/>
      <c r="CM43" s="7039"/>
      <c r="CN43" s="7556"/>
      <c r="CO43" s="7715">
        <f>SUM(CP43:CU43)</f>
        <v>0</v>
      </c>
      <c r="CP43" s="7039"/>
      <c r="CQ43" s="7039"/>
      <c r="CR43" s="7039"/>
      <c r="CS43" s="7039"/>
      <c r="CT43" s="7039"/>
      <c r="CU43" s="7556"/>
      <c r="CV43" s="7715">
        <f>SUM(CW43:DB43)</f>
        <v>0</v>
      </c>
      <c r="CW43" s="7039"/>
      <c r="CX43" s="7039"/>
      <c r="CY43" s="7039"/>
      <c r="CZ43" s="7039"/>
      <c r="DA43" s="7039"/>
      <c r="DB43" s="7556"/>
      <c r="DC43" s="7715">
        <f>SUM(DD43:DI43)</f>
        <v>0</v>
      </c>
      <c r="DD43" s="7039"/>
      <c r="DE43" s="7039"/>
      <c r="DF43" s="7039"/>
      <c r="DG43" s="7039"/>
      <c r="DH43" s="7039"/>
      <c r="DI43" s="7556"/>
      <c r="DJ43" s="7715">
        <f>SUM(DK43:DP43)</f>
        <v>0</v>
      </c>
      <c r="DK43" s="7039"/>
      <c r="DL43" s="7039"/>
      <c r="DM43" s="7039"/>
      <c r="DN43" s="7039"/>
      <c r="DO43" s="7039"/>
      <c r="DP43" s="7556"/>
      <c r="DQ43" s="7715">
        <f>SUM(DR43:EB43)</f>
        <v>0</v>
      </c>
      <c r="DR43" s="7039"/>
      <c r="DS43" s="7039"/>
      <c r="DT43" s="7039"/>
      <c r="DU43" s="7039"/>
      <c r="DV43" s="7039"/>
      <c r="DW43" s="7039"/>
      <c r="DX43" s="7039"/>
      <c r="DY43" s="7039"/>
      <c r="DZ43" s="7039"/>
      <c r="EA43" s="7039"/>
      <c r="EB43" s="7556"/>
      <c r="EC43" s="1358"/>
      <c r="EO43" s="1279">
        <v>34</v>
      </c>
    </row>
    <row customHeight="1" ht="11.549999999999999">
      <c r="F44" s="1354" t="s">
        <v>1449</v>
      </c>
      <c r="G44" s="1361" t="s">
        <v>1475</v>
      </c>
      <c r="H44" s="1360">
        <f>SUM(I44:J44)</f>
        <v>0</v>
      </c>
      <c r="I44" s="1360">
        <f>SUM(I45:I46)</f>
        <v>0</v>
      </c>
      <c r="J44" s="1349"/>
      <c r="K44" s="7715">
        <f>SUM(L44:V44)</f>
        <v>0</v>
      </c>
      <c r="L44" s="7715">
        <f>SUM(L45:L46)</f>
        <v>0</v>
      </c>
      <c r="M44" s="7715">
        <f>SUM(M45:M46)</f>
        <v>0</v>
      </c>
      <c r="N44" s="7715">
        <f>SUM(N45:N46)</f>
        <v>0</v>
      </c>
      <c r="O44" s="7715">
        <f>SUM(O45:O46)</f>
        <v>0</v>
      </c>
      <c r="P44" s="7715">
        <f>SUM(P45:P46)</f>
        <v>0</v>
      </c>
      <c r="Q44" s="7715">
        <f>SUM(Q45:Q46)</f>
        <v>0</v>
      </c>
      <c r="R44" s="7715">
        <f>SUM(R45:R46)</f>
        <v>0</v>
      </c>
      <c r="S44" s="7715">
        <f>SUM(S45:S46)</f>
        <v>0</v>
      </c>
      <c r="T44" s="7715">
        <f>SUM(T45:T46)</f>
        <v>0</v>
      </c>
      <c r="U44" s="7715">
        <f>SUM(U45:U46)</f>
        <v>0</v>
      </c>
      <c r="V44" s="7556"/>
      <c r="W44" s="7715">
        <f>SUM(X44:AC44)</f>
        <v>0</v>
      </c>
      <c r="X44" s="7715">
        <f>SUM(X45:X46)</f>
        <v>0</v>
      </c>
      <c r="Y44" s="7715">
        <f>SUM(Y45:Y46)</f>
        <v>0</v>
      </c>
      <c r="Z44" s="7715">
        <f>SUM(Z45:Z46)</f>
        <v>0</v>
      </c>
      <c r="AA44" s="7715">
        <f>SUM(AA45:AA46)</f>
        <v>0</v>
      </c>
      <c r="AB44" s="7715">
        <f>SUM(AB45:AB46)</f>
        <v>0</v>
      </c>
      <c r="AC44" s="7556"/>
      <c r="AD44" s="7715">
        <f>SUM(AE44:AJ44)</f>
        <v>0</v>
      </c>
      <c r="AE44" s="7715">
        <f>SUM(AE45:AE46)</f>
        <v>0</v>
      </c>
      <c r="AF44" s="7715">
        <f>SUM(AF45:AF46)</f>
        <v>0</v>
      </c>
      <c r="AG44" s="7715">
        <f>SUM(AG45:AG46)</f>
        <v>0</v>
      </c>
      <c r="AH44" s="7715">
        <f>SUM(AH45:AH46)</f>
        <v>0</v>
      </c>
      <c r="AI44" s="7715">
        <f>SUM(AI45:AI46)</f>
        <v>0</v>
      </c>
      <c r="AJ44" s="7556"/>
      <c r="AK44" s="7715">
        <f>SUM(AL44:AQ44)</f>
        <v>0</v>
      </c>
      <c r="AL44" s="7715">
        <f>SUM(AL45:AL46)</f>
        <v>0</v>
      </c>
      <c r="AM44" s="7715">
        <f>SUM(AM45:AM46)</f>
        <v>0</v>
      </c>
      <c r="AN44" s="7715">
        <f>SUM(AN45:AN46)</f>
        <v>0</v>
      </c>
      <c r="AO44" s="7715">
        <f>SUM(AO45:AO46)</f>
        <v>0</v>
      </c>
      <c r="AP44" s="7715">
        <f>SUM(AP45:AP46)</f>
        <v>0</v>
      </c>
      <c r="AQ44" s="7556"/>
      <c r="AR44" s="7715">
        <f>SUM(AS44:AX44)</f>
        <v>0</v>
      </c>
      <c r="AS44" s="7715">
        <f>SUM(AS45:AS46)</f>
        <v>0</v>
      </c>
      <c r="AT44" s="7715">
        <f>SUM(AT45:AT46)</f>
        <v>0</v>
      </c>
      <c r="AU44" s="7715">
        <f>SUM(AU45:AU46)</f>
        <v>0</v>
      </c>
      <c r="AV44" s="7715">
        <f>SUM(AV45:AV46)</f>
        <v>0</v>
      </c>
      <c r="AW44" s="7715">
        <f>SUM(AW45:AW46)</f>
        <v>0</v>
      </c>
      <c r="AX44" s="7556"/>
      <c r="AY44" s="7715">
        <f>SUM(AZ44:BE44)</f>
        <v>0</v>
      </c>
      <c r="AZ44" s="7715">
        <f>SUM(AZ45:AZ46)</f>
        <v>0</v>
      </c>
      <c r="BA44" s="7715">
        <f>SUM(BA45:BA46)</f>
        <v>0</v>
      </c>
      <c r="BB44" s="7715">
        <f>SUM(BB45:BB46)</f>
        <v>0</v>
      </c>
      <c r="BC44" s="7715">
        <f>SUM(BC45:BC46)</f>
        <v>0</v>
      </c>
      <c r="BD44" s="7715">
        <f>SUM(BD45:BD46)</f>
        <v>0</v>
      </c>
      <c r="BE44" s="7556"/>
      <c r="BF44" s="7715">
        <f>SUM(BG44:BL44)</f>
        <v>0</v>
      </c>
      <c r="BG44" s="7715">
        <f>SUM(BG45:BG46)</f>
        <v>0</v>
      </c>
      <c r="BH44" s="7715">
        <f>SUM(BH45:BH46)</f>
        <v>0</v>
      </c>
      <c r="BI44" s="7715">
        <f>SUM(BI45:BI46)</f>
        <v>0</v>
      </c>
      <c r="BJ44" s="7715">
        <f>SUM(BJ45:BJ46)</f>
        <v>0</v>
      </c>
      <c r="BK44" s="7715">
        <f>SUM(BK45:BK46)</f>
        <v>0</v>
      </c>
      <c r="BL44" s="7556"/>
      <c r="BM44" s="7715">
        <f>SUM(BN44:BS44)</f>
        <v>0</v>
      </c>
      <c r="BN44" s="7715">
        <f>SUM(BN45:BN46)</f>
        <v>0</v>
      </c>
      <c r="BO44" s="7715">
        <f>SUM(BO45:BO46)</f>
        <v>0</v>
      </c>
      <c r="BP44" s="7715">
        <f>SUM(BP45:BP46)</f>
        <v>0</v>
      </c>
      <c r="BQ44" s="7715">
        <f>SUM(BQ45:BQ46)</f>
        <v>0</v>
      </c>
      <c r="BR44" s="7715">
        <f>SUM(BR45:BR46)</f>
        <v>0</v>
      </c>
      <c r="BS44" s="7556"/>
      <c r="BT44" s="7715">
        <f>SUM(BU44:BZ44)</f>
        <v>0</v>
      </c>
      <c r="BU44" s="7715">
        <f>SUM(BU45:BU46)</f>
        <v>0</v>
      </c>
      <c r="BV44" s="7715">
        <f>SUM(BV45:BV46)</f>
        <v>0</v>
      </c>
      <c r="BW44" s="7715">
        <f>SUM(BW45:BW46)</f>
        <v>0</v>
      </c>
      <c r="BX44" s="7715">
        <f>SUM(BX45:BX46)</f>
        <v>0</v>
      </c>
      <c r="BY44" s="7715">
        <f>SUM(BY45:BY46)</f>
        <v>0</v>
      </c>
      <c r="BZ44" s="7556"/>
      <c r="CA44" s="7715">
        <f>SUM(CB44:CG44)</f>
        <v>0</v>
      </c>
      <c r="CB44" s="7715">
        <f>SUM(CB45:CB46)</f>
        <v>0</v>
      </c>
      <c r="CC44" s="7715">
        <f>SUM(CC45:CC46)</f>
        <v>0</v>
      </c>
      <c r="CD44" s="7715">
        <f>SUM(CD45:CD46)</f>
        <v>0</v>
      </c>
      <c r="CE44" s="7715">
        <f>SUM(CE45:CE46)</f>
        <v>0</v>
      </c>
      <c r="CF44" s="7715">
        <f>SUM(CF45:CF46)</f>
        <v>0</v>
      </c>
      <c r="CG44" s="7556"/>
      <c r="CH44" s="7715">
        <f>SUM(CI44:CN44)</f>
        <v>0</v>
      </c>
      <c r="CI44" s="7715">
        <f>SUM(CI45:CI46)</f>
        <v>0</v>
      </c>
      <c r="CJ44" s="7715">
        <f>SUM(CJ45:CJ46)</f>
        <v>0</v>
      </c>
      <c r="CK44" s="7715">
        <f>SUM(CK45:CK46)</f>
        <v>0</v>
      </c>
      <c r="CL44" s="7715">
        <f>SUM(CL45:CL46)</f>
        <v>0</v>
      </c>
      <c r="CM44" s="7715">
        <f>SUM(CM45:CM46)</f>
        <v>0</v>
      </c>
      <c r="CN44" s="7556"/>
      <c r="CO44" s="7715">
        <f>SUM(CP44:CU44)</f>
        <v>0</v>
      </c>
      <c r="CP44" s="7715">
        <f>SUM(CP45:CP46)</f>
        <v>0</v>
      </c>
      <c r="CQ44" s="7715">
        <f>SUM(CQ45:CQ46)</f>
        <v>0</v>
      </c>
      <c r="CR44" s="7715">
        <f>SUM(CR45:CR46)</f>
        <v>0</v>
      </c>
      <c r="CS44" s="7715">
        <f>SUM(CS45:CS46)</f>
        <v>0</v>
      </c>
      <c r="CT44" s="7715">
        <f>SUM(CT45:CT46)</f>
        <v>0</v>
      </c>
      <c r="CU44" s="7556"/>
      <c r="CV44" s="7715">
        <f>SUM(CW44:DB44)</f>
        <v>0</v>
      </c>
      <c r="CW44" s="7715">
        <f>SUM(CW45:CW46)</f>
        <v>0</v>
      </c>
      <c r="CX44" s="7715">
        <f>SUM(CX45:CX46)</f>
        <v>0</v>
      </c>
      <c r="CY44" s="7715">
        <f>SUM(CY45:CY46)</f>
        <v>0</v>
      </c>
      <c r="CZ44" s="7715">
        <f>SUM(CZ45:CZ46)</f>
        <v>0</v>
      </c>
      <c r="DA44" s="7715">
        <f>SUM(DA45:DA46)</f>
        <v>0</v>
      </c>
      <c r="DB44" s="7556"/>
      <c r="DC44" s="7715">
        <f>SUM(DD44:DI44)</f>
        <v>0</v>
      </c>
      <c r="DD44" s="7715">
        <f>SUM(DD45:DD46)</f>
        <v>0</v>
      </c>
      <c r="DE44" s="7715">
        <f>SUM(DE45:DE46)</f>
        <v>0</v>
      </c>
      <c r="DF44" s="7715">
        <f>SUM(DF45:DF46)</f>
        <v>0</v>
      </c>
      <c r="DG44" s="7715">
        <f>SUM(DG45:DG46)</f>
        <v>0</v>
      </c>
      <c r="DH44" s="7715">
        <f>SUM(DH45:DH46)</f>
        <v>0</v>
      </c>
      <c r="DI44" s="7556"/>
      <c r="DJ44" s="7715">
        <f>SUM(DK44:DP44)</f>
        <v>0</v>
      </c>
      <c r="DK44" s="7715">
        <f>SUM(DK45:DK46)</f>
        <v>0</v>
      </c>
      <c r="DL44" s="7715">
        <f>SUM(DL45:DL46)</f>
        <v>0</v>
      </c>
      <c r="DM44" s="7715">
        <f>SUM(DM45:DM46)</f>
        <v>0</v>
      </c>
      <c r="DN44" s="7715">
        <f>SUM(DN45:DN46)</f>
        <v>0</v>
      </c>
      <c r="DO44" s="7715">
        <f>SUM(DO45:DO46)</f>
        <v>0</v>
      </c>
      <c r="DP44" s="7556"/>
      <c r="DQ44" s="7715">
        <f>SUM(DR44:EB44)</f>
        <v>0</v>
      </c>
      <c r="DR44" s="7715">
        <f>SUM(DR45:DR46)</f>
        <v>0</v>
      </c>
      <c r="DS44" s="7715">
        <f>SUM(DS45:DS46)</f>
        <v>0</v>
      </c>
      <c r="DT44" s="7715">
        <f>SUM(DT45:DT46)</f>
        <v>0</v>
      </c>
      <c r="DU44" s="7715">
        <f>SUM(DU45:DU46)</f>
        <v>0</v>
      </c>
      <c r="DV44" s="7715">
        <f>SUM(DV45:DV46)</f>
        <v>0</v>
      </c>
      <c r="DW44" s="7715">
        <f>SUM(DW45:DW46)</f>
        <v>0</v>
      </c>
      <c r="DX44" s="7715">
        <f>SUM(DX45:DX46)</f>
        <v>0</v>
      </c>
      <c r="DY44" s="7715">
        <f>SUM(DY45:DY46)</f>
        <v>0</v>
      </c>
      <c r="DZ44" s="7715">
        <f>SUM(DZ45:DZ46)</f>
        <v>0</v>
      </c>
      <c r="EA44" s="7715">
        <f>SUM(EA45:EA46)</f>
        <v>0</v>
      </c>
      <c r="EB44" s="7556"/>
      <c r="EC44" s="1358"/>
      <c r="EO44" s="1279">
        <v>11</v>
      </c>
    </row>
    <row customHeight="1" ht="48.29999999999999">
      <c r="F45" s="1354" t="s">
        <v>1491</v>
      </c>
      <c r="G45" s="1362" t="s">
        <v>1476</v>
      </c>
      <c r="H45" s="1360">
        <f>SUM(I45:J45)</f>
        <v>0</v>
      </c>
      <c r="I45" s="1359"/>
      <c r="J45" s="1349"/>
      <c r="K45" s="7715">
        <f>SUM(L45:V45)</f>
        <v>0</v>
      </c>
      <c r="L45" s="7039"/>
      <c r="M45" s="7039"/>
      <c r="N45" s="7039"/>
      <c r="O45" s="7039"/>
      <c r="P45" s="7039"/>
      <c r="Q45" s="7039"/>
      <c r="R45" s="7039"/>
      <c r="S45" s="7039"/>
      <c r="T45" s="7039"/>
      <c r="U45" s="7039"/>
      <c r="V45" s="7556"/>
      <c r="W45" s="7715">
        <f>SUM(X45:AC45)</f>
        <v>0</v>
      </c>
      <c r="X45" s="7039"/>
      <c r="Y45" s="7039"/>
      <c r="Z45" s="7039"/>
      <c r="AA45" s="7039"/>
      <c r="AB45" s="7039"/>
      <c r="AC45" s="7556"/>
      <c r="AD45" s="7715">
        <f>SUM(AE45:AJ45)</f>
        <v>0</v>
      </c>
      <c r="AE45" s="7039"/>
      <c r="AF45" s="7039"/>
      <c r="AG45" s="7039"/>
      <c r="AH45" s="7039"/>
      <c r="AI45" s="7039"/>
      <c r="AJ45" s="7556"/>
      <c r="AK45" s="7715">
        <f>SUM(AL45:AQ45)</f>
        <v>0</v>
      </c>
      <c r="AL45" s="7039"/>
      <c r="AM45" s="7039"/>
      <c r="AN45" s="7039"/>
      <c r="AO45" s="7039"/>
      <c r="AP45" s="7039"/>
      <c r="AQ45" s="7556"/>
      <c r="AR45" s="7715">
        <f>SUM(AS45:AX45)</f>
        <v>0</v>
      </c>
      <c r="AS45" s="7039"/>
      <c r="AT45" s="7039"/>
      <c r="AU45" s="7039"/>
      <c r="AV45" s="7039"/>
      <c r="AW45" s="7039"/>
      <c r="AX45" s="7556"/>
      <c r="AY45" s="7715">
        <f>SUM(AZ45:BE45)</f>
        <v>0</v>
      </c>
      <c r="AZ45" s="7039"/>
      <c r="BA45" s="7039"/>
      <c r="BB45" s="7039"/>
      <c r="BC45" s="7039"/>
      <c r="BD45" s="7039"/>
      <c r="BE45" s="7556"/>
      <c r="BF45" s="7715">
        <f>SUM(BG45:BL45)</f>
        <v>0</v>
      </c>
      <c r="BG45" s="7039"/>
      <c r="BH45" s="7039"/>
      <c r="BI45" s="7039"/>
      <c r="BJ45" s="7039"/>
      <c r="BK45" s="7039"/>
      <c r="BL45" s="7556"/>
      <c r="BM45" s="7715">
        <f>SUM(BN45:BS45)</f>
        <v>0</v>
      </c>
      <c r="BN45" s="7039"/>
      <c r="BO45" s="7039"/>
      <c r="BP45" s="7039"/>
      <c r="BQ45" s="7039"/>
      <c r="BR45" s="7039"/>
      <c r="BS45" s="7556"/>
      <c r="BT45" s="7715">
        <f>SUM(BU45:BZ45)</f>
        <v>0</v>
      </c>
      <c r="BU45" s="7039"/>
      <c r="BV45" s="7039"/>
      <c r="BW45" s="7039"/>
      <c r="BX45" s="7039"/>
      <c r="BY45" s="7039"/>
      <c r="BZ45" s="7556"/>
      <c r="CA45" s="7715">
        <f>SUM(CB45:CG45)</f>
        <v>0</v>
      </c>
      <c r="CB45" s="7039"/>
      <c r="CC45" s="7039"/>
      <c r="CD45" s="7039"/>
      <c r="CE45" s="7039"/>
      <c r="CF45" s="7039"/>
      <c r="CG45" s="7556"/>
      <c r="CH45" s="7715">
        <f>SUM(CI45:CN45)</f>
        <v>0</v>
      </c>
      <c r="CI45" s="7039"/>
      <c r="CJ45" s="7039"/>
      <c r="CK45" s="7039"/>
      <c r="CL45" s="7039"/>
      <c r="CM45" s="7039"/>
      <c r="CN45" s="7556"/>
      <c r="CO45" s="7715">
        <f>SUM(CP45:CU45)</f>
        <v>0</v>
      </c>
      <c r="CP45" s="7039"/>
      <c r="CQ45" s="7039"/>
      <c r="CR45" s="7039"/>
      <c r="CS45" s="7039"/>
      <c r="CT45" s="7039"/>
      <c r="CU45" s="7556"/>
      <c r="CV45" s="7715">
        <f>SUM(CW45:DB45)</f>
        <v>0</v>
      </c>
      <c r="CW45" s="7039"/>
      <c r="CX45" s="7039"/>
      <c r="CY45" s="7039"/>
      <c r="CZ45" s="7039"/>
      <c r="DA45" s="7039"/>
      <c r="DB45" s="7556"/>
      <c r="DC45" s="7715">
        <f>SUM(DD45:DI45)</f>
        <v>0</v>
      </c>
      <c r="DD45" s="7039"/>
      <c r="DE45" s="7039"/>
      <c r="DF45" s="7039"/>
      <c r="DG45" s="7039"/>
      <c r="DH45" s="7039"/>
      <c r="DI45" s="7556"/>
      <c r="DJ45" s="7715">
        <f>SUM(DK45:DP45)</f>
        <v>0</v>
      </c>
      <c r="DK45" s="7039"/>
      <c r="DL45" s="7039"/>
      <c r="DM45" s="7039"/>
      <c r="DN45" s="7039"/>
      <c r="DO45" s="7039"/>
      <c r="DP45" s="7556"/>
      <c r="DQ45" s="7715">
        <f>SUM(DR45:EB45)</f>
        <v>0</v>
      </c>
      <c r="DR45" s="7039"/>
      <c r="DS45" s="7039"/>
      <c r="DT45" s="7039"/>
      <c r="DU45" s="7039"/>
      <c r="DV45" s="7039"/>
      <c r="DW45" s="7039"/>
      <c r="DX45" s="7039"/>
      <c r="DY45" s="7039"/>
      <c r="DZ45" s="7039"/>
      <c r="EA45" s="7039"/>
      <c r="EB45" s="7556"/>
      <c r="EC45" s="1358"/>
      <c r="EO45" s="1279">
        <v>46</v>
      </c>
    </row>
    <row customHeight="1" ht="11.549999999999999">
      <c r="F46" s="1354" t="s">
        <v>1492</v>
      </c>
      <c r="G46" s="1362" t="s">
        <v>1477</v>
      </c>
      <c r="H46" s="1360">
        <f>SUM(I46:J46)</f>
        <v>0</v>
      </c>
      <c r="I46" s="1359"/>
      <c r="J46" s="1349"/>
      <c r="K46" s="7715">
        <f>SUM(L46:V46)</f>
        <v>0</v>
      </c>
      <c r="L46" s="7039"/>
      <c r="M46" s="7039"/>
      <c r="N46" s="7039"/>
      <c r="O46" s="7039"/>
      <c r="P46" s="7039"/>
      <c r="Q46" s="7039"/>
      <c r="R46" s="7039"/>
      <c r="S46" s="7039"/>
      <c r="T46" s="7039"/>
      <c r="U46" s="7039"/>
      <c r="V46" s="7556"/>
      <c r="W46" s="7715">
        <f>SUM(X46:AC46)</f>
        <v>0</v>
      </c>
      <c r="X46" s="7039"/>
      <c r="Y46" s="7039"/>
      <c r="Z46" s="7039"/>
      <c r="AA46" s="7039"/>
      <c r="AB46" s="7039"/>
      <c r="AC46" s="7556"/>
      <c r="AD46" s="7715">
        <f>SUM(AE46:AJ46)</f>
        <v>0</v>
      </c>
      <c r="AE46" s="7039"/>
      <c r="AF46" s="7039"/>
      <c r="AG46" s="7039"/>
      <c r="AH46" s="7039"/>
      <c r="AI46" s="7039"/>
      <c r="AJ46" s="7556"/>
      <c r="AK46" s="7715">
        <f>SUM(AL46:AQ46)</f>
        <v>0</v>
      </c>
      <c r="AL46" s="7039"/>
      <c r="AM46" s="7039"/>
      <c r="AN46" s="7039"/>
      <c r="AO46" s="7039"/>
      <c r="AP46" s="7039"/>
      <c r="AQ46" s="7556"/>
      <c r="AR46" s="7715">
        <f>SUM(AS46:AX46)</f>
        <v>0</v>
      </c>
      <c r="AS46" s="7039"/>
      <c r="AT46" s="7039"/>
      <c r="AU46" s="7039"/>
      <c r="AV46" s="7039"/>
      <c r="AW46" s="7039"/>
      <c r="AX46" s="7556"/>
      <c r="AY46" s="7715">
        <f>SUM(AZ46:BE46)</f>
        <v>0</v>
      </c>
      <c r="AZ46" s="7039"/>
      <c r="BA46" s="7039"/>
      <c r="BB46" s="7039"/>
      <c r="BC46" s="7039"/>
      <c r="BD46" s="7039"/>
      <c r="BE46" s="7556"/>
      <c r="BF46" s="7715">
        <f>SUM(BG46:BL46)</f>
        <v>0</v>
      </c>
      <c r="BG46" s="7039"/>
      <c r="BH46" s="7039"/>
      <c r="BI46" s="7039"/>
      <c r="BJ46" s="7039"/>
      <c r="BK46" s="7039"/>
      <c r="BL46" s="7556"/>
      <c r="BM46" s="7715">
        <f>SUM(BN46:BS46)</f>
        <v>0</v>
      </c>
      <c r="BN46" s="7039"/>
      <c r="BO46" s="7039"/>
      <c r="BP46" s="7039"/>
      <c r="BQ46" s="7039"/>
      <c r="BR46" s="7039"/>
      <c r="BS46" s="7556"/>
      <c r="BT46" s="7715">
        <f>SUM(BU46:BZ46)</f>
        <v>0</v>
      </c>
      <c r="BU46" s="7039"/>
      <c r="BV46" s="7039"/>
      <c r="BW46" s="7039"/>
      <c r="BX46" s="7039"/>
      <c r="BY46" s="7039"/>
      <c r="BZ46" s="7556"/>
      <c r="CA46" s="7715">
        <f>SUM(CB46:CG46)</f>
        <v>0</v>
      </c>
      <c r="CB46" s="7039"/>
      <c r="CC46" s="7039"/>
      <c r="CD46" s="7039"/>
      <c r="CE46" s="7039"/>
      <c r="CF46" s="7039"/>
      <c r="CG46" s="7556"/>
      <c r="CH46" s="7715">
        <f>SUM(CI46:CN46)</f>
        <v>0</v>
      </c>
      <c r="CI46" s="7039"/>
      <c r="CJ46" s="7039"/>
      <c r="CK46" s="7039"/>
      <c r="CL46" s="7039"/>
      <c r="CM46" s="7039"/>
      <c r="CN46" s="7556"/>
      <c r="CO46" s="7715">
        <f>SUM(CP46:CU46)</f>
        <v>0</v>
      </c>
      <c r="CP46" s="7039"/>
      <c r="CQ46" s="7039"/>
      <c r="CR46" s="7039"/>
      <c r="CS46" s="7039"/>
      <c r="CT46" s="7039"/>
      <c r="CU46" s="7556"/>
      <c r="CV46" s="7715">
        <f>SUM(CW46:DB46)</f>
        <v>0</v>
      </c>
      <c r="CW46" s="7039"/>
      <c r="CX46" s="7039"/>
      <c r="CY46" s="7039"/>
      <c r="CZ46" s="7039"/>
      <c r="DA46" s="7039"/>
      <c r="DB46" s="7556"/>
      <c r="DC46" s="7715">
        <f>SUM(DD46:DI46)</f>
        <v>0</v>
      </c>
      <c r="DD46" s="7039"/>
      <c r="DE46" s="7039"/>
      <c r="DF46" s="7039"/>
      <c r="DG46" s="7039"/>
      <c r="DH46" s="7039"/>
      <c r="DI46" s="7556"/>
      <c r="DJ46" s="7715">
        <f>SUM(DK46:DP46)</f>
        <v>0</v>
      </c>
      <c r="DK46" s="7039"/>
      <c r="DL46" s="7039"/>
      <c r="DM46" s="7039"/>
      <c r="DN46" s="7039"/>
      <c r="DO46" s="7039"/>
      <c r="DP46" s="7556"/>
      <c r="DQ46" s="7715">
        <f>SUM(DR46:EB46)</f>
        <v>0</v>
      </c>
      <c r="DR46" s="7039"/>
      <c r="DS46" s="7039"/>
      <c r="DT46" s="7039"/>
      <c r="DU46" s="7039"/>
      <c r="DV46" s="7039"/>
      <c r="DW46" s="7039"/>
      <c r="DX46" s="7039"/>
      <c r="DY46" s="7039"/>
      <c r="DZ46" s="7039"/>
      <c r="EA46" s="7039"/>
      <c r="EB46" s="7556"/>
      <c r="EC46" s="1358"/>
      <c r="EO46" s="1279">
        <v>11</v>
      </c>
    </row>
    <row customHeight="1" ht="11.549999999999999">
      <c r="F47" s="1354" t="s">
        <v>1451</v>
      </c>
      <c r="G47" s="1361" t="s">
        <v>1493</v>
      </c>
      <c r="H47" s="1360">
        <f>SUM(I47:J47)</f>
        <v>0</v>
      </c>
      <c r="I47" s="1359"/>
      <c r="J47" s="1349"/>
      <c r="K47" s="7715">
        <f>SUM(L47:V47)</f>
        <v>0</v>
      </c>
      <c r="L47" s="7039"/>
      <c r="M47" s="7039"/>
      <c r="N47" s="7039"/>
      <c r="O47" s="7039"/>
      <c r="P47" s="7039"/>
      <c r="Q47" s="7039"/>
      <c r="R47" s="7039"/>
      <c r="S47" s="7039"/>
      <c r="T47" s="7039"/>
      <c r="U47" s="7039"/>
      <c r="V47" s="7556"/>
      <c r="W47" s="7715">
        <f>SUM(X47:AC47)</f>
        <v>0</v>
      </c>
      <c r="X47" s="7039"/>
      <c r="Y47" s="7039"/>
      <c r="Z47" s="7039"/>
      <c r="AA47" s="7039"/>
      <c r="AB47" s="7039"/>
      <c r="AC47" s="7556"/>
      <c r="AD47" s="7715">
        <f>SUM(AE47:AJ47)</f>
        <v>0</v>
      </c>
      <c r="AE47" s="7039"/>
      <c r="AF47" s="7039"/>
      <c r="AG47" s="7039"/>
      <c r="AH47" s="7039"/>
      <c r="AI47" s="7039"/>
      <c r="AJ47" s="7556"/>
      <c r="AK47" s="7715">
        <f>SUM(AL47:AQ47)</f>
        <v>0</v>
      </c>
      <c r="AL47" s="7039"/>
      <c r="AM47" s="7039"/>
      <c r="AN47" s="7039"/>
      <c r="AO47" s="7039"/>
      <c r="AP47" s="7039"/>
      <c r="AQ47" s="7556"/>
      <c r="AR47" s="7715">
        <f>SUM(AS47:AX47)</f>
        <v>0</v>
      </c>
      <c r="AS47" s="7039"/>
      <c r="AT47" s="7039"/>
      <c r="AU47" s="7039"/>
      <c r="AV47" s="7039"/>
      <c r="AW47" s="7039"/>
      <c r="AX47" s="7556"/>
      <c r="AY47" s="7715">
        <f>SUM(AZ47:BE47)</f>
        <v>0</v>
      </c>
      <c r="AZ47" s="7039"/>
      <c r="BA47" s="7039"/>
      <c r="BB47" s="7039"/>
      <c r="BC47" s="7039"/>
      <c r="BD47" s="7039"/>
      <c r="BE47" s="7556"/>
      <c r="BF47" s="7715">
        <f>SUM(BG47:BL47)</f>
        <v>0</v>
      </c>
      <c r="BG47" s="7039"/>
      <c r="BH47" s="7039"/>
      <c r="BI47" s="7039"/>
      <c r="BJ47" s="7039"/>
      <c r="BK47" s="7039"/>
      <c r="BL47" s="7556"/>
      <c r="BM47" s="7715">
        <f>SUM(BN47:BS47)</f>
        <v>0</v>
      </c>
      <c r="BN47" s="7039"/>
      <c r="BO47" s="7039"/>
      <c r="BP47" s="7039"/>
      <c r="BQ47" s="7039"/>
      <c r="BR47" s="7039"/>
      <c r="BS47" s="7556"/>
      <c r="BT47" s="7715">
        <f>SUM(BU47:BZ47)</f>
        <v>0</v>
      </c>
      <c r="BU47" s="7039"/>
      <c r="BV47" s="7039"/>
      <c r="BW47" s="7039"/>
      <c r="BX47" s="7039"/>
      <c r="BY47" s="7039"/>
      <c r="BZ47" s="7556"/>
      <c r="CA47" s="7715">
        <f>SUM(CB47:CG47)</f>
        <v>0</v>
      </c>
      <c r="CB47" s="7039"/>
      <c r="CC47" s="7039"/>
      <c r="CD47" s="7039"/>
      <c r="CE47" s="7039"/>
      <c r="CF47" s="7039"/>
      <c r="CG47" s="7556"/>
      <c r="CH47" s="7715">
        <f>SUM(CI47:CN47)</f>
        <v>0</v>
      </c>
      <c r="CI47" s="7039"/>
      <c r="CJ47" s="7039"/>
      <c r="CK47" s="7039"/>
      <c r="CL47" s="7039"/>
      <c r="CM47" s="7039"/>
      <c r="CN47" s="7556"/>
      <c r="CO47" s="7715">
        <f>SUM(CP47:CU47)</f>
        <v>0</v>
      </c>
      <c r="CP47" s="7039"/>
      <c r="CQ47" s="7039"/>
      <c r="CR47" s="7039"/>
      <c r="CS47" s="7039"/>
      <c r="CT47" s="7039"/>
      <c r="CU47" s="7556"/>
      <c r="CV47" s="7715">
        <f>SUM(CW47:DB47)</f>
        <v>0</v>
      </c>
      <c r="CW47" s="7039"/>
      <c r="CX47" s="7039"/>
      <c r="CY47" s="7039"/>
      <c r="CZ47" s="7039"/>
      <c r="DA47" s="7039"/>
      <c r="DB47" s="7556"/>
      <c r="DC47" s="7715">
        <f>SUM(DD47:DI47)</f>
        <v>0</v>
      </c>
      <c r="DD47" s="7039"/>
      <c r="DE47" s="7039"/>
      <c r="DF47" s="7039"/>
      <c r="DG47" s="7039"/>
      <c r="DH47" s="7039"/>
      <c r="DI47" s="7556"/>
      <c r="DJ47" s="7715">
        <f>SUM(DK47:DP47)</f>
        <v>0</v>
      </c>
      <c r="DK47" s="7039"/>
      <c r="DL47" s="7039"/>
      <c r="DM47" s="7039"/>
      <c r="DN47" s="7039"/>
      <c r="DO47" s="7039"/>
      <c r="DP47" s="7556"/>
      <c r="DQ47" s="7715">
        <f>SUM(DR47:EB47)</f>
        <v>0</v>
      </c>
      <c r="DR47" s="7039"/>
      <c r="DS47" s="7039"/>
      <c r="DT47" s="7039"/>
      <c r="DU47" s="7039"/>
      <c r="DV47" s="7039"/>
      <c r="DW47" s="7039"/>
      <c r="DX47" s="7039"/>
      <c r="DY47" s="7039"/>
      <c r="DZ47" s="7039"/>
      <c r="EA47" s="7039"/>
      <c r="EB47" s="7556"/>
      <c r="EC47" s="1358"/>
      <c r="EO47" s="1279">
        <v>11</v>
      </c>
    </row>
    <row customHeight="1" ht="24">
      <c r="F48" s="1354" t="s">
        <v>102</v>
      </c>
      <c r="G48" s="814" t="s">
        <v>1494</v>
      </c>
      <c r="H48" s="1360">
        <f>SUM(I48:J48)</f>
        <v>0</v>
      </c>
      <c r="I48" s="1360">
        <f>SUM(I49,I54,I57)</f>
        <v>0</v>
      </c>
      <c r="J48" s="1349"/>
      <c r="K48" s="7715">
        <f>SUM(L48:V48)</f>
        <v>0</v>
      </c>
      <c r="L48" s="7715">
        <f>SUM(L49,L54,L57)</f>
        <v>0</v>
      </c>
      <c r="M48" s="7715">
        <f>SUM(M49,M54,M57)</f>
        <v>0</v>
      </c>
      <c r="N48" s="7715">
        <f>SUM(N49,N54,N57)</f>
        <v>0</v>
      </c>
      <c r="O48" s="7715">
        <f>SUM(O49,O54,O57)</f>
        <v>0</v>
      </c>
      <c r="P48" s="7715">
        <f>SUM(P49,P54,P57)</f>
        <v>0</v>
      </c>
      <c r="Q48" s="7715">
        <f>SUM(Q49,Q54,Q57)</f>
        <v>0</v>
      </c>
      <c r="R48" s="7715">
        <f>SUM(R49,R54,R57)</f>
        <v>0</v>
      </c>
      <c r="S48" s="7715">
        <f>SUM(S49,S54,S57)</f>
        <v>0</v>
      </c>
      <c r="T48" s="7715">
        <f>SUM(T49,T54,T57)</f>
        <v>0</v>
      </c>
      <c r="U48" s="7715">
        <f>SUM(U49,U54,U57)</f>
        <v>0</v>
      </c>
      <c r="V48" s="7556"/>
      <c r="W48" s="7715">
        <f>SUM(X48:AC48)</f>
        <v>0</v>
      </c>
      <c r="X48" s="7715">
        <f>SUM(X49,X54,X57)</f>
        <v>0</v>
      </c>
      <c r="Y48" s="7715">
        <f>SUM(Y49,Y54,Y57)</f>
        <v>0</v>
      </c>
      <c r="Z48" s="7715">
        <f>SUM(Z49,Z54,Z57)</f>
        <v>0</v>
      </c>
      <c r="AA48" s="7715">
        <f>SUM(AA49,AA54,AA57)</f>
        <v>0</v>
      </c>
      <c r="AB48" s="7715">
        <f>SUM(AB49,AB54,AB57)</f>
        <v>0</v>
      </c>
      <c r="AC48" s="7556"/>
      <c r="AD48" s="7715">
        <f>SUM(AE48:AJ48)</f>
        <v>0</v>
      </c>
      <c r="AE48" s="7715">
        <f>SUM(AE49,AE54,AE57)</f>
        <v>0</v>
      </c>
      <c r="AF48" s="7715">
        <f>SUM(AF49,AF54,AF57)</f>
        <v>0</v>
      </c>
      <c r="AG48" s="7715">
        <f>SUM(AG49,AG54,AG57)</f>
        <v>0</v>
      </c>
      <c r="AH48" s="7715">
        <f>SUM(AH49,AH54,AH57)</f>
        <v>0</v>
      </c>
      <c r="AI48" s="7715">
        <f>SUM(AI49,AI54,AI57)</f>
        <v>0</v>
      </c>
      <c r="AJ48" s="7556"/>
      <c r="AK48" s="7715">
        <f>SUM(AL48:AQ48)</f>
        <v>0</v>
      </c>
      <c r="AL48" s="7715">
        <f>SUM(AL49,AL54,AL57)</f>
        <v>0</v>
      </c>
      <c r="AM48" s="7715">
        <f>SUM(AM49,AM54,AM57)</f>
        <v>0</v>
      </c>
      <c r="AN48" s="7715">
        <f>SUM(AN49,AN54,AN57)</f>
        <v>0</v>
      </c>
      <c r="AO48" s="7715">
        <f>SUM(AO49,AO54,AO57)</f>
        <v>0</v>
      </c>
      <c r="AP48" s="7715">
        <f>SUM(AP49,AP54,AP57)</f>
        <v>0</v>
      </c>
      <c r="AQ48" s="7556"/>
      <c r="AR48" s="7715">
        <f>SUM(AS48:AX48)</f>
        <v>0</v>
      </c>
      <c r="AS48" s="7715">
        <f>SUM(AS49,AS54,AS57)</f>
        <v>0</v>
      </c>
      <c r="AT48" s="7715">
        <f>SUM(AT49,AT54,AT57)</f>
        <v>0</v>
      </c>
      <c r="AU48" s="7715">
        <f>SUM(AU49,AU54,AU57)</f>
        <v>0</v>
      </c>
      <c r="AV48" s="7715">
        <f>SUM(AV49,AV54,AV57)</f>
        <v>0</v>
      </c>
      <c r="AW48" s="7715">
        <f>SUM(AW49,AW54,AW57)</f>
        <v>0</v>
      </c>
      <c r="AX48" s="7556"/>
      <c r="AY48" s="7715">
        <f>SUM(AZ48:BE48)</f>
        <v>0</v>
      </c>
      <c r="AZ48" s="7715">
        <f>SUM(AZ49,AZ54,AZ57)</f>
        <v>0</v>
      </c>
      <c r="BA48" s="7715">
        <f>SUM(BA49,BA54,BA57)</f>
        <v>0</v>
      </c>
      <c r="BB48" s="7715">
        <f>SUM(BB49,BB54,BB57)</f>
        <v>0</v>
      </c>
      <c r="BC48" s="7715">
        <f>SUM(BC49,BC54,BC57)</f>
        <v>0</v>
      </c>
      <c r="BD48" s="7715">
        <f>SUM(BD49,BD54,BD57)</f>
        <v>0</v>
      </c>
      <c r="BE48" s="7556"/>
      <c r="BF48" s="7715">
        <f>SUM(BG48:BL48)</f>
        <v>0</v>
      </c>
      <c r="BG48" s="7715">
        <f>SUM(BG49,BG54,BG57)</f>
        <v>0</v>
      </c>
      <c r="BH48" s="7715">
        <f>SUM(BH49,BH54,BH57)</f>
        <v>0</v>
      </c>
      <c r="BI48" s="7715">
        <f>SUM(BI49,BI54,BI57)</f>
        <v>0</v>
      </c>
      <c r="BJ48" s="7715">
        <f>SUM(BJ49,BJ54,BJ57)</f>
        <v>0</v>
      </c>
      <c r="BK48" s="7715">
        <f>SUM(BK49,BK54,BK57)</f>
        <v>0</v>
      </c>
      <c r="BL48" s="7556"/>
      <c r="BM48" s="7715">
        <f>SUM(BN48:BS48)</f>
        <v>0</v>
      </c>
      <c r="BN48" s="7715">
        <f>SUM(BN49,BN54,BN57)</f>
        <v>0</v>
      </c>
      <c r="BO48" s="7715">
        <f>SUM(BO49,BO54,BO57)</f>
        <v>0</v>
      </c>
      <c r="BP48" s="7715">
        <f>SUM(BP49,BP54,BP57)</f>
        <v>0</v>
      </c>
      <c r="BQ48" s="7715">
        <f>SUM(BQ49,BQ54,BQ57)</f>
        <v>0</v>
      </c>
      <c r="BR48" s="7715">
        <f>SUM(BR49,BR54,BR57)</f>
        <v>0</v>
      </c>
      <c r="BS48" s="7556"/>
      <c r="BT48" s="7715">
        <f>SUM(BU48:BZ48)</f>
        <v>0</v>
      </c>
      <c r="BU48" s="7715">
        <f>SUM(BU49,BU54,BU57)</f>
        <v>0</v>
      </c>
      <c r="BV48" s="7715">
        <f>SUM(BV49,BV54,BV57)</f>
        <v>0</v>
      </c>
      <c r="BW48" s="7715">
        <f>SUM(BW49,BW54,BW57)</f>
        <v>0</v>
      </c>
      <c r="BX48" s="7715">
        <f>SUM(BX49,BX54,BX57)</f>
        <v>0</v>
      </c>
      <c r="BY48" s="7715">
        <f>SUM(BY49,BY54,BY57)</f>
        <v>0</v>
      </c>
      <c r="BZ48" s="7556"/>
      <c r="CA48" s="7715">
        <f>SUM(CB48:CG48)</f>
        <v>0</v>
      </c>
      <c r="CB48" s="7715">
        <f>SUM(CB49,CB54,CB57)</f>
        <v>0</v>
      </c>
      <c r="CC48" s="7715">
        <f>SUM(CC49,CC54,CC57)</f>
        <v>0</v>
      </c>
      <c r="CD48" s="7715">
        <f>SUM(CD49,CD54,CD57)</f>
        <v>0</v>
      </c>
      <c r="CE48" s="7715">
        <f>SUM(CE49,CE54,CE57)</f>
        <v>0</v>
      </c>
      <c r="CF48" s="7715">
        <f>SUM(CF49,CF54,CF57)</f>
        <v>0</v>
      </c>
      <c r="CG48" s="7556"/>
      <c r="CH48" s="7715">
        <f>SUM(CI48:CN48)</f>
        <v>0</v>
      </c>
      <c r="CI48" s="7715">
        <f>SUM(CI49,CI54,CI57)</f>
        <v>0</v>
      </c>
      <c r="CJ48" s="7715">
        <f>SUM(CJ49,CJ54,CJ57)</f>
        <v>0</v>
      </c>
      <c r="CK48" s="7715">
        <f>SUM(CK49,CK54,CK57)</f>
        <v>0</v>
      </c>
      <c r="CL48" s="7715">
        <f>SUM(CL49,CL54,CL57)</f>
        <v>0</v>
      </c>
      <c r="CM48" s="7715">
        <f>SUM(CM49,CM54,CM57)</f>
        <v>0</v>
      </c>
      <c r="CN48" s="7556"/>
      <c r="CO48" s="7715">
        <f>SUM(CP48:CU48)</f>
        <v>0</v>
      </c>
      <c r="CP48" s="7715">
        <f>SUM(CP49,CP54,CP57)</f>
        <v>0</v>
      </c>
      <c r="CQ48" s="7715">
        <f>SUM(CQ49,CQ54,CQ57)</f>
        <v>0</v>
      </c>
      <c r="CR48" s="7715">
        <f>SUM(CR49,CR54,CR57)</f>
        <v>0</v>
      </c>
      <c r="CS48" s="7715">
        <f>SUM(CS49,CS54,CS57)</f>
        <v>0</v>
      </c>
      <c r="CT48" s="7715">
        <f>SUM(CT49,CT54,CT57)</f>
        <v>0</v>
      </c>
      <c r="CU48" s="7556"/>
      <c r="CV48" s="7715">
        <f>SUM(CW48:DB48)</f>
        <v>0</v>
      </c>
      <c r="CW48" s="7715">
        <f>SUM(CW49,CW54,CW57)</f>
        <v>0</v>
      </c>
      <c r="CX48" s="7715">
        <f>SUM(CX49,CX54,CX57)</f>
        <v>0</v>
      </c>
      <c r="CY48" s="7715">
        <f>SUM(CY49,CY54,CY57)</f>
        <v>0</v>
      </c>
      <c r="CZ48" s="7715">
        <f>SUM(CZ49,CZ54,CZ57)</f>
        <v>0</v>
      </c>
      <c r="DA48" s="7715">
        <f>SUM(DA49,DA54,DA57)</f>
        <v>0</v>
      </c>
      <c r="DB48" s="7556"/>
      <c r="DC48" s="7715">
        <f>SUM(DD48:DI48)</f>
        <v>0</v>
      </c>
      <c r="DD48" s="7715">
        <f>SUM(DD49,DD54,DD57)</f>
        <v>0</v>
      </c>
      <c r="DE48" s="7715">
        <f>SUM(DE49,DE54,DE57)</f>
        <v>0</v>
      </c>
      <c r="DF48" s="7715">
        <f>SUM(DF49,DF54,DF57)</f>
        <v>0</v>
      </c>
      <c r="DG48" s="7715">
        <f>SUM(DG49,DG54,DG57)</f>
        <v>0</v>
      </c>
      <c r="DH48" s="7715">
        <f>SUM(DH49,DH54,DH57)</f>
        <v>0</v>
      </c>
      <c r="DI48" s="7556"/>
      <c r="DJ48" s="7715">
        <f>SUM(DK48:DP48)</f>
        <v>0</v>
      </c>
      <c r="DK48" s="7715">
        <f>SUM(DK49,DK54,DK57)</f>
        <v>0</v>
      </c>
      <c r="DL48" s="7715">
        <f>SUM(DL49,DL54,DL57)</f>
        <v>0</v>
      </c>
      <c r="DM48" s="7715">
        <f>SUM(DM49,DM54,DM57)</f>
        <v>0</v>
      </c>
      <c r="DN48" s="7715">
        <f>SUM(DN49,DN54,DN57)</f>
        <v>0</v>
      </c>
      <c r="DO48" s="7715">
        <f>SUM(DO49,DO54,DO57)</f>
        <v>0</v>
      </c>
      <c r="DP48" s="7556"/>
      <c r="DQ48" s="7715">
        <f>SUM(DR48:EB48)</f>
        <v>0</v>
      </c>
      <c r="DR48" s="7715">
        <f>SUM(DR49,DR54,DR57)</f>
        <v>0</v>
      </c>
      <c r="DS48" s="7715">
        <f>SUM(DS49,DS54,DS57)</f>
        <v>0</v>
      </c>
      <c r="DT48" s="7715">
        <f>SUM(DT49,DT54,DT57)</f>
        <v>0</v>
      </c>
      <c r="DU48" s="7715">
        <f>SUM(DU49,DU54,DU57)</f>
        <v>0</v>
      </c>
      <c r="DV48" s="7715">
        <f>SUM(DV49,DV54,DV57)</f>
        <v>0</v>
      </c>
      <c r="DW48" s="7715">
        <f>SUM(DW49,DW54,DW57)</f>
        <v>0</v>
      </c>
      <c r="DX48" s="7715">
        <f>SUM(DX49,DX54,DX57)</f>
        <v>0</v>
      </c>
      <c r="DY48" s="7715">
        <f>SUM(DY49,DY54,DY57)</f>
        <v>0</v>
      </c>
      <c r="DZ48" s="7715">
        <f>SUM(DZ49,DZ54,DZ57)</f>
        <v>0</v>
      </c>
      <c r="EA48" s="7715">
        <f>SUM(EA49,EA54,EA57)</f>
        <v>0</v>
      </c>
      <c r="EB48" s="7556"/>
      <c r="EC48" s="1358"/>
      <c r="EO48" s="1279">
        <v>23</v>
      </c>
    </row>
    <row customHeight="1" ht="11.549999999999999">
      <c r="F49" s="1354" t="s">
        <v>865</v>
      </c>
      <c r="G49" s="1361" t="s">
        <v>1446</v>
      </c>
      <c r="H49" s="1360">
        <f>SUM(I49:J49)</f>
        <v>0</v>
      </c>
      <c r="I49" s="1360">
        <f>SUM(I50:I53)</f>
        <v>0</v>
      </c>
      <c r="J49" s="1349"/>
      <c r="K49" s="7715">
        <f>SUM(L49:V49)</f>
        <v>0</v>
      </c>
      <c r="L49" s="7715">
        <f>SUM(L50:L53)</f>
        <v>0</v>
      </c>
      <c r="M49" s="7715">
        <f>SUM(M50:M53)</f>
        <v>0</v>
      </c>
      <c r="N49" s="7715">
        <f>SUM(N50:N53)</f>
        <v>0</v>
      </c>
      <c r="O49" s="7715">
        <f>SUM(O50:O53)</f>
        <v>0</v>
      </c>
      <c r="P49" s="7715">
        <f>SUM(P50:P53)</f>
        <v>0</v>
      </c>
      <c r="Q49" s="7715">
        <f>SUM(Q50:Q53)</f>
        <v>0</v>
      </c>
      <c r="R49" s="7715">
        <f>SUM(R50:R53)</f>
        <v>0</v>
      </c>
      <c r="S49" s="7715">
        <f>SUM(S50:S53)</f>
        <v>0</v>
      </c>
      <c r="T49" s="7715">
        <f>SUM(T50:T53)</f>
        <v>0</v>
      </c>
      <c r="U49" s="7715">
        <f>SUM(U50:U53)</f>
        <v>0</v>
      </c>
      <c r="V49" s="7556"/>
      <c r="W49" s="7715">
        <f>SUM(X49:AC49)</f>
        <v>0</v>
      </c>
      <c r="X49" s="7715">
        <f>SUM(X50:X53)</f>
        <v>0</v>
      </c>
      <c r="Y49" s="7715">
        <f>SUM(Y50:Y53)</f>
        <v>0</v>
      </c>
      <c r="Z49" s="7715">
        <f>SUM(Z50:Z53)</f>
        <v>0</v>
      </c>
      <c r="AA49" s="7715">
        <f>SUM(AA50:AA53)</f>
        <v>0</v>
      </c>
      <c r="AB49" s="7715">
        <f>SUM(AB50:AB53)</f>
        <v>0</v>
      </c>
      <c r="AC49" s="7556"/>
      <c r="AD49" s="7715">
        <f>SUM(AE49:AJ49)</f>
        <v>0</v>
      </c>
      <c r="AE49" s="7715">
        <f>SUM(AE50:AE53)</f>
        <v>0</v>
      </c>
      <c r="AF49" s="7715">
        <f>SUM(AF50:AF53)</f>
        <v>0</v>
      </c>
      <c r="AG49" s="7715">
        <f>SUM(AG50:AG53)</f>
        <v>0</v>
      </c>
      <c r="AH49" s="7715">
        <f>SUM(AH50:AH53)</f>
        <v>0</v>
      </c>
      <c r="AI49" s="7715">
        <f>SUM(AI50:AI53)</f>
        <v>0</v>
      </c>
      <c r="AJ49" s="7556"/>
      <c r="AK49" s="7715">
        <f>SUM(AL49:AQ49)</f>
        <v>0</v>
      </c>
      <c r="AL49" s="7715">
        <f>SUM(AL50:AL53)</f>
        <v>0</v>
      </c>
      <c r="AM49" s="7715">
        <f>SUM(AM50:AM53)</f>
        <v>0</v>
      </c>
      <c r="AN49" s="7715">
        <f>SUM(AN50:AN53)</f>
        <v>0</v>
      </c>
      <c r="AO49" s="7715">
        <f>SUM(AO50:AO53)</f>
        <v>0</v>
      </c>
      <c r="AP49" s="7715">
        <f>SUM(AP50:AP53)</f>
        <v>0</v>
      </c>
      <c r="AQ49" s="7556"/>
      <c r="AR49" s="7715">
        <f>SUM(AS49:AX49)</f>
        <v>0</v>
      </c>
      <c r="AS49" s="7715">
        <f>SUM(AS50:AS53)</f>
        <v>0</v>
      </c>
      <c r="AT49" s="7715">
        <f>SUM(AT50:AT53)</f>
        <v>0</v>
      </c>
      <c r="AU49" s="7715">
        <f>SUM(AU50:AU53)</f>
        <v>0</v>
      </c>
      <c r="AV49" s="7715">
        <f>SUM(AV50:AV53)</f>
        <v>0</v>
      </c>
      <c r="AW49" s="7715">
        <f>SUM(AW50:AW53)</f>
        <v>0</v>
      </c>
      <c r="AX49" s="7556"/>
      <c r="AY49" s="7715">
        <f>SUM(AZ49:BE49)</f>
        <v>0</v>
      </c>
      <c r="AZ49" s="7715">
        <f>SUM(AZ50:AZ53)</f>
        <v>0</v>
      </c>
      <c r="BA49" s="7715">
        <f>SUM(BA50:BA53)</f>
        <v>0</v>
      </c>
      <c r="BB49" s="7715">
        <f>SUM(BB50:BB53)</f>
        <v>0</v>
      </c>
      <c r="BC49" s="7715">
        <f>SUM(BC50:BC53)</f>
        <v>0</v>
      </c>
      <c r="BD49" s="7715">
        <f>SUM(BD50:BD53)</f>
        <v>0</v>
      </c>
      <c r="BE49" s="7556"/>
      <c r="BF49" s="7715">
        <f>SUM(BG49:BL49)</f>
        <v>0</v>
      </c>
      <c r="BG49" s="7715">
        <f>SUM(BG50:BG53)</f>
        <v>0</v>
      </c>
      <c r="BH49" s="7715">
        <f>SUM(BH50:BH53)</f>
        <v>0</v>
      </c>
      <c r="BI49" s="7715">
        <f>SUM(BI50:BI53)</f>
        <v>0</v>
      </c>
      <c r="BJ49" s="7715">
        <f>SUM(BJ50:BJ53)</f>
        <v>0</v>
      </c>
      <c r="BK49" s="7715">
        <f>SUM(BK50:BK53)</f>
        <v>0</v>
      </c>
      <c r="BL49" s="7556"/>
      <c r="BM49" s="7715">
        <f>SUM(BN49:BS49)</f>
        <v>0</v>
      </c>
      <c r="BN49" s="7715">
        <f>SUM(BN50:BN53)</f>
        <v>0</v>
      </c>
      <c r="BO49" s="7715">
        <f>SUM(BO50:BO53)</f>
        <v>0</v>
      </c>
      <c r="BP49" s="7715">
        <f>SUM(BP50:BP53)</f>
        <v>0</v>
      </c>
      <c r="BQ49" s="7715">
        <f>SUM(BQ50:BQ53)</f>
        <v>0</v>
      </c>
      <c r="BR49" s="7715">
        <f>SUM(BR50:BR53)</f>
        <v>0</v>
      </c>
      <c r="BS49" s="7556"/>
      <c r="BT49" s="7715">
        <f>SUM(BU49:BZ49)</f>
        <v>0</v>
      </c>
      <c r="BU49" s="7715">
        <f>SUM(BU50:BU53)</f>
        <v>0</v>
      </c>
      <c r="BV49" s="7715">
        <f>SUM(BV50:BV53)</f>
        <v>0</v>
      </c>
      <c r="BW49" s="7715">
        <f>SUM(BW50:BW53)</f>
        <v>0</v>
      </c>
      <c r="BX49" s="7715">
        <f>SUM(BX50:BX53)</f>
        <v>0</v>
      </c>
      <c r="BY49" s="7715">
        <f>SUM(BY50:BY53)</f>
        <v>0</v>
      </c>
      <c r="BZ49" s="7556"/>
      <c r="CA49" s="7715">
        <f>SUM(CB49:CG49)</f>
        <v>0</v>
      </c>
      <c r="CB49" s="7715">
        <f>SUM(CB50:CB53)</f>
        <v>0</v>
      </c>
      <c r="CC49" s="7715">
        <f>SUM(CC50:CC53)</f>
        <v>0</v>
      </c>
      <c r="CD49" s="7715">
        <f>SUM(CD50:CD53)</f>
        <v>0</v>
      </c>
      <c r="CE49" s="7715">
        <f>SUM(CE50:CE53)</f>
        <v>0</v>
      </c>
      <c r="CF49" s="7715">
        <f>SUM(CF50:CF53)</f>
        <v>0</v>
      </c>
      <c r="CG49" s="7556"/>
      <c r="CH49" s="7715">
        <f>SUM(CI49:CN49)</f>
        <v>0</v>
      </c>
      <c r="CI49" s="7715">
        <f>SUM(CI50:CI53)</f>
        <v>0</v>
      </c>
      <c r="CJ49" s="7715">
        <f>SUM(CJ50:CJ53)</f>
        <v>0</v>
      </c>
      <c r="CK49" s="7715">
        <f>SUM(CK50:CK53)</f>
        <v>0</v>
      </c>
      <c r="CL49" s="7715">
        <f>SUM(CL50:CL53)</f>
        <v>0</v>
      </c>
      <c r="CM49" s="7715">
        <f>SUM(CM50:CM53)</f>
        <v>0</v>
      </c>
      <c r="CN49" s="7556"/>
      <c r="CO49" s="7715">
        <f>SUM(CP49:CU49)</f>
        <v>0</v>
      </c>
      <c r="CP49" s="7715">
        <f>SUM(CP50:CP53)</f>
        <v>0</v>
      </c>
      <c r="CQ49" s="7715">
        <f>SUM(CQ50:CQ53)</f>
        <v>0</v>
      </c>
      <c r="CR49" s="7715">
        <f>SUM(CR50:CR53)</f>
        <v>0</v>
      </c>
      <c r="CS49" s="7715">
        <f>SUM(CS50:CS53)</f>
        <v>0</v>
      </c>
      <c r="CT49" s="7715">
        <f>SUM(CT50:CT53)</f>
        <v>0</v>
      </c>
      <c r="CU49" s="7556"/>
      <c r="CV49" s="7715">
        <f>SUM(CW49:DB49)</f>
        <v>0</v>
      </c>
      <c r="CW49" s="7715">
        <f>SUM(CW50:CW53)</f>
        <v>0</v>
      </c>
      <c r="CX49" s="7715">
        <f>SUM(CX50:CX53)</f>
        <v>0</v>
      </c>
      <c r="CY49" s="7715">
        <f>SUM(CY50:CY53)</f>
        <v>0</v>
      </c>
      <c r="CZ49" s="7715">
        <f>SUM(CZ50:CZ53)</f>
        <v>0</v>
      </c>
      <c r="DA49" s="7715">
        <f>SUM(DA50:DA53)</f>
        <v>0</v>
      </c>
      <c r="DB49" s="7556"/>
      <c r="DC49" s="7715">
        <f>SUM(DD49:DI49)</f>
        <v>0</v>
      </c>
      <c r="DD49" s="7715">
        <f>SUM(DD50:DD53)</f>
        <v>0</v>
      </c>
      <c r="DE49" s="7715">
        <f>SUM(DE50:DE53)</f>
        <v>0</v>
      </c>
      <c r="DF49" s="7715">
        <f>SUM(DF50:DF53)</f>
        <v>0</v>
      </c>
      <c r="DG49" s="7715">
        <f>SUM(DG50:DG53)</f>
        <v>0</v>
      </c>
      <c r="DH49" s="7715">
        <f>SUM(DH50:DH53)</f>
        <v>0</v>
      </c>
      <c r="DI49" s="7556"/>
      <c r="DJ49" s="7715">
        <f>SUM(DK49:DP49)</f>
        <v>0</v>
      </c>
      <c r="DK49" s="7715">
        <f>SUM(DK50:DK53)</f>
        <v>0</v>
      </c>
      <c r="DL49" s="7715">
        <f>SUM(DL50:DL53)</f>
        <v>0</v>
      </c>
      <c r="DM49" s="7715">
        <f>SUM(DM50:DM53)</f>
        <v>0</v>
      </c>
      <c r="DN49" s="7715">
        <f>SUM(DN50:DN53)</f>
        <v>0</v>
      </c>
      <c r="DO49" s="7715">
        <f>SUM(DO50:DO53)</f>
        <v>0</v>
      </c>
      <c r="DP49" s="7556"/>
      <c r="DQ49" s="7715">
        <f>SUM(DR49:EB49)</f>
        <v>0</v>
      </c>
      <c r="DR49" s="7715">
        <f>SUM(DR50:DR53)</f>
        <v>0</v>
      </c>
      <c r="DS49" s="7715">
        <f>SUM(DS50:DS53)</f>
        <v>0</v>
      </c>
      <c r="DT49" s="7715">
        <f>SUM(DT50:DT53)</f>
        <v>0</v>
      </c>
      <c r="DU49" s="7715">
        <f>SUM(DU50:DU53)</f>
        <v>0</v>
      </c>
      <c r="DV49" s="7715">
        <f>SUM(DV50:DV53)</f>
        <v>0</v>
      </c>
      <c r="DW49" s="7715">
        <f>SUM(DW50:DW53)</f>
        <v>0</v>
      </c>
      <c r="DX49" s="7715">
        <f>SUM(DX50:DX53)</f>
        <v>0</v>
      </c>
      <c r="DY49" s="7715">
        <f>SUM(DY50:DY53)</f>
        <v>0</v>
      </c>
      <c r="DZ49" s="7715">
        <f>SUM(DZ50:DZ53)</f>
        <v>0</v>
      </c>
      <c r="EA49" s="7715">
        <f>SUM(EA50:EA53)</f>
        <v>0</v>
      </c>
      <c r="EB49" s="7556"/>
      <c r="EC49" s="1358"/>
      <c r="EO49" s="1279">
        <v>11</v>
      </c>
    </row>
    <row customHeight="1" ht="24">
      <c r="F50" s="1354" t="s">
        <v>868</v>
      </c>
      <c r="G50" s="1362" t="s">
        <v>1484</v>
      </c>
      <c r="H50" s="1360">
        <f>SUM(I50:J50)</f>
        <v>0</v>
      </c>
      <c r="I50" s="1359"/>
      <c r="J50" s="1349"/>
      <c r="K50" s="7715">
        <f>SUM(L50:V50)</f>
        <v>0</v>
      </c>
      <c r="L50" s="7039"/>
      <c r="M50" s="7039"/>
      <c r="N50" s="7039"/>
      <c r="O50" s="7039"/>
      <c r="P50" s="7039"/>
      <c r="Q50" s="7039"/>
      <c r="R50" s="7039"/>
      <c r="S50" s="7039"/>
      <c r="T50" s="7039"/>
      <c r="U50" s="7039"/>
      <c r="V50" s="7556"/>
      <c r="W50" s="7715">
        <f>SUM(X50:AC50)</f>
        <v>0</v>
      </c>
      <c r="X50" s="7039"/>
      <c r="Y50" s="7039"/>
      <c r="Z50" s="7039"/>
      <c r="AA50" s="7039"/>
      <c r="AB50" s="7039"/>
      <c r="AC50" s="7556"/>
      <c r="AD50" s="7715">
        <f>SUM(AE50:AJ50)</f>
        <v>0</v>
      </c>
      <c r="AE50" s="7039"/>
      <c r="AF50" s="7039"/>
      <c r="AG50" s="7039"/>
      <c r="AH50" s="7039"/>
      <c r="AI50" s="7039"/>
      <c r="AJ50" s="7556"/>
      <c r="AK50" s="7715">
        <f>SUM(AL50:AQ50)</f>
        <v>0</v>
      </c>
      <c r="AL50" s="7039"/>
      <c r="AM50" s="7039"/>
      <c r="AN50" s="7039"/>
      <c r="AO50" s="7039"/>
      <c r="AP50" s="7039"/>
      <c r="AQ50" s="7556"/>
      <c r="AR50" s="7715">
        <f>SUM(AS50:AX50)</f>
        <v>0</v>
      </c>
      <c r="AS50" s="7039"/>
      <c r="AT50" s="7039"/>
      <c r="AU50" s="7039"/>
      <c r="AV50" s="7039"/>
      <c r="AW50" s="7039"/>
      <c r="AX50" s="7556"/>
      <c r="AY50" s="7715">
        <f>SUM(AZ50:BE50)</f>
        <v>0</v>
      </c>
      <c r="AZ50" s="7039"/>
      <c r="BA50" s="7039"/>
      <c r="BB50" s="7039"/>
      <c r="BC50" s="7039"/>
      <c r="BD50" s="7039"/>
      <c r="BE50" s="7556"/>
      <c r="BF50" s="7715">
        <f>SUM(BG50:BL50)</f>
        <v>0</v>
      </c>
      <c r="BG50" s="7039"/>
      <c r="BH50" s="7039"/>
      <c r="BI50" s="7039"/>
      <c r="BJ50" s="7039"/>
      <c r="BK50" s="7039"/>
      <c r="BL50" s="7556"/>
      <c r="BM50" s="7715">
        <f>SUM(BN50:BS50)</f>
        <v>0</v>
      </c>
      <c r="BN50" s="7039"/>
      <c r="BO50" s="7039"/>
      <c r="BP50" s="7039"/>
      <c r="BQ50" s="7039"/>
      <c r="BR50" s="7039"/>
      <c r="BS50" s="7556"/>
      <c r="BT50" s="7715">
        <f>SUM(BU50:BZ50)</f>
        <v>0</v>
      </c>
      <c r="BU50" s="7039"/>
      <c r="BV50" s="7039"/>
      <c r="BW50" s="7039"/>
      <c r="BX50" s="7039"/>
      <c r="BY50" s="7039"/>
      <c r="BZ50" s="7556"/>
      <c r="CA50" s="7715">
        <f>SUM(CB50:CG50)</f>
        <v>0</v>
      </c>
      <c r="CB50" s="7039"/>
      <c r="CC50" s="7039"/>
      <c r="CD50" s="7039"/>
      <c r="CE50" s="7039"/>
      <c r="CF50" s="7039"/>
      <c r="CG50" s="7556"/>
      <c r="CH50" s="7715">
        <f>SUM(CI50:CN50)</f>
        <v>0</v>
      </c>
      <c r="CI50" s="7039"/>
      <c r="CJ50" s="7039"/>
      <c r="CK50" s="7039"/>
      <c r="CL50" s="7039"/>
      <c r="CM50" s="7039"/>
      <c r="CN50" s="7556"/>
      <c r="CO50" s="7715">
        <f>SUM(CP50:CU50)</f>
        <v>0</v>
      </c>
      <c r="CP50" s="7039"/>
      <c r="CQ50" s="7039"/>
      <c r="CR50" s="7039"/>
      <c r="CS50" s="7039"/>
      <c r="CT50" s="7039"/>
      <c r="CU50" s="7556"/>
      <c r="CV50" s="7715">
        <f>SUM(CW50:DB50)</f>
        <v>0</v>
      </c>
      <c r="CW50" s="7039"/>
      <c r="CX50" s="7039"/>
      <c r="CY50" s="7039"/>
      <c r="CZ50" s="7039"/>
      <c r="DA50" s="7039"/>
      <c r="DB50" s="7556"/>
      <c r="DC50" s="7715">
        <f>SUM(DD50:DI50)</f>
        <v>0</v>
      </c>
      <c r="DD50" s="7039"/>
      <c r="DE50" s="7039"/>
      <c r="DF50" s="7039"/>
      <c r="DG50" s="7039"/>
      <c r="DH50" s="7039"/>
      <c r="DI50" s="7556"/>
      <c r="DJ50" s="7715">
        <f>SUM(DK50:DP50)</f>
        <v>0</v>
      </c>
      <c r="DK50" s="7039"/>
      <c r="DL50" s="7039"/>
      <c r="DM50" s="7039"/>
      <c r="DN50" s="7039"/>
      <c r="DO50" s="7039"/>
      <c r="DP50" s="7556"/>
      <c r="DQ50" s="7715">
        <f>SUM(DR50:EB50)</f>
        <v>0</v>
      </c>
      <c r="DR50" s="7039"/>
      <c r="DS50" s="7039"/>
      <c r="DT50" s="7039"/>
      <c r="DU50" s="7039"/>
      <c r="DV50" s="7039"/>
      <c r="DW50" s="7039"/>
      <c r="DX50" s="7039"/>
      <c r="DY50" s="7039"/>
      <c r="DZ50" s="7039"/>
      <c r="EA50" s="7039"/>
      <c r="EB50" s="7556"/>
      <c r="EC50" s="1358"/>
      <c r="EO50" s="1279">
        <v>23</v>
      </c>
    </row>
    <row customHeight="1" ht="11.549999999999999">
      <c r="F51" s="1354" t="s">
        <v>871</v>
      </c>
      <c r="G51" s="1362" t="s">
        <v>1486</v>
      </c>
      <c r="H51" s="1360">
        <f>SUM(I51:J51)</f>
        <v>0</v>
      </c>
      <c r="I51" s="1359"/>
      <c r="J51" s="1349"/>
      <c r="K51" s="7715">
        <f>SUM(L51:V51)</f>
        <v>0</v>
      </c>
      <c r="L51" s="7039"/>
      <c r="M51" s="7039"/>
      <c r="N51" s="7039"/>
      <c r="O51" s="7039"/>
      <c r="P51" s="7039"/>
      <c r="Q51" s="7039"/>
      <c r="R51" s="7039"/>
      <c r="S51" s="7039"/>
      <c r="T51" s="7039"/>
      <c r="U51" s="7039"/>
      <c r="V51" s="7556"/>
      <c r="W51" s="7715">
        <f>SUM(X51:AC51)</f>
        <v>0</v>
      </c>
      <c r="X51" s="7039"/>
      <c r="Y51" s="7039"/>
      <c r="Z51" s="7039"/>
      <c r="AA51" s="7039"/>
      <c r="AB51" s="7039"/>
      <c r="AC51" s="7556"/>
      <c r="AD51" s="7715">
        <f>SUM(AE51:AJ51)</f>
        <v>0</v>
      </c>
      <c r="AE51" s="7039"/>
      <c r="AF51" s="7039"/>
      <c r="AG51" s="7039"/>
      <c r="AH51" s="7039"/>
      <c r="AI51" s="7039"/>
      <c r="AJ51" s="7556"/>
      <c r="AK51" s="7715">
        <f>SUM(AL51:AQ51)</f>
        <v>0</v>
      </c>
      <c r="AL51" s="7039"/>
      <c r="AM51" s="7039"/>
      <c r="AN51" s="7039"/>
      <c r="AO51" s="7039"/>
      <c r="AP51" s="7039"/>
      <c r="AQ51" s="7556"/>
      <c r="AR51" s="7715">
        <f>SUM(AS51:AX51)</f>
        <v>0</v>
      </c>
      <c r="AS51" s="7039"/>
      <c r="AT51" s="7039"/>
      <c r="AU51" s="7039"/>
      <c r="AV51" s="7039"/>
      <c r="AW51" s="7039"/>
      <c r="AX51" s="7556"/>
      <c r="AY51" s="7715">
        <f>SUM(AZ51:BE51)</f>
        <v>0</v>
      </c>
      <c r="AZ51" s="7039"/>
      <c r="BA51" s="7039"/>
      <c r="BB51" s="7039"/>
      <c r="BC51" s="7039"/>
      <c r="BD51" s="7039"/>
      <c r="BE51" s="7556"/>
      <c r="BF51" s="7715">
        <f>SUM(BG51:BL51)</f>
        <v>0</v>
      </c>
      <c r="BG51" s="7039"/>
      <c r="BH51" s="7039"/>
      <c r="BI51" s="7039"/>
      <c r="BJ51" s="7039"/>
      <c r="BK51" s="7039"/>
      <c r="BL51" s="7556"/>
      <c r="BM51" s="7715">
        <f>SUM(BN51:BS51)</f>
        <v>0</v>
      </c>
      <c r="BN51" s="7039"/>
      <c r="BO51" s="7039"/>
      <c r="BP51" s="7039"/>
      <c r="BQ51" s="7039"/>
      <c r="BR51" s="7039"/>
      <c r="BS51" s="7556"/>
      <c r="BT51" s="7715">
        <f>SUM(BU51:BZ51)</f>
        <v>0</v>
      </c>
      <c r="BU51" s="7039"/>
      <c r="BV51" s="7039"/>
      <c r="BW51" s="7039"/>
      <c r="BX51" s="7039"/>
      <c r="BY51" s="7039"/>
      <c r="BZ51" s="7556"/>
      <c r="CA51" s="7715">
        <f>SUM(CB51:CG51)</f>
        <v>0</v>
      </c>
      <c r="CB51" s="7039"/>
      <c r="CC51" s="7039"/>
      <c r="CD51" s="7039"/>
      <c r="CE51" s="7039"/>
      <c r="CF51" s="7039"/>
      <c r="CG51" s="7556"/>
      <c r="CH51" s="7715">
        <f>SUM(CI51:CN51)</f>
        <v>0</v>
      </c>
      <c r="CI51" s="7039"/>
      <c r="CJ51" s="7039"/>
      <c r="CK51" s="7039"/>
      <c r="CL51" s="7039"/>
      <c r="CM51" s="7039"/>
      <c r="CN51" s="7556"/>
      <c r="CO51" s="7715">
        <f>SUM(CP51:CU51)</f>
        <v>0</v>
      </c>
      <c r="CP51" s="7039"/>
      <c r="CQ51" s="7039"/>
      <c r="CR51" s="7039"/>
      <c r="CS51" s="7039"/>
      <c r="CT51" s="7039"/>
      <c r="CU51" s="7556"/>
      <c r="CV51" s="7715">
        <f>SUM(CW51:DB51)</f>
        <v>0</v>
      </c>
      <c r="CW51" s="7039"/>
      <c r="CX51" s="7039"/>
      <c r="CY51" s="7039"/>
      <c r="CZ51" s="7039"/>
      <c r="DA51" s="7039"/>
      <c r="DB51" s="7556"/>
      <c r="DC51" s="7715">
        <f>SUM(DD51:DI51)</f>
        <v>0</v>
      </c>
      <c r="DD51" s="7039"/>
      <c r="DE51" s="7039"/>
      <c r="DF51" s="7039"/>
      <c r="DG51" s="7039"/>
      <c r="DH51" s="7039"/>
      <c r="DI51" s="7556"/>
      <c r="DJ51" s="7715">
        <f>SUM(DK51:DP51)</f>
        <v>0</v>
      </c>
      <c r="DK51" s="7039"/>
      <c r="DL51" s="7039"/>
      <c r="DM51" s="7039"/>
      <c r="DN51" s="7039"/>
      <c r="DO51" s="7039"/>
      <c r="DP51" s="7556"/>
      <c r="DQ51" s="7715">
        <f>SUM(DR51:EB51)</f>
        <v>0</v>
      </c>
      <c r="DR51" s="7039"/>
      <c r="DS51" s="7039"/>
      <c r="DT51" s="7039"/>
      <c r="DU51" s="7039"/>
      <c r="DV51" s="7039"/>
      <c r="DW51" s="7039"/>
      <c r="DX51" s="7039"/>
      <c r="DY51" s="7039"/>
      <c r="DZ51" s="7039"/>
      <c r="EA51" s="7039"/>
      <c r="EB51" s="7556"/>
      <c r="EC51" s="1358"/>
      <c r="EO51" s="1279">
        <v>11</v>
      </c>
    </row>
    <row customHeight="1" ht="11.549999999999999">
      <c r="F52" s="1354" t="s">
        <v>1495</v>
      </c>
      <c r="G52" s="1362" t="s">
        <v>1488</v>
      </c>
      <c r="H52" s="1360">
        <f>SUM(I52:J52)</f>
        <v>0</v>
      </c>
      <c r="I52" s="1359"/>
      <c r="J52" s="1349"/>
      <c r="K52" s="7715">
        <f>SUM(L52:V52)</f>
        <v>0</v>
      </c>
      <c r="L52" s="7039"/>
      <c r="M52" s="7039"/>
      <c r="N52" s="7039"/>
      <c r="O52" s="7039"/>
      <c r="P52" s="7039"/>
      <c r="Q52" s="7039"/>
      <c r="R52" s="7039"/>
      <c r="S52" s="7039"/>
      <c r="T52" s="7039"/>
      <c r="U52" s="7039"/>
      <c r="V52" s="7556"/>
      <c r="W52" s="7715">
        <f>SUM(X52:AC52)</f>
        <v>0</v>
      </c>
      <c r="X52" s="7039"/>
      <c r="Y52" s="7039"/>
      <c r="Z52" s="7039"/>
      <c r="AA52" s="7039"/>
      <c r="AB52" s="7039"/>
      <c r="AC52" s="7556"/>
      <c r="AD52" s="7715">
        <f>SUM(AE52:AJ52)</f>
        <v>0</v>
      </c>
      <c r="AE52" s="7039"/>
      <c r="AF52" s="7039"/>
      <c r="AG52" s="7039"/>
      <c r="AH52" s="7039"/>
      <c r="AI52" s="7039"/>
      <c r="AJ52" s="7556"/>
      <c r="AK52" s="7715">
        <f>SUM(AL52:AQ52)</f>
        <v>0</v>
      </c>
      <c r="AL52" s="7039"/>
      <c r="AM52" s="7039"/>
      <c r="AN52" s="7039"/>
      <c r="AO52" s="7039"/>
      <c r="AP52" s="7039"/>
      <c r="AQ52" s="7556"/>
      <c r="AR52" s="7715">
        <f>SUM(AS52:AX52)</f>
        <v>0</v>
      </c>
      <c r="AS52" s="7039"/>
      <c r="AT52" s="7039"/>
      <c r="AU52" s="7039"/>
      <c r="AV52" s="7039"/>
      <c r="AW52" s="7039"/>
      <c r="AX52" s="7556"/>
      <c r="AY52" s="7715">
        <f>SUM(AZ52:BE52)</f>
        <v>0</v>
      </c>
      <c r="AZ52" s="7039"/>
      <c r="BA52" s="7039"/>
      <c r="BB52" s="7039"/>
      <c r="BC52" s="7039"/>
      <c r="BD52" s="7039"/>
      <c r="BE52" s="7556"/>
      <c r="BF52" s="7715">
        <f>SUM(BG52:BL52)</f>
        <v>0</v>
      </c>
      <c r="BG52" s="7039"/>
      <c r="BH52" s="7039"/>
      <c r="BI52" s="7039"/>
      <c r="BJ52" s="7039"/>
      <c r="BK52" s="7039"/>
      <c r="BL52" s="7556"/>
      <c r="BM52" s="7715">
        <f>SUM(BN52:BS52)</f>
        <v>0</v>
      </c>
      <c r="BN52" s="7039"/>
      <c r="BO52" s="7039"/>
      <c r="BP52" s="7039"/>
      <c r="BQ52" s="7039"/>
      <c r="BR52" s="7039"/>
      <c r="BS52" s="7556"/>
      <c r="BT52" s="7715">
        <f>SUM(BU52:BZ52)</f>
        <v>0</v>
      </c>
      <c r="BU52" s="7039"/>
      <c r="BV52" s="7039"/>
      <c r="BW52" s="7039"/>
      <c r="BX52" s="7039"/>
      <c r="BY52" s="7039"/>
      <c r="BZ52" s="7556"/>
      <c r="CA52" s="7715">
        <f>SUM(CB52:CG52)</f>
        <v>0</v>
      </c>
      <c r="CB52" s="7039"/>
      <c r="CC52" s="7039"/>
      <c r="CD52" s="7039"/>
      <c r="CE52" s="7039"/>
      <c r="CF52" s="7039"/>
      <c r="CG52" s="7556"/>
      <c r="CH52" s="7715">
        <f>SUM(CI52:CN52)</f>
        <v>0</v>
      </c>
      <c r="CI52" s="7039"/>
      <c r="CJ52" s="7039"/>
      <c r="CK52" s="7039"/>
      <c r="CL52" s="7039"/>
      <c r="CM52" s="7039"/>
      <c r="CN52" s="7556"/>
      <c r="CO52" s="7715">
        <f>SUM(CP52:CU52)</f>
        <v>0</v>
      </c>
      <c r="CP52" s="7039"/>
      <c r="CQ52" s="7039"/>
      <c r="CR52" s="7039"/>
      <c r="CS52" s="7039"/>
      <c r="CT52" s="7039"/>
      <c r="CU52" s="7556"/>
      <c r="CV52" s="7715">
        <f>SUM(CW52:DB52)</f>
        <v>0</v>
      </c>
      <c r="CW52" s="7039"/>
      <c r="CX52" s="7039"/>
      <c r="CY52" s="7039"/>
      <c r="CZ52" s="7039"/>
      <c r="DA52" s="7039"/>
      <c r="DB52" s="7556"/>
      <c r="DC52" s="7715">
        <f>SUM(DD52:DI52)</f>
        <v>0</v>
      </c>
      <c r="DD52" s="7039"/>
      <c r="DE52" s="7039"/>
      <c r="DF52" s="7039"/>
      <c r="DG52" s="7039"/>
      <c r="DH52" s="7039"/>
      <c r="DI52" s="7556"/>
      <c r="DJ52" s="7715">
        <f>SUM(DK52:DP52)</f>
        <v>0</v>
      </c>
      <c r="DK52" s="7039"/>
      <c r="DL52" s="7039"/>
      <c r="DM52" s="7039"/>
      <c r="DN52" s="7039"/>
      <c r="DO52" s="7039"/>
      <c r="DP52" s="7556"/>
      <c r="DQ52" s="7715">
        <f>SUM(DR52:EB52)</f>
        <v>0</v>
      </c>
      <c r="DR52" s="7039"/>
      <c r="DS52" s="7039"/>
      <c r="DT52" s="7039"/>
      <c r="DU52" s="7039"/>
      <c r="DV52" s="7039"/>
      <c r="DW52" s="7039"/>
      <c r="DX52" s="7039"/>
      <c r="DY52" s="7039"/>
      <c r="DZ52" s="7039"/>
      <c r="EA52" s="7039"/>
      <c r="EB52" s="7556"/>
      <c r="EC52" s="1358"/>
      <c r="EO52" s="1279">
        <v>11</v>
      </c>
    </row>
    <row customHeight="1" ht="35.699999999999996">
      <c r="F53" s="1354" t="s">
        <v>1496</v>
      </c>
      <c r="G53" s="1362" t="s">
        <v>1490</v>
      </c>
      <c r="H53" s="1360">
        <f>SUM(I53:J53)</f>
        <v>0</v>
      </c>
      <c r="I53" s="1359"/>
      <c r="J53" s="1349"/>
      <c r="K53" s="7715">
        <f>SUM(L53:V53)</f>
        <v>0</v>
      </c>
      <c r="L53" s="7039"/>
      <c r="M53" s="7039"/>
      <c r="N53" s="7039"/>
      <c r="O53" s="7039"/>
      <c r="P53" s="7039"/>
      <c r="Q53" s="7039"/>
      <c r="R53" s="7039"/>
      <c r="S53" s="7039"/>
      <c r="T53" s="7039"/>
      <c r="U53" s="7039"/>
      <c r="V53" s="7556"/>
      <c r="W53" s="7715">
        <f>SUM(X53:AC53)</f>
        <v>0</v>
      </c>
      <c r="X53" s="7039"/>
      <c r="Y53" s="7039"/>
      <c r="Z53" s="7039"/>
      <c r="AA53" s="7039"/>
      <c r="AB53" s="7039"/>
      <c r="AC53" s="7556"/>
      <c r="AD53" s="7715">
        <f>SUM(AE53:AJ53)</f>
        <v>0</v>
      </c>
      <c r="AE53" s="7039"/>
      <c r="AF53" s="7039"/>
      <c r="AG53" s="7039"/>
      <c r="AH53" s="7039"/>
      <c r="AI53" s="7039"/>
      <c r="AJ53" s="7556"/>
      <c r="AK53" s="7715">
        <f>SUM(AL53:AQ53)</f>
        <v>0</v>
      </c>
      <c r="AL53" s="7039"/>
      <c r="AM53" s="7039"/>
      <c r="AN53" s="7039"/>
      <c r="AO53" s="7039"/>
      <c r="AP53" s="7039"/>
      <c r="AQ53" s="7556"/>
      <c r="AR53" s="7715">
        <f>SUM(AS53:AX53)</f>
        <v>0</v>
      </c>
      <c r="AS53" s="7039"/>
      <c r="AT53" s="7039"/>
      <c r="AU53" s="7039"/>
      <c r="AV53" s="7039"/>
      <c r="AW53" s="7039"/>
      <c r="AX53" s="7556"/>
      <c r="AY53" s="7715">
        <f>SUM(AZ53:BE53)</f>
        <v>0</v>
      </c>
      <c r="AZ53" s="7039"/>
      <c r="BA53" s="7039"/>
      <c r="BB53" s="7039"/>
      <c r="BC53" s="7039"/>
      <c r="BD53" s="7039"/>
      <c r="BE53" s="7556"/>
      <c r="BF53" s="7715">
        <f>SUM(BG53:BL53)</f>
        <v>0</v>
      </c>
      <c r="BG53" s="7039"/>
      <c r="BH53" s="7039"/>
      <c r="BI53" s="7039"/>
      <c r="BJ53" s="7039"/>
      <c r="BK53" s="7039"/>
      <c r="BL53" s="7556"/>
      <c r="BM53" s="7715">
        <f>SUM(BN53:BS53)</f>
        <v>0</v>
      </c>
      <c r="BN53" s="7039"/>
      <c r="BO53" s="7039"/>
      <c r="BP53" s="7039"/>
      <c r="BQ53" s="7039"/>
      <c r="BR53" s="7039"/>
      <c r="BS53" s="7556"/>
      <c r="BT53" s="7715">
        <f>SUM(BU53:BZ53)</f>
        <v>0</v>
      </c>
      <c r="BU53" s="7039"/>
      <c r="BV53" s="7039"/>
      <c r="BW53" s="7039"/>
      <c r="BX53" s="7039"/>
      <c r="BY53" s="7039"/>
      <c r="BZ53" s="7556"/>
      <c r="CA53" s="7715">
        <f>SUM(CB53:CG53)</f>
        <v>0</v>
      </c>
      <c r="CB53" s="7039"/>
      <c r="CC53" s="7039"/>
      <c r="CD53" s="7039"/>
      <c r="CE53" s="7039"/>
      <c r="CF53" s="7039"/>
      <c r="CG53" s="7556"/>
      <c r="CH53" s="7715">
        <f>SUM(CI53:CN53)</f>
        <v>0</v>
      </c>
      <c r="CI53" s="7039"/>
      <c r="CJ53" s="7039"/>
      <c r="CK53" s="7039"/>
      <c r="CL53" s="7039"/>
      <c r="CM53" s="7039"/>
      <c r="CN53" s="7556"/>
      <c r="CO53" s="7715">
        <f>SUM(CP53:CU53)</f>
        <v>0</v>
      </c>
      <c r="CP53" s="7039"/>
      <c r="CQ53" s="7039"/>
      <c r="CR53" s="7039"/>
      <c r="CS53" s="7039"/>
      <c r="CT53" s="7039"/>
      <c r="CU53" s="7556"/>
      <c r="CV53" s="7715">
        <f>SUM(CW53:DB53)</f>
        <v>0</v>
      </c>
      <c r="CW53" s="7039"/>
      <c r="CX53" s="7039"/>
      <c r="CY53" s="7039"/>
      <c r="CZ53" s="7039"/>
      <c r="DA53" s="7039"/>
      <c r="DB53" s="7556"/>
      <c r="DC53" s="7715">
        <f>SUM(DD53:DI53)</f>
        <v>0</v>
      </c>
      <c r="DD53" s="7039"/>
      <c r="DE53" s="7039"/>
      <c r="DF53" s="7039"/>
      <c r="DG53" s="7039"/>
      <c r="DH53" s="7039"/>
      <c r="DI53" s="7556"/>
      <c r="DJ53" s="7715">
        <f>SUM(DK53:DP53)</f>
        <v>0</v>
      </c>
      <c r="DK53" s="7039"/>
      <c r="DL53" s="7039"/>
      <c r="DM53" s="7039"/>
      <c r="DN53" s="7039"/>
      <c r="DO53" s="7039"/>
      <c r="DP53" s="7556"/>
      <c r="DQ53" s="7715">
        <f>SUM(DR53:EB53)</f>
        <v>0</v>
      </c>
      <c r="DR53" s="7039"/>
      <c r="DS53" s="7039"/>
      <c r="DT53" s="7039"/>
      <c r="DU53" s="7039"/>
      <c r="DV53" s="7039"/>
      <c r="DW53" s="7039"/>
      <c r="DX53" s="7039"/>
      <c r="DY53" s="7039"/>
      <c r="DZ53" s="7039"/>
      <c r="EA53" s="7039"/>
      <c r="EB53" s="7556"/>
      <c r="EC53" s="1358"/>
      <c r="EO53" s="1279">
        <v>34</v>
      </c>
    </row>
    <row customHeight="1" ht="11.549999999999999">
      <c r="F54" s="1354" t="s">
        <v>419</v>
      </c>
      <c r="G54" s="1361" t="s">
        <v>1475</v>
      </c>
      <c r="H54" s="1360">
        <f>SUM(I54:J54)</f>
        <v>0</v>
      </c>
      <c r="I54" s="1360">
        <f>SUM(I55:I56)</f>
        <v>0</v>
      </c>
      <c r="J54" s="1349"/>
      <c r="K54" s="7715">
        <f>SUM(L54:V54)</f>
        <v>0</v>
      </c>
      <c r="L54" s="7715">
        <f>SUM(L55:L56)</f>
        <v>0</v>
      </c>
      <c r="M54" s="7715">
        <f>SUM(M55:M56)</f>
        <v>0</v>
      </c>
      <c r="N54" s="7715">
        <f>SUM(N55:N56)</f>
        <v>0</v>
      </c>
      <c r="O54" s="7715">
        <f>SUM(O55:O56)</f>
        <v>0</v>
      </c>
      <c r="P54" s="7715">
        <f>SUM(P55:P56)</f>
        <v>0</v>
      </c>
      <c r="Q54" s="7715">
        <f>SUM(Q55:Q56)</f>
        <v>0</v>
      </c>
      <c r="R54" s="7715">
        <f>SUM(R55:R56)</f>
        <v>0</v>
      </c>
      <c r="S54" s="7715">
        <f>SUM(S55:S56)</f>
        <v>0</v>
      </c>
      <c r="T54" s="7715">
        <f>SUM(T55:T56)</f>
        <v>0</v>
      </c>
      <c r="U54" s="7715">
        <f>SUM(U55:U56)</f>
        <v>0</v>
      </c>
      <c r="V54" s="7556"/>
      <c r="W54" s="7715">
        <f>SUM(X54:AC54)</f>
        <v>0</v>
      </c>
      <c r="X54" s="7715">
        <f>SUM(X55:X56)</f>
        <v>0</v>
      </c>
      <c r="Y54" s="7715">
        <f>SUM(Y55:Y56)</f>
        <v>0</v>
      </c>
      <c r="Z54" s="7715">
        <f>SUM(Z55:Z56)</f>
        <v>0</v>
      </c>
      <c r="AA54" s="7715">
        <f>SUM(AA55:AA56)</f>
        <v>0</v>
      </c>
      <c r="AB54" s="7715">
        <f>SUM(AB55:AB56)</f>
        <v>0</v>
      </c>
      <c r="AC54" s="7556"/>
      <c r="AD54" s="7715">
        <f>SUM(AE54:AJ54)</f>
        <v>0</v>
      </c>
      <c r="AE54" s="7715">
        <f>SUM(AE55:AE56)</f>
        <v>0</v>
      </c>
      <c r="AF54" s="7715">
        <f>SUM(AF55:AF56)</f>
        <v>0</v>
      </c>
      <c r="AG54" s="7715">
        <f>SUM(AG55:AG56)</f>
        <v>0</v>
      </c>
      <c r="AH54" s="7715">
        <f>SUM(AH55:AH56)</f>
        <v>0</v>
      </c>
      <c r="AI54" s="7715">
        <f>SUM(AI55:AI56)</f>
        <v>0</v>
      </c>
      <c r="AJ54" s="7556"/>
      <c r="AK54" s="7715">
        <f>SUM(AL54:AQ54)</f>
        <v>0</v>
      </c>
      <c r="AL54" s="7715">
        <f>SUM(AL55:AL56)</f>
        <v>0</v>
      </c>
      <c r="AM54" s="7715">
        <f>SUM(AM55:AM56)</f>
        <v>0</v>
      </c>
      <c r="AN54" s="7715">
        <f>SUM(AN55:AN56)</f>
        <v>0</v>
      </c>
      <c r="AO54" s="7715">
        <f>SUM(AO55:AO56)</f>
        <v>0</v>
      </c>
      <c r="AP54" s="7715">
        <f>SUM(AP55:AP56)</f>
        <v>0</v>
      </c>
      <c r="AQ54" s="7556"/>
      <c r="AR54" s="7715">
        <f>SUM(AS54:AX54)</f>
        <v>0</v>
      </c>
      <c r="AS54" s="7715">
        <f>SUM(AS55:AS56)</f>
        <v>0</v>
      </c>
      <c r="AT54" s="7715">
        <f>SUM(AT55:AT56)</f>
        <v>0</v>
      </c>
      <c r="AU54" s="7715">
        <f>SUM(AU55:AU56)</f>
        <v>0</v>
      </c>
      <c r="AV54" s="7715">
        <f>SUM(AV55:AV56)</f>
        <v>0</v>
      </c>
      <c r="AW54" s="7715">
        <f>SUM(AW55:AW56)</f>
        <v>0</v>
      </c>
      <c r="AX54" s="7556"/>
      <c r="AY54" s="7715">
        <f>SUM(AZ54:BE54)</f>
        <v>0</v>
      </c>
      <c r="AZ54" s="7715">
        <f>SUM(AZ55:AZ56)</f>
        <v>0</v>
      </c>
      <c r="BA54" s="7715">
        <f>SUM(BA55:BA56)</f>
        <v>0</v>
      </c>
      <c r="BB54" s="7715">
        <f>SUM(BB55:BB56)</f>
        <v>0</v>
      </c>
      <c r="BC54" s="7715">
        <f>SUM(BC55:BC56)</f>
        <v>0</v>
      </c>
      <c r="BD54" s="7715">
        <f>SUM(BD55:BD56)</f>
        <v>0</v>
      </c>
      <c r="BE54" s="7556"/>
      <c r="BF54" s="7715">
        <f>SUM(BG54:BL54)</f>
        <v>0</v>
      </c>
      <c r="BG54" s="7715">
        <f>SUM(BG55:BG56)</f>
        <v>0</v>
      </c>
      <c r="BH54" s="7715">
        <f>SUM(BH55:BH56)</f>
        <v>0</v>
      </c>
      <c r="BI54" s="7715">
        <f>SUM(BI55:BI56)</f>
        <v>0</v>
      </c>
      <c r="BJ54" s="7715">
        <f>SUM(BJ55:BJ56)</f>
        <v>0</v>
      </c>
      <c r="BK54" s="7715">
        <f>SUM(BK55:BK56)</f>
        <v>0</v>
      </c>
      <c r="BL54" s="7556"/>
      <c r="BM54" s="7715">
        <f>SUM(BN54:BS54)</f>
        <v>0</v>
      </c>
      <c r="BN54" s="7715">
        <f>SUM(BN55:BN56)</f>
        <v>0</v>
      </c>
      <c r="BO54" s="7715">
        <f>SUM(BO55:BO56)</f>
        <v>0</v>
      </c>
      <c r="BP54" s="7715">
        <f>SUM(BP55:BP56)</f>
        <v>0</v>
      </c>
      <c r="BQ54" s="7715">
        <f>SUM(BQ55:BQ56)</f>
        <v>0</v>
      </c>
      <c r="BR54" s="7715">
        <f>SUM(BR55:BR56)</f>
        <v>0</v>
      </c>
      <c r="BS54" s="7556"/>
      <c r="BT54" s="7715">
        <f>SUM(BU54:BZ54)</f>
        <v>0</v>
      </c>
      <c r="BU54" s="7715">
        <f>SUM(BU55:BU56)</f>
        <v>0</v>
      </c>
      <c r="BV54" s="7715">
        <f>SUM(BV55:BV56)</f>
        <v>0</v>
      </c>
      <c r="BW54" s="7715">
        <f>SUM(BW55:BW56)</f>
        <v>0</v>
      </c>
      <c r="BX54" s="7715">
        <f>SUM(BX55:BX56)</f>
        <v>0</v>
      </c>
      <c r="BY54" s="7715">
        <f>SUM(BY55:BY56)</f>
        <v>0</v>
      </c>
      <c r="BZ54" s="7556"/>
      <c r="CA54" s="7715">
        <f>SUM(CB54:CG54)</f>
        <v>0</v>
      </c>
      <c r="CB54" s="7715">
        <f>SUM(CB55:CB56)</f>
        <v>0</v>
      </c>
      <c r="CC54" s="7715">
        <f>SUM(CC55:CC56)</f>
        <v>0</v>
      </c>
      <c r="CD54" s="7715">
        <f>SUM(CD55:CD56)</f>
        <v>0</v>
      </c>
      <c r="CE54" s="7715">
        <f>SUM(CE55:CE56)</f>
        <v>0</v>
      </c>
      <c r="CF54" s="7715">
        <f>SUM(CF55:CF56)</f>
        <v>0</v>
      </c>
      <c r="CG54" s="7556"/>
      <c r="CH54" s="7715">
        <f>SUM(CI54:CN54)</f>
        <v>0</v>
      </c>
      <c r="CI54" s="7715">
        <f>SUM(CI55:CI56)</f>
        <v>0</v>
      </c>
      <c r="CJ54" s="7715">
        <f>SUM(CJ55:CJ56)</f>
        <v>0</v>
      </c>
      <c r="CK54" s="7715">
        <f>SUM(CK55:CK56)</f>
        <v>0</v>
      </c>
      <c r="CL54" s="7715">
        <f>SUM(CL55:CL56)</f>
        <v>0</v>
      </c>
      <c r="CM54" s="7715">
        <f>SUM(CM55:CM56)</f>
        <v>0</v>
      </c>
      <c r="CN54" s="7556"/>
      <c r="CO54" s="7715">
        <f>SUM(CP54:CU54)</f>
        <v>0</v>
      </c>
      <c r="CP54" s="7715">
        <f>SUM(CP55:CP56)</f>
        <v>0</v>
      </c>
      <c r="CQ54" s="7715">
        <f>SUM(CQ55:CQ56)</f>
        <v>0</v>
      </c>
      <c r="CR54" s="7715">
        <f>SUM(CR55:CR56)</f>
        <v>0</v>
      </c>
      <c r="CS54" s="7715">
        <f>SUM(CS55:CS56)</f>
        <v>0</v>
      </c>
      <c r="CT54" s="7715">
        <f>SUM(CT55:CT56)</f>
        <v>0</v>
      </c>
      <c r="CU54" s="7556"/>
      <c r="CV54" s="7715">
        <f>SUM(CW54:DB54)</f>
        <v>0</v>
      </c>
      <c r="CW54" s="7715">
        <f>SUM(CW55:CW56)</f>
        <v>0</v>
      </c>
      <c r="CX54" s="7715">
        <f>SUM(CX55:CX56)</f>
        <v>0</v>
      </c>
      <c r="CY54" s="7715">
        <f>SUM(CY55:CY56)</f>
        <v>0</v>
      </c>
      <c r="CZ54" s="7715">
        <f>SUM(CZ55:CZ56)</f>
        <v>0</v>
      </c>
      <c r="DA54" s="7715">
        <f>SUM(DA55:DA56)</f>
        <v>0</v>
      </c>
      <c r="DB54" s="7556"/>
      <c r="DC54" s="7715">
        <f>SUM(DD54:DI54)</f>
        <v>0</v>
      </c>
      <c r="DD54" s="7715">
        <f>SUM(DD55:DD56)</f>
        <v>0</v>
      </c>
      <c r="DE54" s="7715">
        <f>SUM(DE55:DE56)</f>
        <v>0</v>
      </c>
      <c r="DF54" s="7715">
        <f>SUM(DF55:DF56)</f>
        <v>0</v>
      </c>
      <c r="DG54" s="7715">
        <f>SUM(DG55:DG56)</f>
        <v>0</v>
      </c>
      <c r="DH54" s="7715">
        <f>SUM(DH55:DH56)</f>
        <v>0</v>
      </c>
      <c r="DI54" s="7556"/>
      <c r="DJ54" s="7715">
        <f>SUM(DK54:DP54)</f>
        <v>0</v>
      </c>
      <c r="DK54" s="7715">
        <f>SUM(DK55:DK56)</f>
        <v>0</v>
      </c>
      <c r="DL54" s="7715">
        <f>SUM(DL55:DL56)</f>
        <v>0</v>
      </c>
      <c r="DM54" s="7715">
        <f>SUM(DM55:DM56)</f>
        <v>0</v>
      </c>
      <c r="DN54" s="7715">
        <f>SUM(DN55:DN56)</f>
        <v>0</v>
      </c>
      <c r="DO54" s="7715">
        <f>SUM(DO55:DO56)</f>
        <v>0</v>
      </c>
      <c r="DP54" s="7556"/>
      <c r="DQ54" s="7715">
        <f>SUM(DR54:EB54)</f>
        <v>0</v>
      </c>
      <c r="DR54" s="7715">
        <f>SUM(DR55:DR56)</f>
        <v>0</v>
      </c>
      <c r="DS54" s="7715">
        <f>SUM(DS55:DS56)</f>
        <v>0</v>
      </c>
      <c r="DT54" s="7715">
        <f>SUM(DT55:DT56)</f>
        <v>0</v>
      </c>
      <c r="DU54" s="7715">
        <f>SUM(DU55:DU56)</f>
        <v>0</v>
      </c>
      <c r="DV54" s="7715">
        <f>SUM(DV55:DV56)</f>
        <v>0</v>
      </c>
      <c r="DW54" s="7715">
        <f>SUM(DW55:DW56)</f>
        <v>0</v>
      </c>
      <c r="DX54" s="7715">
        <f>SUM(DX55:DX56)</f>
        <v>0</v>
      </c>
      <c r="DY54" s="7715">
        <f>SUM(DY55:DY56)</f>
        <v>0</v>
      </c>
      <c r="DZ54" s="7715">
        <f>SUM(DZ55:DZ56)</f>
        <v>0</v>
      </c>
      <c r="EA54" s="7715">
        <f>SUM(EA55:EA56)</f>
        <v>0</v>
      </c>
      <c r="EB54" s="7556"/>
      <c r="EC54" s="1358"/>
      <c r="EO54" s="1279">
        <v>11</v>
      </c>
    </row>
    <row customHeight="1" ht="48.29999999999999">
      <c r="F55" s="1354" t="s">
        <v>875</v>
      </c>
      <c r="G55" s="1362" t="s">
        <v>1476</v>
      </c>
      <c r="H55" s="1360">
        <f>SUM(I55:J55)</f>
        <v>0</v>
      </c>
      <c r="I55" s="1359"/>
      <c r="J55" s="1349"/>
      <c r="K55" s="7715">
        <f>SUM(L55:V55)</f>
        <v>0</v>
      </c>
      <c r="L55" s="7039"/>
      <c r="M55" s="7039"/>
      <c r="N55" s="7039"/>
      <c r="O55" s="7039"/>
      <c r="P55" s="7039"/>
      <c r="Q55" s="7039"/>
      <c r="R55" s="7039"/>
      <c r="S55" s="7039"/>
      <c r="T55" s="7039"/>
      <c r="U55" s="7039"/>
      <c r="V55" s="7556"/>
      <c r="W55" s="7715">
        <f>SUM(X55:AC55)</f>
        <v>0</v>
      </c>
      <c r="X55" s="7039"/>
      <c r="Y55" s="7039"/>
      <c r="Z55" s="7039"/>
      <c r="AA55" s="7039"/>
      <c r="AB55" s="7039"/>
      <c r="AC55" s="7556"/>
      <c r="AD55" s="7715">
        <f>SUM(AE55:AJ55)</f>
        <v>0</v>
      </c>
      <c r="AE55" s="7039"/>
      <c r="AF55" s="7039"/>
      <c r="AG55" s="7039"/>
      <c r="AH55" s="7039"/>
      <c r="AI55" s="7039"/>
      <c r="AJ55" s="7556"/>
      <c r="AK55" s="7715">
        <f>SUM(AL55:AQ55)</f>
        <v>0</v>
      </c>
      <c r="AL55" s="7039"/>
      <c r="AM55" s="7039"/>
      <c r="AN55" s="7039"/>
      <c r="AO55" s="7039"/>
      <c r="AP55" s="7039"/>
      <c r="AQ55" s="7556"/>
      <c r="AR55" s="7715">
        <f>SUM(AS55:AX55)</f>
        <v>0</v>
      </c>
      <c r="AS55" s="7039"/>
      <c r="AT55" s="7039"/>
      <c r="AU55" s="7039"/>
      <c r="AV55" s="7039"/>
      <c r="AW55" s="7039"/>
      <c r="AX55" s="7556"/>
      <c r="AY55" s="7715">
        <f>SUM(AZ55:BE55)</f>
        <v>0</v>
      </c>
      <c r="AZ55" s="7039"/>
      <c r="BA55" s="7039"/>
      <c r="BB55" s="7039"/>
      <c r="BC55" s="7039"/>
      <c r="BD55" s="7039"/>
      <c r="BE55" s="7556"/>
      <c r="BF55" s="7715">
        <f>SUM(BG55:BL55)</f>
        <v>0</v>
      </c>
      <c r="BG55" s="7039"/>
      <c r="BH55" s="7039"/>
      <c r="BI55" s="7039"/>
      <c r="BJ55" s="7039"/>
      <c r="BK55" s="7039"/>
      <c r="BL55" s="7556"/>
      <c r="BM55" s="7715">
        <f>SUM(BN55:BS55)</f>
        <v>0</v>
      </c>
      <c r="BN55" s="7039"/>
      <c r="BO55" s="7039"/>
      <c r="BP55" s="7039"/>
      <c r="BQ55" s="7039"/>
      <c r="BR55" s="7039"/>
      <c r="BS55" s="7556"/>
      <c r="BT55" s="7715">
        <f>SUM(BU55:BZ55)</f>
        <v>0</v>
      </c>
      <c r="BU55" s="7039"/>
      <c r="BV55" s="7039"/>
      <c r="BW55" s="7039"/>
      <c r="BX55" s="7039"/>
      <c r="BY55" s="7039"/>
      <c r="BZ55" s="7556"/>
      <c r="CA55" s="7715">
        <f>SUM(CB55:CG55)</f>
        <v>0</v>
      </c>
      <c r="CB55" s="7039"/>
      <c r="CC55" s="7039"/>
      <c r="CD55" s="7039"/>
      <c r="CE55" s="7039"/>
      <c r="CF55" s="7039"/>
      <c r="CG55" s="7556"/>
      <c r="CH55" s="7715">
        <f>SUM(CI55:CN55)</f>
        <v>0</v>
      </c>
      <c r="CI55" s="7039"/>
      <c r="CJ55" s="7039"/>
      <c r="CK55" s="7039"/>
      <c r="CL55" s="7039"/>
      <c r="CM55" s="7039"/>
      <c r="CN55" s="7556"/>
      <c r="CO55" s="7715">
        <f>SUM(CP55:CU55)</f>
        <v>0</v>
      </c>
      <c r="CP55" s="7039"/>
      <c r="CQ55" s="7039"/>
      <c r="CR55" s="7039"/>
      <c r="CS55" s="7039"/>
      <c r="CT55" s="7039"/>
      <c r="CU55" s="7556"/>
      <c r="CV55" s="7715">
        <f>SUM(CW55:DB55)</f>
        <v>0</v>
      </c>
      <c r="CW55" s="7039"/>
      <c r="CX55" s="7039"/>
      <c r="CY55" s="7039"/>
      <c r="CZ55" s="7039"/>
      <c r="DA55" s="7039"/>
      <c r="DB55" s="7556"/>
      <c r="DC55" s="7715">
        <f>SUM(DD55:DI55)</f>
        <v>0</v>
      </c>
      <c r="DD55" s="7039"/>
      <c r="DE55" s="7039"/>
      <c r="DF55" s="7039"/>
      <c r="DG55" s="7039"/>
      <c r="DH55" s="7039"/>
      <c r="DI55" s="7556"/>
      <c r="DJ55" s="7715">
        <f>SUM(DK55:DP55)</f>
        <v>0</v>
      </c>
      <c r="DK55" s="7039"/>
      <c r="DL55" s="7039"/>
      <c r="DM55" s="7039"/>
      <c r="DN55" s="7039"/>
      <c r="DO55" s="7039"/>
      <c r="DP55" s="7556"/>
      <c r="DQ55" s="7715">
        <f>SUM(DR55:EB55)</f>
        <v>0</v>
      </c>
      <c r="DR55" s="7039"/>
      <c r="DS55" s="7039"/>
      <c r="DT55" s="7039"/>
      <c r="DU55" s="7039"/>
      <c r="DV55" s="7039"/>
      <c r="DW55" s="7039"/>
      <c r="DX55" s="7039"/>
      <c r="DY55" s="7039"/>
      <c r="DZ55" s="7039"/>
      <c r="EA55" s="7039"/>
      <c r="EB55" s="7556"/>
      <c r="EC55" s="1358"/>
      <c r="EO55" s="1279">
        <v>46</v>
      </c>
    </row>
    <row customHeight="1" ht="11.549999999999999">
      <c r="F56" s="1354" t="s">
        <v>877</v>
      </c>
      <c r="G56" s="1362" t="s">
        <v>1477</v>
      </c>
      <c r="H56" s="1360">
        <f>SUM(I56:J56)</f>
        <v>0</v>
      </c>
      <c r="I56" s="1359"/>
      <c r="J56" s="1349"/>
      <c r="K56" s="7715">
        <f>SUM(L56:V56)</f>
        <v>0</v>
      </c>
      <c r="L56" s="7039"/>
      <c r="M56" s="7039"/>
      <c r="N56" s="7039"/>
      <c r="O56" s="7039"/>
      <c r="P56" s="7039"/>
      <c r="Q56" s="7039"/>
      <c r="R56" s="7039"/>
      <c r="S56" s="7039"/>
      <c r="T56" s="7039"/>
      <c r="U56" s="7039"/>
      <c r="V56" s="7556"/>
      <c r="W56" s="7715">
        <f>SUM(X56:AC56)</f>
        <v>0</v>
      </c>
      <c r="X56" s="7039"/>
      <c r="Y56" s="7039"/>
      <c r="Z56" s="7039"/>
      <c r="AA56" s="7039"/>
      <c r="AB56" s="7039"/>
      <c r="AC56" s="7556"/>
      <c r="AD56" s="7715">
        <f>SUM(AE56:AJ56)</f>
        <v>0</v>
      </c>
      <c r="AE56" s="7039"/>
      <c r="AF56" s="7039"/>
      <c r="AG56" s="7039"/>
      <c r="AH56" s="7039"/>
      <c r="AI56" s="7039"/>
      <c r="AJ56" s="7556"/>
      <c r="AK56" s="7715">
        <f>SUM(AL56:AQ56)</f>
        <v>0</v>
      </c>
      <c r="AL56" s="7039"/>
      <c r="AM56" s="7039"/>
      <c r="AN56" s="7039"/>
      <c r="AO56" s="7039"/>
      <c r="AP56" s="7039"/>
      <c r="AQ56" s="7556"/>
      <c r="AR56" s="7715">
        <f>SUM(AS56:AX56)</f>
        <v>0</v>
      </c>
      <c r="AS56" s="7039"/>
      <c r="AT56" s="7039"/>
      <c r="AU56" s="7039"/>
      <c r="AV56" s="7039"/>
      <c r="AW56" s="7039"/>
      <c r="AX56" s="7556"/>
      <c r="AY56" s="7715">
        <f>SUM(AZ56:BE56)</f>
        <v>0</v>
      </c>
      <c r="AZ56" s="7039"/>
      <c r="BA56" s="7039"/>
      <c r="BB56" s="7039"/>
      <c r="BC56" s="7039"/>
      <c r="BD56" s="7039"/>
      <c r="BE56" s="7556"/>
      <c r="BF56" s="7715">
        <f>SUM(BG56:BL56)</f>
        <v>0</v>
      </c>
      <c r="BG56" s="7039"/>
      <c r="BH56" s="7039"/>
      <c r="BI56" s="7039"/>
      <c r="BJ56" s="7039"/>
      <c r="BK56" s="7039"/>
      <c r="BL56" s="7556"/>
      <c r="BM56" s="7715">
        <f>SUM(BN56:BS56)</f>
        <v>0</v>
      </c>
      <c r="BN56" s="7039"/>
      <c r="BO56" s="7039"/>
      <c r="BP56" s="7039"/>
      <c r="BQ56" s="7039"/>
      <c r="BR56" s="7039"/>
      <c r="BS56" s="7556"/>
      <c r="BT56" s="7715">
        <f>SUM(BU56:BZ56)</f>
        <v>0</v>
      </c>
      <c r="BU56" s="7039"/>
      <c r="BV56" s="7039"/>
      <c r="BW56" s="7039"/>
      <c r="BX56" s="7039"/>
      <c r="BY56" s="7039"/>
      <c r="BZ56" s="7556"/>
      <c r="CA56" s="7715">
        <f>SUM(CB56:CG56)</f>
        <v>0</v>
      </c>
      <c r="CB56" s="7039"/>
      <c r="CC56" s="7039"/>
      <c r="CD56" s="7039"/>
      <c r="CE56" s="7039"/>
      <c r="CF56" s="7039"/>
      <c r="CG56" s="7556"/>
      <c r="CH56" s="7715">
        <f>SUM(CI56:CN56)</f>
        <v>0</v>
      </c>
      <c r="CI56" s="7039"/>
      <c r="CJ56" s="7039"/>
      <c r="CK56" s="7039"/>
      <c r="CL56" s="7039"/>
      <c r="CM56" s="7039"/>
      <c r="CN56" s="7556"/>
      <c r="CO56" s="7715">
        <f>SUM(CP56:CU56)</f>
        <v>0</v>
      </c>
      <c r="CP56" s="7039"/>
      <c r="CQ56" s="7039"/>
      <c r="CR56" s="7039"/>
      <c r="CS56" s="7039"/>
      <c r="CT56" s="7039"/>
      <c r="CU56" s="7556"/>
      <c r="CV56" s="7715">
        <f>SUM(CW56:DB56)</f>
        <v>0</v>
      </c>
      <c r="CW56" s="7039"/>
      <c r="CX56" s="7039"/>
      <c r="CY56" s="7039"/>
      <c r="CZ56" s="7039"/>
      <c r="DA56" s="7039"/>
      <c r="DB56" s="7556"/>
      <c r="DC56" s="7715">
        <f>SUM(DD56:DI56)</f>
        <v>0</v>
      </c>
      <c r="DD56" s="7039"/>
      <c r="DE56" s="7039"/>
      <c r="DF56" s="7039"/>
      <c r="DG56" s="7039"/>
      <c r="DH56" s="7039"/>
      <c r="DI56" s="7556"/>
      <c r="DJ56" s="7715">
        <f>SUM(DK56:DP56)</f>
        <v>0</v>
      </c>
      <c r="DK56" s="7039"/>
      <c r="DL56" s="7039"/>
      <c r="DM56" s="7039"/>
      <c r="DN56" s="7039"/>
      <c r="DO56" s="7039"/>
      <c r="DP56" s="7556"/>
      <c r="DQ56" s="7715">
        <f>SUM(DR56:EB56)</f>
        <v>0</v>
      </c>
      <c r="DR56" s="7039"/>
      <c r="DS56" s="7039"/>
      <c r="DT56" s="7039"/>
      <c r="DU56" s="7039"/>
      <c r="DV56" s="7039"/>
      <c r="DW56" s="7039"/>
      <c r="DX56" s="7039"/>
      <c r="DY56" s="7039"/>
      <c r="DZ56" s="7039"/>
      <c r="EA56" s="7039"/>
      <c r="EB56" s="7556"/>
      <c r="EC56" s="1358"/>
      <c r="EO56" s="1279">
        <v>11</v>
      </c>
    </row>
    <row customHeight="1" ht="11.549999999999999">
      <c r="F57" s="1354" t="s">
        <v>422</v>
      </c>
      <c r="G57" s="1361" t="s">
        <v>1493</v>
      </c>
      <c r="H57" s="1360">
        <f>SUM(I57:J57)</f>
        <v>0</v>
      </c>
      <c r="I57" s="1359"/>
      <c r="J57" s="1349"/>
      <c r="K57" s="7715">
        <f>SUM(L57:V57)</f>
        <v>0</v>
      </c>
      <c r="L57" s="7039"/>
      <c r="M57" s="7039"/>
      <c r="N57" s="7039"/>
      <c r="O57" s="7039"/>
      <c r="P57" s="7039"/>
      <c r="Q57" s="7039"/>
      <c r="R57" s="7039"/>
      <c r="S57" s="7039"/>
      <c r="T57" s="7039"/>
      <c r="U57" s="7039"/>
      <c r="V57" s="7556"/>
      <c r="W57" s="7715">
        <f>SUM(X57:AC57)</f>
        <v>0</v>
      </c>
      <c r="X57" s="7039"/>
      <c r="Y57" s="7039"/>
      <c r="Z57" s="7039"/>
      <c r="AA57" s="7039"/>
      <c r="AB57" s="7039"/>
      <c r="AC57" s="7556"/>
      <c r="AD57" s="7715">
        <f>SUM(AE57:AJ57)</f>
        <v>0</v>
      </c>
      <c r="AE57" s="7039"/>
      <c r="AF57" s="7039"/>
      <c r="AG57" s="7039"/>
      <c r="AH57" s="7039"/>
      <c r="AI57" s="7039"/>
      <c r="AJ57" s="7556"/>
      <c r="AK57" s="7715">
        <f>SUM(AL57:AQ57)</f>
        <v>0</v>
      </c>
      <c r="AL57" s="7039"/>
      <c r="AM57" s="7039"/>
      <c r="AN57" s="7039"/>
      <c r="AO57" s="7039"/>
      <c r="AP57" s="7039"/>
      <c r="AQ57" s="7556"/>
      <c r="AR57" s="7715">
        <f>SUM(AS57:AX57)</f>
        <v>0</v>
      </c>
      <c r="AS57" s="7039"/>
      <c r="AT57" s="7039"/>
      <c r="AU57" s="7039"/>
      <c r="AV57" s="7039"/>
      <c r="AW57" s="7039"/>
      <c r="AX57" s="7556"/>
      <c r="AY57" s="7715">
        <f>SUM(AZ57:BE57)</f>
        <v>0</v>
      </c>
      <c r="AZ57" s="7039"/>
      <c r="BA57" s="7039"/>
      <c r="BB57" s="7039"/>
      <c r="BC57" s="7039"/>
      <c r="BD57" s="7039"/>
      <c r="BE57" s="7556"/>
      <c r="BF57" s="7715">
        <f>SUM(BG57:BL57)</f>
        <v>0</v>
      </c>
      <c r="BG57" s="7039"/>
      <c r="BH57" s="7039"/>
      <c r="BI57" s="7039"/>
      <c r="BJ57" s="7039"/>
      <c r="BK57" s="7039"/>
      <c r="BL57" s="7556"/>
      <c r="BM57" s="7715">
        <f>SUM(BN57:BS57)</f>
        <v>0</v>
      </c>
      <c r="BN57" s="7039"/>
      <c r="BO57" s="7039"/>
      <c r="BP57" s="7039"/>
      <c r="BQ57" s="7039"/>
      <c r="BR57" s="7039"/>
      <c r="BS57" s="7556"/>
      <c r="BT57" s="7715">
        <f>SUM(BU57:BZ57)</f>
        <v>0</v>
      </c>
      <c r="BU57" s="7039"/>
      <c r="BV57" s="7039"/>
      <c r="BW57" s="7039"/>
      <c r="BX57" s="7039"/>
      <c r="BY57" s="7039"/>
      <c r="BZ57" s="7556"/>
      <c r="CA57" s="7715">
        <f>SUM(CB57:CG57)</f>
        <v>0</v>
      </c>
      <c r="CB57" s="7039"/>
      <c r="CC57" s="7039"/>
      <c r="CD57" s="7039"/>
      <c r="CE57" s="7039"/>
      <c r="CF57" s="7039"/>
      <c r="CG57" s="7556"/>
      <c r="CH57" s="7715">
        <f>SUM(CI57:CN57)</f>
        <v>0</v>
      </c>
      <c r="CI57" s="7039"/>
      <c r="CJ57" s="7039"/>
      <c r="CK57" s="7039"/>
      <c r="CL57" s="7039"/>
      <c r="CM57" s="7039"/>
      <c r="CN57" s="7556"/>
      <c r="CO57" s="7715">
        <f>SUM(CP57:CU57)</f>
        <v>0</v>
      </c>
      <c r="CP57" s="7039"/>
      <c r="CQ57" s="7039"/>
      <c r="CR57" s="7039"/>
      <c r="CS57" s="7039"/>
      <c r="CT57" s="7039"/>
      <c r="CU57" s="7556"/>
      <c r="CV57" s="7715">
        <f>SUM(CW57:DB57)</f>
        <v>0</v>
      </c>
      <c r="CW57" s="7039"/>
      <c r="CX57" s="7039"/>
      <c r="CY57" s="7039"/>
      <c r="CZ57" s="7039"/>
      <c r="DA57" s="7039"/>
      <c r="DB57" s="7556"/>
      <c r="DC57" s="7715">
        <f>SUM(DD57:DI57)</f>
        <v>0</v>
      </c>
      <c r="DD57" s="7039"/>
      <c r="DE57" s="7039"/>
      <c r="DF57" s="7039"/>
      <c r="DG57" s="7039"/>
      <c r="DH57" s="7039"/>
      <c r="DI57" s="7556"/>
      <c r="DJ57" s="7715">
        <f>SUM(DK57:DP57)</f>
        <v>0</v>
      </c>
      <c r="DK57" s="7039"/>
      <c r="DL57" s="7039"/>
      <c r="DM57" s="7039"/>
      <c r="DN57" s="7039"/>
      <c r="DO57" s="7039"/>
      <c r="DP57" s="7556"/>
      <c r="DQ57" s="7715">
        <f>SUM(DR57:EB57)</f>
        <v>0</v>
      </c>
      <c r="DR57" s="7039"/>
      <c r="DS57" s="7039"/>
      <c r="DT57" s="7039"/>
      <c r="DU57" s="7039"/>
      <c r="DV57" s="7039"/>
      <c r="DW57" s="7039"/>
      <c r="DX57" s="7039"/>
      <c r="DY57" s="7039"/>
      <c r="DZ57" s="7039"/>
      <c r="EA57" s="7039"/>
      <c r="EB57" s="7556"/>
      <c r="EC57" s="1358"/>
      <c r="EO57" s="1279">
        <v>11</v>
      </c>
    </row>
    <row customHeight="1" ht="11.549999999999999">
      <c r="F58" s="1354"/>
      <c r="G58" s="1363" t="s">
        <v>1479</v>
      </c>
      <c r="H58" s="1360">
        <f>SUM(I58:J58)</f>
        <v>0</v>
      </c>
      <c r="I58" s="1360">
        <f>SUM(I38,I48)</f>
        <v>0</v>
      </c>
      <c r="J58" s="1349"/>
      <c r="K58" s="7715">
        <f>SUM(L58:V58)</f>
        <v>0</v>
      </c>
      <c r="L58" s="7715">
        <f>SUM(L38,L48)</f>
        <v>0</v>
      </c>
      <c r="M58" s="7715">
        <f>SUM(M38,M48)</f>
        <v>0</v>
      </c>
      <c r="N58" s="7715">
        <f>SUM(N38,N48)</f>
        <v>0</v>
      </c>
      <c r="O58" s="7715">
        <f>SUM(O38,O48)</f>
        <v>0</v>
      </c>
      <c r="P58" s="7715">
        <f>SUM(P38,P48)</f>
        <v>0</v>
      </c>
      <c r="Q58" s="7715">
        <f>SUM(Q38,Q48)</f>
        <v>0</v>
      </c>
      <c r="R58" s="7715">
        <f>SUM(R38,R48)</f>
        <v>0</v>
      </c>
      <c r="S58" s="7715">
        <f>SUM(S38,S48)</f>
        <v>0</v>
      </c>
      <c r="T58" s="7715">
        <f>SUM(T38,T48)</f>
        <v>0</v>
      </c>
      <c r="U58" s="7715">
        <f>SUM(U38,U48)</f>
        <v>0</v>
      </c>
      <c r="V58" s="7556"/>
      <c r="W58" s="7715">
        <f>SUM(X58:AC58)</f>
        <v>0</v>
      </c>
      <c r="X58" s="7715">
        <f>SUM(X38,X48)</f>
        <v>0</v>
      </c>
      <c r="Y58" s="7715">
        <f>SUM(Y38,Y48)</f>
        <v>0</v>
      </c>
      <c r="Z58" s="7715">
        <f>SUM(Z38,Z48)</f>
        <v>0</v>
      </c>
      <c r="AA58" s="7715">
        <f>SUM(AA38,AA48)</f>
        <v>0</v>
      </c>
      <c r="AB58" s="7715">
        <f>SUM(AB38,AB48)</f>
        <v>0</v>
      </c>
      <c r="AC58" s="7556"/>
      <c r="AD58" s="7715">
        <f>SUM(AE58:AJ58)</f>
        <v>0</v>
      </c>
      <c r="AE58" s="7715">
        <f>SUM(AE38,AE48)</f>
        <v>0</v>
      </c>
      <c r="AF58" s="7715">
        <f>SUM(AF38,AF48)</f>
        <v>0</v>
      </c>
      <c r="AG58" s="7715">
        <f>SUM(AG38,AG48)</f>
        <v>0</v>
      </c>
      <c r="AH58" s="7715">
        <f>SUM(AH38,AH48)</f>
        <v>0</v>
      </c>
      <c r="AI58" s="7715">
        <f>SUM(AI38,AI48)</f>
        <v>0</v>
      </c>
      <c r="AJ58" s="7556"/>
      <c r="AK58" s="7715">
        <f>SUM(AL58:AQ58)</f>
        <v>0</v>
      </c>
      <c r="AL58" s="7715">
        <f>SUM(AL38,AL48)</f>
        <v>0</v>
      </c>
      <c r="AM58" s="7715">
        <f>SUM(AM38,AM48)</f>
        <v>0</v>
      </c>
      <c r="AN58" s="7715">
        <f>SUM(AN38,AN48)</f>
        <v>0</v>
      </c>
      <c r="AO58" s="7715">
        <f>SUM(AO38,AO48)</f>
        <v>0</v>
      </c>
      <c r="AP58" s="7715">
        <f>SUM(AP38,AP48)</f>
        <v>0</v>
      </c>
      <c r="AQ58" s="7556"/>
      <c r="AR58" s="7715">
        <f>SUM(AS58:AX58)</f>
        <v>0</v>
      </c>
      <c r="AS58" s="7715">
        <f>SUM(AS38,AS48)</f>
        <v>0</v>
      </c>
      <c r="AT58" s="7715">
        <f>SUM(AT38,AT48)</f>
        <v>0</v>
      </c>
      <c r="AU58" s="7715">
        <f>SUM(AU38,AU48)</f>
        <v>0</v>
      </c>
      <c r="AV58" s="7715">
        <f>SUM(AV38,AV48)</f>
        <v>0</v>
      </c>
      <c r="AW58" s="7715">
        <f>SUM(AW38,AW48)</f>
        <v>0</v>
      </c>
      <c r="AX58" s="7556"/>
      <c r="AY58" s="7715">
        <f>SUM(AZ58:BE58)</f>
        <v>0</v>
      </c>
      <c r="AZ58" s="7715">
        <f>SUM(AZ38,AZ48)</f>
        <v>0</v>
      </c>
      <c r="BA58" s="7715">
        <f>SUM(BA38,BA48)</f>
        <v>0</v>
      </c>
      <c r="BB58" s="7715">
        <f>SUM(BB38,BB48)</f>
        <v>0</v>
      </c>
      <c r="BC58" s="7715">
        <f>SUM(BC38,BC48)</f>
        <v>0</v>
      </c>
      <c r="BD58" s="7715">
        <f>SUM(BD38,BD48)</f>
        <v>0</v>
      </c>
      <c r="BE58" s="7556"/>
      <c r="BF58" s="7715">
        <f>SUM(BG58:BL58)</f>
        <v>0</v>
      </c>
      <c r="BG58" s="7715">
        <f>SUM(BG38,BG48)</f>
        <v>0</v>
      </c>
      <c r="BH58" s="7715">
        <f>SUM(BH38,BH48)</f>
        <v>0</v>
      </c>
      <c r="BI58" s="7715">
        <f>SUM(BI38,BI48)</f>
        <v>0</v>
      </c>
      <c r="BJ58" s="7715">
        <f>SUM(BJ38,BJ48)</f>
        <v>0</v>
      </c>
      <c r="BK58" s="7715">
        <f>SUM(BK38,BK48)</f>
        <v>0</v>
      </c>
      <c r="BL58" s="7556"/>
      <c r="BM58" s="7715">
        <f>SUM(BN58:BS58)</f>
        <v>0</v>
      </c>
      <c r="BN58" s="7715">
        <f>SUM(BN38,BN48)</f>
        <v>0</v>
      </c>
      <c r="BO58" s="7715">
        <f>SUM(BO38,BO48)</f>
        <v>0</v>
      </c>
      <c r="BP58" s="7715">
        <f>SUM(BP38,BP48)</f>
        <v>0</v>
      </c>
      <c r="BQ58" s="7715">
        <f>SUM(BQ38,BQ48)</f>
        <v>0</v>
      </c>
      <c r="BR58" s="7715">
        <f>SUM(BR38,BR48)</f>
        <v>0</v>
      </c>
      <c r="BS58" s="7556"/>
      <c r="BT58" s="7715">
        <f>SUM(BU58:BZ58)</f>
        <v>0</v>
      </c>
      <c r="BU58" s="7715">
        <f>SUM(BU38,BU48)</f>
        <v>0</v>
      </c>
      <c r="BV58" s="7715">
        <f>SUM(BV38,BV48)</f>
        <v>0</v>
      </c>
      <c r="BW58" s="7715">
        <f>SUM(BW38,BW48)</f>
        <v>0</v>
      </c>
      <c r="BX58" s="7715">
        <f>SUM(BX38,BX48)</f>
        <v>0</v>
      </c>
      <c r="BY58" s="7715">
        <f>SUM(BY38,BY48)</f>
        <v>0</v>
      </c>
      <c r="BZ58" s="7556"/>
      <c r="CA58" s="7715">
        <f>SUM(CB58:CG58)</f>
        <v>0</v>
      </c>
      <c r="CB58" s="7715">
        <f>SUM(CB38,CB48)</f>
        <v>0</v>
      </c>
      <c r="CC58" s="7715">
        <f>SUM(CC38,CC48)</f>
        <v>0</v>
      </c>
      <c r="CD58" s="7715">
        <f>SUM(CD38,CD48)</f>
        <v>0</v>
      </c>
      <c r="CE58" s="7715">
        <f>SUM(CE38,CE48)</f>
        <v>0</v>
      </c>
      <c r="CF58" s="7715">
        <f>SUM(CF38,CF48)</f>
        <v>0</v>
      </c>
      <c r="CG58" s="7556"/>
      <c r="CH58" s="7715">
        <f>SUM(CI58:CN58)</f>
        <v>0</v>
      </c>
      <c r="CI58" s="7715">
        <f>SUM(CI38,CI48)</f>
        <v>0</v>
      </c>
      <c r="CJ58" s="7715">
        <f>SUM(CJ38,CJ48)</f>
        <v>0</v>
      </c>
      <c r="CK58" s="7715">
        <f>SUM(CK38,CK48)</f>
        <v>0</v>
      </c>
      <c r="CL58" s="7715">
        <f>SUM(CL38,CL48)</f>
        <v>0</v>
      </c>
      <c r="CM58" s="7715">
        <f>SUM(CM38,CM48)</f>
        <v>0</v>
      </c>
      <c r="CN58" s="7556"/>
      <c r="CO58" s="7715">
        <f>SUM(CP58:CU58)</f>
        <v>0</v>
      </c>
      <c r="CP58" s="7715">
        <f>SUM(CP38,CP48)</f>
        <v>0</v>
      </c>
      <c r="CQ58" s="7715">
        <f>SUM(CQ38,CQ48)</f>
        <v>0</v>
      </c>
      <c r="CR58" s="7715">
        <f>SUM(CR38,CR48)</f>
        <v>0</v>
      </c>
      <c r="CS58" s="7715">
        <f>SUM(CS38,CS48)</f>
        <v>0</v>
      </c>
      <c r="CT58" s="7715">
        <f>SUM(CT38,CT48)</f>
        <v>0</v>
      </c>
      <c r="CU58" s="7556"/>
      <c r="CV58" s="7715">
        <f>SUM(CW58:DB58)</f>
        <v>0</v>
      </c>
      <c r="CW58" s="7715">
        <f>SUM(CW38,CW48)</f>
        <v>0</v>
      </c>
      <c r="CX58" s="7715">
        <f>SUM(CX38,CX48)</f>
        <v>0</v>
      </c>
      <c r="CY58" s="7715">
        <f>SUM(CY38,CY48)</f>
        <v>0</v>
      </c>
      <c r="CZ58" s="7715">
        <f>SUM(CZ38,CZ48)</f>
        <v>0</v>
      </c>
      <c r="DA58" s="7715">
        <f>SUM(DA38,DA48)</f>
        <v>0</v>
      </c>
      <c r="DB58" s="7556"/>
      <c r="DC58" s="7715">
        <f>SUM(DD58:DI58)</f>
        <v>0</v>
      </c>
      <c r="DD58" s="7715">
        <f>SUM(DD38,DD48)</f>
        <v>0</v>
      </c>
      <c r="DE58" s="7715">
        <f>SUM(DE38,DE48)</f>
        <v>0</v>
      </c>
      <c r="DF58" s="7715">
        <f>SUM(DF38,DF48)</f>
        <v>0</v>
      </c>
      <c r="DG58" s="7715">
        <f>SUM(DG38,DG48)</f>
        <v>0</v>
      </c>
      <c r="DH58" s="7715">
        <f>SUM(DH38,DH48)</f>
        <v>0</v>
      </c>
      <c r="DI58" s="7556"/>
      <c r="DJ58" s="7715">
        <f>SUM(DK58:DP58)</f>
        <v>0</v>
      </c>
      <c r="DK58" s="7715">
        <f>SUM(DK38,DK48)</f>
        <v>0</v>
      </c>
      <c r="DL58" s="7715">
        <f>SUM(DL38,DL48)</f>
        <v>0</v>
      </c>
      <c r="DM58" s="7715">
        <f>SUM(DM38,DM48)</f>
        <v>0</v>
      </c>
      <c r="DN58" s="7715">
        <f>SUM(DN38,DN48)</f>
        <v>0</v>
      </c>
      <c r="DO58" s="7715">
        <f>SUM(DO38,DO48)</f>
        <v>0</v>
      </c>
      <c r="DP58" s="7556"/>
      <c r="DQ58" s="7715">
        <f>SUM(DR58:EB58)</f>
        <v>0</v>
      </c>
      <c r="DR58" s="7715">
        <f>SUM(DR38,DR48)</f>
        <v>0</v>
      </c>
      <c r="DS58" s="7715">
        <f>SUM(DS38,DS48)</f>
        <v>0</v>
      </c>
      <c r="DT58" s="7715">
        <f>SUM(DT38,DT48)</f>
        <v>0</v>
      </c>
      <c r="DU58" s="7715">
        <f>SUM(DU38,DU48)</f>
        <v>0</v>
      </c>
      <c r="DV58" s="7715">
        <f>SUM(DV38,DV48)</f>
        <v>0</v>
      </c>
      <c r="DW58" s="7715">
        <f>SUM(DW38,DW48)</f>
        <v>0</v>
      </c>
      <c r="DX58" s="7715">
        <f>SUM(DX38,DX48)</f>
        <v>0</v>
      </c>
      <c r="DY58" s="7715">
        <f>SUM(DY38,DY48)</f>
        <v>0</v>
      </c>
      <c r="DZ58" s="7715">
        <f>SUM(DZ38,DZ48)</f>
        <v>0</v>
      </c>
      <c r="EA58" s="7715">
        <f>SUM(EA38,EA48)</f>
        <v>0</v>
      </c>
      <c r="EB58" s="7556"/>
      <c r="EC58" s="1358"/>
      <c r="EO58" s="1279">
        <v>11</v>
      </c>
    </row>
    <row customHeight="1" ht="10.5" hidden="1">
      <c r="A59" s="1290" t="s">
        <v>82</v>
      </c>
      <c r="B59" s="1290">
        <v>0</v>
      </c>
      <c r="C59" s="1290">
        <v>0</v>
      </c>
      <c r="D59" s="1284">
        <v>0</v>
      </c>
      <c r="E59" s="633">
        <v>3</v>
      </c>
      <c r="F59" s="1279">
        <v>6</v>
      </c>
      <c r="G59" s="1279">
        <v>60</v>
      </c>
      <c r="H59" s="1279">
        <v>0</v>
      </c>
      <c r="I59" s="1279">
        <v>0</v>
      </c>
      <c r="J59" s="1279">
        <v>0</v>
      </c>
      <c r="K59" s="7213">
        <v>0</v>
      </c>
      <c r="L59" s="7213">
        <v>0</v>
      </c>
      <c r="M59" s="7213">
        <v>0</v>
      </c>
      <c r="N59" s="7213">
        <v>0</v>
      </c>
      <c r="O59" s="7213">
        <v>0</v>
      </c>
      <c r="P59" s="7213">
        <v>0</v>
      </c>
      <c r="Q59" s="7213">
        <v>0</v>
      </c>
      <c r="R59" s="7213">
        <v>0</v>
      </c>
      <c r="S59" s="7213">
        <v>0</v>
      </c>
      <c r="T59" s="7213">
        <v>0</v>
      </c>
      <c r="U59" s="7213">
        <v>0</v>
      </c>
      <c r="V59" s="7213">
        <v>0</v>
      </c>
      <c r="W59" s="7213">
        <v>0</v>
      </c>
      <c r="X59" s="7213">
        <v>0</v>
      </c>
      <c r="Y59" s="7213">
        <v>0</v>
      </c>
      <c r="Z59" s="7213">
        <v>0</v>
      </c>
      <c r="AA59" s="7213">
        <v>0</v>
      </c>
      <c r="AB59" s="7213">
        <v>0</v>
      </c>
      <c r="AC59" s="7213">
        <v>0</v>
      </c>
      <c r="AD59" s="7213">
        <v>0</v>
      </c>
      <c r="AE59" s="7213">
        <v>0</v>
      </c>
      <c r="AF59" s="7213">
        <v>0</v>
      </c>
      <c r="AG59" s="7213">
        <v>0</v>
      </c>
      <c r="AH59" s="7213">
        <v>0</v>
      </c>
      <c r="AI59" s="7213">
        <v>0</v>
      </c>
      <c r="AJ59" s="7213">
        <v>0</v>
      </c>
      <c r="AK59" s="7213">
        <v>0</v>
      </c>
      <c r="AL59" s="7213">
        <v>0</v>
      </c>
      <c r="AM59" s="7213">
        <v>0</v>
      </c>
      <c r="AN59" s="7213">
        <v>0</v>
      </c>
      <c r="AO59" s="7213">
        <v>0</v>
      </c>
      <c r="AP59" s="7213">
        <v>0</v>
      </c>
      <c r="AQ59" s="7213">
        <v>0</v>
      </c>
      <c r="AR59" s="7213">
        <v>0</v>
      </c>
      <c r="AS59" s="7213">
        <v>0</v>
      </c>
      <c r="AT59" s="7213">
        <v>0</v>
      </c>
      <c r="AU59" s="7213">
        <v>0</v>
      </c>
      <c r="AV59" s="7213">
        <v>0</v>
      </c>
      <c r="AW59" s="7213">
        <v>0</v>
      </c>
      <c r="AX59" s="7213">
        <v>0</v>
      </c>
      <c r="AY59" s="7213">
        <v>0</v>
      </c>
      <c r="AZ59" s="7213">
        <v>0</v>
      </c>
      <c r="BA59" s="7213">
        <v>0</v>
      </c>
      <c r="BB59" s="7213">
        <v>0</v>
      </c>
      <c r="BC59" s="7213">
        <v>0</v>
      </c>
      <c r="BD59" s="7213">
        <v>0</v>
      </c>
      <c r="BE59" s="7213">
        <v>0</v>
      </c>
      <c r="BF59" s="7213">
        <v>0</v>
      </c>
      <c r="BG59" s="7213">
        <v>0</v>
      </c>
      <c r="BH59" s="7213">
        <v>0</v>
      </c>
      <c r="BI59" s="7213">
        <v>0</v>
      </c>
      <c r="BJ59" s="7213">
        <v>0</v>
      </c>
      <c r="BK59" s="7213">
        <v>0</v>
      </c>
      <c r="BL59" s="7213">
        <v>0</v>
      </c>
      <c r="BM59" s="7213">
        <v>0</v>
      </c>
      <c r="BN59" s="7213">
        <v>0</v>
      </c>
      <c r="BO59" s="7213">
        <v>0</v>
      </c>
      <c r="BP59" s="7213">
        <v>0</v>
      </c>
      <c r="BQ59" s="7213">
        <v>0</v>
      </c>
      <c r="BR59" s="7213">
        <v>0</v>
      </c>
      <c r="BS59" s="7213">
        <v>0</v>
      </c>
      <c r="BT59" s="7213">
        <v>0</v>
      </c>
      <c r="BU59" s="7213">
        <v>0</v>
      </c>
      <c r="BV59" s="7213">
        <v>0</v>
      </c>
      <c r="BW59" s="7213">
        <v>0</v>
      </c>
      <c r="BX59" s="7213">
        <v>0</v>
      </c>
      <c r="BY59" s="7213">
        <v>0</v>
      </c>
      <c r="BZ59" s="7213">
        <v>0</v>
      </c>
      <c r="CA59" s="7213">
        <v>0</v>
      </c>
      <c r="CB59" s="7213">
        <v>0</v>
      </c>
      <c r="CC59" s="7213">
        <v>0</v>
      </c>
      <c r="CD59" s="7213">
        <v>0</v>
      </c>
      <c r="CE59" s="7213">
        <v>0</v>
      </c>
      <c r="CF59" s="7213">
        <v>0</v>
      </c>
      <c r="CG59" s="7213">
        <v>0</v>
      </c>
      <c r="CH59" s="7213">
        <v>0</v>
      </c>
      <c r="CI59" s="7213">
        <v>0</v>
      </c>
      <c r="CJ59" s="7213">
        <v>0</v>
      </c>
      <c r="CK59" s="7213">
        <v>0</v>
      </c>
      <c r="CL59" s="7213">
        <v>0</v>
      </c>
      <c r="CM59" s="7213">
        <v>0</v>
      </c>
      <c r="CN59" s="7213">
        <v>0</v>
      </c>
      <c r="CO59" s="7213">
        <v>0</v>
      </c>
      <c r="CP59" s="7213">
        <v>0</v>
      </c>
      <c r="CQ59" s="7213">
        <v>0</v>
      </c>
      <c r="CR59" s="7213">
        <v>0</v>
      </c>
      <c r="CS59" s="7213">
        <v>0</v>
      </c>
      <c r="CT59" s="7213">
        <v>0</v>
      </c>
      <c r="CU59" s="7213">
        <v>0</v>
      </c>
      <c r="CV59" s="7213">
        <v>0</v>
      </c>
      <c r="CW59" s="7213">
        <v>0</v>
      </c>
      <c r="CX59" s="7213">
        <v>0</v>
      </c>
      <c r="CY59" s="7213">
        <v>0</v>
      </c>
      <c r="CZ59" s="7213">
        <v>0</v>
      </c>
      <c r="DA59" s="7213">
        <v>0</v>
      </c>
      <c r="DB59" s="7213">
        <v>0</v>
      </c>
      <c r="DC59" s="7213">
        <v>0</v>
      </c>
      <c r="DD59" s="7213">
        <v>0</v>
      </c>
      <c r="DE59" s="7213">
        <v>0</v>
      </c>
      <c r="DF59" s="7213">
        <v>0</v>
      </c>
      <c r="DG59" s="7213">
        <v>0</v>
      </c>
      <c r="DH59" s="7213">
        <v>0</v>
      </c>
      <c r="DI59" s="7213">
        <v>0</v>
      </c>
      <c r="DJ59" s="7213">
        <v>0</v>
      </c>
      <c r="DK59" s="7213">
        <v>0</v>
      </c>
      <c r="DL59" s="7213">
        <v>0</v>
      </c>
      <c r="DM59" s="7213">
        <v>0</v>
      </c>
      <c r="DN59" s="7213">
        <v>0</v>
      </c>
      <c r="DO59" s="7213">
        <v>0</v>
      </c>
      <c r="DP59" s="7213">
        <v>0</v>
      </c>
      <c r="DQ59" s="7213">
        <v>0</v>
      </c>
      <c r="DR59" s="7213">
        <v>0</v>
      </c>
      <c r="DS59" s="7213">
        <v>0</v>
      </c>
      <c r="DT59" s="7213">
        <v>0</v>
      </c>
      <c r="DU59" s="7213">
        <v>0</v>
      </c>
      <c r="DV59" s="7213">
        <v>0</v>
      </c>
      <c r="DW59" s="7213">
        <v>0</v>
      </c>
      <c r="DX59" s="7213">
        <v>0</v>
      </c>
      <c r="DY59" s="7213">
        <v>0</v>
      </c>
      <c r="DZ59" s="7213">
        <v>0</v>
      </c>
      <c r="EA59" s="7213">
        <v>0</v>
      </c>
      <c r="EB59" s="7213">
        <v>0</v>
      </c>
      <c r="EC59" s="1279">
        <v>1</v>
      </c>
      <c r="ED59" s="1279">
        <v>8</v>
      </c>
      <c r="EE59" s="1279">
        <v>8</v>
      </c>
      <c r="EF59" s="1279">
        <v>8</v>
      </c>
      <c r="EG59" s="1279">
        <v>8</v>
      </c>
      <c r="EH59" s="1279">
        <v>8</v>
      </c>
      <c r="EI59" s="1279">
        <v>8</v>
      </c>
      <c r="EJ59" s="1279">
        <v>8</v>
      </c>
      <c r="EK59" s="1279">
        <v>8</v>
      </c>
      <c r="EL59" s="1279">
        <v>8</v>
      </c>
      <c r="EM59" s="1279">
        <v>8</v>
      </c>
      <c r="EN59" s="1279">
        <v>8</v>
      </c>
      <c r="EO59" s="1279">
        <v>10</v>
      </c>
    </row>
  </sheetData>
  <sheetProtection formatColumns="0" formatRows="0" autoFilter="0" sort="0" insertRows="0" insertColumns="1" deleteRows="0" deleteColumns="0"/>
  <mergeCells count="41">
    <mergeCell ref="F5:J5"/>
    <mergeCell ref="F6:J6"/>
    <mergeCell ref="F9:J9"/>
    <mergeCell ref="G14:J14"/>
    <mergeCell ref="G37:J37"/>
    <mergeCell ref="F10:F12"/>
    <mergeCell ref="H10:J10"/>
    <mergeCell ref="H11:J11"/>
    <mergeCell ref="G10:G12"/>
    <mergeCell ref="K10:V10"/>
    <mergeCell ref="K11:V11"/>
    <mergeCell ref="W10:AC10"/>
    <mergeCell ref="W11:AC11"/>
    <mergeCell ref="AD10:AJ10"/>
    <mergeCell ref="AD11:AJ11"/>
    <mergeCell ref="AK10:AQ10"/>
    <mergeCell ref="AK11:AQ11"/>
    <mergeCell ref="AR10:AX10"/>
    <mergeCell ref="AR11:AX11"/>
    <mergeCell ref="AY10:BE10"/>
    <mergeCell ref="AY11:BE11"/>
    <mergeCell ref="BF10:BL10"/>
    <mergeCell ref="BF11:BL11"/>
    <mergeCell ref="BM10:BS10"/>
    <mergeCell ref="BM11:BS11"/>
    <mergeCell ref="BT10:BZ10"/>
    <mergeCell ref="BT11:BZ11"/>
    <mergeCell ref="CA10:CG10"/>
    <mergeCell ref="CA11:CG11"/>
    <mergeCell ref="CH10:CN10"/>
    <mergeCell ref="CH11:CN11"/>
    <mergeCell ref="CO10:CU10"/>
    <mergeCell ref="CO11:CU11"/>
    <mergeCell ref="CV10:DB10"/>
    <mergeCell ref="CV11:DB11"/>
    <mergeCell ref="DC10:DI10"/>
    <mergeCell ref="DC11:DI11"/>
    <mergeCell ref="DJ10:DP10"/>
    <mergeCell ref="DJ11:DP11"/>
    <mergeCell ref="DQ10:EB10"/>
    <mergeCell ref="DQ11:EB11"/>
  </mergeCells>
  <dataValidations count="1">
    <dataValidation type="decimal" allowBlank="1" showErrorMessage="1" errorTitle="Ошибка" error="Допускается ввод только неотрицательных чисел!" sqref="I29:I31 I33:I35 I40:I43 I45:I47 I50:I53 I55:I57 I16:I27 L16:U16 L17:U17 L18:U18 L19:U19 L20:U20 L21:U21 L22:U22 L23:U23 L24:U24 L25:U25 L26:U26 L27:U27 L29:U29 L30:U30 L31:U31 L33:U33 L34:U34 L35:U35 L40:U40 L41:U41 L42:U42 L43:U43 L45:U45 L46:U46 L47:U47 L50:U50 L51:U51 L52:U52 L53:U53 L55:U55 L56:U56 L57:U57 X16:AB16 X17:AB17 X18:AB18 X19:AB19 X20:AB20 X21:AB21 X22:AB22 X23:AB23 X24:AB24 X25:AB25 X26:AB26 X27:AB27 X29:AB29 X30:AB30 X31:AB31 X33:AB33 X34:AB34 X35:AB35 X40:AB40 X41:AB41 X42:AB42 X43:AB43 X45:AB45 X46:AB46 X47:AB47 X50:AB50 X51:AB51 X52:AB52 X53:AB53 X55:AB55 X56:AB56 X57:AB57 AE16:AI16 AE17:AI17 AE18:AI18 AE19:AI19 AE20:AI20 AE21:AI21 AE22:AI22 AE23:AI23 AE24:AI24 AE25:AI25 AE26:AI26 AE27:AI27 AE29:AI29 AE30:AI30 AE31:AI31 AE33:AI33 AE34:AI34 AE35:AI35 AE40:AI40 AE41:AI41 AE42:AI42 AE43:AI43 AE45:AI45 AE46:AI46 AE47:AI47 AE50:AI50 AE51:AI51 AE52:AI52 AE53:AI53 AE55:AI55 AE56:AI56 AE57:AI57 AL16:AP16 AL17:AP17 AL18:AP18 AL19:AP19 AL20:AP20 AL21:AP21 AL22:AP22 AL23:AP23 AL24:AP24 AL25:AP25 AL26:AP26 AL27:AP27 AL29:AP29 AL30:AP30 AL31:AP31 AL33:AP33 AL34:AP34 AL35:AP35 AL40:AP40 AL41:AP41 AL42:AP42 AL43:AP43 AL45:AP45 AL46:AP46 AL47:AP47 AL50:AP50 AL51:AP51 AL52:AP52 AL53:AP53 AL55:AP55 AL56:AP56 AL57:AP57 AS16:AW16 AS17:AW17 AS18:AW18 AS19:AW19 AS20:AW20 AS21:AW21 AS22:AW22 AS23:AW23 AS24:AW24 AS25:AW25 AS26:AW26 AS27:AW27 AS29:AW29 AS30:AW30 AS31:AW31 AS33:AW33 AS34:AW34 AS35:AW35 AS40:AW40 AS41:AW41 AS42:AW42 AS43:AW43 AS45:AW45 AS46:AW46 AS47:AW47 AS50:AW50 AS51:AW51 AS52:AW52 AS53:AW53 AS55:AW55 AS56:AW56 AS57:AW57 AZ16:BD16 AZ17:BD17 AZ18:BD18 AZ19:BD19 AZ20:BD20 AZ21:BD21 AZ22:BD22 AZ23:BD23 AZ24:BD24 AZ25:BD25 AZ26:BD26 AZ27:BD27 AZ29:BD29 AZ30:BD30 AZ31:BD31 AZ33:BD33 AZ34:BD34 AZ35:BD35 AZ40:BD40 AZ41:BD41 AZ42:BD42 AZ43:BD43 AZ45:BD45 AZ46:BD46 AZ47:BD47 AZ50:BD50 AZ51:BD51 AZ52:BD52 AZ53:BD53 AZ55:BD55 AZ56:BD56 AZ57:BD57 BG16:BK16 BG17:BK17 BG18:BK18 BG19:BK19 BG20:BK20 BG21:BK21 BG22:BK22 BG23:BK23 BG24:BK24 BG25:BK25 BG26:BK26 BG27:BK27 BG29:BK29 BG30:BK30 BG31:BK31 BG33:BK33 BG34:BK34 BG35:BK35 BG40:BK40 BG41:BK41 BG42:BK42 BG43:BK43 BG45:BK45 BG46:BK46 BG47:BK47 BG50:BK50 BG51:BK51 BG52:BK52 BG53:BK53 BG55:BK55 BG56:BK56 BG57:BK57 BN16:BR16 BN17:BR17 BN18:BR18 BN19:BR19 BN20:BR20 BN21:BR21 BN22:BR22 BN23:BR23 BN24:BR24 BN25:BR25 BN26:BR26 BN27:BR27 BN29:BR29 BN30:BR30 BN31:BR31 BN33:BR33 BN34:BR34 BN35:BR35 BN40:BR40 BN41:BR41 BN42:BR42 BN43:BR43 BN45:BR45 BN46:BR46 BN47:BR47 BN50:BR50 BN51:BR51 BN52:BR52 BN53:BR53 BN55:BR55 BN56:BR56 BN57:BR57 BU16:BY16 BU17:BY17 BU18:BY18 BU19:BY19 BU20:BY20 BU21:BY21 BU22:BY22 BU23:BY23 BU24:BY24 BU25:BY25 BU26:BY26 BU27:BY27 BU29:BY29 BU30:BY30 BU31:BY31 BU33:BY33 BU34:BY34 BU35:BY35 BU40:BY40 BU41:BY41 BU42:BY42 BU43:BY43 BU45:BY45 BU46:BY46 BU47:BY47 BU50:BY50 BU51:BY51 BU52:BY52 BU53:BY53 BU55:BY55 BU56:BY56 BU57:BY57 CB16:CF16 CB17:CF17 CB18:CF18 CB19:CF19 CB20:CF20 CB21:CF21 CB22:CF22 CB23:CF23 CB24:CF24 CB25:CF25 CB26:CF26 CB27:CF27 CB29:CF29 CB30:CF30 CB31:CF31 CB33:CF33 CB34:CF34 CB35:CF35 CB40:CF40 CB41:CF41 CB42:CF42 CB43:CF43 CB45:CF45 CB46:CF46 CB47:CF47 CB50:CF50 CB51:CF51 CB52:CF52 CB53:CF53 CB55:CF55 CB56:CF56 CB57:CF57 CI16:CM16 CI17:CM17 CI18:CM18 CI19:CM19 CI20:CM20 CI21:CM21 CI22:CM22 CI23:CM23 CI24:CM24 CI25:CM25 CI26:CM26 CI27:CM27 CI29:CM29 CI30:CM30 CI31:CM31 CI33:CM33 CI34:CM34 CI35:CM35 CI40:CM40 CI41:CM41 CI42:CM42 CI43:CM43 CI45:CM45 CI46:CM46 CI47:CM47 CI50:CM50 CI51:CM51 CI52:CM52 CI53:CM53 CI55:CM55 CI56:CM56 CI57:CM57 CP16:CT16 CP17:CT17 CP18:CT18 CP19:CT19 CP20:CT20 CP21:CT21 CP22:CT22 CP23:CT23 CP24:CT24 CP25:CT25 CP26:CT26 CP27:CT27 CP29:CT29 CP30:CT30 CP31:CT31 CP33:CT33 CP34:CT34 CP35:CT35 CP40:CT40 CP41:CT41 CP42:CT42 CP43:CT43 CP45:CT45 CP46:CT46 CP47:CT47 CP50:CT50 CP51:CT51 CP52:CT52 CP53:CT53 CP55:CT55 CP56:CT56 CP57:CT57 CW16:DA16 CW17:DA17 CW18:DA18 CW19:DA19 CW20:DA20 CW21:DA21 CW22:DA22 CW23:DA23 CW24:DA24 CW25:DA25 CW26:DA26 CW27:DA27 CW29:DA29 CW30:DA30 CW31:DA31 CW33:DA33 CW34:DA34 CW35:DA35 CW40:DA40 CW41:DA41 CW42:DA42 CW43:DA43 CW45:DA45 CW46:DA46 CW47:DA47 CW50:DA50 CW51:DA51 CW52:DA52 CW53:DA53 CW55:DA55 CW56:DA56 CW57:DA57 DD16:DH16 DD17:DH17 DD18:DH18 DD19:DH19 DD20:DH20 DD21:DH21 DD22:DH22 DD23:DH23 DD24:DH24 DD25:DH25 DD26:DH26 DD27:DH27 DD29:DH29 DD30:DH30 DD31:DH31 DD33:DH33 DD34:DH34 DD35:DH35 DD40:DH40 DD41:DH41 DD42:DH42 DD43:DH43 DD45:DH45 DD46:DH46 DD47:DH47 DD50:DH50 DD51:DH51 DD52:DH52 DD53:DH53 DD55:DH55 DD56:DH56 DD57:DH57 DK16:DO16 DK17:DO17 DK18:DO18 DK19:DO19 DK20:DO20 DK21:DO21 DK22:DO22 DK23:DO23 DK24:DO24 DK25:DO25 DK26:DO26 DK27:DO27 DK29:DO29 DK30:DO30 DK31:DO31 DK33:DO33 DK34:DO34 DK35:DO35 DK40:DO40 DK41:DO41 DK42:DO42 DK43:DO43 DK45:DO45 DK46:DO46 DK47:DO47 DK50:DO50 DK51:DO51 DK52:DO52 DK53:DO53 DK55:DO55 DK56:DO56 DK57:DO57 DR16:EA16 DR17:EA17 DR18:EA18 DR19:EA19 DR20:EA20 DR21:EA21 DR22:EA22 DR23:EA23 DR24:EA24 DR25:EA25 DR26:EA26 DR27:EA27 DR29:EA29 DR30:EA30 DR31:EA31 DR33:EA33 DR34:EA34 DR35:EA35 DR40:EA40 DR41:EA41 DR42:EA42 DR43:EA43 DR45:EA45 DR46:EA46 DR47:EA47 DR50:EA50 DR51:EA51 DR52:EA52 DR53:EA53 DR55:EA55 DR56:EA56 DR57:EA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35B4C6-CD31-DB98-6773-C9F0AFBF85D8}" mc:Ignorable="x14ac xr xr2 xr3">
  <sheetPr>
    <tabColor theme="9" tint="-0.25"/>
  </sheetPr>
  <dimension ref="A1:GC73"/>
  <sheetViews>
    <sheetView showGridLines="0" zoomScale="90" workbookViewId="0">
      <pane xSplit="14" ySplit="17" topLeftCell="O21" activePane="bottomRight" state="frozen"/>
      <selection pane="bottomLeft" activeCell="A18" sqref="A18"/>
      <selection pane="topRight" activeCell="O1" sqref="O1"/>
      <selection pane="bottomRight" activeCell="E67" sqref="E67"/>
    </sheetView>
  </sheetViews>
  <sheetFormatPr defaultColWidth="9.140625" customHeight="1" defaultRowHeight="12"/>
  <cols>
    <col min="1" max="1" style="7118" width="4.7109375" hidden="1" customWidth="1"/>
    <col min="2" max="2" style="7120" width="4.7109375" hidden="1" customWidth="1"/>
    <col min="3" max="4" style="7118" width="4.7109375" hidden="1" customWidth="1"/>
    <col min="5" max="5" style="7118" width="3.00390625" customWidth="1"/>
    <col min="6" max="6" style="7118" width="6.00390625" customWidth="1"/>
    <col min="7" max="7" style="7118" width="18.00390625" customWidth="1"/>
    <col min="8" max="8" style="7118" width="27.00390625" customWidth="1"/>
    <col min="9" max="9" style="7118" width="18.00390625" customWidth="1"/>
    <col min="10" max="14" style="7118" width="0.8515625" hidden="1" customWidth="1"/>
    <col min="15" max="28" style="7118" width="21.7109375" customWidth="1"/>
    <col min="29" max="71" style="7118" width="0.8515625" customWidth="1"/>
    <col min="72" max="79" style="7118" width="21.7109375" hidden="1" customWidth="1"/>
    <col min="80" max="81" style="7118" width="29.140625" hidden="1" customWidth="1"/>
    <col min="82" max="89" style="7118" width="21.7109375" hidden="1" customWidth="1"/>
    <col min="90" max="102" style="7118" width="0.7109375" hidden="1" customWidth="1"/>
    <col min="103" max="114" style="7118" width="21.7109375" hidden="1" customWidth="1"/>
    <col min="115" max="178" style="7118" width="0.7109375" hidden="1" customWidth="1"/>
    <col min="179" max="179" style="7118" width="0.140625" customWidth="1"/>
    <col min="180" max="184" style="7118" width="8.00390625" customWidth="1"/>
    <col min="185" max="185" style="7118" width="9.140625" hidden="1"/>
  </cols>
  <sheetData>
    <row s="7048" customFormat="1" customHeight="1" ht="12" hidden="1">
      <c r="B1" s="1047"/>
      <c r="C1" s="1048"/>
      <c r="D1" s="1048"/>
      <c r="GC1" s="1046" t="s">
        <v>14</v>
      </c>
    </row>
    <row s="7048" customFormat="1" customHeight="1" ht="12" hidden="1">
      <c r="B2" s="1047"/>
      <c r="C2" s="1048"/>
      <c r="D2" s="1048"/>
      <c r="E2" s="1048"/>
      <c r="F2" s="1048"/>
      <c r="G2" s="1048"/>
      <c r="H2" s="1048"/>
      <c r="I2" s="1048"/>
      <c r="J2" s="1048"/>
      <c r="K2" s="1048"/>
      <c r="L2" s="1048"/>
      <c r="M2" s="1048"/>
      <c r="N2" s="1048"/>
      <c r="O2" s="1048"/>
      <c r="P2" s="1048"/>
      <c r="Q2" s="1048"/>
      <c r="R2" s="1048"/>
      <c r="S2" s="1048"/>
      <c r="T2" s="1048"/>
      <c r="U2" s="1048"/>
      <c r="V2" s="1048"/>
      <c r="W2" s="1048"/>
      <c r="X2" s="1048"/>
      <c r="Y2" s="1048"/>
      <c r="Z2" s="1048"/>
      <c r="AA2" s="1048"/>
      <c r="AB2" s="1049"/>
      <c r="AC2" s="1048"/>
      <c r="AD2" s="1048"/>
      <c r="AE2" s="1048"/>
      <c r="AF2" s="1048"/>
      <c r="AG2" s="1048"/>
      <c r="AH2" s="1048"/>
      <c r="AI2" s="1048"/>
      <c r="AJ2" s="1048"/>
      <c r="AK2" s="1048"/>
      <c r="AL2" s="1048"/>
      <c r="AM2" s="1048"/>
      <c r="AN2" s="1048"/>
      <c r="AO2" s="1048"/>
      <c r="AP2" s="1048"/>
      <c r="AQ2" s="1048"/>
      <c r="AR2" s="1048"/>
      <c r="AS2" s="1048"/>
      <c r="AT2" s="1048"/>
      <c r="AU2" s="1048"/>
      <c r="AV2" s="1048"/>
      <c r="AW2" s="1048"/>
      <c r="AX2" s="1048"/>
      <c r="AY2" s="1048"/>
      <c r="AZ2" s="1048"/>
      <c r="BA2" s="1048"/>
      <c r="BB2" s="1048"/>
      <c r="BC2" s="1048"/>
      <c r="BD2" s="1048"/>
      <c r="BE2" s="1048"/>
      <c r="BF2" s="1048"/>
      <c r="BG2" s="1048"/>
      <c r="BH2" s="1048"/>
      <c r="BI2" s="1048"/>
      <c r="BJ2" s="1048"/>
      <c r="BK2" s="1048"/>
      <c r="BL2" s="1048"/>
      <c r="BM2" s="1048"/>
      <c r="BN2" s="1048"/>
      <c r="BO2" s="1048"/>
      <c r="BP2" s="1048"/>
      <c r="BQ2" s="1048"/>
      <c r="BR2" s="1048"/>
      <c r="BS2" s="1048"/>
      <c r="BT2" s="1048"/>
      <c r="BU2" s="1048"/>
      <c r="BV2" s="1048"/>
      <c r="BW2" s="1048"/>
      <c r="BX2" s="1048"/>
      <c r="BY2" s="1048"/>
      <c r="BZ2" s="1048"/>
      <c r="CA2" s="1048"/>
      <c r="CB2" s="1048"/>
      <c r="CC2" s="1048"/>
      <c r="CD2" s="1048"/>
      <c r="CE2" s="1048"/>
      <c r="CF2" s="1048"/>
      <c r="CG2" s="1048"/>
      <c r="CH2" s="1048"/>
      <c r="CI2" s="1048"/>
      <c r="CJ2" s="1048"/>
      <c r="CK2" s="1048"/>
      <c r="CL2" s="1048"/>
      <c r="CM2" s="1048"/>
      <c r="CN2" s="1048"/>
      <c r="CO2" s="1048"/>
      <c r="CP2" s="1048"/>
      <c r="CQ2" s="1048"/>
      <c r="CR2" s="1048"/>
      <c r="CS2" s="1048"/>
      <c r="CT2" s="1048"/>
      <c r="CU2" s="1048"/>
      <c r="CV2" s="1048"/>
      <c r="CW2" s="1048"/>
      <c r="CX2" s="1048"/>
      <c r="CY2" s="1048"/>
      <c r="CZ2" s="1048"/>
      <c r="DA2" s="1048"/>
      <c r="DB2" s="1048"/>
      <c r="DC2" s="1048"/>
      <c r="DD2" s="1048"/>
      <c r="DE2" s="1048"/>
      <c r="DF2" s="1048"/>
      <c r="DG2" s="1048"/>
      <c r="DH2" s="1048"/>
      <c r="DI2" s="1048"/>
      <c r="DJ2" s="1048"/>
      <c r="DK2" s="1048"/>
      <c r="DL2" s="1048"/>
      <c r="DM2" s="1048"/>
      <c r="DN2" s="1048"/>
      <c r="DO2" s="1048"/>
      <c r="DP2" s="1048"/>
      <c r="DQ2" s="1048"/>
      <c r="DR2" s="1048"/>
      <c r="DS2" s="1048"/>
      <c r="DT2" s="1048"/>
      <c r="DU2" s="1048"/>
      <c r="DV2" s="1048"/>
      <c r="DW2" s="1048"/>
      <c r="DX2" s="1048"/>
      <c r="DY2" s="1048"/>
      <c r="DZ2" s="1048"/>
      <c r="EA2" s="1048"/>
      <c r="EB2" s="1048"/>
      <c r="EC2" s="1048"/>
      <c r="ED2" s="1048"/>
      <c r="EE2" s="1048"/>
      <c r="EF2" s="1048"/>
      <c r="EG2" s="1048"/>
      <c r="EH2" s="1048"/>
      <c r="EI2" s="1048"/>
      <c r="EJ2" s="1048"/>
      <c r="EK2" s="1048"/>
      <c r="EL2" s="1048"/>
      <c r="EM2" s="1048"/>
      <c r="EN2" s="1048"/>
      <c r="EO2" s="1048"/>
      <c r="EP2" s="1048"/>
      <c r="EQ2" s="1048"/>
      <c r="ER2" s="1048"/>
      <c r="ES2" s="1048"/>
      <c r="ET2" s="1048"/>
      <c r="EU2" s="1048"/>
      <c r="EV2" s="1048"/>
      <c r="EW2" s="1048"/>
      <c r="EX2" s="1048"/>
      <c r="EY2" s="1048"/>
      <c r="EZ2" s="1048"/>
      <c r="FA2" s="1048"/>
      <c r="FB2" s="1048"/>
      <c r="FC2" s="1048"/>
      <c r="FD2" s="1048"/>
      <c r="FE2" s="1048"/>
      <c r="FF2" s="1048"/>
      <c r="FG2" s="1048"/>
      <c r="FH2" s="1048"/>
      <c r="FI2" s="1048"/>
      <c r="FJ2" s="1048"/>
      <c r="FK2" s="1048"/>
      <c r="FL2" s="1048"/>
      <c r="FM2" s="1048"/>
      <c r="FN2" s="1048"/>
      <c r="FO2" s="1048"/>
      <c r="FP2" s="1048"/>
      <c r="FQ2" s="1048"/>
      <c r="FR2" s="1048"/>
      <c r="FS2" s="1048"/>
      <c r="FT2" s="1048"/>
      <c r="FU2" s="1048"/>
      <c r="FV2" s="1048"/>
      <c r="FW2" s="1048"/>
      <c r="GC2" s="1046">
        <v>0</v>
      </c>
    </row>
    <row s="7048" customFormat="1" customHeight="1" ht="12" hidden="1">
      <c r="B3" s="1047"/>
      <c r="C3" s="1048"/>
      <c r="D3" s="1048"/>
      <c r="E3" s="1048"/>
      <c r="F3" s="1048"/>
      <c r="G3" s="1048"/>
      <c r="H3" s="1048"/>
      <c r="I3" s="1048"/>
      <c r="J3" s="1048"/>
      <c r="K3" s="1048"/>
      <c r="L3" s="1048"/>
      <c r="M3" s="1048"/>
      <c r="N3" s="1048"/>
      <c r="O3" s="1048"/>
      <c r="P3" s="1048"/>
      <c r="Q3" s="1048"/>
      <c r="R3" s="1048"/>
      <c r="S3" s="1048"/>
      <c r="T3" s="1048"/>
      <c r="U3" s="1048"/>
      <c r="V3" s="1048"/>
      <c r="W3" s="1048"/>
      <c r="X3" s="1048"/>
      <c r="Y3" s="1048"/>
      <c r="Z3" s="1048"/>
      <c r="AA3" s="1048"/>
      <c r="AB3" s="1049"/>
      <c r="AC3" s="1048"/>
      <c r="AD3" s="1048"/>
      <c r="AE3" s="1048"/>
      <c r="AF3" s="1048"/>
      <c r="AG3" s="1048"/>
      <c r="AH3" s="1048"/>
      <c r="AI3" s="1048"/>
      <c r="AJ3" s="1048"/>
      <c r="AK3" s="1048"/>
      <c r="AL3" s="1048"/>
      <c r="AM3" s="1048"/>
      <c r="AN3" s="1048"/>
      <c r="AO3" s="1048"/>
      <c r="AP3" s="1048"/>
      <c r="AQ3" s="1048"/>
      <c r="AR3" s="1048"/>
      <c r="AS3" s="1048"/>
      <c r="AT3" s="1048"/>
      <c r="AU3" s="1048"/>
      <c r="AV3" s="1048"/>
      <c r="AW3" s="1048"/>
      <c r="AX3" s="1048"/>
      <c r="AY3" s="1048"/>
      <c r="AZ3" s="1048"/>
      <c r="BA3" s="1048"/>
      <c r="BB3" s="1048"/>
      <c r="BC3" s="1048"/>
      <c r="BD3" s="1048"/>
      <c r="BE3" s="1048"/>
      <c r="BF3" s="1048"/>
      <c r="BG3" s="1048"/>
      <c r="BH3" s="1048"/>
      <c r="BI3" s="1048"/>
      <c r="BJ3" s="1048"/>
      <c r="BK3" s="1048"/>
      <c r="BL3" s="1048"/>
      <c r="BM3" s="1048"/>
      <c r="BN3" s="1048"/>
      <c r="BO3" s="1048"/>
      <c r="BP3" s="1048"/>
      <c r="BQ3" s="1048"/>
      <c r="BR3" s="1048"/>
      <c r="BS3" s="1048"/>
      <c r="BT3" s="1048"/>
      <c r="BU3" s="1048"/>
      <c r="BV3" s="1048"/>
      <c r="BW3" s="1048"/>
      <c r="BX3" s="1048"/>
      <c r="BY3" s="1048"/>
      <c r="BZ3" s="1048"/>
      <c r="CA3" s="1048"/>
      <c r="CB3" s="1048"/>
      <c r="CC3" s="1048"/>
      <c r="CD3" s="1048"/>
      <c r="CE3" s="1048"/>
      <c r="CF3" s="1048"/>
      <c r="CG3" s="1048"/>
      <c r="CH3" s="1048"/>
      <c r="CI3" s="1048"/>
      <c r="CJ3" s="1048"/>
      <c r="CK3" s="1048"/>
      <c r="CL3" s="1048"/>
      <c r="CM3" s="1048"/>
      <c r="CN3" s="1048"/>
      <c r="CO3" s="1048"/>
      <c r="CP3" s="1048"/>
      <c r="CQ3" s="1048"/>
      <c r="CR3" s="1048"/>
      <c r="CS3" s="1048"/>
      <c r="CT3" s="1048"/>
      <c r="CU3" s="1048"/>
      <c r="CV3" s="1048"/>
      <c r="CW3" s="1048"/>
      <c r="CX3" s="1048"/>
      <c r="CY3" s="1048"/>
      <c r="CZ3" s="1048"/>
      <c r="DA3" s="1048"/>
      <c r="DB3" s="1048"/>
      <c r="DC3" s="1048"/>
      <c r="DD3" s="1048"/>
      <c r="DE3" s="1048"/>
      <c r="DF3" s="1048"/>
      <c r="DG3" s="1048"/>
      <c r="DH3" s="1048"/>
      <c r="DI3" s="1048"/>
      <c r="DJ3" s="1048"/>
      <c r="DK3" s="1048"/>
      <c r="DL3" s="1048"/>
      <c r="DM3" s="1048"/>
      <c r="DN3" s="1048"/>
      <c r="DO3" s="1048"/>
      <c r="DP3" s="1048"/>
      <c r="DQ3" s="1048"/>
      <c r="DR3" s="1048"/>
      <c r="DS3" s="1048"/>
      <c r="DT3" s="1048"/>
      <c r="DU3" s="1048"/>
      <c r="DV3" s="1048"/>
      <c r="DW3" s="1048"/>
      <c r="DX3" s="1048"/>
      <c r="DY3" s="1048"/>
      <c r="DZ3" s="1048"/>
      <c r="EA3" s="1048"/>
      <c r="EB3" s="1048"/>
      <c r="EC3" s="1048"/>
      <c r="ED3" s="1048"/>
      <c r="EE3" s="1048"/>
      <c r="EF3" s="1048"/>
      <c r="EG3" s="1048"/>
      <c r="EH3" s="1048"/>
      <c r="EI3" s="1048"/>
      <c r="EJ3" s="1048"/>
      <c r="EK3" s="1048"/>
      <c r="EL3" s="1048"/>
      <c r="EM3" s="1048"/>
      <c r="EN3" s="1048"/>
      <c r="EO3" s="1048"/>
      <c r="EP3" s="1048"/>
      <c r="EQ3" s="1048"/>
      <c r="ER3" s="1048"/>
      <c r="ES3" s="1048"/>
      <c r="ET3" s="1048"/>
      <c r="EU3" s="1048"/>
      <c r="EV3" s="1048"/>
      <c r="EW3" s="1048"/>
      <c r="EX3" s="1048"/>
      <c r="EY3" s="1048"/>
      <c r="EZ3" s="1048"/>
      <c r="FA3" s="1048"/>
      <c r="FB3" s="1048"/>
      <c r="FC3" s="1048"/>
      <c r="FD3" s="1048"/>
      <c r="FE3" s="1048"/>
      <c r="FF3" s="1048"/>
      <c r="FG3" s="1048"/>
      <c r="FH3" s="1048"/>
      <c r="FI3" s="1048"/>
      <c r="FJ3" s="1048"/>
      <c r="FK3" s="1048"/>
      <c r="FL3" s="1048"/>
      <c r="FM3" s="1048"/>
      <c r="FN3" s="1048"/>
      <c r="FO3" s="1048"/>
      <c r="FP3" s="1048"/>
      <c r="FQ3" s="1048"/>
      <c r="FR3" s="1048"/>
      <c r="FS3" s="1048"/>
      <c r="FT3" s="1048"/>
      <c r="FU3" s="1048"/>
      <c r="FV3" s="1048"/>
      <c r="FW3" s="1048"/>
      <c r="GC3" s="1046">
        <v>0</v>
      </c>
    </row>
    <row customHeight="1" ht="10.5">
      <c r="B4" s="1051"/>
      <c r="C4" s="1052"/>
      <c r="D4" s="1052"/>
      <c r="E4" s="1052"/>
      <c r="F4" s="1052"/>
      <c r="G4" s="1052"/>
      <c r="H4" s="1053"/>
      <c r="I4" s="1053"/>
      <c r="J4" s="1053"/>
      <c r="K4" s="1053"/>
      <c r="L4" s="1053"/>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c r="AT4" s="1054"/>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1054"/>
      <c r="BX4" s="1054"/>
      <c r="BY4" s="1054"/>
      <c r="BZ4" s="1054"/>
      <c r="CA4" s="1054"/>
      <c r="CB4" s="1054"/>
      <c r="CC4" s="1054"/>
      <c r="CD4" s="1054"/>
      <c r="CE4" s="1054"/>
      <c r="CF4" s="1054"/>
      <c r="CG4" s="1054"/>
      <c r="CH4" s="1054"/>
      <c r="CI4" s="1054"/>
      <c r="CJ4" s="1054"/>
      <c r="CK4" s="1054"/>
      <c r="CL4" s="1054"/>
      <c r="CM4" s="1054"/>
      <c r="CN4" s="1054"/>
      <c r="CO4" s="1054"/>
      <c r="CP4" s="1054"/>
      <c r="CQ4" s="1054"/>
      <c r="CR4" s="1054"/>
      <c r="CS4" s="1054"/>
      <c r="CT4" s="1054"/>
      <c r="CU4" s="1054"/>
      <c r="CV4" s="1054"/>
      <c r="CW4" s="1054"/>
      <c r="CX4" s="1054"/>
      <c r="CY4" s="1054"/>
      <c r="CZ4" s="1054"/>
      <c r="DA4" s="1054"/>
      <c r="DB4" s="1054"/>
      <c r="DC4" s="1054"/>
      <c r="DD4" s="1054"/>
      <c r="DE4" s="1054"/>
      <c r="DF4" s="1054"/>
      <c r="DG4" s="1054"/>
      <c r="DH4" s="1054"/>
      <c r="DI4" s="1054"/>
      <c r="DJ4" s="1054"/>
      <c r="DK4" s="1054"/>
      <c r="DL4" s="1054"/>
      <c r="DM4" s="1054"/>
      <c r="DN4" s="1054"/>
      <c r="DO4" s="1054"/>
      <c r="DP4" s="1054"/>
      <c r="DQ4" s="1054"/>
      <c r="DR4" s="1054"/>
      <c r="DS4" s="1054"/>
      <c r="DT4" s="1054"/>
      <c r="DU4" s="1054"/>
      <c r="DV4" s="1054"/>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4"/>
      <c r="ES4" s="1054"/>
      <c r="ET4" s="1054"/>
      <c r="EU4" s="1054"/>
      <c r="EV4" s="1054"/>
      <c r="EW4" s="1054"/>
      <c r="EX4" s="1054"/>
      <c r="EY4" s="1054"/>
      <c r="EZ4" s="1054"/>
      <c r="FA4" s="1054"/>
      <c r="FB4" s="1054"/>
      <c r="FC4" s="1054"/>
      <c r="FD4" s="1054"/>
      <c r="FE4" s="1054"/>
      <c r="FF4" s="1054"/>
      <c r="FG4" s="1054"/>
      <c r="FH4" s="1054"/>
      <c r="FI4" s="1054"/>
      <c r="FJ4" s="1054"/>
      <c r="FK4" s="1054"/>
      <c r="FL4" s="1054"/>
      <c r="FM4" s="1054"/>
      <c r="FN4" s="1054"/>
      <c r="FO4" s="1054"/>
      <c r="FP4" s="1054"/>
      <c r="FQ4" s="1054"/>
      <c r="FR4" s="1054"/>
      <c r="FS4" s="1054"/>
      <c r="FT4" s="1054"/>
      <c r="FU4" s="1054"/>
      <c r="FV4" s="1054"/>
      <c r="FW4" s="1054"/>
      <c r="GC4" s="1050">
        <v>10</v>
      </c>
    </row>
    <row s="7058" customFormat="1" customHeight="1" ht="27.299999999999997">
      <c r="B5" s="1993"/>
      <c r="E5" s="1995"/>
      <c r="F5" s="25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6"/>
      <c r="H5" s="2306"/>
      <c r="I5" s="2306"/>
      <c r="J5" s="2306"/>
      <c r="K5" s="2306"/>
      <c r="L5" s="2306"/>
      <c r="M5" s="2306"/>
      <c r="N5" s="2306"/>
      <c r="O5" s="2306"/>
      <c r="P5" s="2306"/>
      <c r="Q5" s="2306"/>
      <c r="R5" s="2306"/>
      <c r="S5" s="2306"/>
      <c r="T5" s="2306"/>
      <c r="U5" s="2306"/>
      <c r="V5" s="2306"/>
      <c r="W5" s="2306"/>
      <c r="X5" s="2306"/>
      <c r="Y5" s="2306"/>
      <c r="Z5" s="2306"/>
      <c r="AA5" s="2306"/>
      <c r="AB5" s="2306"/>
      <c r="AC5" s="2306"/>
      <c r="AD5" s="2306"/>
      <c r="AE5" s="2306"/>
      <c r="AF5" s="2306"/>
      <c r="AG5" s="2306"/>
      <c r="AH5" s="2306"/>
      <c r="AI5" s="2306"/>
      <c r="AJ5" s="2306"/>
      <c r="AK5" s="2306"/>
      <c r="AL5" s="2306"/>
      <c r="AM5" s="2306"/>
      <c r="AN5" s="2306"/>
      <c r="AO5" s="2306"/>
      <c r="AP5" s="2306"/>
      <c r="AQ5" s="2306"/>
      <c r="AR5" s="2306"/>
      <c r="AS5" s="2306"/>
      <c r="AT5" s="2306"/>
      <c r="AU5" s="2306"/>
      <c r="AV5" s="2306"/>
      <c r="AW5" s="2306"/>
      <c r="AX5" s="2306"/>
      <c r="AY5" s="2306"/>
      <c r="AZ5" s="2306"/>
      <c r="BA5" s="2306"/>
      <c r="BB5" s="2306"/>
      <c r="BC5" s="2306"/>
      <c r="BD5" s="2306"/>
      <c r="BE5" s="2306"/>
      <c r="BF5" s="2306"/>
      <c r="BG5" s="2306"/>
      <c r="BH5" s="2306"/>
      <c r="BI5" s="2306"/>
      <c r="BJ5" s="2306"/>
      <c r="BK5" s="2306"/>
      <c r="BL5" s="2306"/>
      <c r="BM5" s="2306"/>
      <c r="BN5" s="2306"/>
      <c r="BO5" s="2306"/>
      <c r="BP5" s="2306"/>
      <c r="BQ5" s="2306"/>
      <c r="BR5" s="2306"/>
      <c r="BS5" s="2306"/>
      <c r="GC5" s="1994">
        <v>26</v>
      </c>
    </row>
    <row s="7786" customFormat="1" customHeight="1" ht="18.75">
      <c r="B6" s="1067"/>
      <c r="E6" s="1069"/>
      <c r="F6" s="2351" t="str">
        <f>IF(org=0,"Не определено",org)</f>
        <v>ООО "СамРЭК-Эксплуатация"</v>
      </c>
      <c r="G6" s="2352"/>
      <c r="H6" s="2352"/>
      <c r="I6" s="2352"/>
      <c r="J6" s="2352"/>
      <c r="K6" s="2352"/>
      <c r="L6" s="2352"/>
      <c r="M6" s="2352"/>
      <c r="N6" s="2352"/>
      <c r="O6" s="2352"/>
      <c r="P6" s="2352"/>
      <c r="Q6" s="2352"/>
      <c r="R6" s="2352"/>
      <c r="S6" s="2352"/>
      <c r="T6" s="2352"/>
      <c r="U6" s="2352"/>
      <c r="V6" s="2352"/>
      <c r="W6" s="2352"/>
      <c r="X6" s="2352"/>
      <c r="Y6" s="2352"/>
      <c r="Z6" s="2352"/>
      <c r="AA6" s="2352"/>
      <c r="AB6" s="2352"/>
      <c r="AC6" s="2352"/>
      <c r="AD6" s="2352"/>
      <c r="AE6" s="2352"/>
      <c r="AF6" s="2352"/>
      <c r="AG6" s="2352"/>
      <c r="AH6" s="2352"/>
      <c r="AI6" s="2352"/>
      <c r="AJ6" s="2352"/>
      <c r="AK6" s="2352"/>
      <c r="AL6" s="2352"/>
      <c r="AM6" s="2352"/>
      <c r="AN6" s="2352"/>
      <c r="AO6" s="2352"/>
      <c r="AP6" s="2352"/>
      <c r="AQ6" s="2352"/>
      <c r="AR6" s="2352"/>
      <c r="AS6" s="2352"/>
      <c r="AT6" s="2352"/>
      <c r="AU6" s="2352"/>
      <c r="AV6" s="2352"/>
      <c r="AW6" s="2352"/>
      <c r="AX6" s="2352"/>
      <c r="AY6" s="2352"/>
      <c r="AZ6" s="2352"/>
      <c r="BA6" s="2352"/>
      <c r="BB6" s="2352"/>
      <c r="BC6" s="2352"/>
      <c r="BD6" s="2352"/>
      <c r="BE6" s="2352"/>
      <c r="BF6" s="2352"/>
      <c r="BG6" s="2352"/>
      <c r="BH6" s="2352"/>
      <c r="BI6" s="2352"/>
      <c r="BJ6" s="2352"/>
      <c r="BK6" s="2352"/>
      <c r="BL6" s="2352"/>
      <c r="BM6" s="2352"/>
      <c r="BN6" s="2352"/>
      <c r="BO6" s="2352"/>
      <c r="BP6" s="2352"/>
      <c r="BQ6" s="2352"/>
      <c r="BR6" s="2352"/>
      <c r="BS6" s="2352"/>
      <c r="GC6" s="1068">
        <v>18</v>
      </c>
    </row>
    <row s="7067" customFormat="1" customHeight="1" ht="10.5">
      <c r="B7" s="1056"/>
      <c r="E7" s="1057"/>
      <c r="F7" s="1057"/>
      <c r="G7" s="1059"/>
      <c r="H7" s="1053"/>
      <c r="I7" s="1053"/>
      <c r="J7" s="1053"/>
      <c r="K7" s="1053"/>
      <c r="L7" s="1053"/>
      <c r="M7" s="1057"/>
      <c r="N7" s="1057"/>
      <c r="O7" s="1057"/>
      <c r="P7" s="1057"/>
      <c r="Q7" s="1057"/>
      <c r="R7" s="1057"/>
      <c r="S7" s="1057"/>
      <c r="T7" s="1057"/>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c r="AT7" s="1057"/>
      <c r="AU7" s="1057"/>
      <c r="AV7" s="1057"/>
      <c r="AW7" s="1057"/>
      <c r="AX7" s="1057"/>
      <c r="AY7" s="1057"/>
      <c r="AZ7" s="1057"/>
      <c r="BA7" s="1057"/>
      <c r="BB7" s="1057"/>
      <c r="BC7" s="1057"/>
      <c r="BD7" s="1057"/>
      <c r="BE7" s="1057"/>
      <c r="BF7" s="1057"/>
      <c r="BG7" s="1057"/>
      <c r="BH7" s="1057"/>
      <c r="BI7" s="1057"/>
      <c r="BJ7" s="1057"/>
      <c r="BK7" s="1057"/>
      <c r="BL7" s="1057"/>
      <c r="BM7" s="1057"/>
      <c r="BN7" s="1057"/>
      <c r="BO7" s="1057"/>
      <c r="BP7" s="1057"/>
      <c r="BQ7" s="1057"/>
      <c r="BR7" s="1057"/>
      <c r="BS7" s="1057"/>
      <c r="BT7" s="1057"/>
      <c r="BU7" s="1057"/>
      <c r="BV7" s="1057"/>
      <c r="BW7" s="1057"/>
      <c r="BX7" s="1057"/>
      <c r="BY7" s="1057"/>
      <c r="BZ7" s="1057"/>
      <c r="CA7" s="1057"/>
      <c r="CB7" s="1057"/>
      <c r="CC7" s="1057"/>
      <c r="CD7" s="1057"/>
      <c r="CE7" s="1057"/>
      <c r="CF7" s="1057"/>
      <c r="CG7" s="1057"/>
      <c r="CH7" s="1057"/>
      <c r="CI7" s="1057"/>
      <c r="CJ7" s="1057"/>
      <c r="CK7" s="1057"/>
      <c r="CL7" s="1057"/>
      <c r="CM7" s="1057"/>
      <c r="CN7" s="1057"/>
      <c r="CO7" s="1057"/>
      <c r="CP7" s="1057"/>
      <c r="CQ7" s="1057"/>
      <c r="CR7" s="1057"/>
      <c r="CS7" s="1057"/>
      <c r="CT7" s="1057"/>
      <c r="CU7" s="1057"/>
      <c r="CV7" s="1057"/>
      <c r="CW7" s="1057"/>
      <c r="CX7" s="1057"/>
      <c r="CY7" s="1057"/>
      <c r="CZ7" s="1057"/>
      <c r="DA7" s="1057"/>
      <c r="DB7" s="1057"/>
      <c r="DC7" s="1057"/>
      <c r="DD7" s="1057"/>
      <c r="DE7" s="1057"/>
      <c r="DF7" s="1057"/>
      <c r="DG7" s="1057"/>
      <c r="DH7" s="1057"/>
      <c r="DI7" s="1057"/>
      <c r="DJ7" s="1057"/>
      <c r="DK7" s="1057"/>
      <c r="DL7" s="1057"/>
      <c r="DM7" s="1057"/>
      <c r="DN7" s="1057"/>
      <c r="DO7" s="1057"/>
      <c r="DP7" s="1057"/>
      <c r="DQ7" s="1057"/>
      <c r="DR7" s="1057"/>
      <c r="DS7" s="1057"/>
      <c r="DT7" s="1057"/>
      <c r="DU7" s="1057"/>
      <c r="DV7" s="1057"/>
      <c r="DW7" s="1057"/>
      <c r="DX7" s="1057"/>
      <c r="DY7" s="1057"/>
      <c r="DZ7" s="1057"/>
      <c r="EA7" s="1057"/>
      <c r="EB7" s="1057"/>
      <c r="EC7" s="1057"/>
      <c r="ED7" s="1057"/>
      <c r="EE7" s="1057"/>
      <c r="EF7" s="1057"/>
      <c r="EG7" s="1057"/>
      <c r="EH7" s="1057"/>
      <c r="EI7" s="1057"/>
      <c r="EJ7" s="1057"/>
      <c r="EK7" s="1057"/>
      <c r="EL7" s="1057"/>
      <c r="EM7" s="1057"/>
      <c r="EN7" s="1057"/>
      <c r="EO7" s="1057"/>
      <c r="EP7" s="1057"/>
      <c r="EQ7" s="1057"/>
      <c r="ER7" s="1057"/>
      <c r="ES7" s="1057"/>
      <c r="ET7" s="1057"/>
      <c r="EU7" s="1057"/>
      <c r="EV7" s="1057"/>
      <c r="EW7" s="1057"/>
      <c r="EX7" s="1057"/>
      <c r="EY7" s="1057"/>
      <c r="EZ7" s="1057"/>
      <c r="FA7" s="1057"/>
      <c r="FB7" s="1057"/>
      <c r="FC7" s="1057"/>
      <c r="FD7" s="1057"/>
      <c r="FE7" s="1057"/>
      <c r="FF7" s="1057"/>
      <c r="FG7" s="1057"/>
      <c r="FH7" s="1057"/>
      <c r="FI7" s="1057"/>
      <c r="FJ7" s="1057"/>
      <c r="FK7" s="1057"/>
      <c r="FL7" s="1057"/>
      <c r="FM7" s="1057"/>
      <c r="FN7" s="1057"/>
      <c r="FO7" s="1057"/>
      <c r="FP7" s="1057"/>
      <c r="FQ7" s="1057"/>
      <c r="FR7" s="1057"/>
      <c r="FS7" s="1057"/>
      <c r="FT7" s="1057"/>
      <c r="FU7" s="1057"/>
      <c r="FV7" s="1057"/>
      <c r="FW7" s="1057"/>
      <c r="GC7" s="1055">
        <v>10</v>
      </c>
    </row>
    <row s="7067" customFormat="1" customHeight="1" ht="11.25" hidden="1">
      <c r="B8" s="1058"/>
      <c r="F8" s="1180"/>
      <c r="G8" s="887"/>
      <c r="H8" s="484"/>
      <c r="I8" s="484"/>
      <c r="J8" s="484"/>
      <c r="K8" s="484"/>
      <c r="L8" s="484"/>
      <c r="M8" s="1180"/>
      <c r="N8" s="1180"/>
      <c r="O8" s="2587" t="s">
        <v>1497</v>
      </c>
      <c r="P8" s="2588"/>
      <c r="Q8" s="2588"/>
      <c r="R8" s="2588"/>
      <c r="S8" s="2588"/>
      <c r="T8" s="2588"/>
      <c r="U8" s="2588"/>
      <c r="V8" s="2588"/>
      <c r="W8" s="2588"/>
      <c r="X8" s="2588"/>
      <c r="Y8" s="2588"/>
      <c r="Z8" s="2588"/>
      <c r="AA8" s="2588"/>
      <c r="AB8" s="2588"/>
      <c r="AC8" s="2588"/>
      <c r="AD8" s="2588"/>
      <c r="AE8" s="2588"/>
      <c r="AF8" s="2588"/>
      <c r="AG8" s="2588"/>
      <c r="AH8" s="2588"/>
      <c r="AI8" s="2588"/>
      <c r="AJ8" s="2588"/>
      <c r="AK8" s="2588"/>
      <c r="AL8" s="2588"/>
      <c r="AM8" s="2588"/>
      <c r="AN8" s="2588"/>
      <c r="AO8" s="2588"/>
      <c r="AP8" s="2588"/>
      <c r="AQ8" s="2588"/>
      <c r="AR8" s="2588"/>
      <c r="AS8" s="2588"/>
      <c r="AT8" s="2588"/>
      <c r="AU8" s="2588"/>
      <c r="AV8" s="2588"/>
      <c r="AW8" s="2588"/>
      <c r="AX8" s="2588"/>
      <c r="AY8" s="2588"/>
      <c r="AZ8" s="2588"/>
      <c r="BA8" s="2588"/>
      <c r="BB8" s="2588"/>
      <c r="BC8" s="2588"/>
      <c r="BD8" s="2588"/>
      <c r="BE8" s="2588"/>
      <c r="BF8" s="2588"/>
      <c r="BG8" s="2588"/>
      <c r="BH8" s="2588"/>
      <c r="BI8" s="2588"/>
      <c r="BJ8" s="2588"/>
      <c r="BK8" s="2588"/>
      <c r="BL8" s="2588"/>
      <c r="BM8" s="2588"/>
      <c r="BN8" s="2588"/>
      <c r="BO8" s="2588"/>
      <c r="BP8" s="2588"/>
      <c r="BQ8" s="2588"/>
      <c r="BR8" s="2588"/>
      <c r="BS8" s="2589"/>
      <c r="BT8" s="2576"/>
      <c r="BU8" s="2577"/>
      <c r="BV8" s="2577"/>
      <c r="BW8" s="2577"/>
      <c r="BX8" s="2577"/>
      <c r="BY8" s="2577"/>
      <c r="BZ8" s="2577"/>
      <c r="CA8" s="2577"/>
      <c r="CB8" s="2577"/>
      <c r="CC8" s="2577"/>
      <c r="CD8" s="2577"/>
      <c r="CE8" s="2577"/>
      <c r="CF8" s="2577"/>
      <c r="CG8" s="2577"/>
      <c r="CH8" s="2577"/>
      <c r="CI8" s="2577"/>
      <c r="CJ8" s="2577"/>
      <c r="CK8" s="2577"/>
      <c r="CL8" s="2577"/>
      <c r="CM8" s="2577"/>
      <c r="CN8" s="2577"/>
      <c r="CO8" s="2577"/>
      <c r="CP8" s="2577"/>
      <c r="CQ8" s="2577"/>
      <c r="CR8" s="2577"/>
      <c r="CS8" s="2577"/>
      <c r="CT8" s="2577"/>
      <c r="CU8" s="2577"/>
      <c r="CV8" s="2577"/>
      <c r="CW8" s="2577"/>
      <c r="CX8" s="2578"/>
      <c r="CY8" s="2579"/>
      <c r="CZ8" s="2580"/>
      <c r="DA8" s="2580"/>
      <c r="DB8" s="2580"/>
      <c r="DC8" s="2580"/>
      <c r="DD8" s="2580"/>
      <c r="DE8" s="2580"/>
      <c r="DF8" s="2580"/>
      <c r="DG8" s="2580"/>
      <c r="DH8" s="2580"/>
      <c r="DI8" s="2580"/>
      <c r="DJ8" s="2580"/>
      <c r="DK8" s="2580"/>
      <c r="DL8" s="2580"/>
      <c r="DM8" s="2580"/>
      <c r="DN8" s="2580"/>
      <c r="DO8" s="2580"/>
      <c r="DP8" s="2580"/>
      <c r="DQ8" s="2580"/>
      <c r="DR8" s="2580"/>
      <c r="DS8" s="2580"/>
      <c r="DT8" s="2580"/>
      <c r="DU8" s="2580"/>
      <c r="DV8" s="2580"/>
      <c r="DW8" s="2580"/>
      <c r="DX8" s="2581"/>
      <c r="DY8" s="2582" t="s">
        <v>1498</v>
      </c>
      <c r="DZ8" s="2583"/>
      <c r="EA8" s="2583"/>
      <c r="EB8" s="2583"/>
      <c r="EC8" s="2583"/>
      <c r="ED8" s="2583"/>
      <c r="EE8" s="2583"/>
      <c r="EF8" s="2583"/>
      <c r="EG8" s="2583"/>
      <c r="EH8" s="2583"/>
      <c r="EI8" s="2583"/>
      <c r="EJ8" s="2583"/>
      <c r="EK8" s="2583"/>
      <c r="EL8" s="2583"/>
      <c r="EM8" s="2583"/>
      <c r="EN8" s="2583"/>
      <c r="EO8" s="2583"/>
      <c r="EP8" s="2583"/>
      <c r="EQ8" s="2583"/>
      <c r="ER8" s="2583"/>
      <c r="ES8" s="2583"/>
      <c r="ET8" s="2583"/>
      <c r="EU8" s="2583"/>
      <c r="EV8" s="2583"/>
      <c r="EW8" s="2583"/>
      <c r="EX8" s="2583"/>
      <c r="EY8" s="2583"/>
      <c r="EZ8" s="2583"/>
      <c r="FA8" s="2583"/>
      <c r="FB8" s="2583"/>
      <c r="FC8" s="2583"/>
      <c r="FD8" s="2583"/>
      <c r="FE8" s="2583"/>
      <c r="FF8" s="2583"/>
      <c r="FG8" s="2583"/>
      <c r="FH8" s="2583"/>
      <c r="FI8" s="2583"/>
      <c r="FJ8" s="2583"/>
      <c r="FK8" s="2583"/>
      <c r="FL8" s="2583"/>
      <c r="FM8" s="2583"/>
      <c r="FN8" s="2583"/>
      <c r="FO8" s="2583"/>
      <c r="FP8" s="2583"/>
      <c r="FQ8" s="2583"/>
      <c r="FR8" s="2583"/>
      <c r="FS8" s="2583"/>
      <c r="FT8" s="2583"/>
      <c r="FU8" s="2583"/>
      <c r="FV8" s="2583"/>
      <c r="FW8" s="2584"/>
      <c r="FX8" s="1180"/>
      <c r="GC8" s="1057">
        <v>0</v>
      </c>
    </row>
    <row s="7067" customFormat="1" customHeight="1" ht="11.25" hidden="1">
      <c r="B9" s="1058"/>
      <c r="F9" s="1180"/>
      <c r="G9" s="887"/>
      <c r="H9" s="484"/>
      <c r="I9" s="484"/>
      <c r="J9" s="484"/>
      <c r="K9" s="484"/>
      <c r="L9" s="484"/>
      <c r="M9" s="1180"/>
      <c r="N9" s="1180"/>
      <c r="O9" s="1180"/>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2585"/>
      <c r="FX9" s="1180"/>
      <c r="GC9" s="1057">
        <v>0</v>
      </c>
    </row>
    <row s="7067" customFormat="1" customHeight="1" ht="11.549999999999999">
      <c r="B10" s="1058"/>
      <c r="F10" s="2566" t="s">
        <v>412</v>
      </c>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7"/>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c r="BP10" s="2567"/>
      <c r="BQ10" s="2567"/>
      <c r="BR10" s="2567"/>
      <c r="BS10" s="2567"/>
      <c r="BT10" s="2567"/>
      <c r="BU10" s="2567"/>
      <c r="BV10" s="2567"/>
      <c r="BW10" s="2567"/>
      <c r="BX10" s="2567"/>
      <c r="BY10" s="2567"/>
      <c r="BZ10" s="2567"/>
      <c r="CA10" s="2567"/>
      <c r="CB10" s="2567"/>
      <c r="CC10" s="2567"/>
      <c r="CD10" s="2567"/>
      <c r="CE10" s="2567"/>
      <c r="CF10" s="2567"/>
      <c r="CG10" s="2567"/>
      <c r="CH10" s="2567"/>
      <c r="CI10" s="2567"/>
      <c r="CJ10" s="2567"/>
      <c r="CK10" s="2567"/>
      <c r="CL10" s="2567"/>
      <c r="CM10" s="2567"/>
      <c r="CN10" s="2567"/>
      <c r="CO10" s="2567"/>
      <c r="CP10" s="2567"/>
      <c r="CQ10" s="2567"/>
      <c r="CR10" s="2567"/>
      <c r="CS10" s="2567"/>
      <c r="CT10" s="2567"/>
      <c r="CU10" s="2567"/>
      <c r="CV10" s="2567"/>
      <c r="CW10" s="2567"/>
      <c r="CX10" s="2567"/>
      <c r="CY10" s="2567"/>
      <c r="CZ10" s="2567"/>
      <c r="DA10" s="2567"/>
      <c r="DB10" s="2567"/>
      <c r="DC10" s="2567"/>
      <c r="DD10" s="2567"/>
      <c r="DE10" s="2567"/>
      <c r="DF10" s="2567"/>
      <c r="DG10" s="2567"/>
      <c r="DH10" s="2567"/>
      <c r="DI10" s="2567"/>
      <c r="DJ10" s="2567"/>
      <c r="DK10" s="2567"/>
      <c r="DL10" s="2567"/>
      <c r="DM10" s="2567"/>
      <c r="DN10" s="2567"/>
      <c r="DO10" s="2567"/>
      <c r="DP10" s="2567"/>
      <c r="DQ10" s="2567"/>
      <c r="DR10" s="2567"/>
      <c r="DS10" s="2567"/>
      <c r="DT10" s="2567"/>
      <c r="DU10" s="2567"/>
      <c r="DV10" s="2567"/>
      <c r="DW10" s="2567"/>
      <c r="DX10" s="2567"/>
      <c r="DY10" s="2567"/>
      <c r="DZ10" s="2567"/>
      <c r="EA10" s="2567"/>
      <c r="EB10" s="2567"/>
      <c r="EC10" s="2567"/>
      <c r="ED10" s="2567"/>
      <c r="EE10" s="2567"/>
      <c r="EF10" s="2567"/>
      <c r="EG10" s="2567"/>
      <c r="EH10" s="2567"/>
      <c r="EI10" s="2567"/>
      <c r="EJ10" s="2567"/>
      <c r="EK10" s="2567"/>
      <c r="EL10" s="2567"/>
      <c r="EM10" s="2567"/>
      <c r="EN10" s="2567"/>
      <c r="EO10" s="2567"/>
      <c r="EP10" s="2567"/>
      <c r="EQ10" s="2567"/>
      <c r="ER10" s="2567"/>
      <c r="ES10" s="2567"/>
      <c r="ET10" s="2567"/>
      <c r="EU10" s="2567"/>
      <c r="EV10" s="2567"/>
      <c r="EW10" s="2567"/>
      <c r="EX10" s="2567"/>
      <c r="EY10" s="2567"/>
      <c r="EZ10" s="2567"/>
      <c r="FA10" s="2567"/>
      <c r="FB10" s="2567"/>
      <c r="FC10" s="2567"/>
      <c r="FD10" s="2567"/>
      <c r="FE10" s="2567"/>
      <c r="FF10" s="2567"/>
      <c r="FG10" s="2567"/>
      <c r="FH10" s="2567"/>
      <c r="FI10" s="2567"/>
      <c r="FJ10" s="2567"/>
      <c r="FK10" s="2567"/>
      <c r="FL10" s="2567"/>
      <c r="FM10" s="2567"/>
      <c r="FN10" s="2567"/>
      <c r="FO10" s="2567"/>
      <c r="FP10" s="2567"/>
      <c r="FQ10" s="2567"/>
      <c r="FR10" s="2567"/>
      <c r="FS10" s="2567"/>
      <c r="FT10" s="2567"/>
      <c r="FU10" s="2567"/>
      <c r="FV10" s="2568"/>
      <c r="FW10" s="2585"/>
      <c r="FX10" s="1180"/>
      <c r="GC10" s="1057">
        <v>11</v>
      </c>
    </row>
    <row customHeight="1" ht="12.75">
      <c r="E11" s="1061"/>
      <c r="F11" s="2342" t="s">
        <v>88</v>
      </c>
      <c r="G11" s="2342" t="s">
        <v>1499</v>
      </c>
      <c r="H11" s="2574" t="s">
        <v>1500</v>
      </c>
      <c r="I11" s="2574" t="s">
        <v>1501</v>
      </c>
      <c r="J11" s="2575"/>
      <c r="K11" s="2575"/>
      <c r="L11" s="2575"/>
      <c r="M11" s="2575"/>
      <c r="N11" s="2575"/>
      <c r="O11" s="2346" t="s">
        <v>1502</v>
      </c>
      <c r="P11" s="2346"/>
      <c r="Q11" s="2346"/>
      <c r="R11" s="2346"/>
      <c r="S11" s="2346"/>
      <c r="T11" s="2346"/>
      <c r="U11" s="2346"/>
      <c r="V11" s="2346"/>
      <c r="W11" s="2346"/>
      <c r="X11" s="2346"/>
      <c r="Y11" s="2346"/>
      <c r="Z11" s="2346"/>
      <c r="AA11" s="2346"/>
      <c r="AB11" s="2346"/>
      <c r="AC11" s="2571"/>
      <c r="AD11" s="2571"/>
      <c r="AE11" s="2571"/>
      <c r="AF11" s="2571"/>
      <c r="AG11" s="2571"/>
      <c r="AH11" s="2571"/>
      <c r="AI11" s="2571"/>
      <c r="AJ11" s="2571"/>
      <c r="AK11" s="2571"/>
      <c r="AL11" s="2571"/>
      <c r="AM11" s="2571"/>
      <c r="AN11" s="2571"/>
      <c r="AO11" s="2571"/>
      <c r="AP11" s="2571"/>
      <c r="AQ11" s="2571"/>
      <c r="AR11" s="2571"/>
      <c r="AS11" s="2571"/>
      <c r="AT11" s="2571"/>
      <c r="AU11" s="2571"/>
      <c r="AV11" s="2571"/>
      <c r="AW11" s="2571"/>
      <c r="AX11" s="2571"/>
      <c r="AY11" s="2571"/>
      <c r="AZ11" s="2571"/>
      <c r="BA11" s="2571"/>
      <c r="BB11" s="2571"/>
      <c r="BC11" s="2571"/>
      <c r="BD11" s="2571"/>
      <c r="BE11" s="2571"/>
      <c r="BF11" s="2571"/>
      <c r="BG11" s="2571"/>
      <c r="BH11" s="2571"/>
      <c r="BI11" s="2571"/>
      <c r="BJ11" s="2571"/>
      <c r="BK11" s="2571"/>
      <c r="BL11" s="2571"/>
      <c r="BM11" s="2571"/>
      <c r="BN11" s="2571"/>
      <c r="BO11" s="2571"/>
      <c r="BP11" s="2571"/>
      <c r="BQ11" s="2571"/>
      <c r="BR11" s="2571"/>
      <c r="BS11" s="2590"/>
      <c r="BT11" s="2523" t="s">
        <v>1502</v>
      </c>
      <c r="BU11" s="2524"/>
      <c r="BV11" s="2524"/>
      <c r="BW11" s="2524"/>
      <c r="BX11" s="2524"/>
      <c r="BY11" s="2524"/>
      <c r="BZ11" s="2524"/>
      <c r="CA11" s="2524"/>
      <c r="CB11" s="2524"/>
      <c r="CC11" s="2524"/>
      <c r="CD11" s="2524"/>
      <c r="CE11" s="2524"/>
      <c r="CF11" s="2524"/>
      <c r="CG11" s="2524"/>
      <c r="CH11" s="2524"/>
      <c r="CI11" s="2524"/>
      <c r="CJ11" s="2524"/>
      <c r="CK11" s="2570"/>
      <c r="CL11" s="2573"/>
      <c r="CM11" s="2571"/>
      <c r="CN11" s="2571"/>
      <c r="CO11" s="2571"/>
      <c r="CP11" s="2571"/>
      <c r="CQ11" s="2571"/>
      <c r="CR11" s="2571"/>
      <c r="CS11" s="2571"/>
      <c r="CT11" s="2571"/>
      <c r="CU11" s="2571"/>
      <c r="CV11" s="2571"/>
      <c r="CW11" s="2571"/>
      <c r="CX11" s="2590"/>
      <c r="CY11" s="2523" t="s">
        <v>1502</v>
      </c>
      <c r="CZ11" s="2524"/>
      <c r="DA11" s="2524"/>
      <c r="DB11" s="2524"/>
      <c r="DC11" s="2524"/>
      <c r="DD11" s="2524"/>
      <c r="DE11" s="2524"/>
      <c r="DF11" s="2524"/>
      <c r="DG11" s="2524"/>
      <c r="DH11" s="2524"/>
      <c r="DI11" s="2524"/>
      <c r="DJ11" s="2570"/>
      <c r="DK11" s="2573"/>
      <c r="DL11" s="2571"/>
      <c r="DM11" s="2571"/>
      <c r="DN11" s="2571"/>
      <c r="DO11" s="2571"/>
      <c r="DP11" s="2571"/>
      <c r="DQ11" s="2571"/>
      <c r="DR11" s="2571"/>
      <c r="DS11" s="2571"/>
      <c r="DT11" s="2571"/>
      <c r="DU11" s="2571"/>
      <c r="DV11" s="2571"/>
      <c r="DW11" s="2571"/>
      <c r="DX11" s="2571"/>
      <c r="DY11" s="2571"/>
      <c r="DZ11" s="2571"/>
      <c r="EA11" s="2571"/>
      <c r="EB11" s="2571"/>
      <c r="EC11" s="2571"/>
      <c r="ED11" s="2571"/>
      <c r="EE11" s="2571"/>
      <c r="EF11" s="2571"/>
      <c r="EG11" s="2571"/>
      <c r="EH11" s="2571"/>
      <c r="EI11" s="2571"/>
      <c r="EJ11" s="2571"/>
      <c r="EK11" s="2571"/>
      <c r="EL11" s="2571"/>
      <c r="EM11" s="2571"/>
      <c r="EN11" s="2571"/>
      <c r="EO11" s="2571"/>
      <c r="EP11" s="2571"/>
      <c r="EQ11" s="2571"/>
      <c r="ER11" s="2571"/>
      <c r="ES11" s="2571"/>
      <c r="ET11" s="2571"/>
      <c r="EU11" s="2571"/>
      <c r="EV11" s="2571"/>
      <c r="EW11" s="2571"/>
      <c r="EX11" s="2571"/>
      <c r="EY11" s="2571"/>
      <c r="EZ11" s="2571"/>
      <c r="FA11" s="2571"/>
      <c r="FB11" s="2571"/>
      <c r="FC11" s="2571"/>
      <c r="FD11" s="2571"/>
      <c r="FE11" s="2571"/>
      <c r="FF11" s="2571"/>
      <c r="FG11" s="2571"/>
      <c r="FH11" s="2571"/>
      <c r="FI11" s="2571"/>
      <c r="FJ11" s="2571"/>
      <c r="FK11" s="2571"/>
      <c r="FL11" s="2571"/>
      <c r="FM11" s="2571"/>
      <c r="FN11" s="2571"/>
      <c r="FO11" s="2571"/>
      <c r="FP11" s="2571"/>
      <c r="FQ11" s="2571"/>
      <c r="FR11" s="2571"/>
      <c r="FS11" s="2571"/>
      <c r="FT11" s="2571"/>
      <c r="FU11" s="2571"/>
      <c r="FV11" s="2571"/>
      <c r="FW11" s="2585"/>
      <c r="FX11" s="886"/>
      <c r="GC11" s="1050">
        <v>12</v>
      </c>
    </row>
    <row customHeight="1" ht="12.75">
      <c r="D12" s="1062"/>
      <c r="E12" s="1061"/>
      <c r="F12" s="2342"/>
      <c r="G12" s="2342"/>
      <c r="H12" s="2574"/>
      <c r="I12" s="2574"/>
      <c r="J12" s="2575"/>
      <c r="K12" s="2575"/>
      <c r="L12" s="2575"/>
      <c r="M12" s="2575"/>
      <c r="N12" s="2575"/>
      <c r="O12" s="2346" t="s">
        <v>1503</v>
      </c>
      <c r="P12" s="2346"/>
      <c r="Q12" s="2346"/>
      <c r="R12" s="2346"/>
      <c r="S12" s="2346" t="s">
        <v>1504</v>
      </c>
      <c r="T12" s="2346"/>
      <c r="U12" s="2346"/>
      <c r="V12" s="2346"/>
      <c r="W12" s="2346"/>
      <c r="X12" s="2346"/>
      <c r="Y12" s="2346"/>
      <c r="Z12" s="2346"/>
      <c r="AA12" s="2346"/>
      <c r="AB12" s="2346"/>
      <c r="AC12" s="2571"/>
      <c r="AD12" s="2571"/>
      <c r="AE12" s="2571"/>
      <c r="AF12" s="2571"/>
      <c r="AG12" s="2571"/>
      <c r="AH12" s="2571"/>
      <c r="AI12" s="2571"/>
      <c r="AJ12" s="2571"/>
      <c r="AK12" s="2571"/>
      <c r="AL12" s="2571"/>
      <c r="AM12" s="2571"/>
      <c r="AN12" s="2571"/>
      <c r="AO12" s="2571"/>
      <c r="AP12" s="2571"/>
      <c r="AQ12" s="2571"/>
      <c r="AR12" s="2571"/>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c r="BP12" s="2571"/>
      <c r="BQ12" s="2571"/>
      <c r="BR12" s="2571"/>
      <c r="BS12" s="2590"/>
      <c r="BT12" s="2523" t="s">
        <v>1505</v>
      </c>
      <c r="BU12" s="2524"/>
      <c r="BV12" s="2524"/>
      <c r="BW12" s="2570"/>
      <c r="BX12" s="2523" t="s">
        <v>1506</v>
      </c>
      <c r="BY12" s="2524"/>
      <c r="BZ12" s="2524"/>
      <c r="CA12" s="2570"/>
      <c r="CB12" s="2523" t="s">
        <v>1507</v>
      </c>
      <c r="CC12" s="2570"/>
      <c r="CD12" s="2523" t="s">
        <v>1508</v>
      </c>
      <c r="CE12" s="2524"/>
      <c r="CF12" s="2524"/>
      <c r="CG12" s="2524"/>
      <c r="CH12" s="2524"/>
      <c r="CI12" s="2524"/>
      <c r="CJ12" s="2524"/>
      <c r="CK12" s="2570"/>
      <c r="CL12" s="2573"/>
      <c r="CM12" s="2571"/>
      <c r="CN12" s="2571"/>
      <c r="CO12" s="2571"/>
      <c r="CP12" s="2571"/>
      <c r="CQ12" s="2571"/>
      <c r="CR12" s="2571"/>
      <c r="CS12" s="2571"/>
      <c r="CT12" s="2571"/>
      <c r="CU12" s="2571"/>
      <c r="CV12" s="2571"/>
      <c r="CW12" s="2571"/>
      <c r="CX12" s="2590"/>
      <c r="CY12" s="2523" t="s">
        <v>1509</v>
      </c>
      <c r="CZ12" s="2524"/>
      <c r="DA12" s="2524"/>
      <c r="DB12" s="2524"/>
      <c r="DC12" s="2524"/>
      <c r="DD12" s="2570"/>
      <c r="DE12" s="2523" t="s">
        <v>1510</v>
      </c>
      <c r="DF12" s="2570"/>
      <c r="DG12" s="2523" t="s">
        <v>1508</v>
      </c>
      <c r="DH12" s="2524"/>
      <c r="DI12" s="2524"/>
      <c r="DJ12" s="2570"/>
      <c r="DK12" s="2573"/>
      <c r="DL12" s="2571"/>
      <c r="DM12" s="2571"/>
      <c r="DN12" s="2571"/>
      <c r="DO12" s="2571"/>
      <c r="DP12" s="2571"/>
      <c r="DQ12" s="2571"/>
      <c r="DR12" s="2571"/>
      <c r="DS12" s="2571"/>
      <c r="DT12" s="2571"/>
      <c r="DU12" s="2571"/>
      <c r="DV12" s="2571"/>
      <c r="DW12" s="2571"/>
      <c r="DX12" s="2571"/>
      <c r="DY12" s="2571"/>
      <c r="DZ12" s="2571"/>
      <c r="EA12" s="2571"/>
      <c r="EB12" s="2571"/>
      <c r="EC12" s="2571"/>
      <c r="ED12" s="2571"/>
      <c r="EE12" s="2571"/>
      <c r="EF12" s="2571"/>
      <c r="EG12" s="2571"/>
      <c r="EH12" s="2571"/>
      <c r="EI12" s="2571"/>
      <c r="EJ12" s="2571"/>
      <c r="EK12" s="2571"/>
      <c r="EL12" s="2571"/>
      <c r="EM12" s="2571"/>
      <c r="EN12" s="2571"/>
      <c r="EO12" s="2571"/>
      <c r="EP12" s="2571"/>
      <c r="EQ12" s="2571"/>
      <c r="ER12" s="2571"/>
      <c r="ES12" s="2571"/>
      <c r="ET12" s="2571"/>
      <c r="EU12" s="2571"/>
      <c r="EV12" s="2571"/>
      <c r="EW12" s="2571"/>
      <c r="EX12" s="2571"/>
      <c r="EY12" s="2571"/>
      <c r="EZ12" s="2571"/>
      <c r="FA12" s="2571"/>
      <c r="FB12" s="2571"/>
      <c r="FC12" s="2571"/>
      <c r="FD12" s="2571"/>
      <c r="FE12" s="2571"/>
      <c r="FF12" s="2571"/>
      <c r="FG12" s="2571"/>
      <c r="FH12" s="2571"/>
      <c r="FI12" s="2571"/>
      <c r="FJ12" s="2571"/>
      <c r="FK12" s="2571"/>
      <c r="FL12" s="2571"/>
      <c r="FM12" s="2571"/>
      <c r="FN12" s="2571"/>
      <c r="FO12" s="2571"/>
      <c r="FP12" s="2571"/>
      <c r="FQ12" s="2571"/>
      <c r="FR12" s="2571"/>
      <c r="FS12" s="2571"/>
      <c r="FT12" s="2571"/>
      <c r="FU12" s="2571"/>
      <c r="FV12" s="2571"/>
      <c r="FW12" s="2585"/>
      <c r="FX12" s="886"/>
      <c r="GC12" s="1050">
        <v>12</v>
      </c>
    </row>
    <row customHeight="1" ht="37.8">
      <c r="D13" s="1062"/>
      <c r="E13" s="1061"/>
      <c r="F13" s="2342"/>
      <c r="G13" s="2342"/>
      <c r="H13" s="2574"/>
      <c r="I13" s="2574"/>
      <c r="J13" s="2575"/>
      <c r="K13" s="2575"/>
      <c r="L13" s="2575"/>
      <c r="M13" s="2575"/>
      <c r="N13" s="2575"/>
      <c r="O13" s="2346" t="s">
        <v>1511</v>
      </c>
      <c r="P13" s="2346"/>
      <c r="Q13" s="2346"/>
      <c r="R13" s="2346"/>
      <c r="S13" s="2473" t="s">
        <v>1512</v>
      </c>
      <c r="T13" s="2525"/>
      <c r="U13" s="2264" t="s">
        <v>1513</v>
      </c>
      <c r="V13" s="2264"/>
      <c r="W13" s="2264"/>
      <c r="X13" s="2264"/>
      <c r="Y13" s="2264" t="s">
        <v>1514</v>
      </c>
      <c r="Z13" s="2264"/>
      <c r="AA13" s="2264"/>
      <c r="AB13" s="2264"/>
      <c r="AC13" s="2571"/>
      <c r="AD13" s="2571"/>
      <c r="AE13" s="2571"/>
      <c r="AF13" s="2571"/>
      <c r="AG13" s="2571"/>
      <c r="AH13" s="2571"/>
      <c r="AI13" s="2571"/>
      <c r="AJ13" s="2571"/>
      <c r="AK13" s="2571"/>
      <c r="AL13" s="2571"/>
      <c r="AM13" s="2571"/>
      <c r="AN13" s="2571"/>
      <c r="AO13" s="2571"/>
      <c r="AP13" s="2571"/>
      <c r="AQ13" s="2571"/>
      <c r="AR13" s="2571"/>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c r="BP13" s="2571"/>
      <c r="BQ13" s="2571"/>
      <c r="BR13" s="2571"/>
      <c r="BS13" s="2590"/>
      <c r="BT13" s="2473" t="s">
        <v>1515</v>
      </c>
      <c r="BU13" s="2525"/>
      <c r="BV13" s="2473" t="s">
        <v>1516</v>
      </c>
      <c r="BW13" s="2525"/>
      <c r="BX13" s="2473" t="s">
        <v>1517</v>
      </c>
      <c r="BY13" s="2525"/>
      <c r="BZ13" s="2473" t="s">
        <v>1518</v>
      </c>
      <c r="CA13" s="2525"/>
      <c r="CB13" s="2473" t="s">
        <v>1519</v>
      </c>
      <c r="CC13" s="2525"/>
      <c r="CD13" s="2473" t="s">
        <v>1520</v>
      </c>
      <c r="CE13" s="2525"/>
      <c r="CF13" s="2473" t="s">
        <v>1521</v>
      </c>
      <c r="CG13" s="2525"/>
      <c r="CH13" s="2523" t="s">
        <v>1522</v>
      </c>
      <c r="CI13" s="2524"/>
      <c r="CJ13" s="2524"/>
      <c r="CK13" s="2570"/>
      <c r="CL13" s="2573"/>
      <c r="CM13" s="2571"/>
      <c r="CN13" s="2571"/>
      <c r="CO13" s="2571"/>
      <c r="CP13" s="2571"/>
      <c r="CQ13" s="2571"/>
      <c r="CR13" s="2571"/>
      <c r="CS13" s="2571"/>
      <c r="CT13" s="2571"/>
      <c r="CU13" s="2571"/>
      <c r="CV13" s="2571"/>
      <c r="CW13" s="2571"/>
      <c r="CX13" s="2590"/>
      <c r="CY13" s="2473" t="s">
        <v>1523</v>
      </c>
      <c r="CZ13" s="2525"/>
      <c r="DA13" s="2473" t="s">
        <v>1524</v>
      </c>
      <c r="DB13" s="2525"/>
      <c r="DC13" s="2473" t="s">
        <v>1525</v>
      </c>
      <c r="DD13" s="2525"/>
      <c r="DE13" s="2473" t="s">
        <v>1526</v>
      </c>
      <c r="DF13" s="2525"/>
      <c r="DG13" s="2523" t="s">
        <v>1527</v>
      </c>
      <c r="DH13" s="2524"/>
      <c r="DI13" s="2524"/>
      <c r="DJ13" s="2570"/>
      <c r="DK13" s="2573"/>
      <c r="DL13" s="2571"/>
      <c r="DM13" s="2571"/>
      <c r="DN13" s="2571"/>
      <c r="DO13" s="2571"/>
      <c r="DP13" s="2571"/>
      <c r="DQ13" s="2571"/>
      <c r="DR13" s="2571"/>
      <c r="DS13" s="2571"/>
      <c r="DT13" s="2571"/>
      <c r="DU13" s="2571"/>
      <c r="DV13" s="2571"/>
      <c r="DW13" s="2571"/>
      <c r="DX13" s="2571"/>
      <c r="DY13" s="2571"/>
      <c r="DZ13" s="2571"/>
      <c r="EA13" s="2571"/>
      <c r="EB13" s="2571"/>
      <c r="EC13" s="2571"/>
      <c r="ED13" s="2571"/>
      <c r="EE13" s="2571"/>
      <c r="EF13" s="2571"/>
      <c r="EG13" s="2571"/>
      <c r="EH13" s="2571"/>
      <c r="EI13" s="2571"/>
      <c r="EJ13" s="2571"/>
      <c r="EK13" s="2571"/>
      <c r="EL13" s="2571"/>
      <c r="EM13" s="2571"/>
      <c r="EN13" s="2571"/>
      <c r="EO13" s="2571"/>
      <c r="EP13" s="2571"/>
      <c r="EQ13" s="2571"/>
      <c r="ER13" s="2571"/>
      <c r="ES13" s="2571"/>
      <c r="ET13" s="2571"/>
      <c r="EU13" s="2571"/>
      <c r="EV13" s="2571"/>
      <c r="EW13" s="2571"/>
      <c r="EX13" s="2571"/>
      <c r="EY13" s="2571"/>
      <c r="EZ13" s="2571"/>
      <c r="FA13" s="2571"/>
      <c r="FB13" s="2571"/>
      <c r="FC13" s="2571"/>
      <c r="FD13" s="2571"/>
      <c r="FE13" s="2571"/>
      <c r="FF13" s="2571"/>
      <c r="FG13" s="2571"/>
      <c r="FH13" s="2571"/>
      <c r="FI13" s="2571"/>
      <c r="FJ13" s="2571"/>
      <c r="FK13" s="2571"/>
      <c r="FL13" s="2571"/>
      <c r="FM13" s="2571"/>
      <c r="FN13" s="2571"/>
      <c r="FO13" s="2571"/>
      <c r="FP13" s="2571"/>
      <c r="FQ13" s="2571"/>
      <c r="FR13" s="2571"/>
      <c r="FS13" s="2571"/>
      <c r="FT13" s="2571"/>
      <c r="FU13" s="2571"/>
      <c r="FV13" s="2571"/>
      <c r="FW13" s="2585"/>
      <c r="FX13" s="886"/>
      <c r="GC13" s="1050">
        <v>36</v>
      </c>
    </row>
    <row customHeight="1" ht="37.8">
      <c r="D14" s="1062"/>
      <c r="E14" s="1061"/>
      <c r="F14" s="2342"/>
      <c r="G14" s="2342"/>
      <c r="H14" s="2574"/>
      <c r="I14" s="2574"/>
      <c r="J14" s="2575"/>
      <c r="K14" s="2575"/>
      <c r="L14" s="2575"/>
      <c r="M14" s="2575"/>
      <c r="N14" s="2575"/>
      <c r="O14" s="2473" t="s">
        <v>1528</v>
      </c>
      <c r="P14" s="2525"/>
      <c r="Q14" s="2473" t="s">
        <v>1529</v>
      </c>
      <c r="R14" s="2525"/>
      <c r="S14" s="2474"/>
      <c r="T14" s="2350"/>
      <c r="U14" s="2473" t="s">
        <v>1011</v>
      </c>
      <c r="V14" s="2525"/>
      <c r="W14" s="2473" t="s">
        <v>1014</v>
      </c>
      <c r="X14" s="2525"/>
      <c r="Y14" s="2473" t="s">
        <v>1011</v>
      </c>
      <c r="Z14" s="2525"/>
      <c r="AA14" s="2473" t="s">
        <v>1021</v>
      </c>
      <c r="AB14" s="2525"/>
      <c r="AC14" s="2571"/>
      <c r="AD14" s="2571"/>
      <c r="AE14" s="2571"/>
      <c r="AF14" s="2571"/>
      <c r="AG14" s="2571"/>
      <c r="AH14" s="2571"/>
      <c r="AI14" s="2571"/>
      <c r="AJ14" s="2571"/>
      <c r="AK14" s="2571"/>
      <c r="AL14" s="2571"/>
      <c r="AM14" s="2571"/>
      <c r="AN14" s="2571"/>
      <c r="AO14" s="2571"/>
      <c r="AP14" s="2571"/>
      <c r="AQ14" s="2571"/>
      <c r="AR14" s="2571"/>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c r="BP14" s="2571"/>
      <c r="BQ14" s="2571"/>
      <c r="BR14" s="2571"/>
      <c r="BS14" s="2590"/>
      <c r="BT14" s="2474"/>
      <c r="BU14" s="2350"/>
      <c r="BV14" s="2474"/>
      <c r="BW14" s="2350"/>
      <c r="BX14" s="2474"/>
      <c r="BY14" s="2350"/>
      <c r="BZ14" s="2474"/>
      <c r="CA14" s="2350"/>
      <c r="CB14" s="2474"/>
      <c r="CC14" s="2350"/>
      <c r="CD14" s="2474"/>
      <c r="CE14" s="2350"/>
      <c r="CF14" s="2474"/>
      <c r="CG14" s="2350"/>
      <c r="CH14" s="2473" t="s">
        <v>1530</v>
      </c>
      <c r="CI14" s="2525"/>
      <c r="CJ14" s="2473" t="s">
        <v>1531</v>
      </c>
      <c r="CK14" s="2525"/>
      <c r="CL14" s="2573"/>
      <c r="CM14" s="2571"/>
      <c r="CN14" s="2571"/>
      <c r="CO14" s="2571"/>
      <c r="CP14" s="2571"/>
      <c r="CQ14" s="2571"/>
      <c r="CR14" s="2571"/>
      <c r="CS14" s="2571"/>
      <c r="CT14" s="2571"/>
      <c r="CU14" s="2571"/>
      <c r="CV14" s="2571"/>
      <c r="CW14" s="2571"/>
      <c r="CX14" s="2590"/>
      <c r="CY14" s="2474"/>
      <c r="CZ14" s="2350"/>
      <c r="DA14" s="2474"/>
      <c r="DB14" s="2350"/>
      <c r="DC14" s="2474"/>
      <c r="DD14" s="2350"/>
      <c r="DE14" s="2474"/>
      <c r="DF14" s="2350"/>
      <c r="DG14" s="2473" t="s">
        <v>1532</v>
      </c>
      <c r="DH14" s="2525"/>
      <c r="DI14" s="2473" t="s">
        <v>1533</v>
      </c>
      <c r="DJ14" s="2525"/>
      <c r="DK14" s="2573"/>
      <c r="DL14" s="2571"/>
      <c r="DM14" s="2571"/>
      <c r="DN14" s="2571"/>
      <c r="DO14" s="2571"/>
      <c r="DP14" s="2571"/>
      <c r="DQ14" s="2571"/>
      <c r="DR14" s="2571"/>
      <c r="DS14" s="2571"/>
      <c r="DT14" s="2571"/>
      <c r="DU14" s="2571"/>
      <c r="DV14" s="2571"/>
      <c r="DW14" s="2571"/>
      <c r="DX14" s="2571"/>
      <c r="DY14" s="2571"/>
      <c r="DZ14" s="2571"/>
      <c r="EA14" s="2571"/>
      <c r="EB14" s="2571"/>
      <c r="EC14" s="2571"/>
      <c r="ED14" s="2571"/>
      <c r="EE14" s="2571"/>
      <c r="EF14" s="2571"/>
      <c r="EG14" s="2571"/>
      <c r="EH14" s="2571"/>
      <c r="EI14" s="2571"/>
      <c r="EJ14" s="2571"/>
      <c r="EK14" s="2571"/>
      <c r="EL14" s="2571"/>
      <c r="EM14" s="2571"/>
      <c r="EN14" s="2571"/>
      <c r="EO14" s="2571"/>
      <c r="EP14" s="2571"/>
      <c r="EQ14" s="2571"/>
      <c r="ER14" s="2571"/>
      <c r="ES14" s="2571"/>
      <c r="ET14" s="2571"/>
      <c r="EU14" s="2571"/>
      <c r="EV14" s="2571"/>
      <c r="EW14" s="2571"/>
      <c r="EX14" s="2571"/>
      <c r="EY14" s="2571"/>
      <c r="EZ14" s="2571"/>
      <c r="FA14" s="2571"/>
      <c r="FB14" s="2571"/>
      <c r="FC14" s="2571"/>
      <c r="FD14" s="2571"/>
      <c r="FE14" s="2571"/>
      <c r="FF14" s="2571"/>
      <c r="FG14" s="2571"/>
      <c r="FH14" s="2571"/>
      <c r="FI14" s="2571"/>
      <c r="FJ14" s="2571"/>
      <c r="FK14" s="2571"/>
      <c r="FL14" s="2571"/>
      <c r="FM14" s="2571"/>
      <c r="FN14" s="2571"/>
      <c r="FO14" s="2571"/>
      <c r="FP14" s="2571"/>
      <c r="FQ14" s="2571"/>
      <c r="FR14" s="2571"/>
      <c r="FS14" s="2571"/>
      <c r="FT14" s="2571"/>
      <c r="FU14" s="2571"/>
      <c r="FV14" s="2571"/>
      <c r="FW14" s="2585"/>
      <c r="FX14" s="886"/>
      <c r="GC14" s="1050">
        <v>36</v>
      </c>
    </row>
    <row customHeight="1" ht="37.8">
      <c r="D15" s="1062"/>
      <c r="E15" s="1061"/>
      <c r="F15" s="2342"/>
      <c r="G15" s="2342"/>
      <c r="H15" s="2574"/>
      <c r="I15" s="2574"/>
      <c r="J15" s="2575"/>
      <c r="K15" s="2575"/>
      <c r="L15" s="2575"/>
      <c r="M15" s="2575"/>
      <c r="N15" s="2575"/>
      <c r="O15" s="2475"/>
      <c r="P15" s="2572"/>
      <c r="Q15" s="2475"/>
      <c r="R15" s="2572"/>
      <c r="S15" s="2475"/>
      <c r="T15" s="2572"/>
      <c r="U15" s="2475"/>
      <c r="V15" s="2572"/>
      <c r="W15" s="2475"/>
      <c r="X15" s="2572"/>
      <c r="Y15" s="2475"/>
      <c r="Z15" s="2572"/>
      <c r="AA15" s="2475"/>
      <c r="AB15" s="2572"/>
      <c r="AC15" s="2571"/>
      <c r="AD15" s="2571"/>
      <c r="AE15" s="2571"/>
      <c r="AF15" s="2571"/>
      <c r="AG15" s="2571"/>
      <c r="AH15" s="2571"/>
      <c r="AI15" s="2571"/>
      <c r="AJ15" s="2571"/>
      <c r="AK15" s="2571"/>
      <c r="AL15" s="2571"/>
      <c r="AM15" s="2571"/>
      <c r="AN15" s="2571"/>
      <c r="AO15" s="2571"/>
      <c r="AP15" s="2571"/>
      <c r="AQ15" s="2571"/>
      <c r="AR15" s="2571"/>
      <c r="AS15" s="2571"/>
      <c r="AT15" s="2571"/>
      <c r="AU15" s="2571"/>
      <c r="AV15" s="2571"/>
      <c r="AW15" s="2571"/>
      <c r="AX15" s="2571"/>
      <c r="AY15" s="2571"/>
      <c r="AZ15" s="2571"/>
      <c r="BA15" s="2571"/>
      <c r="BB15" s="2571"/>
      <c r="BC15" s="2571"/>
      <c r="BD15" s="2571"/>
      <c r="BE15" s="2571"/>
      <c r="BF15" s="2571"/>
      <c r="BG15" s="2571"/>
      <c r="BH15" s="2571"/>
      <c r="BI15" s="2571"/>
      <c r="BJ15" s="2571"/>
      <c r="BK15" s="2571"/>
      <c r="BL15" s="2571"/>
      <c r="BM15" s="2571"/>
      <c r="BN15" s="2571"/>
      <c r="BO15" s="2571"/>
      <c r="BP15" s="2571"/>
      <c r="BQ15" s="2571"/>
      <c r="BR15" s="2571"/>
      <c r="BS15" s="2590"/>
      <c r="BT15" s="2475"/>
      <c r="BU15" s="2572"/>
      <c r="BV15" s="2475"/>
      <c r="BW15" s="2572"/>
      <c r="BX15" s="2475"/>
      <c r="BY15" s="2572"/>
      <c r="BZ15" s="2475"/>
      <c r="CA15" s="2572"/>
      <c r="CB15" s="2475"/>
      <c r="CC15" s="2572"/>
      <c r="CD15" s="2475"/>
      <c r="CE15" s="2572"/>
      <c r="CF15" s="2475"/>
      <c r="CG15" s="2572"/>
      <c r="CH15" s="2475"/>
      <c r="CI15" s="2572"/>
      <c r="CJ15" s="2475"/>
      <c r="CK15" s="2572"/>
      <c r="CL15" s="2573"/>
      <c r="CM15" s="2571"/>
      <c r="CN15" s="2571"/>
      <c r="CO15" s="2571"/>
      <c r="CP15" s="2571"/>
      <c r="CQ15" s="2571"/>
      <c r="CR15" s="2571"/>
      <c r="CS15" s="2571"/>
      <c r="CT15" s="2571"/>
      <c r="CU15" s="2571"/>
      <c r="CV15" s="2571"/>
      <c r="CW15" s="2571"/>
      <c r="CX15" s="2590"/>
      <c r="CY15" s="2475"/>
      <c r="CZ15" s="2572"/>
      <c r="DA15" s="2475"/>
      <c r="DB15" s="2572"/>
      <c r="DC15" s="2475"/>
      <c r="DD15" s="2572"/>
      <c r="DE15" s="2475"/>
      <c r="DF15" s="2572"/>
      <c r="DG15" s="2475"/>
      <c r="DH15" s="2572"/>
      <c r="DI15" s="2475"/>
      <c r="DJ15" s="2572"/>
      <c r="DK15" s="2573"/>
      <c r="DL15" s="2571"/>
      <c r="DM15" s="2571"/>
      <c r="DN15" s="2571"/>
      <c r="DO15" s="2571"/>
      <c r="DP15" s="2571"/>
      <c r="DQ15" s="2571"/>
      <c r="DR15" s="2571"/>
      <c r="DS15" s="2571"/>
      <c r="DT15" s="2571"/>
      <c r="DU15" s="2571"/>
      <c r="DV15" s="2571"/>
      <c r="DW15" s="2571"/>
      <c r="DX15" s="2571"/>
      <c r="DY15" s="2571"/>
      <c r="DZ15" s="2571"/>
      <c r="EA15" s="2571"/>
      <c r="EB15" s="2571"/>
      <c r="EC15" s="2571"/>
      <c r="ED15" s="2571"/>
      <c r="EE15" s="2571"/>
      <c r="EF15" s="2571"/>
      <c r="EG15" s="2571"/>
      <c r="EH15" s="2571"/>
      <c r="EI15" s="2571"/>
      <c r="EJ15" s="2571"/>
      <c r="EK15" s="2571"/>
      <c r="EL15" s="2571"/>
      <c r="EM15" s="2571"/>
      <c r="EN15" s="2571"/>
      <c r="EO15" s="2571"/>
      <c r="EP15" s="2571"/>
      <c r="EQ15" s="2571"/>
      <c r="ER15" s="2571"/>
      <c r="ES15" s="2571"/>
      <c r="ET15" s="2571"/>
      <c r="EU15" s="2571"/>
      <c r="EV15" s="2571"/>
      <c r="EW15" s="2571"/>
      <c r="EX15" s="2571"/>
      <c r="EY15" s="2571"/>
      <c r="EZ15" s="2571"/>
      <c r="FA15" s="2571"/>
      <c r="FB15" s="2571"/>
      <c r="FC15" s="2571"/>
      <c r="FD15" s="2571"/>
      <c r="FE15" s="2571"/>
      <c r="FF15" s="2571"/>
      <c r="FG15" s="2571"/>
      <c r="FH15" s="2571"/>
      <c r="FI15" s="2571"/>
      <c r="FJ15" s="2571"/>
      <c r="FK15" s="2571"/>
      <c r="FL15" s="2571"/>
      <c r="FM15" s="2571"/>
      <c r="FN15" s="2571"/>
      <c r="FO15" s="2571"/>
      <c r="FP15" s="2571"/>
      <c r="FQ15" s="2571"/>
      <c r="FR15" s="2571"/>
      <c r="FS15" s="2571"/>
      <c r="FT15" s="2571"/>
      <c r="FU15" s="2571"/>
      <c r="FV15" s="2571"/>
      <c r="FW15" s="2585"/>
      <c r="FX15" s="886"/>
      <c r="GC15" s="1050">
        <v>36</v>
      </c>
    </row>
    <row customHeight="1" ht="12.75">
      <c r="D16" s="1062"/>
      <c r="E16" s="1061"/>
      <c r="F16" s="2342"/>
      <c r="G16" s="2342"/>
      <c r="H16" s="2574"/>
      <c r="I16" s="2574"/>
      <c r="J16" s="2575"/>
      <c r="K16" s="2575"/>
      <c r="L16" s="2575"/>
      <c r="M16" s="2575"/>
      <c r="N16" s="2575"/>
      <c r="O16" s="2523" t="s">
        <v>1001</v>
      </c>
      <c r="P16" s="2570"/>
      <c r="Q16" s="2523" t="s">
        <v>1003</v>
      </c>
      <c r="R16" s="2570"/>
      <c r="S16" s="2523" t="s">
        <v>1007</v>
      </c>
      <c r="T16" s="2570"/>
      <c r="U16" s="2523" t="s">
        <v>1012</v>
      </c>
      <c r="V16" s="2570"/>
      <c r="W16" s="2523" t="s">
        <v>1015</v>
      </c>
      <c r="X16" s="2570"/>
      <c r="Y16" s="2523" t="s">
        <v>1019</v>
      </c>
      <c r="Z16" s="2570"/>
      <c r="AA16" s="2523" t="s">
        <v>1022</v>
      </c>
      <c r="AB16" s="2570"/>
      <c r="AC16" s="2571"/>
      <c r="AD16" s="2571"/>
      <c r="AE16" s="2571"/>
      <c r="AF16" s="2571"/>
      <c r="AG16" s="2571"/>
      <c r="AH16" s="2571"/>
      <c r="AI16" s="2571"/>
      <c r="AJ16" s="2571"/>
      <c r="AK16" s="2571"/>
      <c r="AL16" s="2571"/>
      <c r="AM16" s="2571"/>
      <c r="AN16" s="2571"/>
      <c r="AO16" s="2571"/>
      <c r="AP16" s="2571"/>
      <c r="AQ16" s="2571"/>
      <c r="AR16" s="2571"/>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c r="BP16" s="2571"/>
      <c r="BQ16" s="2571"/>
      <c r="BR16" s="2571"/>
      <c r="BS16" s="2590"/>
      <c r="BT16" s="2523" t="s">
        <v>670</v>
      </c>
      <c r="BU16" s="2570"/>
      <c r="BV16" s="2523" t="s">
        <v>670</v>
      </c>
      <c r="BW16" s="2570"/>
      <c r="BX16" s="2523" t="s">
        <v>670</v>
      </c>
      <c r="BY16" s="2570"/>
      <c r="BZ16" s="2523" t="s">
        <v>670</v>
      </c>
      <c r="CA16" s="2570"/>
      <c r="CB16" s="2523" t="s">
        <v>1534</v>
      </c>
      <c r="CC16" s="2570"/>
      <c r="CD16" s="2523" t="s">
        <v>670</v>
      </c>
      <c r="CE16" s="2570"/>
      <c r="CF16" s="2523" t="s">
        <v>1535</v>
      </c>
      <c r="CG16" s="2570"/>
      <c r="CH16" s="2523" t="s">
        <v>1536</v>
      </c>
      <c r="CI16" s="2570"/>
      <c r="CJ16" s="2523" t="s">
        <v>1536</v>
      </c>
      <c r="CK16" s="2570"/>
      <c r="CL16" s="2573"/>
      <c r="CM16" s="2571"/>
      <c r="CN16" s="2571"/>
      <c r="CO16" s="2571"/>
      <c r="CP16" s="2571"/>
      <c r="CQ16" s="2571"/>
      <c r="CR16" s="2571"/>
      <c r="CS16" s="2571"/>
      <c r="CT16" s="2571"/>
      <c r="CU16" s="2571"/>
      <c r="CV16" s="2571"/>
      <c r="CW16" s="2571"/>
      <c r="CX16" s="2590"/>
      <c r="CY16" s="2473" t="s">
        <v>670</v>
      </c>
      <c r="CZ16" s="2525"/>
      <c r="DA16" s="2473" t="s">
        <v>670</v>
      </c>
      <c r="DB16" s="2525"/>
      <c r="DC16" s="2473" t="s">
        <v>670</v>
      </c>
      <c r="DD16" s="2525"/>
      <c r="DE16" s="2523" t="s">
        <v>1534</v>
      </c>
      <c r="DF16" s="2570"/>
      <c r="DG16" s="2523" t="s">
        <v>1537</v>
      </c>
      <c r="DH16" s="2570"/>
      <c r="DI16" s="2523" t="s">
        <v>1537</v>
      </c>
      <c r="DJ16" s="2570"/>
      <c r="DK16" s="2573"/>
      <c r="DL16" s="2571"/>
      <c r="DM16" s="2571"/>
      <c r="DN16" s="2571"/>
      <c r="DO16" s="2571"/>
      <c r="DP16" s="2571"/>
      <c r="DQ16" s="2571"/>
      <c r="DR16" s="2571"/>
      <c r="DS16" s="2571"/>
      <c r="DT16" s="2571"/>
      <c r="DU16" s="2571"/>
      <c r="DV16" s="2571"/>
      <c r="DW16" s="2571"/>
      <c r="DX16" s="2571"/>
      <c r="DY16" s="2571"/>
      <c r="DZ16" s="2571"/>
      <c r="EA16" s="2571"/>
      <c r="EB16" s="2571"/>
      <c r="EC16" s="2571"/>
      <c r="ED16" s="2571"/>
      <c r="EE16" s="2571"/>
      <c r="EF16" s="2571"/>
      <c r="EG16" s="2571"/>
      <c r="EH16" s="2571"/>
      <c r="EI16" s="2571"/>
      <c r="EJ16" s="2571"/>
      <c r="EK16" s="2571"/>
      <c r="EL16" s="2571"/>
      <c r="EM16" s="2571"/>
      <c r="EN16" s="2571"/>
      <c r="EO16" s="2571"/>
      <c r="EP16" s="2571"/>
      <c r="EQ16" s="2571"/>
      <c r="ER16" s="2571"/>
      <c r="ES16" s="2571"/>
      <c r="ET16" s="2571"/>
      <c r="EU16" s="2571"/>
      <c r="EV16" s="2571"/>
      <c r="EW16" s="2571"/>
      <c r="EX16" s="2571"/>
      <c r="EY16" s="2571"/>
      <c r="EZ16" s="2571"/>
      <c r="FA16" s="2571"/>
      <c r="FB16" s="2571"/>
      <c r="FC16" s="2571"/>
      <c r="FD16" s="2571"/>
      <c r="FE16" s="2571"/>
      <c r="FF16" s="2571"/>
      <c r="FG16" s="2571"/>
      <c r="FH16" s="2571"/>
      <c r="FI16" s="2571"/>
      <c r="FJ16" s="2571"/>
      <c r="FK16" s="2571"/>
      <c r="FL16" s="2571"/>
      <c r="FM16" s="2571"/>
      <c r="FN16" s="2571"/>
      <c r="FO16" s="2571"/>
      <c r="FP16" s="2571"/>
      <c r="FQ16" s="2571"/>
      <c r="FR16" s="2571"/>
      <c r="FS16" s="2571"/>
      <c r="FT16" s="2571"/>
      <c r="FU16" s="2571"/>
      <c r="FV16" s="2571"/>
      <c r="FW16" s="2585"/>
      <c r="FX16" s="886"/>
      <c r="GC16" s="1050">
        <v>12</v>
      </c>
    </row>
    <row customHeight="1" ht="15.75">
      <c r="E17" s="1061"/>
      <c r="F17" s="2342"/>
      <c r="G17" s="2342"/>
      <c r="H17" s="2574"/>
      <c r="I17" s="2574"/>
      <c r="J17" s="2575"/>
      <c r="K17" s="2575"/>
      <c r="L17" s="2575"/>
      <c r="M17" s="2575"/>
      <c r="N17" s="2575"/>
      <c r="O17" s="1315" t="s">
        <v>1538</v>
      </c>
      <c r="P17" s="1315" t="s">
        <v>1539</v>
      </c>
      <c r="Q17" s="1315" t="s">
        <v>1538</v>
      </c>
      <c r="R17" s="1315" t="s">
        <v>1539</v>
      </c>
      <c r="S17" s="1315" t="s">
        <v>1538</v>
      </c>
      <c r="T17" s="1315" t="s">
        <v>1539</v>
      </c>
      <c r="U17" s="1315" t="s">
        <v>1538</v>
      </c>
      <c r="V17" s="1315" t="s">
        <v>1539</v>
      </c>
      <c r="W17" s="1315" t="s">
        <v>1538</v>
      </c>
      <c r="X17" s="1315" t="s">
        <v>1539</v>
      </c>
      <c r="Y17" s="1315" t="s">
        <v>1538</v>
      </c>
      <c r="Z17" s="1315" t="s">
        <v>1539</v>
      </c>
      <c r="AA17" s="1315" t="s">
        <v>1538</v>
      </c>
      <c r="AB17" s="1315" t="s">
        <v>1539</v>
      </c>
      <c r="AC17" s="2571"/>
      <c r="AD17" s="2571"/>
      <c r="AE17" s="2571"/>
      <c r="AF17" s="2571"/>
      <c r="AG17" s="2571"/>
      <c r="AH17" s="2571"/>
      <c r="AI17" s="2571"/>
      <c r="AJ17" s="2571"/>
      <c r="AK17" s="2571"/>
      <c r="AL17" s="2571"/>
      <c r="AM17" s="2571"/>
      <c r="AN17" s="2571"/>
      <c r="AO17" s="2571"/>
      <c r="AP17" s="2571"/>
      <c r="AQ17" s="2571"/>
      <c r="AR17" s="2571"/>
      <c r="AS17" s="2571"/>
      <c r="AT17" s="2571"/>
      <c r="AU17" s="2571"/>
      <c r="AV17" s="2571"/>
      <c r="AW17" s="2571"/>
      <c r="AX17" s="2571"/>
      <c r="AY17" s="2571"/>
      <c r="AZ17" s="2571"/>
      <c r="BA17" s="2571"/>
      <c r="BB17" s="2571"/>
      <c r="BC17" s="2571"/>
      <c r="BD17" s="2571"/>
      <c r="BE17" s="2571"/>
      <c r="BF17" s="2571"/>
      <c r="BG17" s="2571"/>
      <c r="BH17" s="2571"/>
      <c r="BI17" s="2571"/>
      <c r="BJ17" s="2571"/>
      <c r="BK17" s="2571"/>
      <c r="BL17" s="2571"/>
      <c r="BM17" s="2571"/>
      <c r="BN17" s="2571"/>
      <c r="BO17" s="2571"/>
      <c r="BP17" s="2571"/>
      <c r="BQ17" s="2571"/>
      <c r="BR17" s="2571"/>
      <c r="BS17" s="2590"/>
      <c r="BT17" s="1315" t="s">
        <v>1538</v>
      </c>
      <c r="BU17" s="1315" t="s">
        <v>1539</v>
      </c>
      <c r="BV17" s="1315" t="s">
        <v>1538</v>
      </c>
      <c r="BW17" s="1315" t="s">
        <v>1539</v>
      </c>
      <c r="BX17" s="1315" t="s">
        <v>1538</v>
      </c>
      <c r="BY17" s="1315" t="s">
        <v>1539</v>
      </c>
      <c r="BZ17" s="1315" t="s">
        <v>1538</v>
      </c>
      <c r="CA17" s="1315" t="s">
        <v>1539</v>
      </c>
      <c r="CB17" s="1315" t="s">
        <v>1538</v>
      </c>
      <c r="CC17" s="1315" t="s">
        <v>1539</v>
      </c>
      <c r="CD17" s="1315" t="s">
        <v>1538</v>
      </c>
      <c r="CE17" s="1315" t="s">
        <v>1539</v>
      </c>
      <c r="CF17" s="1315" t="s">
        <v>1538</v>
      </c>
      <c r="CG17" s="1315" t="s">
        <v>1539</v>
      </c>
      <c r="CH17" s="1315" t="s">
        <v>1538</v>
      </c>
      <c r="CI17" s="1315" t="s">
        <v>1539</v>
      </c>
      <c r="CJ17" s="1315" t="s">
        <v>1538</v>
      </c>
      <c r="CK17" s="1315" t="s">
        <v>1539</v>
      </c>
      <c r="CL17" s="2573"/>
      <c r="CM17" s="2571"/>
      <c r="CN17" s="2571"/>
      <c r="CO17" s="2571"/>
      <c r="CP17" s="2571"/>
      <c r="CQ17" s="2571"/>
      <c r="CR17" s="2571"/>
      <c r="CS17" s="2571"/>
      <c r="CT17" s="2571"/>
      <c r="CU17" s="2571"/>
      <c r="CV17" s="2571"/>
      <c r="CW17" s="2571"/>
      <c r="CX17" s="2590"/>
      <c r="CY17" s="1315" t="s">
        <v>1538</v>
      </c>
      <c r="CZ17" s="1315" t="s">
        <v>1539</v>
      </c>
      <c r="DA17" s="1315" t="s">
        <v>1538</v>
      </c>
      <c r="DB17" s="1315" t="s">
        <v>1539</v>
      </c>
      <c r="DC17" s="1315" t="s">
        <v>1538</v>
      </c>
      <c r="DD17" s="1315" t="s">
        <v>1539</v>
      </c>
      <c r="DE17" s="1315" t="s">
        <v>1538</v>
      </c>
      <c r="DF17" s="1315" t="s">
        <v>1539</v>
      </c>
      <c r="DG17" s="1315" t="s">
        <v>1538</v>
      </c>
      <c r="DH17" s="1315" t="s">
        <v>1539</v>
      </c>
      <c r="DI17" s="1315" t="s">
        <v>1538</v>
      </c>
      <c r="DJ17" s="1315" t="s">
        <v>1539</v>
      </c>
      <c r="DK17" s="2573"/>
      <c r="DL17" s="2571"/>
      <c r="DM17" s="2571"/>
      <c r="DN17" s="2571"/>
      <c r="DO17" s="2571"/>
      <c r="DP17" s="2571"/>
      <c r="DQ17" s="2571"/>
      <c r="DR17" s="2571"/>
      <c r="DS17" s="2571"/>
      <c r="DT17" s="2571"/>
      <c r="DU17" s="2571"/>
      <c r="DV17" s="2571"/>
      <c r="DW17" s="2571"/>
      <c r="DX17" s="2571"/>
      <c r="DY17" s="2571"/>
      <c r="DZ17" s="2571"/>
      <c r="EA17" s="2571"/>
      <c r="EB17" s="2571"/>
      <c r="EC17" s="2571"/>
      <c r="ED17" s="2571"/>
      <c r="EE17" s="2571"/>
      <c r="EF17" s="2571"/>
      <c r="EG17" s="2571"/>
      <c r="EH17" s="2571"/>
      <c r="EI17" s="2571"/>
      <c r="EJ17" s="2571"/>
      <c r="EK17" s="2571"/>
      <c r="EL17" s="2571"/>
      <c r="EM17" s="2571"/>
      <c r="EN17" s="2571"/>
      <c r="EO17" s="2571"/>
      <c r="EP17" s="2571"/>
      <c r="EQ17" s="2571"/>
      <c r="ER17" s="2571"/>
      <c r="ES17" s="2571"/>
      <c r="ET17" s="2571"/>
      <c r="EU17" s="2571"/>
      <c r="EV17" s="2571"/>
      <c r="EW17" s="2571"/>
      <c r="EX17" s="2571"/>
      <c r="EY17" s="2571"/>
      <c r="EZ17" s="2571"/>
      <c r="FA17" s="2571"/>
      <c r="FB17" s="2571"/>
      <c r="FC17" s="2571"/>
      <c r="FD17" s="2571"/>
      <c r="FE17" s="2571"/>
      <c r="FF17" s="2571"/>
      <c r="FG17" s="2571"/>
      <c r="FH17" s="2571"/>
      <c r="FI17" s="2571"/>
      <c r="FJ17" s="2571"/>
      <c r="FK17" s="2571"/>
      <c r="FL17" s="2571"/>
      <c r="FM17" s="2571"/>
      <c r="FN17" s="2571"/>
      <c r="FO17" s="2571"/>
      <c r="FP17" s="2571"/>
      <c r="FQ17" s="2571"/>
      <c r="FR17" s="2571"/>
      <c r="FS17" s="2571"/>
      <c r="FT17" s="2571"/>
      <c r="FU17" s="2571"/>
      <c r="FV17" s="2571"/>
      <c r="FW17" s="2586"/>
      <c r="FX17" s="886"/>
      <c r="GC17" s="1050">
        <v>15</v>
      </c>
    </row>
    <row s="7048" customFormat="1" customHeight="1" ht="12" hidden="1">
      <c r="B18" s="1047"/>
      <c r="E18" s="1063"/>
      <c r="F18" s="1316"/>
      <c r="G18" s="1316"/>
      <c r="H18" s="1316"/>
      <c r="I18" s="1316"/>
      <c r="J18" s="1317"/>
      <c r="K18" s="1317"/>
      <c r="L18" s="1317"/>
      <c r="M18" s="1317"/>
      <c r="N18" s="1317"/>
      <c r="O18" s="1316"/>
      <c r="P18" s="1316"/>
      <c r="Q18" s="1316"/>
      <c r="R18" s="1316"/>
      <c r="S18" s="1316"/>
      <c r="T18" s="1316"/>
      <c r="U18" s="1318"/>
      <c r="V18" s="1318"/>
      <c r="W18" s="1318"/>
      <c r="X18" s="1318"/>
      <c r="Y18" s="1318"/>
      <c r="Z18" s="1318"/>
      <c r="AA18" s="1318"/>
      <c r="AB18" s="1316"/>
      <c r="AC18" s="1317"/>
      <c r="AD18" s="1317"/>
      <c r="AE18" s="1317"/>
      <c r="AF18" s="1317"/>
      <c r="AG18" s="1317"/>
      <c r="AH18" s="1317"/>
      <c r="AI18" s="1317"/>
      <c r="AJ18" s="1317"/>
      <c r="AK18" s="1317"/>
      <c r="AL18" s="1317"/>
      <c r="AM18" s="1317"/>
      <c r="AN18" s="1317"/>
      <c r="AO18" s="1317"/>
      <c r="AP18" s="1317"/>
      <c r="AQ18" s="1317"/>
      <c r="AR18" s="1317"/>
      <c r="AS18" s="1317"/>
      <c r="AT18" s="1317"/>
      <c r="AU18" s="1317"/>
      <c r="AV18" s="1317"/>
      <c r="AW18" s="1317"/>
      <c r="AX18" s="1317"/>
      <c r="AY18" s="1317"/>
      <c r="AZ18" s="1317"/>
      <c r="BA18" s="1317"/>
      <c r="BB18" s="1317"/>
      <c r="BC18" s="1317"/>
      <c r="BD18" s="1317"/>
      <c r="BE18" s="1317"/>
      <c r="BF18" s="1317"/>
      <c r="BG18" s="1317"/>
      <c r="BH18" s="1317"/>
      <c r="BI18" s="1317"/>
      <c r="BJ18" s="1317"/>
      <c r="BK18" s="1317"/>
      <c r="BL18" s="1317"/>
      <c r="BM18" s="1317"/>
      <c r="BN18" s="1317"/>
      <c r="BO18" s="1317"/>
      <c r="BP18" s="1317"/>
      <c r="BQ18" s="1317"/>
      <c r="BR18" s="1317"/>
      <c r="BS18" s="1317"/>
      <c r="BT18" s="1319"/>
      <c r="BU18" s="1319"/>
      <c r="BV18" s="1319"/>
      <c r="BW18" s="1319"/>
      <c r="BX18" s="1319"/>
      <c r="BY18" s="1319"/>
      <c r="BZ18" s="1319"/>
      <c r="CA18" s="1319"/>
      <c r="CB18" s="1319"/>
      <c r="CC18" s="1319"/>
      <c r="CD18" s="1319"/>
      <c r="CE18" s="1319"/>
      <c r="CF18" s="1319"/>
      <c r="CG18" s="1319"/>
      <c r="CH18" s="1319"/>
      <c r="CI18" s="1319"/>
      <c r="CJ18" s="1319"/>
      <c r="CK18" s="1319"/>
      <c r="CL18" s="1317"/>
      <c r="CM18" s="1317"/>
      <c r="CN18" s="1317"/>
      <c r="CO18" s="1317"/>
      <c r="CP18" s="1317"/>
      <c r="CQ18" s="1317"/>
      <c r="CR18" s="1317"/>
      <c r="CS18" s="1317"/>
      <c r="CT18" s="1317"/>
      <c r="CU18" s="1317"/>
      <c r="CV18" s="1317"/>
      <c r="CW18" s="1317"/>
      <c r="CX18" s="1317"/>
      <c r="CY18" s="1319"/>
      <c r="CZ18" s="1319"/>
      <c r="DA18" s="1319"/>
      <c r="DB18" s="1319"/>
      <c r="DC18" s="1319"/>
      <c r="DD18" s="1319"/>
      <c r="DE18" s="1319"/>
      <c r="DF18" s="1319"/>
      <c r="DG18" s="1319"/>
      <c r="DH18" s="1319"/>
      <c r="DI18" s="1319"/>
      <c r="DJ18" s="1319"/>
      <c r="DK18" s="1317"/>
      <c r="DL18" s="1317"/>
      <c r="DM18" s="1317"/>
      <c r="DN18" s="1317"/>
      <c r="DO18" s="1317"/>
      <c r="DP18" s="1317"/>
      <c r="DQ18" s="1317"/>
      <c r="DR18" s="1317"/>
      <c r="DS18" s="1317"/>
      <c r="DT18" s="1317"/>
      <c r="DU18" s="1317"/>
      <c r="DV18" s="1317"/>
      <c r="DW18" s="1317"/>
      <c r="DX18" s="1317"/>
      <c r="DY18" s="1317"/>
      <c r="DZ18" s="1317"/>
      <c r="EA18" s="1317"/>
      <c r="EB18" s="1317"/>
      <c r="EC18" s="1317"/>
      <c r="ED18" s="1317"/>
      <c r="EE18" s="1317"/>
      <c r="EF18" s="1317"/>
      <c r="EG18" s="1317"/>
      <c r="EH18" s="1317"/>
      <c r="EI18" s="1317"/>
      <c r="EJ18" s="1317"/>
      <c r="EK18" s="1317"/>
      <c r="EL18" s="1317"/>
      <c r="EM18" s="1317"/>
      <c r="EN18" s="1317"/>
      <c r="EO18" s="1317"/>
      <c r="EP18" s="1317"/>
      <c r="EQ18" s="1317"/>
      <c r="ER18" s="1317"/>
      <c r="ES18" s="1317"/>
      <c r="ET18" s="1317"/>
      <c r="EU18" s="1317"/>
      <c r="EV18" s="1317"/>
      <c r="EW18" s="1317"/>
      <c r="EX18" s="1317"/>
      <c r="EY18" s="1317"/>
      <c r="EZ18" s="1317"/>
      <c r="FA18" s="1317"/>
      <c r="FB18" s="1317"/>
      <c r="FC18" s="1317"/>
      <c r="FD18" s="1317"/>
      <c r="FE18" s="1317"/>
      <c r="FF18" s="1317"/>
      <c r="FG18" s="1317"/>
      <c r="FH18" s="1317"/>
      <c r="FI18" s="1317"/>
      <c r="FJ18" s="1317"/>
      <c r="FK18" s="1317"/>
      <c r="FL18" s="1317"/>
      <c r="FM18" s="1317"/>
      <c r="FN18" s="1317"/>
      <c r="FO18" s="1317"/>
      <c r="FP18" s="1317"/>
      <c r="FQ18" s="1317"/>
      <c r="FR18" s="1317"/>
      <c r="FS18" s="1317"/>
      <c r="FT18" s="1317"/>
      <c r="FU18" s="1317"/>
      <c r="FV18" s="1317"/>
      <c r="FW18" s="1316"/>
      <c r="FX18" s="1320"/>
      <c r="GC18" s="1048">
        <v>0</v>
      </c>
    </row>
    <row s="7048" customFormat="1" customHeight="1" ht="11.25" hidden="1">
      <c r="B19" s="1047"/>
      <c r="E19" s="1063"/>
      <c r="F19" s="1316"/>
      <c r="G19" s="1316"/>
      <c r="H19" s="1316"/>
      <c r="I19" s="1316"/>
      <c r="J19" s="1316"/>
      <c r="K19" s="1316"/>
      <c r="L19" s="1316"/>
      <c r="M19" s="1316"/>
      <c r="N19" s="1316"/>
      <c r="O19" s="1316"/>
      <c r="P19" s="1316"/>
      <c r="Q19" s="1316"/>
      <c r="R19" s="1316"/>
      <c r="S19" s="1316"/>
      <c r="T19" s="1316"/>
      <c r="U19" s="1318"/>
      <c r="V19" s="1318"/>
      <c r="W19" s="1318"/>
      <c r="X19" s="1318"/>
      <c r="Y19" s="1318"/>
      <c r="Z19" s="1318"/>
      <c r="AA19" s="1318"/>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16"/>
      <c r="CI19" s="1316"/>
      <c r="CJ19" s="1316"/>
      <c r="CK19" s="1316"/>
      <c r="CL19" s="1316"/>
      <c r="CM19" s="1316"/>
      <c r="CN19" s="1316"/>
      <c r="CO19" s="1316"/>
      <c r="CP19" s="1316"/>
      <c r="CQ19" s="1316"/>
      <c r="CR19" s="1316"/>
      <c r="CS19" s="1316"/>
      <c r="CT19" s="1316"/>
      <c r="CU19" s="1316"/>
      <c r="CV19" s="1316"/>
      <c r="CW19" s="1316"/>
      <c r="CX19" s="1316"/>
      <c r="CY19" s="1316"/>
      <c r="CZ19" s="1316"/>
      <c r="DA19" s="1316"/>
      <c r="DB19" s="1316"/>
      <c r="DC19" s="1316"/>
      <c r="DD19" s="1316"/>
      <c r="DE19" s="1316"/>
      <c r="DF19" s="1316"/>
      <c r="DG19" s="1316"/>
      <c r="DH19" s="1316"/>
      <c r="DI19" s="1316"/>
      <c r="DJ19" s="1316"/>
      <c r="DK19" s="1316"/>
      <c r="DL19" s="1316"/>
      <c r="DM19" s="1316"/>
      <c r="DN19" s="1316"/>
      <c r="DO19" s="1316"/>
      <c r="DP19" s="1316"/>
      <c r="DQ19" s="1316"/>
      <c r="DR19" s="1316"/>
      <c r="DS19" s="1316"/>
      <c r="DT19" s="1316"/>
      <c r="DU19" s="1316"/>
      <c r="DV19" s="1316"/>
      <c r="DW19" s="1316"/>
      <c r="DX19" s="1316"/>
      <c r="DY19" s="1316"/>
      <c r="DZ19" s="1316"/>
      <c r="EA19" s="1316"/>
      <c r="EB19" s="1316"/>
      <c r="EC19" s="1316"/>
      <c r="ED19" s="1316"/>
      <c r="EE19" s="1316"/>
      <c r="EF19" s="1316"/>
      <c r="EG19" s="1316"/>
      <c r="EH19" s="1316"/>
      <c r="EI19" s="1316"/>
      <c r="EJ19" s="1316"/>
      <c r="EK19" s="1316"/>
      <c r="EL19" s="1316"/>
      <c r="EM19" s="1316"/>
      <c r="EN19" s="1316"/>
      <c r="EO19" s="1316"/>
      <c r="EP19" s="1316"/>
      <c r="EQ19" s="1316"/>
      <c r="ER19" s="1316"/>
      <c r="ES19" s="1316"/>
      <c r="ET19" s="1316"/>
      <c r="EU19" s="1316"/>
      <c r="EV19" s="1316"/>
      <c r="EW19" s="1316"/>
      <c r="EX19" s="1316"/>
      <c r="EY19" s="1316"/>
      <c r="EZ19" s="1316"/>
      <c r="FA19" s="1316"/>
      <c r="FB19" s="1316"/>
      <c r="FC19" s="1316"/>
      <c r="FD19" s="1316"/>
      <c r="FE19" s="1316"/>
      <c r="FF19" s="1316"/>
      <c r="FG19" s="1316"/>
      <c r="FH19" s="1316"/>
      <c r="FI19" s="1316"/>
      <c r="FJ19" s="1316"/>
      <c r="FK19" s="1316"/>
      <c r="FL19" s="1316"/>
      <c r="FM19" s="1316"/>
      <c r="FN19" s="1316"/>
      <c r="FO19" s="1316"/>
      <c r="FP19" s="1316"/>
      <c r="FQ19" s="1316"/>
      <c r="FR19" s="1316"/>
      <c r="FS19" s="1316"/>
      <c r="FT19" s="1316"/>
      <c r="FU19" s="1316"/>
      <c r="FV19" s="1316"/>
      <c r="FW19" s="1316"/>
      <c r="FX19" s="1320"/>
      <c r="GC19" s="1048">
        <v>0</v>
      </c>
    </row>
    <row s="7048" customFormat="1" customHeight="1" ht="11.25" hidden="1">
      <c r="B20" s="1064"/>
      <c r="D20" s="1048"/>
      <c r="E20" s="1063"/>
      <c r="F20" s="1321" t="s">
        <v>488</v>
      </c>
      <c r="G20" s="1322"/>
      <c r="H20" s="1323"/>
      <c r="I20" s="1323"/>
      <c r="J20" s="1323"/>
      <c r="K20" s="1323"/>
      <c r="L20" s="1323"/>
      <c r="M20" s="1323"/>
      <c r="N20" s="1323"/>
      <c r="O20" s="1322"/>
      <c r="P20" s="1322"/>
      <c r="Q20" s="1322"/>
      <c r="R20" s="1322"/>
      <c r="S20" s="1322"/>
      <c r="T20" s="1322"/>
      <c r="U20" s="1324"/>
      <c r="V20" s="1324"/>
      <c r="W20" s="1324"/>
      <c r="X20" s="1324"/>
      <c r="Y20" s="1324"/>
      <c r="Z20" s="1324"/>
      <c r="AA20" s="1324"/>
      <c r="AB20" s="1322"/>
      <c r="AC20" s="1323"/>
      <c r="AD20" s="1323"/>
      <c r="AE20" s="1323"/>
      <c r="AF20" s="1323"/>
      <c r="AG20" s="1323"/>
      <c r="AH20" s="1323"/>
      <c r="AI20" s="1323"/>
      <c r="AJ20" s="1323"/>
      <c r="AK20" s="1323"/>
      <c r="AL20" s="1323"/>
      <c r="AM20" s="1323"/>
      <c r="AN20" s="1323"/>
      <c r="AO20" s="1323"/>
      <c r="AP20" s="1323"/>
      <c r="AQ20" s="1323"/>
      <c r="AR20" s="1323"/>
      <c r="AS20" s="1323"/>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1323"/>
      <c r="BU20" s="1323"/>
      <c r="BV20" s="1323"/>
      <c r="BW20" s="1323"/>
      <c r="BX20" s="1323"/>
      <c r="BY20" s="1323"/>
      <c r="BZ20" s="1323"/>
      <c r="CA20" s="1323"/>
      <c r="CB20" s="1323"/>
      <c r="CC20" s="1323"/>
      <c r="CD20" s="1323"/>
      <c r="CE20" s="1323"/>
      <c r="CF20" s="1323"/>
      <c r="CG20" s="1323"/>
      <c r="CH20" s="1323"/>
      <c r="CI20" s="1323"/>
      <c r="CJ20" s="1323"/>
      <c r="CK20" s="1323"/>
      <c r="CL20" s="1325"/>
      <c r="CM20" s="1325"/>
      <c r="CN20" s="1325"/>
      <c r="CO20" s="1325"/>
      <c r="CP20" s="1325"/>
      <c r="CQ20" s="1325"/>
      <c r="CR20" s="1325"/>
      <c r="CS20" s="1325"/>
      <c r="CT20" s="1325"/>
      <c r="CU20" s="1325"/>
      <c r="CV20" s="1325"/>
      <c r="CW20" s="1325"/>
      <c r="CX20" s="1325"/>
      <c r="CY20" s="1325"/>
      <c r="CZ20" s="1325"/>
      <c r="DA20" s="1325"/>
      <c r="DB20" s="1325"/>
      <c r="DC20" s="1325"/>
      <c r="DD20" s="1325"/>
      <c r="DE20" s="1325"/>
      <c r="DF20" s="1325"/>
      <c r="DG20" s="1325"/>
      <c r="DH20" s="1325"/>
      <c r="DI20" s="1325"/>
      <c r="DJ20" s="1325"/>
      <c r="DK20" s="1325"/>
      <c r="DL20" s="1325"/>
      <c r="DM20" s="1325"/>
      <c r="DN20" s="1325"/>
      <c r="DO20" s="1325"/>
      <c r="DP20" s="1325"/>
      <c r="DQ20" s="1325"/>
      <c r="DR20" s="1325"/>
      <c r="DS20" s="1325"/>
      <c r="DT20" s="1325"/>
      <c r="DU20" s="1325"/>
      <c r="DV20" s="1325"/>
      <c r="DW20" s="1325"/>
      <c r="DX20" s="1325"/>
      <c r="DY20" s="1325"/>
      <c r="DZ20" s="1325"/>
      <c r="EA20" s="1325"/>
      <c r="EB20" s="1325"/>
      <c r="EC20" s="1325"/>
      <c r="ED20" s="1325"/>
      <c r="EE20" s="1325"/>
      <c r="EF20" s="1325"/>
      <c r="EG20" s="1325"/>
      <c r="EH20" s="1325"/>
      <c r="EI20" s="1325"/>
      <c r="EJ20" s="1325"/>
      <c r="EK20" s="1325"/>
      <c r="EL20" s="1325"/>
      <c r="EM20" s="1325"/>
      <c r="EN20" s="1325"/>
      <c r="EO20" s="1325"/>
      <c r="EP20" s="1325"/>
      <c r="EQ20" s="1325"/>
      <c r="ER20" s="1325"/>
      <c r="ES20" s="1325"/>
      <c r="ET20" s="1325"/>
      <c r="EU20" s="1325"/>
      <c r="EV20" s="1325"/>
      <c r="EW20" s="1325"/>
      <c r="EX20" s="1325"/>
      <c r="EY20" s="1325"/>
      <c r="EZ20" s="1325"/>
      <c r="FA20" s="1325"/>
      <c r="FB20" s="1325"/>
      <c r="FC20" s="1325"/>
      <c r="FD20" s="1325"/>
      <c r="FE20" s="1325"/>
      <c r="FF20" s="1325"/>
      <c r="FG20" s="1325"/>
      <c r="FH20" s="1325"/>
      <c r="FI20" s="1325"/>
      <c r="FJ20" s="1325"/>
      <c r="FK20" s="1325"/>
      <c r="FL20" s="1325"/>
      <c r="FM20" s="1325"/>
      <c r="FN20" s="1325"/>
      <c r="FO20" s="1325"/>
      <c r="FP20" s="1325"/>
      <c r="FQ20" s="1325"/>
      <c r="FR20" s="1325"/>
      <c r="FS20" s="1325"/>
      <c r="FT20" s="1325"/>
      <c r="FU20" s="1325"/>
      <c r="FV20" s="1325"/>
      <c r="FW20" s="1325"/>
      <c r="FX20" s="1326"/>
      <c r="GC20" s="1046">
        <v>0</v>
      </c>
    </row>
    <row s="7048" customFormat="1" customHeight="1" ht="21">
      <c r="A21" s="6959" t="s">
        <v>1169</v>
      </c>
      <c r="B21" s="7105"/>
      <c r="C21" s="7048"/>
      <c r="D21" s="7048"/>
      <c r="E21" s="7099" t="s">
        <v>22</v>
      </c>
      <c r="F21" s="7672" t="str">
        <f>INDEX(IP_MAIN_LIST_NAME_IP,MATCH(A21,IP_MAIN_LIST_IP_ID,0))&amp;" ("&amp;INDEX(IP_MAIN_START_DATE,MATCH(A21,IP_MAIN_LIST_IP_ID,0))&amp;"-"&amp;INDEX(IP_MAIN_END_DATE,MATCH(A21,IP_MAIN_LIST_IP_ID,0))&amp;")"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G21" s="7673"/>
      <c r="H21" s="7674"/>
      <c r="I21" s="7674"/>
      <c r="J21" s="7674"/>
      <c r="K21" s="7674"/>
      <c r="L21" s="7674"/>
      <c r="M21" s="7674"/>
      <c r="N21" s="7674"/>
      <c r="O21" s="7673"/>
      <c r="P21" s="7673"/>
      <c r="Q21" s="7673"/>
      <c r="R21" s="7673"/>
      <c r="S21" s="7673"/>
      <c r="T21" s="7673"/>
      <c r="U21" s="7675"/>
      <c r="V21" s="7675"/>
      <c r="W21" s="7675"/>
      <c r="X21" s="7675"/>
      <c r="Y21" s="7675"/>
      <c r="Z21" s="7675"/>
      <c r="AA21" s="7675"/>
      <c r="AB21" s="7673"/>
      <c r="AC21" s="7674"/>
      <c r="AD21" s="7674"/>
      <c r="AE21" s="7674"/>
      <c r="AF21" s="7674"/>
      <c r="AG21" s="7674"/>
      <c r="AH21" s="7674"/>
      <c r="AI21" s="7674"/>
      <c r="AJ21" s="7674"/>
      <c r="AK21" s="7674"/>
      <c r="AL21" s="7674"/>
      <c r="AM21" s="7674"/>
      <c r="AN21" s="7674"/>
      <c r="AO21" s="7674"/>
      <c r="AP21" s="7674"/>
      <c r="AQ21" s="7674"/>
      <c r="AR21" s="7674"/>
      <c r="AS21" s="7674"/>
      <c r="AT21" s="7674"/>
      <c r="AU21" s="7674"/>
      <c r="AV21" s="7674"/>
      <c r="AW21" s="7674"/>
      <c r="AX21" s="7674"/>
      <c r="AY21" s="7674"/>
      <c r="AZ21" s="7674"/>
      <c r="BA21" s="7674"/>
      <c r="BB21" s="7674"/>
      <c r="BC21" s="7674"/>
      <c r="BD21" s="7674"/>
      <c r="BE21" s="7674"/>
      <c r="BF21" s="7674"/>
      <c r="BG21" s="7674"/>
      <c r="BH21" s="7674"/>
      <c r="BI21" s="7674"/>
      <c r="BJ21" s="7674"/>
      <c r="BK21" s="7674"/>
      <c r="BL21" s="7674"/>
      <c r="BM21" s="7674"/>
      <c r="BN21" s="7674"/>
      <c r="BO21" s="7674"/>
      <c r="BP21" s="7674"/>
      <c r="BQ21" s="7674"/>
      <c r="BR21" s="7674"/>
      <c r="BS21" s="7674"/>
      <c r="BT21" s="7674"/>
      <c r="BU21" s="7674"/>
      <c r="BV21" s="7674"/>
      <c r="BW21" s="7674"/>
      <c r="BX21" s="7674"/>
      <c r="BY21" s="7674"/>
      <c r="BZ21" s="7674"/>
      <c r="CA21" s="7674"/>
      <c r="CB21" s="7674"/>
      <c r="CC21" s="7674"/>
      <c r="CD21" s="7674"/>
      <c r="CE21" s="7674"/>
      <c r="CF21" s="7674"/>
      <c r="CG21" s="7674"/>
      <c r="CH21" s="7674"/>
      <c r="CI21" s="7674"/>
      <c r="CJ21" s="7674"/>
      <c r="CK21" s="7674"/>
      <c r="CL21" s="7676"/>
      <c r="CM21" s="7676"/>
      <c r="CN21" s="7676"/>
      <c r="CO21" s="7676"/>
      <c r="CP21" s="7676"/>
      <c r="CQ21" s="7676"/>
      <c r="CR21" s="7676"/>
      <c r="CS21" s="7676"/>
      <c r="CT21" s="7676"/>
      <c r="CU21" s="7676"/>
      <c r="CV21" s="7676"/>
      <c r="CW21" s="7676"/>
      <c r="CX21" s="7676"/>
      <c r="CY21" s="7676"/>
      <c r="CZ21" s="7676"/>
      <c r="DA21" s="7676"/>
      <c r="DB21" s="7676"/>
      <c r="DC21" s="7676"/>
      <c r="DD21" s="7676"/>
      <c r="DE21" s="7676"/>
      <c r="DF21" s="7676"/>
      <c r="DG21" s="7676"/>
      <c r="DH21" s="7676"/>
      <c r="DI21" s="7676"/>
      <c r="DJ21" s="7676"/>
      <c r="DK21" s="7676"/>
      <c r="DL21" s="7676"/>
      <c r="DM21" s="7676"/>
      <c r="DN21" s="7676"/>
      <c r="DO21" s="7676"/>
      <c r="DP21" s="7676"/>
      <c r="DQ21" s="7676"/>
      <c r="DR21" s="7676"/>
      <c r="DS21" s="7676"/>
      <c r="DT21" s="7676"/>
      <c r="DU21" s="7676"/>
      <c r="DV21" s="7676"/>
      <c r="DW21" s="7676"/>
      <c r="DX21" s="7676"/>
      <c r="DY21" s="7676"/>
      <c r="DZ21" s="7676"/>
      <c r="EA21" s="7676"/>
      <c r="EB21" s="7676"/>
      <c r="EC21" s="7676"/>
      <c r="ED21" s="7676"/>
      <c r="EE21" s="7676"/>
      <c r="EF21" s="7676"/>
      <c r="EG21" s="7676"/>
      <c r="EH21" s="7676"/>
      <c r="EI21" s="7676"/>
      <c r="EJ21" s="7676"/>
      <c r="EK21" s="7676"/>
      <c r="EL21" s="7676"/>
      <c r="EM21" s="7676"/>
      <c r="EN21" s="7676"/>
      <c r="EO21" s="7676"/>
      <c r="EP21" s="7676"/>
      <c r="EQ21" s="7676"/>
      <c r="ER21" s="7676"/>
      <c r="ES21" s="7676"/>
      <c r="ET21" s="7676"/>
      <c r="EU21" s="7676"/>
      <c r="EV21" s="7676"/>
      <c r="EW21" s="7676"/>
      <c r="EX21" s="7676"/>
      <c r="EY21" s="7676"/>
      <c r="EZ21" s="7676"/>
      <c r="FA21" s="7676"/>
      <c r="FB21" s="7676"/>
      <c r="FC21" s="7676"/>
      <c r="FD21" s="7676"/>
      <c r="FE21" s="7676"/>
      <c r="FF21" s="7676"/>
      <c r="FG21" s="7676"/>
      <c r="FH21" s="7676"/>
      <c r="FI21" s="7676"/>
      <c r="FJ21" s="7676"/>
      <c r="FK21" s="7676"/>
      <c r="FL21" s="7676"/>
      <c r="FM21" s="7676"/>
      <c r="FN21" s="7676"/>
      <c r="FO21" s="7676"/>
      <c r="FP21" s="7676"/>
      <c r="FQ21" s="7676"/>
      <c r="FR21" s="7676"/>
      <c r="FS21" s="7676"/>
      <c r="FT21" s="7676"/>
      <c r="FU21" s="7676"/>
      <c r="FV21" s="7677"/>
      <c r="FW21" s="7110"/>
      <c r="FX21" s="7359"/>
      <c r="FY21" s="7048"/>
      <c r="FZ21" s="7048"/>
      <c r="GA21" s="7048"/>
      <c r="GB21" s="7048"/>
    </row>
    <row s="7048" customFormat="1" customHeight="1" ht="24.75">
      <c r="A22" s="7048" t="s">
        <v>1169</v>
      </c>
      <c r="B22" s="7105"/>
      <c r="C22" s="7048"/>
      <c r="D22" s="7048"/>
      <c r="E22" s="7954"/>
      <c r="F22" s="7679">
        <v>1</v>
      </c>
      <c r="G22" s="7680" t="s">
        <v>1160</v>
      </c>
      <c r="H22" s="7681" t="s">
        <v>67</v>
      </c>
      <c r="I22" s="7682" t="s">
        <v>1540</v>
      </c>
      <c r="J22" s="7683"/>
      <c r="K22" s="7683"/>
      <c r="L22" s="7683"/>
      <c r="M22" s="7683"/>
      <c r="N22" s="7683"/>
      <c r="O22" s="7684">
        <v>0</v>
      </c>
      <c r="P22" s="7684">
        <v>0</v>
      </c>
      <c r="Q22" s="7684">
        <v>0</v>
      </c>
      <c r="R22" s="7684">
        <v>0</v>
      </c>
      <c r="S22" s="7684">
        <v>0.16</v>
      </c>
      <c r="T22" s="7684">
        <v>0.16</v>
      </c>
      <c r="U22" s="7684">
        <v>1.64</v>
      </c>
      <c r="V22" s="7684">
        <v>1.64</v>
      </c>
      <c r="W22" s="7684">
        <v>0</v>
      </c>
      <c r="X22" s="7684">
        <v>0</v>
      </c>
      <c r="Y22" s="7684">
        <v>21082.64</v>
      </c>
      <c r="Z22" s="7684">
        <v>21082.64</v>
      </c>
      <c r="AA22" s="7684">
        <v>0</v>
      </c>
      <c r="AB22" s="7684">
        <v>0</v>
      </c>
      <c r="AC22" s="7683"/>
      <c r="AD22" s="7683"/>
      <c r="AE22" s="7683"/>
      <c r="AF22" s="7683"/>
      <c r="AG22" s="7683"/>
      <c r="AH22" s="7683"/>
      <c r="AI22" s="7683"/>
      <c r="AJ22" s="7683"/>
      <c r="AK22" s="7683"/>
      <c r="AL22" s="7683"/>
      <c r="AM22" s="7683"/>
      <c r="AN22" s="7683"/>
      <c r="AO22" s="7683"/>
      <c r="AP22" s="7683"/>
      <c r="AQ22" s="7683"/>
      <c r="AR22" s="7683"/>
      <c r="AS22" s="7683"/>
      <c r="AT22" s="7683"/>
      <c r="AU22" s="7683"/>
      <c r="AV22" s="7683"/>
      <c r="AW22" s="7683"/>
      <c r="AX22" s="7683"/>
      <c r="AY22" s="7683"/>
      <c r="AZ22" s="7683"/>
      <c r="BA22" s="7683"/>
      <c r="BB22" s="7683"/>
      <c r="BC22" s="7683"/>
      <c r="BD22" s="7683"/>
      <c r="BE22" s="7683"/>
      <c r="BF22" s="7683"/>
      <c r="BG22" s="7683"/>
      <c r="BH22" s="7683"/>
      <c r="BI22" s="7683"/>
      <c r="BJ22" s="7683"/>
      <c r="BK22" s="7683"/>
      <c r="BL22" s="7683"/>
      <c r="BM22" s="7683"/>
      <c r="BN22" s="7683"/>
      <c r="BO22" s="7683"/>
      <c r="BP22" s="7683"/>
      <c r="BQ22" s="7683"/>
      <c r="BR22" s="7683"/>
      <c r="BS22" s="7683"/>
      <c r="BT22" s="7684"/>
      <c r="BU22" s="7684"/>
      <c r="BV22" s="7684"/>
      <c r="BW22" s="7684"/>
      <c r="BX22" s="7684"/>
      <c r="BY22" s="7684"/>
      <c r="BZ22" s="7684"/>
      <c r="CA22" s="7684"/>
      <c r="CB22" s="7684"/>
      <c r="CC22" s="7684"/>
      <c r="CD22" s="7684"/>
      <c r="CE22" s="7684"/>
      <c r="CF22" s="7684"/>
      <c r="CG22" s="7684"/>
      <c r="CH22" s="7684"/>
      <c r="CI22" s="7684"/>
      <c r="CJ22" s="7684"/>
      <c r="CK22" s="7684"/>
      <c r="CL22" s="7683"/>
      <c r="CM22" s="7683"/>
      <c r="CN22" s="7683"/>
      <c r="CO22" s="7683"/>
      <c r="CP22" s="7683"/>
      <c r="CQ22" s="7683"/>
      <c r="CR22" s="7683"/>
      <c r="CS22" s="7683"/>
      <c r="CT22" s="7683"/>
      <c r="CU22" s="7683"/>
      <c r="CV22" s="7683"/>
      <c r="CW22" s="7683"/>
      <c r="CX22" s="7683"/>
      <c r="CY22" s="7684"/>
      <c r="CZ22" s="7684"/>
      <c r="DA22" s="7684"/>
      <c r="DB22" s="7684"/>
      <c r="DC22" s="7684"/>
      <c r="DD22" s="7684"/>
      <c r="DE22" s="7684"/>
      <c r="DF22" s="7684"/>
      <c r="DG22" s="7684"/>
      <c r="DH22" s="7684"/>
      <c r="DI22" s="7684"/>
      <c r="DJ22" s="7684"/>
      <c r="DK22" s="7683"/>
      <c r="DL22" s="7683"/>
      <c r="DM22" s="7683"/>
      <c r="DN22" s="7683"/>
      <c r="DO22" s="7683"/>
      <c r="DP22" s="7683"/>
      <c r="DQ22" s="7683"/>
      <c r="DR22" s="7683"/>
      <c r="DS22" s="7683"/>
      <c r="DT22" s="7683"/>
      <c r="DU22" s="7683"/>
      <c r="DV22" s="7683"/>
      <c r="DW22" s="7683"/>
      <c r="DX22" s="7683"/>
      <c r="DY22" s="7683"/>
      <c r="DZ22" s="7683"/>
      <c r="EA22" s="7683"/>
      <c r="EB22" s="7683"/>
      <c r="EC22" s="7683"/>
      <c r="ED22" s="7683"/>
      <c r="EE22" s="7683"/>
      <c r="EF22" s="7683"/>
      <c r="EG22" s="7683"/>
      <c r="EH22" s="7683"/>
      <c r="EI22" s="7683"/>
      <c r="EJ22" s="7683"/>
      <c r="EK22" s="7683"/>
      <c r="EL22" s="7683"/>
      <c r="EM22" s="7683"/>
      <c r="EN22" s="7683"/>
      <c r="EO22" s="7683"/>
      <c r="EP22" s="7683"/>
      <c r="EQ22" s="7683"/>
      <c r="ER22" s="7683"/>
      <c r="ES22" s="7683"/>
      <c r="ET22" s="7683"/>
      <c r="EU22" s="7683"/>
      <c r="EV22" s="7683"/>
      <c r="EW22" s="7683"/>
      <c r="EX22" s="7683"/>
      <c r="EY22" s="7683"/>
      <c r="EZ22" s="7683"/>
      <c r="FA22" s="7683"/>
      <c r="FB22" s="7683"/>
      <c r="FC22" s="7683"/>
      <c r="FD22" s="7683"/>
      <c r="FE22" s="7683"/>
      <c r="FF22" s="7683"/>
      <c r="FG22" s="7683"/>
      <c r="FH22" s="7683"/>
      <c r="FI22" s="7683"/>
      <c r="FJ22" s="7683"/>
      <c r="FK22" s="7683"/>
      <c r="FL22" s="7683"/>
      <c r="FM22" s="7683"/>
      <c r="FN22" s="7683"/>
      <c r="FO22" s="7683"/>
      <c r="FP22" s="7683"/>
      <c r="FQ22" s="7683"/>
      <c r="FR22" s="7683"/>
      <c r="FS22" s="7683"/>
      <c r="FT22" s="7683"/>
      <c r="FU22" s="7683"/>
      <c r="FV22" s="7683"/>
      <c r="FW22" s="7683"/>
      <c r="FX22" s="7359"/>
      <c r="FY22" s="7048"/>
      <c r="FZ22" s="7048"/>
      <c r="GA22" s="7048"/>
      <c r="GB22" s="7048"/>
    </row>
    <row s="7048" customFormat="1" customHeight="1" ht="12">
      <c r="A23" s="7048" t="s">
        <v>1169</v>
      </c>
      <c r="B23" s="7105"/>
      <c r="C23" s="7048"/>
      <c r="D23" s="7048"/>
      <c r="E23" s="7048"/>
      <c r="F23" s="8344"/>
      <c r="G23" s="8345" t="s">
        <v>1541</v>
      </c>
      <c r="H23" s="8346"/>
      <c r="I23" s="8347"/>
      <c r="J23" s="8348"/>
      <c r="K23" s="8349"/>
      <c r="L23" s="8350"/>
      <c r="M23" s="8351"/>
      <c r="N23" s="8352"/>
      <c r="O23" s="8353"/>
      <c r="P23" s="8354"/>
      <c r="Q23" s="8355"/>
      <c r="R23" s="8356"/>
      <c r="S23" s="8357"/>
      <c r="T23" s="8358"/>
      <c r="U23" s="8359"/>
      <c r="V23" s="8360"/>
      <c r="W23" s="8361"/>
      <c r="X23" s="8362"/>
      <c r="Y23" s="8363"/>
      <c r="Z23" s="8364"/>
      <c r="AA23" s="8365"/>
      <c r="AB23" s="8366"/>
      <c r="AC23" s="8367"/>
      <c r="AD23" s="8368"/>
      <c r="AE23" s="8369"/>
      <c r="AF23" s="8370"/>
      <c r="AG23" s="8371"/>
      <c r="AH23" s="8372"/>
      <c r="AI23" s="8373"/>
      <c r="AJ23" s="8374"/>
      <c r="AK23" s="8375"/>
      <c r="AL23" s="8376"/>
      <c r="AM23" s="8377"/>
      <c r="AN23" s="8378"/>
      <c r="AO23" s="8379"/>
      <c r="AP23" s="8380"/>
      <c r="AQ23" s="8381"/>
      <c r="AR23" s="8382"/>
      <c r="AS23" s="8383"/>
      <c r="AT23" s="8384"/>
      <c r="AU23" s="8385"/>
      <c r="AV23" s="8386"/>
      <c r="AW23" s="8387"/>
      <c r="AX23" s="8388"/>
      <c r="AY23" s="8389"/>
      <c r="AZ23" s="8390"/>
      <c r="BA23" s="8391"/>
      <c r="BB23" s="8392"/>
      <c r="BC23" s="8393"/>
      <c r="BD23" s="8394"/>
      <c r="BE23" s="8395"/>
      <c r="BF23" s="8396"/>
      <c r="BG23" s="8397"/>
      <c r="BH23" s="8398"/>
      <c r="BI23" s="8399"/>
      <c r="BJ23" s="8400"/>
      <c r="BK23" s="8401"/>
      <c r="BL23" s="8402"/>
      <c r="BM23" s="8403"/>
      <c r="BN23" s="8404"/>
      <c r="BO23" s="8405"/>
      <c r="BP23" s="8406"/>
      <c r="BQ23" s="8407"/>
      <c r="BR23" s="8408"/>
      <c r="BS23" s="8409"/>
      <c r="BT23" s="8410"/>
      <c r="BU23" s="8411"/>
      <c r="BV23" s="8412"/>
      <c r="BW23" s="8413"/>
      <c r="BX23" s="8414"/>
      <c r="BY23" s="8415"/>
      <c r="BZ23" s="8416"/>
      <c r="CA23" s="8417"/>
      <c r="CB23" s="8418"/>
      <c r="CC23" s="8419"/>
      <c r="CD23" s="8420"/>
      <c r="CE23" s="8421"/>
      <c r="CF23" s="8422"/>
      <c r="CG23" s="8423"/>
      <c r="CH23" s="8424"/>
      <c r="CI23" s="8425"/>
      <c r="CJ23" s="8426"/>
      <c r="CK23" s="8427"/>
      <c r="CL23" s="8428"/>
      <c r="CM23" s="8429"/>
      <c r="CN23" s="8430"/>
      <c r="CO23" s="8431"/>
      <c r="CP23" s="8432"/>
      <c r="CQ23" s="8433"/>
      <c r="CR23" s="8434"/>
      <c r="CS23" s="8435"/>
      <c r="CT23" s="8436"/>
      <c r="CU23" s="8437"/>
      <c r="CV23" s="8438"/>
      <c r="CW23" s="8439"/>
      <c r="CX23" s="8440"/>
      <c r="CY23" s="8441"/>
      <c r="CZ23" s="8442"/>
      <c r="DA23" s="8443"/>
      <c r="DB23" s="8444"/>
      <c r="DC23" s="8445"/>
      <c r="DD23" s="8446"/>
      <c r="DE23" s="8447"/>
      <c r="DF23" s="8448"/>
      <c r="DG23" s="8449"/>
      <c r="DH23" s="8450"/>
      <c r="DI23" s="8451"/>
      <c r="DJ23" s="8452"/>
      <c r="DK23" s="8453"/>
      <c r="DL23" s="8454"/>
      <c r="DM23" s="8455"/>
      <c r="DN23" s="8456"/>
      <c r="DO23" s="8457"/>
      <c r="DP23" s="8458"/>
      <c r="DQ23" s="8459"/>
      <c r="DR23" s="8460"/>
      <c r="DS23" s="8461"/>
      <c r="DT23" s="8462"/>
      <c r="DU23" s="8463"/>
      <c r="DV23" s="8464"/>
      <c r="DW23" s="8465"/>
      <c r="DX23" s="8466"/>
      <c r="DY23" s="8467"/>
      <c r="DZ23" s="8468"/>
      <c r="EA23" s="8469"/>
      <c r="EB23" s="8470"/>
      <c r="EC23" s="8471"/>
      <c r="ED23" s="8472"/>
      <c r="EE23" s="8473"/>
      <c r="EF23" s="8474"/>
      <c r="EG23" s="8475"/>
      <c r="EH23" s="8476"/>
      <c r="EI23" s="8477"/>
      <c r="EJ23" s="8478"/>
      <c r="EK23" s="8479"/>
      <c r="EL23" s="8480"/>
      <c r="EM23" s="8481"/>
      <c r="EN23" s="8482"/>
      <c r="EO23" s="8483"/>
      <c r="EP23" s="8484"/>
      <c r="EQ23" s="8485"/>
      <c r="ER23" s="8486"/>
      <c r="ES23" s="8487"/>
      <c r="ET23" s="8488"/>
      <c r="EU23" s="8489"/>
      <c r="EV23" s="8490"/>
      <c r="EW23" s="8491"/>
      <c r="EX23" s="8492"/>
      <c r="EY23" s="8493"/>
      <c r="EZ23" s="8494"/>
      <c r="FA23" s="8495"/>
      <c r="FB23" s="8496"/>
      <c r="FC23" s="8497"/>
      <c r="FD23" s="8498"/>
      <c r="FE23" s="8499"/>
      <c r="FF23" s="8500"/>
      <c r="FG23" s="8501"/>
      <c r="FH23" s="8502"/>
      <c r="FI23" s="8503"/>
      <c r="FJ23" s="8504"/>
      <c r="FK23" s="8505"/>
      <c r="FL23" s="8506"/>
      <c r="FM23" s="8507"/>
      <c r="FN23" s="8508"/>
      <c r="FO23" s="8509"/>
      <c r="FP23" s="8510"/>
      <c r="FQ23" s="8511"/>
      <c r="FR23" s="8512"/>
      <c r="FS23" s="8513"/>
      <c r="FT23" s="8514"/>
      <c r="FU23" s="8515"/>
      <c r="FV23" s="8516"/>
      <c r="FW23" s="8517"/>
      <c r="FX23" s="7689"/>
      <c r="FY23" s="7501"/>
      <c r="FZ23" s="7501"/>
      <c r="GA23" s="7501"/>
      <c r="GB23" s="7501"/>
    </row>
    <row s="7048" customFormat="1" customHeight="1" ht="21">
      <c r="A24" s="6959" t="s">
        <v>1179</v>
      </c>
      <c r="B24" s="7105"/>
      <c r="C24" s="7048"/>
      <c r="D24" s="7048"/>
      <c r="E24" s="7099" t="s">
        <v>22</v>
      </c>
      <c r="F24" s="7672" t="str">
        <f>INDEX(IP_MAIN_LIST_NAME_IP,MATCH(A24,IP_MAIN_LIST_IP_ID,0))&amp;" ("&amp;INDEX(IP_MAIN_START_DATE,MATCH(A24,IP_MAIN_LIST_IP_ID,0))&amp;"-"&amp;INDEX(IP_MAIN_END_DATE,MATCH(A24,IP_MAIN_LIST_IP_ID,0))&amp;")"</f>
        <v>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 (01.01.2024-31.12.2028)</v>
      </c>
      <c r="G24" s="7673"/>
      <c r="H24" s="7674"/>
      <c r="I24" s="7674"/>
      <c r="J24" s="7674"/>
      <c r="K24" s="7674"/>
      <c r="L24" s="7674"/>
      <c r="M24" s="7674"/>
      <c r="N24" s="7674"/>
      <c r="O24" s="7673"/>
      <c r="P24" s="7673"/>
      <c r="Q24" s="7673"/>
      <c r="R24" s="7673"/>
      <c r="S24" s="7673"/>
      <c r="T24" s="7673"/>
      <c r="U24" s="7675"/>
      <c r="V24" s="7675"/>
      <c r="W24" s="7675"/>
      <c r="X24" s="7675"/>
      <c r="Y24" s="7675"/>
      <c r="Z24" s="7675"/>
      <c r="AA24" s="7675"/>
      <c r="AB24" s="7673"/>
      <c r="AC24" s="7674"/>
      <c r="AD24" s="7674"/>
      <c r="AE24" s="7674"/>
      <c r="AF24" s="7674"/>
      <c r="AG24" s="7674"/>
      <c r="AH24" s="7674"/>
      <c r="AI24" s="7674"/>
      <c r="AJ24" s="7674"/>
      <c r="AK24" s="7674"/>
      <c r="AL24" s="7674"/>
      <c r="AM24" s="7674"/>
      <c r="AN24" s="7674"/>
      <c r="AO24" s="7674"/>
      <c r="AP24" s="7674"/>
      <c r="AQ24" s="7674"/>
      <c r="AR24" s="7674"/>
      <c r="AS24" s="7674"/>
      <c r="AT24" s="7674"/>
      <c r="AU24" s="7674"/>
      <c r="AV24" s="7674"/>
      <c r="AW24" s="7674"/>
      <c r="AX24" s="7674"/>
      <c r="AY24" s="7674"/>
      <c r="AZ24" s="7674"/>
      <c r="BA24" s="7674"/>
      <c r="BB24" s="7674"/>
      <c r="BC24" s="7674"/>
      <c r="BD24" s="7674"/>
      <c r="BE24" s="7674"/>
      <c r="BF24" s="7674"/>
      <c r="BG24" s="7674"/>
      <c r="BH24" s="7674"/>
      <c r="BI24" s="7674"/>
      <c r="BJ24" s="7674"/>
      <c r="BK24" s="7674"/>
      <c r="BL24" s="7674"/>
      <c r="BM24" s="7674"/>
      <c r="BN24" s="7674"/>
      <c r="BO24" s="7674"/>
      <c r="BP24" s="7674"/>
      <c r="BQ24" s="7674"/>
      <c r="BR24" s="7674"/>
      <c r="BS24" s="7674"/>
      <c r="BT24" s="7674"/>
      <c r="BU24" s="7674"/>
      <c r="BV24" s="7674"/>
      <c r="BW24" s="7674"/>
      <c r="BX24" s="7674"/>
      <c r="BY24" s="7674"/>
      <c r="BZ24" s="7674"/>
      <c r="CA24" s="7674"/>
      <c r="CB24" s="7674"/>
      <c r="CC24" s="7674"/>
      <c r="CD24" s="7674"/>
      <c r="CE24" s="7674"/>
      <c r="CF24" s="7674"/>
      <c r="CG24" s="7674"/>
      <c r="CH24" s="7674"/>
      <c r="CI24" s="7674"/>
      <c r="CJ24" s="7674"/>
      <c r="CK24" s="7674"/>
      <c r="CL24" s="7676"/>
      <c r="CM24" s="7676"/>
      <c r="CN24" s="7676"/>
      <c r="CO24" s="7676"/>
      <c r="CP24" s="7676"/>
      <c r="CQ24" s="7676"/>
      <c r="CR24" s="7676"/>
      <c r="CS24" s="7676"/>
      <c r="CT24" s="7676"/>
      <c r="CU24" s="7676"/>
      <c r="CV24" s="7676"/>
      <c r="CW24" s="7676"/>
      <c r="CX24" s="7676"/>
      <c r="CY24" s="7676"/>
      <c r="CZ24" s="7676"/>
      <c r="DA24" s="7676"/>
      <c r="DB24" s="7676"/>
      <c r="DC24" s="7676"/>
      <c r="DD24" s="7676"/>
      <c r="DE24" s="7676"/>
      <c r="DF24" s="7676"/>
      <c r="DG24" s="7676"/>
      <c r="DH24" s="7676"/>
      <c r="DI24" s="7676"/>
      <c r="DJ24" s="7676"/>
      <c r="DK24" s="7676"/>
      <c r="DL24" s="7676"/>
      <c r="DM24" s="7676"/>
      <c r="DN24" s="7676"/>
      <c r="DO24" s="7676"/>
      <c r="DP24" s="7676"/>
      <c r="DQ24" s="7676"/>
      <c r="DR24" s="7676"/>
      <c r="DS24" s="7676"/>
      <c r="DT24" s="7676"/>
      <c r="DU24" s="7676"/>
      <c r="DV24" s="7676"/>
      <c r="DW24" s="7676"/>
      <c r="DX24" s="7676"/>
      <c r="DY24" s="7676"/>
      <c r="DZ24" s="7676"/>
      <c r="EA24" s="7676"/>
      <c r="EB24" s="7676"/>
      <c r="EC24" s="7676"/>
      <c r="ED24" s="7676"/>
      <c r="EE24" s="7676"/>
      <c r="EF24" s="7676"/>
      <c r="EG24" s="7676"/>
      <c r="EH24" s="7676"/>
      <c r="EI24" s="7676"/>
      <c r="EJ24" s="7676"/>
      <c r="EK24" s="7676"/>
      <c r="EL24" s="7676"/>
      <c r="EM24" s="7676"/>
      <c r="EN24" s="7676"/>
      <c r="EO24" s="7676"/>
      <c r="EP24" s="7676"/>
      <c r="EQ24" s="7676"/>
      <c r="ER24" s="7676"/>
      <c r="ES24" s="7676"/>
      <c r="ET24" s="7676"/>
      <c r="EU24" s="7676"/>
      <c r="EV24" s="7676"/>
      <c r="EW24" s="7676"/>
      <c r="EX24" s="7676"/>
      <c r="EY24" s="7676"/>
      <c r="EZ24" s="7676"/>
      <c r="FA24" s="7676"/>
      <c r="FB24" s="7676"/>
      <c r="FC24" s="7676"/>
      <c r="FD24" s="7676"/>
      <c r="FE24" s="7676"/>
      <c r="FF24" s="7676"/>
      <c r="FG24" s="7676"/>
      <c r="FH24" s="7676"/>
      <c r="FI24" s="7676"/>
      <c r="FJ24" s="7676"/>
      <c r="FK24" s="7676"/>
      <c r="FL24" s="7676"/>
      <c r="FM24" s="7676"/>
      <c r="FN24" s="7676"/>
      <c r="FO24" s="7676"/>
      <c r="FP24" s="7676"/>
      <c r="FQ24" s="7676"/>
      <c r="FR24" s="7676"/>
      <c r="FS24" s="7676"/>
      <c r="FT24" s="7676"/>
      <c r="FU24" s="7676"/>
      <c r="FV24" s="7677"/>
      <c r="FW24" s="7110"/>
      <c r="FX24" s="7359"/>
      <c r="FY24" s="7048"/>
      <c r="FZ24" s="7048"/>
      <c r="GA24" s="7048"/>
      <c r="GB24" s="7048"/>
    </row>
    <row s="7048" customFormat="1" customHeight="1" ht="24.75">
      <c r="A25" s="7048" t="s">
        <v>1179</v>
      </c>
      <c r="B25" s="7105"/>
      <c r="C25" s="7048"/>
      <c r="D25" s="7048"/>
      <c r="E25" s="7954"/>
      <c r="F25" s="7679">
        <v>1</v>
      </c>
      <c r="G25" s="7680" t="s">
        <v>1160</v>
      </c>
      <c r="H25" s="7681" t="s">
        <v>67</v>
      </c>
      <c r="I25" s="7682" t="s">
        <v>1540</v>
      </c>
      <c r="J25" s="7683"/>
      <c r="K25" s="7683"/>
      <c r="L25" s="7683"/>
      <c r="M25" s="7683"/>
      <c r="N25" s="7683"/>
      <c r="O25" s="7684">
        <v>0</v>
      </c>
      <c r="P25" s="7684">
        <v>0</v>
      </c>
      <c r="Q25" s="7684">
        <v>0</v>
      </c>
      <c r="R25" s="7684">
        <v>0</v>
      </c>
      <c r="S25" s="7684">
        <v>0.16</v>
      </c>
      <c r="T25" s="7684">
        <v>0.16</v>
      </c>
      <c r="U25" s="7684">
        <v>0.53</v>
      </c>
      <c r="V25" s="7684">
        <v>0.53</v>
      </c>
      <c r="W25" s="7684">
        <v>0</v>
      </c>
      <c r="X25" s="7684">
        <v>0</v>
      </c>
      <c r="Y25" s="7684">
        <v>400.88</v>
      </c>
      <c r="Z25" s="7684">
        <v>400.88</v>
      </c>
      <c r="AA25" s="7684">
        <v>0</v>
      </c>
      <c r="AB25" s="7684">
        <v>0</v>
      </c>
      <c r="AC25" s="7683"/>
      <c r="AD25" s="7683"/>
      <c r="AE25" s="7683"/>
      <c r="AF25" s="7683"/>
      <c r="AG25" s="7683"/>
      <c r="AH25" s="7683"/>
      <c r="AI25" s="7683"/>
      <c r="AJ25" s="7683"/>
      <c r="AK25" s="7683"/>
      <c r="AL25" s="7683"/>
      <c r="AM25" s="7683"/>
      <c r="AN25" s="7683"/>
      <c r="AO25" s="7683"/>
      <c r="AP25" s="7683"/>
      <c r="AQ25" s="7683"/>
      <c r="AR25" s="7683"/>
      <c r="AS25" s="7683"/>
      <c r="AT25" s="7683"/>
      <c r="AU25" s="7683"/>
      <c r="AV25" s="7683"/>
      <c r="AW25" s="7683"/>
      <c r="AX25" s="7683"/>
      <c r="AY25" s="7683"/>
      <c r="AZ25" s="7683"/>
      <c r="BA25" s="7683"/>
      <c r="BB25" s="7683"/>
      <c r="BC25" s="7683"/>
      <c r="BD25" s="7683"/>
      <c r="BE25" s="7683"/>
      <c r="BF25" s="7683"/>
      <c r="BG25" s="7683"/>
      <c r="BH25" s="7683"/>
      <c r="BI25" s="7683"/>
      <c r="BJ25" s="7683"/>
      <c r="BK25" s="7683"/>
      <c r="BL25" s="7683"/>
      <c r="BM25" s="7683"/>
      <c r="BN25" s="7683"/>
      <c r="BO25" s="7683"/>
      <c r="BP25" s="7683"/>
      <c r="BQ25" s="7683"/>
      <c r="BR25" s="7683"/>
      <c r="BS25" s="7683"/>
      <c r="BT25" s="7684"/>
      <c r="BU25" s="7684"/>
      <c r="BV25" s="7684"/>
      <c r="BW25" s="7684"/>
      <c r="BX25" s="7684"/>
      <c r="BY25" s="7684"/>
      <c r="BZ25" s="7684"/>
      <c r="CA25" s="7684"/>
      <c r="CB25" s="7684"/>
      <c r="CC25" s="7684"/>
      <c r="CD25" s="7684"/>
      <c r="CE25" s="7684"/>
      <c r="CF25" s="7684"/>
      <c r="CG25" s="7684"/>
      <c r="CH25" s="7684"/>
      <c r="CI25" s="7684"/>
      <c r="CJ25" s="7684"/>
      <c r="CK25" s="7684"/>
      <c r="CL25" s="7683"/>
      <c r="CM25" s="7683"/>
      <c r="CN25" s="7683"/>
      <c r="CO25" s="7683"/>
      <c r="CP25" s="7683"/>
      <c r="CQ25" s="7683"/>
      <c r="CR25" s="7683"/>
      <c r="CS25" s="7683"/>
      <c r="CT25" s="7683"/>
      <c r="CU25" s="7683"/>
      <c r="CV25" s="7683"/>
      <c r="CW25" s="7683"/>
      <c r="CX25" s="7683"/>
      <c r="CY25" s="7684"/>
      <c r="CZ25" s="7684"/>
      <c r="DA25" s="7684"/>
      <c r="DB25" s="7684"/>
      <c r="DC25" s="7684"/>
      <c r="DD25" s="7684"/>
      <c r="DE25" s="7684"/>
      <c r="DF25" s="7684"/>
      <c r="DG25" s="7684"/>
      <c r="DH25" s="7684"/>
      <c r="DI25" s="7684"/>
      <c r="DJ25" s="7684"/>
      <c r="DK25" s="7683"/>
      <c r="DL25" s="7683"/>
      <c r="DM25" s="7683"/>
      <c r="DN25" s="7683"/>
      <c r="DO25" s="7683"/>
      <c r="DP25" s="7683"/>
      <c r="DQ25" s="7683"/>
      <c r="DR25" s="7683"/>
      <c r="DS25" s="7683"/>
      <c r="DT25" s="7683"/>
      <c r="DU25" s="7683"/>
      <c r="DV25" s="7683"/>
      <c r="DW25" s="7683"/>
      <c r="DX25" s="7683"/>
      <c r="DY25" s="7683"/>
      <c r="DZ25" s="7683"/>
      <c r="EA25" s="7683"/>
      <c r="EB25" s="7683"/>
      <c r="EC25" s="7683"/>
      <c r="ED25" s="7683"/>
      <c r="EE25" s="7683"/>
      <c r="EF25" s="7683"/>
      <c r="EG25" s="7683"/>
      <c r="EH25" s="7683"/>
      <c r="EI25" s="7683"/>
      <c r="EJ25" s="7683"/>
      <c r="EK25" s="7683"/>
      <c r="EL25" s="7683"/>
      <c r="EM25" s="7683"/>
      <c r="EN25" s="7683"/>
      <c r="EO25" s="7683"/>
      <c r="EP25" s="7683"/>
      <c r="EQ25" s="7683"/>
      <c r="ER25" s="7683"/>
      <c r="ES25" s="7683"/>
      <c r="ET25" s="7683"/>
      <c r="EU25" s="7683"/>
      <c r="EV25" s="7683"/>
      <c r="EW25" s="7683"/>
      <c r="EX25" s="7683"/>
      <c r="EY25" s="7683"/>
      <c r="EZ25" s="7683"/>
      <c r="FA25" s="7683"/>
      <c r="FB25" s="7683"/>
      <c r="FC25" s="7683"/>
      <c r="FD25" s="7683"/>
      <c r="FE25" s="7683"/>
      <c r="FF25" s="7683"/>
      <c r="FG25" s="7683"/>
      <c r="FH25" s="7683"/>
      <c r="FI25" s="7683"/>
      <c r="FJ25" s="7683"/>
      <c r="FK25" s="7683"/>
      <c r="FL25" s="7683"/>
      <c r="FM25" s="7683"/>
      <c r="FN25" s="7683"/>
      <c r="FO25" s="7683"/>
      <c r="FP25" s="7683"/>
      <c r="FQ25" s="7683"/>
      <c r="FR25" s="7683"/>
      <c r="FS25" s="7683"/>
      <c r="FT25" s="7683"/>
      <c r="FU25" s="7683"/>
      <c r="FV25" s="7683"/>
      <c r="FW25" s="7683"/>
      <c r="FX25" s="7359"/>
      <c r="FY25" s="7048"/>
      <c r="FZ25" s="7048"/>
      <c r="GA25" s="7048"/>
      <c r="GB25" s="7048"/>
    </row>
    <row s="7048" customFormat="1" customHeight="1" ht="12">
      <c r="A26" s="7048" t="s">
        <v>1179</v>
      </c>
      <c r="B26" s="7105"/>
      <c r="C26" s="7048"/>
      <c r="D26" s="7048"/>
      <c r="E26" s="7048"/>
      <c r="F26" s="8518"/>
      <c r="G26" s="8519" t="s">
        <v>1541</v>
      </c>
      <c r="H26" s="8520"/>
      <c r="I26" s="8521"/>
      <c r="J26" s="8522"/>
      <c r="K26" s="8523"/>
      <c r="L26" s="8524"/>
      <c r="M26" s="8525"/>
      <c r="N26" s="8526"/>
      <c r="O26" s="8527"/>
      <c r="P26" s="8528"/>
      <c r="Q26" s="8529"/>
      <c r="R26" s="8530"/>
      <c r="S26" s="8531"/>
      <c r="T26" s="8532"/>
      <c r="U26" s="8533"/>
      <c r="V26" s="8534"/>
      <c r="W26" s="8535"/>
      <c r="X26" s="8536"/>
      <c r="Y26" s="8537"/>
      <c r="Z26" s="8538"/>
      <c r="AA26" s="8539"/>
      <c r="AB26" s="8540"/>
      <c r="AC26" s="8541"/>
      <c r="AD26" s="8542"/>
      <c r="AE26" s="8543"/>
      <c r="AF26" s="8544"/>
      <c r="AG26" s="8545"/>
      <c r="AH26" s="8546"/>
      <c r="AI26" s="8547"/>
      <c r="AJ26" s="8548"/>
      <c r="AK26" s="8549"/>
      <c r="AL26" s="8550"/>
      <c r="AM26" s="8551"/>
      <c r="AN26" s="8552"/>
      <c r="AO26" s="8553"/>
      <c r="AP26" s="8554"/>
      <c r="AQ26" s="8555"/>
      <c r="AR26" s="8556"/>
      <c r="AS26" s="8557"/>
      <c r="AT26" s="8558"/>
      <c r="AU26" s="8559"/>
      <c r="AV26" s="8560"/>
      <c r="AW26" s="8561"/>
      <c r="AX26" s="8562"/>
      <c r="AY26" s="8563"/>
      <c r="AZ26" s="8564"/>
      <c r="BA26" s="8565"/>
      <c r="BB26" s="8566"/>
      <c r="BC26" s="8567"/>
      <c r="BD26" s="8568"/>
      <c r="BE26" s="8569"/>
      <c r="BF26" s="8570"/>
      <c r="BG26" s="8571"/>
      <c r="BH26" s="8572"/>
      <c r="BI26" s="8573"/>
      <c r="BJ26" s="8574"/>
      <c r="BK26" s="8575"/>
      <c r="BL26" s="8576"/>
      <c r="BM26" s="8577"/>
      <c r="BN26" s="8578"/>
      <c r="BO26" s="8579"/>
      <c r="BP26" s="8580"/>
      <c r="BQ26" s="8581"/>
      <c r="BR26" s="8582"/>
      <c r="BS26" s="8583"/>
      <c r="BT26" s="8584"/>
      <c r="BU26" s="8585"/>
      <c r="BV26" s="8586"/>
      <c r="BW26" s="8587"/>
      <c r="BX26" s="8588"/>
      <c r="BY26" s="8589"/>
      <c r="BZ26" s="8590"/>
      <c r="CA26" s="8591"/>
      <c r="CB26" s="8592"/>
      <c r="CC26" s="8593"/>
      <c r="CD26" s="8594"/>
      <c r="CE26" s="8595"/>
      <c r="CF26" s="8596"/>
      <c r="CG26" s="8597"/>
      <c r="CH26" s="8598"/>
      <c r="CI26" s="8599"/>
      <c r="CJ26" s="8600"/>
      <c r="CK26" s="8601"/>
      <c r="CL26" s="8602"/>
      <c r="CM26" s="8603"/>
      <c r="CN26" s="8604"/>
      <c r="CO26" s="8605"/>
      <c r="CP26" s="8606"/>
      <c r="CQ26" s="8607"/>
      <c r="CR26" s="8608"/>
      <c r="CS26" s="8609"/>
      <c r="CT26" s="8610"/>
      <c r="CU26" s="8611"/>
      <c r="CV26" s="8612"/>
      <c r="CW26" s="8613"/>
      <c r="CX26" s="8614"/>
      <c r="CY26" s="8615"/>
      <c r="CZ26" s="8616"/>
      <c r="DA26" s="8617"/>
      <c r="DB26" s="8618"/>
      <c r="DC26" s="8619"/>
      <c r="DD26" s="8620"/>
      <c r="DE26" s="8621"/>
      <c r="DF26" s="8622"/>
      <c r="DG26" s="8623"/>
      <c r="DH26" s="8624"/>
      <c r="DI26" s="8625"/>
      <c r="DJ26" s="8626"/>
      <c r="DK26" s="8627"/>
      <c r="DL26" s="8628"/>
      <c r="DM26" s="8629"/>
      <c r="DN26" s="8630"/>
      <c r="DO26" s="8631"/>
      <c r="DP26" s="8632"/>
      <c r="DQ26" s="8633"/>
      <c r="DR26" s="8634"/>
      <c r="DS26" s="8635"/>
      <c r="DT26" s="8636"/>
      <c r="DU26" s="8637"/>
      <c r="DV26" s="8638"/>
      <c r="DW26" s="8639"/>
      <c r="DX26" s="8640"/>
      <c r="DY26" s="8641"/>
      <c r="DZ26" s="8642"/>
      <c r="EA26" s="8643"/>
      <c r="EB26" s="8644"/>
      <c r="EC26" s="8645"/>
      <c r="ED26" s="8646"/>
      <c r="EE26" s="8647"/>
      <c r="EF26" s="8648"/>
      <c r="EG26" s="8649"/>
      <c r="EH26" s="8650"/>
      <c r="EI26" s="8651"/>
      <c r="EJ26" s="8652"/>
      <c r="EK26" s="8653"/>
      <c r="EL26" s="8654"/>
      <c r="EM26" s="8655"/>
      <c r="EN26" s="8656"/>
      <c r="EO26" s="8657"/>
      <c r="EP26" s="8658"/>
      <c r="EQ26" s="8659"/>
      <c r="ER26" s="8660"/>
      <c r="ES26" s="8661"/>
      <c r="ET26" s="8662"/>
      <c r="EU26" s="8663"/>
      <c r="EV26" s="8664"/>
      <c r="EW26" s="8665"/>
      <c r="EX26" s="8666"/>
      <c r="EY26" s="8667"/>
      <c r="EZ26" s="8668"/>
      <c r="FA26" s="8669"/>
      <c r="FB26" s="8670"/>
      <c r="FC26" s="8671"/>
      <c r="FD26" s="8672"/>
      <c r="FE26" s="8673"/>
      <c r="FF26" s="8674"/>
      <c r="FG26" s="8675"/>
      <c r="FH26" s="8676"/>
      <c r="FI26" s="8677"/>
      <c r="FJ26" s="8678"/>
      <c r="FK26" s="8679"/>
      <c r="FL26" s="8680"/>
      <c r="FM26" s="8681"/>
      <c r="FN26" s="8682"/>
      <c r="FO26" s="8683"/>
      <c r="FP26" s="8684"/>
      <c r="FQ26" s="8685"/>
      <c r="FR26" s="8686"/>
      <c r="FS26" s="8687"/>
      <c r="FT26" s="8688"/>
      <c r="FU26" s="8689"/>
      <c r="FV26" s="8690"/>
      <c r="FW26" s="8691"/>
      <c r="FX26" s="7689"/>
      <c r="FY26" s="7501"/>
      <c r="FZ26" s="7501"/>
      <c r="GA26" s="7501"/>
      <c r="GB26" s="7501"/>
    </row>
    <row s="7048" customFormat="1" customHeight="1" ht="21">
      <c r="A27" s="6959" t="s">
        <v>1186</v>
      </c>
      <c r="B27" s="7105"/>
      <c r="C27" s="7048"/>
      <c r="D27" s="7048"/>
      <c r="E27" s="7099" t="s">
        <v>22</v>
      </c>
      <c r="F27" s="7672" t="str">
        <f>INDEX(IP_MAIN_LIST_NAME_IP,MATCH(A27,IP_MAIN_LIST_IP_ID,0))&amp;" ("&amp;INDEX(IP_MAIN_START_DATE,MATCH(A27,IP_MAIN_LIST_IP_ID,0))&amp;"-"&amp;INDEX(IP_MAIN_END_DATE,MATCH(A27,IP_MAIN_LIST_IP_ID,0))&amp;")"</f>
        <v>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 (01.01.2024-31.12.2028)</v>
      </c>
      <c r="G27" s="7673"/>
      <c r="H27" s="7674"/>
      <c r="I27" s="7674"/>
      <c r="J27" s="7674"/>
      <c r="K27" s="7674"/>
      <c r="L27" s="7674"/>
      <c r="M27" s="7674"/>
      <c r="N27" s="7674"/>
      <c r="O27" s="7673"/>
      <c r="P27" s="7673"/>
      <c r="Q27" s="7673"/>
      <c r="R27" s="7673"/>
      <c r="S27" s="7673"/>
      <c r="T27" s="7673"/>
      <c r="U27" s="7675"/>
      <c r="V27" s="7675"/>
      <c r="W27" s="7675"/>
      <c r="X27" s="7675"/>
      <c r="Y27" s="7675"/>
      <c r="Z27" s="7675"/>
      <c r="AA27" s="7675"/>
      <c r="AB27" s="7673"/>
      <c r="AC27" s="7674"/>
      <c r="AD27" s="7674"/>
      <c r="AE27" s="7674"/>
      <c r="AF27" s="7674"/>
      <c r="AG27" s="7674"/>
      <c r="AH27" s="7674"/>
      <c r="AI27" s="7674"/>
      <c r="AJ27" s="7674"/>
      <c r="AK27" s="7674"/>
      <c r="AL27" s="7674"/>
      <c r="AM27" s="7674"/>
      <c r="AN27" s="7674"/>
      <c r="AO27" s="7674"/>
      <c r="AP27" s="7674"/>
      <c r="AQ27" s="7674"/>
      <c r="AR27" s="7674"/>
      <c r="AS27" s="7674"/>
      <c r="AT27" s="7674"/>
      <c r="AU27" s="7674"/>
      <c r="AV27" s="7674"/>
      <c r="AW27" s="7674"/>
      <c r="AX27" s="7674"/>
      <c r="AY27" s="7674"/>
      <c r="AZ27" s="7674"/>
      <c r="BA27" s="7674"/>
      <c r="BB27" s="7674"/>
      <c r="BC27" s="7674"/>
      <c r="BD27" s="7674"/>
      <c r="BE27" s="7674"/>
      <c r="BF27" s="7674"/>
      <c r="BG27" s="7674"/>
      <c r="BH27" s="7674"/>
      <c r="BI27" s="7674"/>
      <c r="BJ27" s="7674"/>
      <c r="BK27" s="7674"/>
      <c r="BL27" s="7674"/>
      <c r="BM27" s="7674"/>
      <c r="BN27" s="7674"/>
      <c r="BO27" s="7674"/>
      <c r="BP27" s="7674"/>
      <c r="BQ27" s="7674"/>
      <c r="BR27" s="7674"/>
      <c r="BS27" s="7674"/>
      <c r="BT27" s="7674"/>
      <c r="BU27" s="7674"/>
      <c r="BV27" s="7674"/>
      <c r="BW27" s="7674"/>
      <c r="BX27" s="7674"/>
      <c r="BY27" s="7674"/>
      <c r="BZ27" s="7674"/>
      <c r="CA27" s="7674"/>
      <c r="CB27" s="7674"/>
      <c r="CC27" s="7674"/>
      <c r="CD27" s="7674"/>
      <c r="CE27" s="7674"/>
      <c r="CF27" s="7674"/>
      <c r="CG27" s="7674"/>
      <c r="CH27" s="7674"/>
      <c r="CI27" s="7674"/>
      <c r="CJ27" s="7674"/>
      <c r="CK27" s="7674"/>
      <c r="CL27" s="7676"/>
      <c r="CM27" s="7676"/>
      <c r="CN27" s="7676"/>
      <c r="CO27" s="7676"/>
      <c r="CP27" s="7676"/>
      <c r="CQ27" s="7676"/>
      <c r="CR27" s="7676"/>
      <c r="CS27" s="7676"/>
      <c r="CT27" s="7676"/>
      <c r="CU27" s="7676"/>
      <c r="CV27" s="7676"/>
      <c r="CW27" s="7676"/>
      <c r="CX27" s="7676"/>
      <c r="CY27" s="7676"/>
      <c r="CZ27" s="7676"/>
      <c r="DA27" s="7676"/>
      <c r="DB27" s="7676"/>
      <c r="DC27" s="7676"/>
      <c r="DD27" s="7676"/>
      <c r="DE27" s="7676"/>
      <c r="DF27" s="7676"/>
      <c r="DG27" s="7676"/>
      <c r="DH27" s="7676"/>
      <c r="DI27" s="7676"/>
      <c r="DJ27" s="7676"/>
      <c r="DK27" s="7676"/>
      <c r="DL27" s="7676"/>
      <c r="DM27" s="7676"/>
      <c r="DN27" s="7676"/>
      <c r="DO27" s="7676"/>
      <c r="DP27" s="7676"/>
      <c r="DQ27" s="7676"/>
      <c r="DR27" s="7676"/>
      <c r="DS27" s="7676"/>
      <c r="DT27" s="7676"/>
      <c r="DU27" s="7676"/>
      <c r="DV27" s="7676"/>
      <c r="DW27" s="7676"/>
      <c r="DX27" s="7676"/>
      <c r="DY27" s="7676"/>
      <c r="DZ27" s="7676"/>
      <c r="EA27" s="7676"/>
      <c r="EB27" s="7676"/>
      <c r="EC27" s="7676"/>
      <c r="ED27" s="7676"/>
      <c r="EE27" s="7676"/>
      <c r="EF27" s="7676"/>
      <c r="EG27" s="7676"/>
      <c r="EH27" s="7676"/>
      <c r="EI27" s="7676"/>
      <c r="EJ27" s="7676"/>
      <c r="EK27" s="7676"/>
      <c r="EL27" s="7676"/>
      <c r="EM27" s="7676"/>
      <c r="EN27" s="7676"/>
      <c r="EO27" s="7676"/>
      <c r="EP27" s="7676"/>
      <c r="EQ27" s="7676"/>
      <c r="ER27" s="7676"/>
      <c r="ES27" s="7676"/>
      <c r="ET27" s="7676"/>
      <c r="EU27" s="7676"/>
      <c r="EV27" s="7676"/>
      <c r="EW27" s="7676"/>
      <c r="EX27" s="7676"/>
      <c r="EY27" s="7676"/>
      <c r="EZ27" s="7676"/>
      <c r="FA27" s="7676"/>
      <c r="FB27" s="7676"/>
      <c r="FC27" s="7676"/>
      <c r="FD27" s="7676"/>
      <c r="FE27" s="7676"/>
      <c r="FF27" s="7676"/>
      <c r="FG27" s="7676"/>
      <c r="FH27" s="7676"/>
      <c r="FI27" s="7676"/>
      <c r="FJ27" s="7676"/>
      <c r="FK27" s="7676"/>
      <c r="FL27" s="7676"/>
      <c r="FM27" s="7676"/>
      <c r="FN27" s="7676"/>
      <c r="FO27" s="7676"/>
      <c r="FP27" s="7676"/>
      <c r="FQ27" s="7676"/>
      <c r="FR27" s="7676"/>
      <c r="FS27" s="7676"/>
      <c r="FT27" s="7676"/>
      <c r="FU27" s="7676"/>
      <c r="FV27" s="7677"/>
      <c r="FW27" s="7110"/>
      <c r="FX27" s="7359"/>
      <c r="FY27" s="7048"/>
      <c r="FZ27" s="7048"/>
      <c r="GA27" s="7048"/>
      <c r="GB27" s="7048"/>
    </row>
    <row s="7048" customFormat="1" customHeight="1" ht="24.75">
      <c r="A28" s="7048" t="s">
        <v>1186</v>
      </c>
      <c r="B28" s="7105"/>
      <c r="C28" s="7048"/>
      <c r="D28" s="7048"/>
      <c r="E28" s="7954"/>
      <c r="F28" s="7679">
        <v>1</v>
      </c>
      <c r="G28" s="7680" t="s">
        <v>1160</v>
      </c>
      <c r="H28" s="7681" t="s">
        <v>67</v>
      </c>
      <c r="I28" s="7682" t="s">
        <v>1540</v>
      </c>
      <c r="J28" s="7683"/>
      <c r="K28" s="7683"/>
      <c r="L28" s="7683"/>
      <c r="M28" s="7683"/>
      <c r="N28" s="7683"/>
      <c r="O28" s="7684">
        <v>0</v>
      </c>
      <c r="P28" s="7684">
        <v>0</v>
      </c>
      <c r="Q28" s="7684">
        <v>0</v>
      </c>
      <c r="R28" s="7684">
        <v>0</v>
      </c>
      <c r="S28" s="7684">
        <v>0.15</v>
      </c>
      <c r="T28" s="7684">
        <v>0.15</v>
      </c>
      <c r="U28" s="7684">
        <v>0.94</v>
      </c>
      <c r="V28" s="7684">
        <v>0.94</v>
      </c>
      <c r="W28" s="7684">
        <v>0</v>
      </c>
      <c r="X28" s="7684">
        <v>0</v>
      </c>
      <c r="Y28" s="7684">
        <v>653.86</v>
      </c>
      <c r="Z28" s="7684">
        <v>653.86</v>
      </c>
      <c r="AA28" s="7684">
        <v>0</v>
      </c>
      <c r="AB28" s="7684">
        <v>0</v>
      </c>
      <c r="AC28" s="7683"/>
      <c r="AD28" s="7683"/>
      <c r="AE28" s="7683"/>
      <c r="AF28" s="7683"/>
      <c r="AG28" s="7683"/>
      <c r="AH28" s="7683"/>
      <c r="AI28" s="7683"/>
      <c r="AJ28" s="7683"/>
      <c r="AK28" s="7683"/>
      <c r="AL28" s="7683"/>
      <c r="AM28" s="7683"/>
      <c r="AN28" s="7683"/>
      <c r="AO28" s="7683"/>
      <c r="AP28" s="7683"/>
      <c r="AQ28" s="7683"/>
      <c r="AR28" s="7683"/>
      <c r="AS28" s="7683"/>
      <c r="AT28" s="7683"/>
      <c r="AU28" s="7683"/>
      <c r="AV28" s="7683"/>
      <c r="AW28" s="7683"/>
      <c r="AX28" s="7683"/>
      <c r="AY28" s="7683"/>
      <c r="AZ28" s="7683"/>
      <c r="BA28" s="7683"/>
      <c r="BB28" s="7683"/>
      <c r="BC28" s="7683"/>
      <c r="BD28" s="7683"/>
      <c r="BE28" s="7683"/>
      <c r="BF28" s="7683"/>
      <c r="BG28" s="7683"/>
      <c r="BH28" s="7683"/>
      <c r="BI28" s="7683"/>
      <c r="BJ28" s="7683"/>
      <c r="BK28" s="7683"/>
      <c r="BL28" s="7683"/>
      <c r="BM28" s="7683"/>
      <c r="BN28" s="7683"/>
      <c r="BO28" s="7683"/>
      <c r="BP28" s="7683"/>
      <c r="BQ28" s="7683"/>
      <c r="BR28" s="7683"/>
      <c r="BS28" s="7683"/>
      <c r="BT28" s="7684"/>
      <c r="BU28" s="7684"/>
      <c r="BV28" s="7684"/>
      <c r="BW28" s="7684"/>
      <c r="BX28" s="7684"/>
      <c r="BY28" s="7684"/>
      <c r="BZ28" s="7684"/>
      <c r="CA28" s="7684"/>
      <c r="CB28" s="7684"/>
      <c r="CC28" s="7684"/>
      <c r="CD28" s="7684"/>
      <c r="CE28" s="7684"/>
      <c r="CF28" s="7684"/>
      <c r="CG28" s="7684"/>
      <c r="CH28" s="7684"/>
      <c r="CI28" s="7684"/>
      <c r="CJ28" s="7684"/>
      <c r="CK28" s="7684"/>
      <c r="CL28" s="7683"/>
      <c r="CM28" s="7683"/>
      <c r="CN28" s="7683"/>
      <c r="CO28" s="7683"/>
      <c r="CP28" s="7683"/>
      <c r="CQ28" s="7683"/>
      <c r="CR28" s="7683"/>
      <c r="CS28" s="7683"/>
      <c r="CT28" s="7683"/>
      <c r="CU28" s="7683"/>
      <c r="CV28" s="7683"/>
      <c r="CW28" s="7683"/>
      <c r="CX28" s="7683"/>
      <c r="CY28" s="7684"/>
      <c r="CZ28" s="7684"/>
      <c r="DA28" s="7684"/>
      <c r="DB28" s="7684"/>
      <c r="DC28" s="7684"/>
      <c r="DD28" s="7684"/>
      <c r="DE28" s="7684"/>
      <c r="DF28" s="7684"/>
      <c r="DG28" s="7684"/>
      <c r="DH28" s="7684"/>
      <c r="DI28" s="7684"/>
      <c r="DJ28" s="7684"/>
      <c r="DK28" s="7683"/>
      <c r="DL28" s="7683"/>
      <c r="DM28" s="7683"/>
      <c r="DN28" s="7683"/>
      <c r="DO28" s="7683"/>
      <c r="DP28" s="7683"/>
      <c r="DQ28" s="7683"/>
      <c r="DR28" s="7683"/>
      <c r="DS28" s="7683"/>
      <c r="DT28" s="7683"/>
      <c r="DU28" s="7683"/>
      <c r="DV28" s="7683"/>
      <c r="DW28" s="7683"/>
      <c r="DX28" s="7683"/>
      <c r="DY28" s="7683"/>
      <c r="DZ28" s="7683"/>
      <c r="EA28" s="7683"/>
      <c r="EB28" s="7683"/>
      <c r="EC28" s="7683"/>
      <c r="ED28" s="7683"/>
      <c r="EE28" s="7683"/>
      <c r="EF28" s="7683"/>
      <c r="EG28" s="7683"/>
      <c r="EH28" s="7683"/>
      <c r="EI28" s="7683"/>
      <c r="EJ28" s="7683"/>
      <c r="EK28" s="7683"/>
      <c r="EL28" s="7683"/>
      <c r="EM28" s="7683"/>
      <c r="EN28" s="7683"/>
      <c r="EO28" s="7683"/>
      <c r="EP28" s="7683"/>
      <c r="EQ28" s="7683"/>
      <c r="ER28" s="7683"/>
      <c r="ES28" s="7683"/>
      <c r="ET28" s="7683"/>
      <c r="EU28" s="7683"/>
      <c r="EV28" s="7683"/>
      <c r="EW28" s="7683"/>
      <c r="EX28" s="7683"/>
      <c r="EY28" s="7683"/>
      <c r="EZ28" s="7683"/>
      <c r="FA28" s="7683"/>
      <c r="FB28" s="7683"/>
      <c r="FC28" s="7683"/>
      <c r="FD28" s="7683"/>
      <c r="FE28" s="7683"/>
      <c r="FF28" s="7683"/>
      <c r="FG28" s="7683"/>
      <c r="FH28" s="7683"/>
      <c r="FI28" s="7683"/>
      <c r="FJ28" s="7683"/>
      <c r="FK28" s="7683"/>
      <c r="FL28" s="7683"/>
      <c r="FM28" s="7683"/>
      <c r="FN28" s="7683"/>
      <c r="FO28" s="7683"/>
      <c r="FP28" s="7683"/>
      <c r="FQ28" s="7683"/>
      <c r="FR28" s="7683"/>
      <c r="FS28" s="7683"/>
      <c r="FT28" s="7683"/>
      <c r="FU28" s="7683"/>
      <c r="FV28" s="7683"/>
      <c r="FW28" s="7683"/>
      <c r="FX28" s="7359"/>
      <c r="FY28" s="7048"/>
      <c r="FZ28" s="7048"/>
      <c r="GA28" s="7048"/>
      <c r="GB28" s="7048"/>
    </row>
    <row s="7048" customFormat="1" customHeight="1" ht="12">
      <c r="A29" s="7048" t="s">
        <v>1186</v>
      </c>
      <c r="B29" s="7105"/>
      <c r="C29" s="7048"/>
      <c r="D29" s="7048"/>
      <c r="E29" s="7048"/>
      <c r="F29" s="8692"/>
      <c r="G29" s="8693" t="s">
        <v>1541</v>
      </c>
      <c r="H29" s="8694"/>
      <c r="I29" s="8695"/>
      <c r="J29" s="8696"/>
      <c r="K29" s="8697"/>
      <c r="L29" s="8698"/>
      <c r="M29" s="8699"/>
      <c r="N29" s="8700"/>
      <c r="O29" s="8701"/>
      <c r="P29" s="8702"/>
      <c r="Q29" s="8703"/>
      <c r="R29" s="8704"/>
      <c r="S29" s="8705"/>
      <c r="T29" s="8706"/>
      <c r="U29" s="8707"/>
      <c r="V29" s="8708"/>
      <c r="W29" s="8709"/>
      <c r="X29" s="8710"/>
      <c r="Y29" s="8711"/>
      <c r="Z29" s="8712"/>
      <c r="AA29" s="8713"/>
      <c r="AB29" s="8714"/>
      <c r="AC29" s="8715"/>
      <c r="AD29" s="8716"/>
      <c r="AE29" s="8717"/>
      <c r="AF29" s="8718"/>
      <c r="AG29" s="8719"/>
      <c r="AH29" s="8720"/>
      <c r="AI29" s="8721"/>
      <c r="AJ29" s="8722"/>
      <c r="AK29" s="8723"/>
      <c r="AL29" s="8724"/>
      <c r="AM29" s="8725"/>
      <c r="AN29" s="8726"/>
      <c r="AO29" s="8727"/>
      <c r="AP29" s="8728"/>
      <c r="AQ29" s="8729"/>
      <c r="AR29" s="8730"/>
      <c r="AS29" s="8731"/>
      <c r="AT29" s="8732"/>
      <c r="AU29" s="8733"/>
      <c r="AV29" s="8734"/>
      <c r="AW29" s="8735"/>
      <c r="AX29" s="8736"/>
      <c r="AY29" s="8737"/>
      <c r="AZ29" s="8738"/>
      <c r="BA29" s="8739"/>
      <c r="BB29" s="8740"/>
      <c r="BC29" s="8741"/>
      <c r="BD29" s="8742"/>
      <c r="BE29" s="8743"/>
      <c r="BF29" s="8744"/>
      <c r="BG29" s="8745"/>
      <c r="BH29" s="8746"/>
      <c r="BI29" s="8747"/>
      <c r="BJ29" s="8748"/>
      <c r="BK29" s="8749"/>
      <c r="BL29" s="8750"/>
      <c r="BM29" s="8751"/>
      <c r="BN29" s="8752"/>
      <c r="BO29" s="8753"/>
      <c r="BP29" s="8754"/>
      <c r="BQ29" s="8755"/>
      <c r="BR29" s="8756"/>
      <c r="BS29" s="8757"/>
      <c r="BT29" s="8758"/>
      <c r="BU29" s="8759"/>
      <c r="BV29" s="8760"/>
      <c r="BW29" s="8761"/>
      <c r="BX29" s="8762"/>
      <c r="BY29" s="8763"/>
      <c r="BZ29" s="8764"/>
      <c r="CA29" s="8765"/>
      <c r="CB29" s="8766"/>
      <c r="CC29" s="8767"/>
      <c r="CD29" s="8768"/>
      <c r="CE29" s="8769"/>
      <c r="CF29" s="8770"/>
      <c r="CG29" s="8771"/>
      <c r="CH29" s="8772"/>
      <c r="CI29" s="8773"/>
      <c r="CJ29" s="8774"/>
      <c r="CK29" s="8775"/>
      <c r="CL29" s="8776"/>
      <c r="CM29" s="8777"/>
      <c r="CN29" s="8778"/>
      <c r="CO29" s="8779"/>
      <c r="CP29" s="8780"/>
      <c r="CQ29" s="8781"/>
      <c r="CR29" s="8782"/>
      <c r="CS29" s="8783"/>
      <c r="CT29" s="8784"/>
      <c r="CU29" s="8785"/>
      <c r="CV29" s="8786"/>
      <c r="CW29" s="8787"/>
      <c r="CX29" s="8788"/>
      <c r="CY29" s="8789"/>
      <c r="CZ29" s="8790"/>
      <c r="DA29" s="8791"/>
      <c r="DB29" s="8792"/>
      <c r="DC29" s="8793"/>
      <c r="DD29" s="8794"/>
      <c r="DE29" s="8795"/>
      <c r="DF29" s="8796"/>
      <c r="DG29" s="8797"/>
      <c r="DH29" s="8798"/>
      <c r="DI29" s="8799"/>
      <c r="DJ29" s="8800"/>
      <c r="DK29" s="8801"/>
      <c r="DL29" s="8802"/>
      <c r="DM29" s="8803"/>
      <c r="DN29" s="8804"/>
      <c r="DO29" s="8805"/>
      <c r="DP29" s="8806"/>
      <c r="DQ29" s="8807"/>
      <c r="DR29" s="8808"/>
      <c r="DS29" s="8809"/>
      <c r="DT29" s="8810"/>
      <c r="DU29" s="8811"/>
      <c r="DV29" s="8812"/>
      <c r="DW29" s="8813"/>
      <c r="DX29" s="8814"/>
      <c r="DY29" s="8815"/>
      <c r="DZ29" s="8816"/>
      <c r="EA29" s="8817"/>
      <c r="EB29" s="8818"/>
      <c r="EC29" s="8819"/>
      <c r="ED29" s="8820"/>
      <c r="EE29" s="8821"/>
      <c r="EF29" s="8822"/>
      <c r="EG29" s="8823"/>
      <c r="EH29" s="8824"/>
      <c r="EI29" s="8825"/>
      <c r="EJ29" s="8826"/>
      <c r="EK29" s="8827"/>
      <c r="EL29" s="8828"/>
      <c r="EM29" s="8829"/>
      <c r="EN29" s="8830"/>
      <c r="EO29" s="8831"/>
      <c r="EP29" s="8832"/>
      <c r="EQ29" s="8833"/>
      <c r="ER29" s="8834"/>
      <c r="ES29" s="8835"/>
      <c r="ET29" s="8836"/>
      <c r="EU29" s="8837"/>
      <c r="EV29" s="8838"/>
      <c r="EW29" s="8839"/>
      <c r="EX29" s="8840"/>
      <c r="EY29" s="8841"/>
      <c r="EZ29" s="8842"/>
      <c r="FA29" s="8843"/>
      <c r="FB29" s="8844"/>
      <c r="FC29" s="8845"/>
      <c r="FD29" s="8846"/>
      <c r="FE29" s="8847"/>
      <c r="FF29" s="8848"/>
      <c r="FG29" s="8849"/>
      <c r="FH29" s="8850"/>
      <c r="FI29" s="8851"/>
      <c r="FJ29" s="8852"/>
      <c r="FK29" s="8853"/>
      <c r="FL29" s="8854"/>
      <c r="FM29" s="8855"/>
      <c r="FN29" s="8856"/>
      <c r="FO29" s="8857"/>
      <c r="FP29" s="8858"/>
      <c r="FQ29" s="8859"/>
      <c r="FR29" s="8860"/>
      <c r="FS29" s="8861"/>
      <c r="FT29" s="8862"/>
      <c r="FU29" s="8863"/>
      <c r="FV29" s="8864"/>
      <c r="FW29" s="8865"/>
      <c r="FX29" s="7689"/>
      <c r="FY29" s="7501"/>
      <c r="FZ29" s="7501"/>
      <c r="GA29" s="7501"/>
      <c r="GB29" s="7501"/>
    </row>
    <row s="7048" customFormat="1" customHeight="1" ht="21">
      <c r="A30" s="6959" t="s">
        <v>1192</v>
      </c>
      <c r="B30" s="7105"/>
      <c r="C30" s="7048"/>
      <c r="D30" s="7048"/>
      <c r="E30" s="7099" t="s">
        <v>22</v>
      </c>
      <c r="F30" s="7672" t="str">
        <f>INDEX(IP_MAIN_LIST_NAME_IP,MATCH(A30,IP_MAIN_LIST_IP_ID,0))&amp;" ("&amp;INDEX(IP_MAIN_START_DATE,MATCH(A30,IP_MAIN_LIST_IP_ID,0))&amp;"-"&amp;INDEX(IP_MAIN_END_DATE,MATCH(A30,IP_MAIN_LIST_IP_ID,0))&amp;")"</f>
        <v>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 (01.01.2024-31.12.2028)</v>
      </c>
      <c r="G30" s="7673"/>
      <c r="H30" s="7674"/>
      <c r="I30" s="7674"/>
      <c r="J30" s="7674"/>
      <c r="K30" s="7674"/>
      <c r="L30" s="7674"/>
      <c r="M30" s="7674"/>
      <c r="N30" s="7674"/>
      <c r="O30" s="7673"/>
      <c r="P30" s="7673"/>
      <c r="Q30" s="7673"/>
      <c r="R30" s="7673"/>
      <c r="S30" s="7673"/>
      <c r="T30" s="7673"/>
      <c r="U30" s="7675"/>
      <c r="V30" s="7675"/>
      <c r="W30" s="7675"/>
      <c r="X30" s="7675"/>
      <c r="Y30" s="7675"/>
      <c r="Z30" s="7675"/>
      <c r="AA30" s="7675"/>
      <c r="AB30" s="7673"/>
      <c r="AC30" s="7674"/>
      <c r="AD30" s="7674"/>
      <c r="AE30" s="7674"/>
      <c r="AF30" s="7674"/>
      <c r="AG30" s="7674"/>
      <c r="AH30" s="7674"/>
      <c r="AI30" s="7674"/>
      <c r="AJ30" s="7674"/>
      <c r="AK30" s="7674"/>
      <c r="AL30" s="7674"/>
      <c r="AM30" s="7674"/>
      <c r="AN30" s="7674"/>
      <c r="AO30" s="7674"/>
      <c r="AP30" s="7674"/>
      <c r="AQ30" s="7674"/>
      <c r="AR30" s="7674"/>
      <c r="AS30" s="7674"/>
      <c r="AT30" s="7674"/>
      <c r="AU30" s="7674"/>
      <c r="AV30" s="7674"/>
      <c r="AW30" s="7674"/>
      <c r="AX30" s="7674"/>
      <c r="AY30" s="7674"/>
      <c r="AZ30" s="7674"/>
      <c r="BA30" s="7674"/>
      <c r="BB30" s="7674"/>
      <c r="BC30" s="7674"/>
      <c r="BD30" s="7674"/>
      <c r="BE30" s="7674"/>
      <c r="BF30" s="7674"/>
      <c r="BG30" s="7674"/>
      <c r="BH30" s="7674"/>
      <c r="BI30" s="7674"/>
      <c r="BJ30" s="7674"/>
      <c r="BK30" s="7674"/>
      <c r="BL30" s="7674"/>
      <c r="BM30" s="7674"/>
      <c r="BN30" s="7674"/>
      <c r="BO30" s="7674"/>
      <c r="BP30" s="7674"/>
      <c r="BQ30" s="7674"/>
      <c r="BR30" s="7674"/>
      <c r="BS30" s="7674"/>
      <c r="BT30" s="7674"/>
      <c r="BU30" s="7674"/>
      <c r="BV30" s="7674"/>
      <c r="BW30" s="7674"/>
      <c r="BX30" s="7674"/>
      <c r="BY30" s="7674"/>
      <c r="BZ30" s="7674"/>
      <c r="CA30" s="7674"/>
      <c r="CB30" s="7674"/>
      <c r="CC30" s="7674"/>
      <c r="CD30" s="7674"/>
      <c r="CE30" s="7674"/>
      <c r="CF30" s="7674"/>
      <c r="CG30" s="7674"/>
      <c r="CH30" s="7674"/>
      <c r="CI30" s="7674"/>
      <c r="CJ30" s="7674"/>
      <c r="CK30" s="7674"/>
      <c r="CL30" s="7676"/>
      <c r="CM30" s="7676"/>
      <c r="CN30" s="7676"/>
      <c r="CO30" s="7676"/>
      <c r="CP30" s="7676"/>
      <c r="CQ30" s="7676"/>
      <c r="CR30" s="7676"/>
      <c r="CS30" s="7676"/>
      <c r="CT30" s="7676"/>
      <c r="CU30" s="7676"/>
      <c r="CV30" s="7676"/>
      <c r="CW30" s="7676"/>
      <c r="CX30" s="7676"/>
      <c r="CY30" s="7676"/>
      <c r="CZ30" s="7676"/>
      <c r="DA30" s="7676"/>
      <c r="DB30" s="7676"/>
      <c r="DC30" s="7676"/>
      <c r="DD30" s="7676"/>
      <c r="DE30" s="7676"/>
      <c r="DF30" s="7676"/>
      <c r="DG30" s="7676"/>
      <c r="DH30" s="7676"/>
      <c r="DI30" s="7676"/>
      <c r="DJ30" s="7676"/>
      <c r="DK30" s="7676"/>
      <c r="DL30" s="7676"/>
      <c r="DM30" s="7676"/>
      <c r="DN30" s="7676"/>
      <c r="DO30" s="7676"/>
      <c r="DP30" s="7676"/>
      <c r="DQ30" s="7676"/>
      <c r="DR30" s="7676"/>
      <c r="DS30" s="7676"/>
      <c r="DT30" s="7676"/>
      <c r="DU30" s="7676"/>
      <c r="DV30" s="7676"/>
      <c r="DW30" s="7676"/>
      <c r="DX30" s="7676"/>
      <c r="DY30" s="7676"/>
      <c r="DZ30" s="7676"/>
      <c r="EA30" s="7676"/>
      <c r="EB30" s="7676"/>
      <c r="EC30" s="7676"/>
      <c r="ED30" s="7676"/>
      <c r="EE30" s="7676"/>
      <c r="EF30" s="7676"/>
      <c r="EG30" s="7676"/>
      <c r="EH30" s="7676"/>
      <c r="EI30" s="7676"/>
      <c r="EJ30" s="7676"/>
      <c r="EK30" s="7676"/>
      <c r="EL30" s="7676"/>
      <c r="EM30" s="7676"/>
      <c r="EN30" s="7676"/>
      <c r="EO30" s="7676"/>
      <c r="EP30" s="7676"/>
      <c r="EQ30" s="7676"/>
      <c r="ER30" s="7676"/>
      <c r="ES30" s="7676"/>
      <c r="ET30" s="7676"/>
      <c r="EU30" s="7676"/>
      <c r="EV30" s="7676"/>
      <c r="EW30" s="7676"/>
      <c r="EX30" s="7676"/>
      <c r="EY30" s="7676"/>
      <c r="EZ30" s="7676"/>
      <c r="FA30" s="7676"/>
      <c r="FB30" s="7676"/>
      <c r="FC30" s="7676"/>
      <c r="FD30" s="7676"/>
      <c r="FE30" s="7676"/>
      <c r="FF30" s="7676"/>
      <c r="FG30" s="7676"/>
      <c r="FH30" s="7676"/>
      <c r="FI30" s="7676"/>
      <c r="FJ30" s="7676"/>
      <c r="FK30" s="7676"/>
      <c r="FL30" s="7676"/>
      <c r="FM30" s="7676"/>
      <c r="FN30" s="7676"/>
      <c r="FO30" s="7676"/>
      <c r="FP30" s="7676"/>
      <c r="FQ30" s="7676"/>
      <c r="FR30" s="7676"/>
      <c r="FS30" s="7676"/>
      <c r="FT30" s="7676"/>
      <c r="FU30" s="7676"/>
      <c r="FV30" s="7677"/>
      <c r="FW30" s="7110"/>
      <c r="FX30" s="7359"/>
      <c r="FY30" s="7048"/>
      <c r="FZ30" s="7048"/>
      <c r="GA30" s="7048"/>
      <c r="GB30" s="7048"/>
    </row>
    <row s="7048" customFormat="1" customHeight="1" ht="24.75">
      <c r="A31" s="7048" t="s">
        <v>1192</v>
      </c>
      <c r="B31" s="7105"/>
      <c r="C31" s="7048"/>
      <c r="D31" s="7048"/>
      <c r="E31" s="7954"/>
      <c r="F31" s="7679">
        <v>1</v>
      </c>
      <c r="G31" s="7680" t="s">
        <v>1160</v>
      </c>
      <c r="H31" s="7681" t="s">
        <v>67</v>
      </c>
      <c r="I31" s="7682" t="s">
        <v>1540</v>
      </c>
      <c r="J31" s="7683"/>
      <c r="K31" s="7683"/>
      <c r="L31" s="7683"/>
      <c r="M31" s="7683"/>
      <c r="N31" s="7683"/>
      <c r="O31" s="7684">
        <v>0</v>
      </c>
      <c r="P31" s="7684">
        <v>0</v>
      </c>
      <c r="Q31" s="7684">
        <v>0</v>
      </c>
      <c r="R31" s="7684">
        <v>0</v>
      </c>
      <c r="S31" s="7684">
        <v>0.15</v>
      </c>
      <c r="T31" s="7684">
        <v>0.15</v>
      </c>
      <c r="U31" s="7684">
        <v>0.91</v>
      </c>
      <c r="V31" s="7684">
        <v>0.91</v>
      </c>
      <c r="W31" s="7684">
        <v>0</v>
      </c>
      <c r="X31" s="7684">
        <v>0</v>
      </c>
      <c r="Y31" s="7684">
        <v>130.06</v>
      </c>
      <c r="Z31" s="7684">
        <v>130.06</v>
      </c>
      <c r="AA31" s="7684">
        <v>0</v>
      </c>
      <c r="AB31" s="7684">
        <v>0</v>
      </c>
      <c r="AC31" s="7683"/>
      <c r="AD31" s="7683"/>
      <c r="AE31" s="7683"/>
      <c r="AF31" s="7683"/>
      <c r="AG31" s="7683"/>
      <c r="AH31" s="7683"/>
      <c r="AI31" s="7683"/>
      <c r="AJ31" s="7683"/>
      <c r="AK31" s="7683"/>
      <c r="AL31" s="7683"/>
      <c r="AM31" s="7683"/>
      <c r="AN31" s="7683"/>
      <c r="AO31" s="7683"/>
      <c r="AP31" s="7683"/>
      <c r="AQ31" s="7683"/>
      <c r="AR31" s="7683"/>
      <c r="AS31" s="7683"/>
      <c r="AT31" s="7683"/>
      <c r="AU31" s="7683"/>
      <c r="AV31" s="7683"/>
      <c r="AW31" s="7683"/>
      <c r="AX31" s="7683"/>
      <c r="AY31" s="7683"/>
      <c r="AZ31" s="7683"/>
      <c r="BA31" s="7683"/>
      <c r="BB31" s="7683"/>
      <c r="BC31" s="7683"/>
      <c r="BD31" s="7683"/>
      <c r="BE31" s="7683"/>
      <c r="BF31" s="7683"/>
      <c r="BG31" s="7683"/>
      <c r="BH31" s="7683"/>
      <c r="BI31" s="7683"/>
      <c r="BJ31" s="7683"/>
      <c r="BK31" s="7683"/>
      <c r="BL31" s="7683"/>
      <c r="BM31" s="7683"/>
      <c r="BN31" s="7683"/>
      <c r="BO31" s="7683"/>
      <c r="BP31" s="7683"/>
      <c r="BQ31" s="7683"/>
      <c r="BR31" s="7683"/>
      <c r="BS31" s="7683"/>
      <c r="BT31" s="7684"/>
      <c r="BU31" s="7684"/>
      <c r="BV31" s="7684"/>
      <c r="BW31" s="7684"/>
      <c r="BX31" s="7684"/>
      <c r="BY31" s="7684"/>
      <c r="BZ31" s="7684"/>
      <c r="CA31" s="7684"/>
      <c r="CB31" s="7684"/>
      <c r="CC31" s="7684"/>
      <c r="CD31" s="7684"/>
      <c r="CE31" s="7684"/>
      <c r="CF31" s="7684"/>
      <c r="CG31" s="7684"/>
      <c r="CH31" s="7684"/>
      <c r="CI31" s="7684"/>
      <c r="CJ31" s="7684"/>
      <c r="CK31" s="7684"/>
      <c r="CL31" s="7683"/>
      <c r="CM31" s="7683"/>
      <c r="CN31" s="7683"/>
      <c r="CO31" s="7683"/>
      <c r="CP31" s="7683"/>
      <c r="CQ31" s="7683"/>
      <c r="CR31" s="7683"/>
      <c r="CS31" s="7683"/>
      <c r="CT31" s="7683"/>
      <c r="CU31" s="7683"/>
      <c r="CV31" s="7683"/>
      <c r="CW31" s="7683"/>
      <c r="CX31" s="7683"/>
      <c r="CY31" s="7684"/>
      <c r="CZ31" s="7684"/>
      <c r="DA31" s="7684"/>
      <c r="DB31" s="7684"/>
      <c r="DC31" s="7684"/>
      <c r="DD31" s="7684"/>
      <c r="DE31" s="7684"/>
      <c r="DF31" s="7684"/>
      <c r="DG31" s="7684"/>
      <c r="DH31" s="7684"/>
      <c r="DI31" s="7684"/>
      <c r="DJ31" s="7684"/>
      <c r="DK31" s="7683"/>
      <c r="DL31" s="7683"/>
      <c r="DM31" s="7683"/>
      <c r="DN31" s="7683"/>
      <c r="DO31" s="7683"/>
      <c r="DP31" s="7683"/>
      <c r="DQ31" s="7683"/>
      <c r="DR31" s="7683"/>
      <c r="DS31" s="7683"/>
      <c r="DT31" s="7683"/>
      <c r="DU31" s="7683"/>
      <c r="DV31" s="7683"/>
      <c r="DW31" s="7683"/>
      <c r="DX31" s="7683"/>
      <c r="DY31" s="7683"/>
      <c r="DZ31" s="7683"/>
      <c r="EA31" s="7683"/>
      <c r="EB31" s="7683"/>
      <c r="EC31" s="7683"/>
      <c r="ED31" s="7683"/>
      <c r="EE31" s="7683"/>
      <c r="EF31" s="7683"/>
      <c r="EG31" s="7683"/>
      <c r="EH31" s="7683"/>
      <c r="EI31" s="7683"/>
      <c r="EJ31" s="7683"/>
      <c r="EK31" s="7683"/>
      <c r="EL31" s="7683"/>
      <c r="EM31" s="7683"/>
      <c r="EN31" s="7683"/>
      <c r="EO31" s="7683"/>
      <c r="EP31" s="7683"/>
      <c r="EQ31" s="7683"/>
      <c r="ER31" s="7683"/>
      <c r="ES31" s="7683"/>
      <c r="ET31" s="7683"/>
      <c r="EU31" s="7683"/>
      <c r="EV31" s="7683"/>
      <c r="EW31" s="7683"/>
      <c r="EX31" s="7683"/>
      <c r="EY31" s="7683"/>
      <c r="EZ31" s="7683"/>
      <c r="FA31" s="7683"/>
      <c r="FB31" s="7683"/>
      <c r="FC31" s="7683"/>
      <c r="FD31" s="7683"/>
      <c r="FE31" s="7683"/>
      <c r="FF31" s="7683"/>
      <c r="FG31" s="7683"/>
      <c r="FH31" s="7683"/>
      <c r="FI31" s="7683"/>
      <c r="FJ31" s="7683"/>
      <c r="FK31" s="7683"/>
      <c r="FL31" s="7683"/>
      <c r="FM31" s="7683"/>
      <c r="FN31" s="7683"/>
      <c r="FO31" s="7683"/>
      <c r="FP31" s="7683"/>
      <c r="FQ31" s="7683"/>
      <c r="FR31" s="7683"/>
      <c r="FS31" s="7683"/>
      <c r="FT31" s="7683"/>
      <c r="FU31" s="7683"/>
      <c r="FV31" s="7683"/>
      <c r="FW31" s="7683"/>
      <c r="FX31" s="7359"/>
      <c r="FY31" s="7048"/>
      <c r="FZ31" s="7048"/>
      <c r="GA31" s="7048"/>
      <c r="GB31" s="7048"/>
    </row>
    <row s="7048" customFormat="1" customHeight="1" ht="12">
      <c r="A32" s="7048" t="s">
        <v>1192</v>
      </c>
      <c r="B32" s="7105"/>
      <c r="C32" s="7048"/>
      <c r="D32" s="7048"/>
      <c r="E32" s="7048"/>
      <c r="F32" s="8866"/>
      <c r="G32" s="8867" t="s">
        <v>1541</v>
      </c>
      <c r="H32" s="8868"/>
      <c r="I32" s="8869"/>
      <c r="J32" s="8870"/>
      <c r="K32" s="8871"/>
      <c r="L32" s="8872"/>
      <c r="M32" s="8873"/>
      <c r="N32" s="8874"/>
      <c r="O32" s="8875"/>
      <c r="P32" s="8876"/>
      <c r="Q32" s="8877"/>
      <c r="R32" s="8878"/>
      <c r="S32" s="8879"/>
      <c r="T32" s="8880"/>
      <c r="U32" s="8881"/>
      <c r="V32" s="8882"/>
      <c r="W32" s="8883"/>
      <c r="X32" s="8884"/>
      <c r="Y32" s="8885"/>
      <c r="Z32" s="8886"/>
      <c r="AA32" s="8887"/>
      <c r="AB32" s="8888"/>
      <c r="AC32" s="8889"/>
      <c r="AD32" s="8890"/>
      <c r="AE32" s="8891"/>
      <c r="AF32" s="8892"/>
      <c r="AG32" s="8893"/>
      <c r="AH32" s="8894"/>
      <c r="AI32" s="8895"/>
      <c r="AJ32" s="8896"/>
      <c r="AK32" s="8897"/>
      <c r="AL32" s="8898"/>
      <c r="AM32" s="8899"/>
      <c r="AN32" s="8900"/>
      <c r="AO32" s="8901"/>
      <c r="AP32" s="8902"/>
      <c r="AQ32" s="8903"/>
      <c r="AR32" s="8904"/>
      <c r="AS32" s="8905"/>
      <c r="AT32" s="8906"/>
      <c r="AU32" s="8907"/>
      <c r="AV32" s="8908"/>
      <c r="AW32" s="8909"/>
      <c r="AX32" s="8910"/>
      <c r="AY32" s="8911"/>
      <c r="AZ32" s="8912"/>
      <c r="BA32" s="8913"/>
      <c r="BB32" s="8914"/>
      <c r="BC32" s="8915"/>
      <c r="BD32" s="8916"/>
      <c r="BE32" s="8917"/>
      <c r="BF32" s="8918"/>
      <c r="BG32" s="8919"/>
      <c r="BH32" s="8920"/>
      <c r="BI32" s="8921"/>
      <c r="BJ32" s="8922"/>
      <c r="BK32" s="8923"/>
      <c r="BL32" s="8924"/>
      <c r="BM32" s="8925"/>
      <c r="BN32" s="8926"/>
      <c r="BO32" s="8927"/>
      <c r="BP32" s="8928"/>
      <c r="BQ32" s="8929"/>
      <c r="BR32" s="8930"/>
      <c r="BS32" s="8931"/>
      <c r="BT32" s="8932"/>
      <c r="BU32" s="8933"/>
      <c r="BV32" s="8934"/>
      <c r="BW32" s="8935"/>
      <c r="BX32" s="8936"/>
      <c r="BY32" s="8937"/>
      <c r="BZ32" s="8938"/>
      <c r="CA32" s="8939"/>
      <c r="CB32" s="8940"/>
      <c r="CC32" s="8941"/>
      <c r="CD32" s="8942"/>
      <c r="CE32" s="8943"/>
      <c r="CF32" s="8944"/>
      <c r="CG32" s="8945"/>
      <c r="CH32" s="8946"/>
      <c r="CI32" s="8947"/>
      <c r="CJ32" s="8948"/>
      <c r="CK32" s="8949"/>
      <c r="CL32" s="8950"/>
      <c r="CM32" s="8951"/>
      <c r="CN32" s="8952"/>
      <c r="CO32" s="8953"/>
      <c r="CP32" s="8954"/>
      <c r="CQ32" s="8955"/>
      <c r="CR32" s="8956"/>
      <c r="CS32" s="8957"/>
      <c r="CT32" s="8958"/>
      <c r="CU32" s="8959"/>
      <c r="CV32" s="8960"/>
      <c r="CW32" s="8961"/>
      <c r="CX32" s="8962"/>
      <c r="CY32" s="8963"/>
      <c r="CZ32" s="8964"/>
      <c r="DA32" s="8965"/>
      <c r="DB32" s="8966"/>
      <c r="DC32" s="8967"/>
      <c r="DD32" s="8968"/>
      <c r="DE32" s="8969"/>
      <c r="DF32" s="8970"/>
      <c r="DG32" s="8971"/>
      <c r="DH32" s="8972"/>
      <c r="DI32" s="8973"/>
      <c r="DJ32" s="8974"/>
      <c r="DK32" s="8975"/>
      <c r="DL32" s="8976"/>
      <c r="DM32" s="8977"/>
      <c r="DN32" s="8978"/>
      <c r="DO32" s="8979"/>
      <c r="DP32" s="8980"/>
      <c r="DQ32" s="8981"/>
      <c r="DR32" s="8982"/>
      <c r="DS32" s="8983"/>
      <c r="DT32" s="8984"/>
      <c r="DU32" s="8985"/>
      <c r="DV32" s="8986"/>
      <c r="DW32" s="8987"/>
      <c r="DX32" s="8988"/>
      <c r="DY32" s="8989"/>
      <c r="DZ32" s="8990"/>
      <c r="EA32" s="8991"/>
      <c r="EB32" s="8992"/>
      <c r="EC32" s="8993"/>
      <c r="ED32" s="8994"/>
      <c r="EE32" s="8995"/>
      <c r="EF32" s="8996"/>
      <c r="EG32" s="8997"/>
      <c r="EH32" s="8998"/>
      <c r="EI32" s="8999"/>
      <c r="EJ32" s="9000"/>
      <c r="EK32" s="9001"/>
      <c r="EL32" s="9002"/>
      <c r="EM32" s="9003"/>
      <c r="EN32" s="9004"/>
      <c r="EO32" s="9005"/>
      <c r="EP32" s="9006"/>
      <c r="EQ32" s="9007"/>
      <c r="ER32" s="9008"/>
      <c r="ES32" s="9009"/>
      <c r="ET32" s="9010"/>
      <c r="EU32" s="9011"/>
      <c r="EV32" s="9012"/>
      <c r="EW32" s="9013"/>
      <c r="EX32" s="9014"/>
      <c r="EY32" s="9015"/>
      <c r="EZ32" s="9016"/>
      <c r="FA32" s="9017"/>
      <c r="FB32" s="9018"/>
      <c r="FC32" s="9019"/>
      <c r="FD32" s="9020"/>
      <c r="FE32" s="9021"/>
      <c r="FF32" s="9022"/>
      <c r="FG32" s="9023"/>
      <c r="FH32" s="9024"/>
      <c r="FI32" s="9025"/>
      <c r="FJ32" s="9026"/>
      <c r="FK32" s="9027"/>
      <c r="FL32" s="9028"/>
      <c r="FM32" s="9029"/>
      <c r="FN32" s="9030"/>
      <c r="FO32" s="9031"/>
      <c r="FP32" s="9032"/>
      <c r="FQ32" s="9033"/>
      <c r="FR32" s="9034"/>
      <c r="FS32" s="9035"/>
      <c r="FT32" s="9036"/>
      <c r="FU32" s="9037"/>
      <c r="FV32" s="9038"/>
      <c r="FW32" s="9039"/>
      <c r="FX32" s="7689"/>
      <c r="FY32" s="7501"/>
      <c r="FZ32" s="7501"/>
      <c r="GA32" s="7501"/>
      <c r="GB32" s="7501"/>
    </row>
    <row s="7048" customFormat="1" customHeight="1" ht="21">
      <c r="A33" s="6959" t="s">
        <v>1200</v>
      </c>
      <c r="B33" s="7105"/>
      <c r="C33" s="7048"/>
      <c r="D33" s="7048"/>
      <c r="E33" s="7099" t="s">
        <v>22</v>
      </c>
      <c r="F33" s="7672" t="str">
        <f>INDEX(IP_MAIN_LIST_NAME_IP,MATCH(A33,IP_MAIN_LIST_IP_ID,0))&amp;" ("&amp;INDEX(IP_MAIN_START_DATE,MATCH(A33,IP_MAIN_LIST_IP_ID,0))&amp;"-"&amp;INDEX(IP_MAIN_END_DATE,MATCH(A33,IP_MAIN_LIST_IP_ID,0))&amp;")"</f>
        <v>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 (01.01.2024-31.12.2028)</v>
      </c>
      <c r="G33" s="7673"/>
      <c r="H33" s="7674"/>
      <c r="I33" s="7674"/>
      <c r="J33" s="7674"/>
      <c r="K33" s="7674"/>
      <c r="L33" s="7674"/>
      <c r="M33" s="7674"/>
      <c r="N33" s="7674"/>
      <c r="O33" s="7673"/>
      <c r="P33" s="7673"/>
      <c r="Q33" s="7673"/>
      <c r="R33" s="7673"/>
      <c r="S33" s="7673"/>
      <c r="T33" s="7673"/>
      <c r="U33" s="7675"/>
      <c r="V33" s="7675"/>
      <c r="W33" s="7675"/>
      <c r="X33" s="7675"/>
      <c r="Y33" s="7675"/>
      <c r="Z33" s="7675"/>
      <c r="AA33" s="7675"/>
      <c r="AB33" s="7673"/>
      <c r="AC33" s="7674"/>
      <c r="AD33" s="7674"/>
      <c r="AE33" s="7674"/>
      <c r="AF33" s="7674"/>
      <c r="AG33" s="7674"/>
      <c r="AH33" s="7674"/>
      <c r="AI33" s="7674"/>
      <c r="AJ33" s="7674"/>
      <c r="AK33" s="7674"/>
      <c r="AL33" s="7674"/>
      <c r="AM33" s="7674"/>
      <c r="AN33" s="7674"/>
      <c r="AO33" s="7674"/>
      <c r="AP33" s="7674"/>
      <c r="AQ33" s="7674"/>
      <c r="AR33" s="7674"/>
      <c r="AS33" s="7674"/>
      <c r="AT33" s="7674"/>
      <c r="AU33" s="7674"/>
      <c r="AV33" s="7674"/>
      <c r="AW33" s="7674"/>
      <c r="AX33" s="7674"/>
      <c r="AY33" s="7674"/>
      <c r="AZ33" s="7674"/>
      <c r="BA33" s="7674"/>
      <c r="BB33" s="7674"/>
      <c r="BC33" s="7674"/>
      <c r="BD33" s="7674"/>
      <c r="BE33" s="7674"/>
      <c r="BF33" s="7674"/>
      <c r="BG33" s="7674"/>
      <c r="BH33" s="7674"/>
      <c r="BI33" s="7674"/>
      <c r="BJ33" s="7674"/>
      <c r="BK33" s="7674"/>
      <c r="BL33" s="7674"/>
      <c r="BM33" s="7674"/>
      <c r="BN33" s="7674"/>
      <c r="BO33" s="7674"/>
      <c r="BP33" s="7674"/>
      <c r="BQ33" s="7674"/>
      <c r="BR33" s="7674"/>
      <c r="BS33" s="7674"/>
      <c r="BT33" s="7674"/>
      <c r="BU33" s="7674"/>
      <c r="BV33" s="7674"/>
      <c r="BW33" s="7674"/>
      <c r="BX33" s="7674"/>
      <c r="BY33" s="7674"/>
      <c r="BZ33" s="7674"/>
      <c r="CA33" s="7674"/>
      <c r="CB33" s="7674"/>
      <c r="CC33" s="7674"/>
      <c r="CD33" s="7674"/>
      <c r="CE33" s="7674"/>
      <c r="CF33" s="7674"/>
      <c r="CG33" s="7674"/>
      <c r="CH33" s="7674"/>
      <c r="CI33" s="7674"/>
      <c r="CJ33" s="7674"/>
      <c r="CK33" s="7674"/>
      <c r="CL33" s="7676"/>
      <c r="CM33" s="7676"/>
      <c r="CN33" s="7676"/>
      <c r="CO33" s="7676"/>
      <c r="CP33" s="7676"/>
      <c r="CQ33" s="7676"/>
      <c r="CR33" s="7676"/>
      <c r="CS33" s="7676"/>
      <c r="CT33" s="7676"/>
      <c r="CU33" s="7676"/>
      <c r="CV33" s="7676"/>
      <c r="CW33" s="7676"/>
      <c r="CX33" s="7676"/>
      <c r="CY33" s="7676"/>
      <c r="CZ33" s="7676"/>
      <c r="DA33" s="7676"/>
      <c r="DB33" s="7676"/>
      <c r="DC33" s="7676"/>
      <c r="DD33" s="7676"/>
      <c r="DE33" s="7676"/>
      <c r="DF33" s="7676"/>
      <c r="DG33" s="7676"/>
      <c r="DH33" s="7676"/>
      <c r="DI33" s="7676"/>
      <c r="DJ33" s="7676"/>
      <c r="DK33" s="7676"/>
      <c r="DL33" s="7676"/>
      <c r="DM33" s="7676"/>
      <c r="DN33" s="7676"/>
      <c r="DO33" s="7676"/>
      <c r="DP33" s="7676"/>
      <c r="DQ33" s="7676"/>
      <c r="DR33" s="7676"/>
      <c r="DS33" s="7676"/>
      <c r="DT33" s="7676"/>
      <c r="DU33" s="7676"/>
      <c r="DV33" s="7676"/>
      <c r="DW33" s="7676"/>
      <c r="DX33" s="7676"/>
      <c r="DY33" s="7676"/>
      <c r="DZ33" s="7676"/>
      <c r="EA33" s="7676"/>
      <c r="EB33" s="7676"/>
      <c r="EC33" s="7676"/>
      <c r="ED33" s="7676"/>
      <c r="EE33" s="7676"/>
      <c r="EF33" s="7676"/>
      <c r="EG33" s="7676"/>
      <c r="EH33" s="7676"/>
      <c r="EI33" s="7676"/>
      <c r="EJ33" s="7676"/>
      <c r="EK33" s="7676"/>
      <c r="EL33" s="7676"/>
      <c r="EM33" s="7676"/>
      <c r="EN33" s="7676"/>
      <c r="EO33" s="7676"/>
      <c r="EP33" s="7676"/>
      <c r="EQ33" s="7676"/>
      <c r="ER33" s="7676"/>
      <c r="ES33" s="7676"/>
      <c r="ET33" s="7676"/>
      <c r="EU33" s="7676"/>
      <c r="EV33" s="7676"/>
      <c r="EW33" s="7676"/>
      <c r="EX33" s="7676"/>
      <c r="EY33" s="7676"/>
      <c r="EZ33" s="7676"/>
      <c r="FA33" s="7676"/>
      <c r="FB33" s="7676"/>
      <c r="FC33" s="7676"/>
      <c r="FD33" s="7676"/>
      <c r="FE33" s="7676"/>
      <c r="FF33" s="7676"/>
      <c r="FG33" s="7676"/>
      <c r="FH33" s="7676"/>
      <c r="FI33" s="7676"/>
      <c r="FJ33" s="7676"/>
      <c r="FK33" s="7676"/>
      <c r="FL33" s="7676"/>
      <c r="FM33" s="7676"/>
      <c r="FN33" s="7676"/>
      <c r="FO33" s="7676"/>
      <c r="FP33" s="7676"/>
      <c r="FQ33" s="7676"/>
      <c r="FR33" s="7676"/>
      <c r="FS33" s="7676"/>
      <c r="FT33" s="7676"/>
      <c r="FU33" s="7676"/>
      <c r="FV33" s="7677"/>
      <c r="FW33" s="7110"/>
      <c r="FX33" s="7359"/>
      <c r="FY33" s="7048"/>
      <c r="FZ33" s="7048"/>
      <c r="GA33" s="7048"/>
      <c r="GB33" s="7048"/>
    </row>
    <row s="7048" customFormat="1" customHeight="1" ht="24.75">
      <c r="A34" s="7048" t="s">
        <v>1200</v>
      </c>
      <c r="B34" s="7105"/>
      <c r="C34" s="7048"/>
      <c r="D34" s="7048"/>
      <c r="E34" s="7954"/>
      <c r="F34" s="7679">
        <v>1</v>
      </c>
      <c r="G34" s="7680" t="s">
        <v>1160</v>
      </c>
      <c r="H34" s="7681" t="s">
        <v>67</v>
      </c>
      <c r="I34" s="7682" t="s">
        <v>1540</v>
      </c>
      <c r="J34" s="7683"/>
      <c r="K34" s="7683"/>
      <c r="L34" s="7683"/>
      <c r="M34" s="7683"/>
      <c r="N34" s="7683"/>
      <c r="O34" s="7684">
        <v>0</v>
      </c>
      <c r="P34" s="7684">
        <v>0</v>
      </c>
      <c r="Q34" s="7684">
        <v>0</v>
      </c>
      <c r="R34" s="7684">
        <v>0</v>
      </c>
      <c r="S34" s="7684">
        <v>0.15</v>
      </c>
      <c r="T34" s="7684">
        <v>0.15</v>
      </c>
      <c r="U34" s="7684">
        <v>1.45</v>
      </c>
      <c r="V34" s="7684">
        <v>1.45</v>
      </c>
      <c r="W34" s="7684">
        <v>0</v>
      </c>
      <c r="X34" s="7684">
        <v>0</v>
      </c>
      <c r="Y34" s="7684">
        <v>154.22</v>
      </c>
      <c r="Z34" s="7684">
        <v>154.22</v>
      </c>
      <c r="AA34" s="7684">
        <v>0</v>
      </c>
      <c r="AB34" s="7684">
        <v>0</v>
      </c>
      <c r="AC34" s="7683"/>
      <c r="AD34" s="7683"/>
      <c r="AE34" s="7683"/>
      <c r="AF34" s="7683"/>
      <c r="AG34" s="7683"/>
      <c r="AH34" s="7683"/>
      <c r="AI34" s="7683"/>
      <c r="AJ34" s="7683"/>
      <c r="AK34" s="7683"/>
      <c r="AL34" s="7683"/>
      <c r="AM34" s="7683"/>
      <c r="AN34" s="7683"/>
      <c r="AO34" s="7683"/>
      <c r="AP34" s="7683"/>
      <c r="AQ34" s="7683"/>
      <c r="AR34" s="7683"/>
      <c r="AS34" s="7683"/>
      <c r="AT34" s="7683"/>
      <c r="AU34" s="7683"/>
      <c r="AV34" s="7683"/>
      <c r="AW34" s="7683"/>
      <c r="AX34" s="7683"/>
      <c r="AY34" s="7683"/>
      <c r="AZ34" s="7683"/>
      <c r="BA34" s="7683"/>
      <c r="BB34" s="7683"/>
      <c r="BC34" s="7683"/>
      <c r="BD34" s="7683"/>
      <c r="BE34" s="7683"/>
      <c r="BF34" s="7683"/>
      <c r="BG34" s="7683"/>
      <c r="BH34" s="7683"/>
      <c r="BI34" s="7683"/>
      <c r="BJ34" s="7683"/>
      <c r="BK34" s="7683"/>
      <c r="BL34" s="7683"/>
      <c r="BM34" s="7683"/>
      <c r="BN34" s="7683"/>
      <c r="BO34" s="7683"/>
      <c r="BP34" s="7683"/>
      <c r="BQ34" s="7683"/>
      <c r="BR34" s="7683"/>
      <c r="BS34" s="7683"/>
      <c r="BT34" s="7684"/>
      <c r="BU34" s="7684"/>
      <c r="BV34" s="7684"/>
      <c r="BW34" s="7684"/>
      <c r="BX34" s="7684"/>
      <c r="BY34" s="7684"/>
      <c r="BZ34" s="7684"/>
      <c r="CA34" s="7684"/>
      <c r="CB34" s="7684"/>
      <c r="CC34" s="7684"/>
      <c r="CD34" s="7684"/>
      <c r="CE34" s="7684"/>
      <c r="CF34" s="7684"/>
      <c r="CG34" s="7684"/>
      <c r="CH34" s="7684"/>
      <c r="CI34" s="7684"/>
      <c r="CJ34" s="7684"/>
      <c r="CK34" s="7684"/>
      <c r="CL34" s="7683"/>
      <c r="CM34" s="7683"/>
      <c r="CN34" s="7683"/>
      <c r="CO34" s="7683"/>
      <c r="CP34" s="7683"/>
      <c r="CQ34" s="7683"/>
      <c r="CR34" s="7683"/>
      <c r="CS34" s="7683"/>
      <c r="CT34" s="7683"/>
      <c r="CU34" s="7683"/>
      <c r="CV34" s="7683"/>
      <c r="CW34" s="7683"/>
      <c r="CX34" s="7683"/>
      <c r="CY34" s="7684"/>
      <c r="CZ34" s="7684"/>
      <c r="DA34" s="7684"/>
      <c r="DB34" s="7684"/>
      <c r="DC34" s="7684"/>
      <c r="DD34" s="7684"/>
      <c r="DE34" s="7684"/>
      <c r="DF34" s="7684"/>
      <c r="DG34" s="7684"/>
      <c r="DH34" s="7684"/>
      <c r="DI34" s="7684"/>
      <c r="DJ34" s="7684"/>
      <c r="DK34" s="7683"/>
      <c r="DL34" s="7683"/>
      <c r="DM34" s="7683"/>
      <c r="DN34" s="7683"/>
      <c r="DO34" s="7683"/>
      <c r="DP34" s="7683"/>
      <c r="DQ34" s="7683"/>
      <c r="DR34" s="7683"/>
      <c r="DS34" s="7683"/>
      <c r="DT34" s="7683"/>
      <c r="DU34" s="7683"/>
      <c r="DV34" s="7683"/>
      <c r="DW34" s="7683"/>
      <c r="DX34" s="7683"/>
      <c r="DY34" s="7683"/>
      <c r="DZ34" s="7683"/>
      <c r="EA34" s="7683"/>
      <c r="EB34" s="7683"/>
      <c r="EC34" s="7683"/>
      <c r="ED34" s="7683"/>
      <c r="EE34" s="7683"/>
      <c r="EF34" s="7683"/>
      <c r="EG34" s="7683"/>
      <c r="EH34" s="7683"/>
      <c r="EI34" s="7683"/>
      <c r="EJ34" s="7683"/>
      <c r="EK34" s="7683"/>
      <c r="EL34" s="7683"/>
      <c r="EM34" s="7683"/>
      <c r="EN34" s="7683"/>
      <c r="EO34" s="7683"/>
      <c r="EP34" s="7683"/>
      <c r="EQ34" s="7683"/>
      <c r="ER34" s="7683"/>
      <c r="ES34" s="7683"/>
      <c r="ET34" s="7683"/>
      <c r="EU34" s="7683"/>
      <c r="EV34" s="7683"/>
      <c r="EW34" s="7683"/>
      <c r="EX34" s="7683"/>
      <c r="EY34" s="7683"/>
      <c r="EZ34" s="7683"/>
      <c r="FA34" s="7683"/>
      <c r="FB34" s="7683"/>
      <c r="FC34" s="7683"/>
      <c r="FD34" s="7683"/>
      <c r="FE34" s="7683"/>
      <c r="FF34" s="7683"/>
      <c r="FG34" s="7683"/>
      <c r="FH34" s="7683"/>
      <c r="FI34" s="7683"/>
      <c r="FJ34" s="7683"/>
      <c r="FK34" s="7683"/>
      <c r="FL34" s="7683"/>
      <c r="FM34" s="7683"/>
      <c r="FN34" s="7683"/>
      <c r="FO34" s="7683"/>
      <c r="FP34" s="7683"/>
      <c r="FQ34" s="7683"/>
      <c r="FR34" s="7683"/>
      <c r="FS34" s="7683"/>
      <c r="FT34" s="7683"/>
      <c r="FU34" s="7683"/>
      <c r="FV34" s="7683"/>
      <c r="FW34" s="7683"/>
      <c r="FX34" s="7359"/>
      <c r="FY34" s="7048"/>
      <c r="FZ34" s="7048"/>
      <c r="GA34" s="7048"/>
      <c r="GB34" s="7048"/>
    </row>
    <row s="7048" customFormat="1" customHeight="1" ht="12">
      <c r="A35" s="7048" t="s">
        <v>1200</v>
      </c>
      <c r="B35" s="7105"/>
      <c r="C35" s="7048"/>
      <c r="D35" s="7048"/>
      <c r="E35" s="7048"/>
      <c r="F35" s="9040"/>
      <c r="G35" s="9041" t="s">
        <v>1541</v>
      </c>
      <c r="H35" s="9042"/>
      <c r="I35" s="9043"/>
      <c r="J35" s="9044"/>
      <c r="K35" s="9045"/>
      <c r="L35" s="9046"/>
      <c r="M35" s="9047"/>
      <c r="N35" s="9048"/>
      <c r="O35" s="9049"/>
      <c r="P35" s="9050"/>
      <c r="Q35" s="9051"/>
      <c r="R35" s="9052"/>
      <c r="S35" s="9053"/>
      <c r="T35" s="9054"/>
      <c r="U35" s="9055"/>
      <c r="V35" s="9056"/>
      <c r="W35" s="9057"/>
      <c r="X35" s="9058"/>
      <c r="Y35" s="9059"/>
      <c r="Z35" s="9060"/>
      <c r="AA35" s="9061"/>
      <c r="AB35" s="9062"/>
      <c r="AC35" s="9063"/>
      <c r="AD35" s="9064"/>
      <c r="AE35" s="9065"/>
      <c r="AF35" s="9066"/>
      <c r="AG35" s="9067"/>
      <c r="AH35" s="9068"/>
      <c r="AI35" s="9069"/>
      <c r="AJ35" s="9070"/>
      <c r="AK35" s="9071"/>
      <c r="AL35" s="9072"/>
      <c r="AM35" s="9073"/>
      <c r="AN35" s="9074"/>
      <c r="AO35" s="9075"/>
      <c r="AP35" s="9076"/>
      <c r="AQ35" s="9077"/>
      <c r="AR35" s="9078"/>
      <c r="AS35" s="9079"/>
      <c r="AT35" s="9080"/>
      <c r="AU35" s="9081"/>
      <c r="AV35" s="9082"/>
      <c r="AW35" s="9083"/>
      <c r="AX35" s="9084"/>
      <c r="AY35" s="9085"/>
      <c r="AZ35" s="9086"/>
      <c r="BA35" s="9087"/>
      <c r="BB35" s="9088"/>
      <c r="BC35" s="9089"/>
      <c r="BD35" s="9090"/>
      <c r="BE35" s="9091"/>
      <c r="BF35" s="9092"/>
      <c r="BG35" s="9093"/>
      <c r="BH35" s="9094"/>
      <c r="BI35" s="9095"/>
      <c r="BJ35" s="9096"/>
      <c r="BK35" s="9097"/>
      <c r="BL35" s="9098"/>
      <c r="BM35" s="9099"/>
      <c r="BN35" s="9100"/>
      <c r="BO35" s="9101"/>
      <c r="BP35" s="9102"/>
      <c r="BQ35" s="9103"/>
      <c r="BR35" s="9104"/>
      <c r="BS35" s="9105"/>
      <c r="BT35" s="9106"/>
      <c r="BU35" s="9107"/>
      <c r="BV35" s="9108"/>
      <c r="BW35" s="9109"/>
      <c r="BX35" s="9110"/>
      <c r="BY35" s="9111"/>
      <c r="BZ35" s="9112"/>
      <c r="CA35" s="9113"/>
      <c r="CB35" s="9114"/>
      <c r="CC35" s="9115"/>
      <c r="CD35" s="9116"/>
      <c r="CE35" s="9117"/>
      <c r="CF35" s="9118"/>
      <c r="CG35" s="9119"/>
      <c r="CH35" s="9120"/>
      <c r="CI35" s="9121"/>
      <c r="CJ35" s="9122"/>
      <c r="CK35" s="9123"/>
      <c r="CL35" s="9124"/>
      <c r="CM35" s="9125"/>
      <c r="CN35" s="9126"/>
      <c r="CO35" s="9127"/>
      <c r="CP35" s="9128"/>
      <c r="CQ35" s="9129"/>
      <c r="CR35" s="9130"/>
      <c r="CS35" s="9131"/>
      <c r="CT35" s="9132"/>
      <c r="CU35" s="9133"/>
      <c r="CV35" s="9134"/>
      <c r="CW35" s="9135"/>
      <c r="CX35" s="9136"/>
      <c r="CY35" s="9137"/>
      <c r="CZ35" s="9138"/>
      <c r="DA35" s="9139"/>
      <c r="DB35" s="9140"/>
      <c r="DC35" s="9141"/>
      <c r="DD35" s="9142"/>
      <c r="DE35" s="9143"/>
      <c r="DF35" s="9144"/>
      <c r="DG35" s="9145"/>
      <c r="DH35" s="9146"/>
      <c r="DI35" s="9147"/>
      <c r="DJ35" s="9148"/>
      <c r="DK35" s="9149"/>
      <c r="DL35" s="9150"/>
      <c r="DM35" s="9151"/>
      <c r="DN35" s="9152"/>
      <c r="DO35" s="9153"/>
      <c r="DP35" s="9154"/>
      <c r="DQ35" s="9155"/>
      <c r="DR35" s="9156"/>
      <c r="DS35" s="9157"/>
      <c r="DT35" s="9158"/>
      <c r="DU35" s="9159"/>
      <c r="DV35" s="9160"/>
      <c r="DW35" s="9161"/>
      <c r="DX35" s="9162"/>
      <c r="DY35" s="9163"/>
      <c r="DZ35" s="9164"/>
      <c r="EA35" s="9165"/>
      <c r="EB35" s="9166"/>
      <c r="EC35" s="9167"/>
      <c r="ED35" s="9168"/>
      <c r="EE35" s="9169"/>
      <c r="EF35" s="9170"/>
      <c r="EG35" s="9171"/>
      <c r="EH35" s="9172"/>
      <c r="EI35" s="9173"/>
      <c r="EJ35" s="9174"/>
      <c r="EK35" s="9175"/>
      <c r="EL35" s="9176"/>
      <c r="EM35" s="9177"/>
      <c r="EN35" s="9178"/>
      <c r="EO35" s="9179"/>
      <c r="EP35" s="9180"/>
      <c r="EQ35" s="9181"/>
      <c r="ER35" s="9182"/>
      <c r="ES35" s="9183"/>
      <c r="ET35" s="9184"/>
      <c r="EU35" s="9185"/>
      <c r="EV35" s="9186"/>
      <c r="EW35" s="9187"/>
      <c r="EX35" s="9188"/>
      <c r="EY35" s="9189"/>
      <c r="EZ35" s="9190"/>
      <c r="FA35" s="9191"/>
      <c r="FB35" s="9192"/>
      <c r="FC35" s="9193"/>
      <c r="FD35" s="9194"/>
      <c r="FE35" s="9195"/>
      <c r="FF35" s="9196"/>
      <c r="FG35" s="9197"/>
      <c r="FH35" s="9198"/>
      <c r="FI35" s="9199"/>
      <c r="FJ35" s="9200"/>
      <c r="FK35" s="9201"/>
      <c r="FL35" s="9202"/>
      <c r="FM35" s="9203"/>
      <c r="FN35" s="9204"/>
      <c r="FO35" s="9205"/>
      <c r="FP35" s="9206"/>
      <c r="FQ35" s="9207"/>
      <c r="FR35" s="9208"/>
      <c r="FS35" s="9209"/>
      <c r="FT35" s="9210"/>
      <c r="FU35" s="9211"/>
      <c r="FV35" s="9212"/>
      <c r="FW35" s="9213"/>
      <c r="FX35" s="7689"/>
      <c r="FY35" s="7501"/>
      <c r="FZ35" s="7501"/>
      <c r="GA35" s="7501"/>
      <c r="GB35" s="7501"/>
    </row>
    <row s="7048" customFormat="1" customHeight="1" ht="21">
      <c r="A36" s="6959" t="s">
        <v>1206</v>
      </c>
      <c r="B36" s="7105"/>
      <c r="C36" s="7048"/>
      <c r="D36" s="7048"/>
      <c r="E36" s="7099" t="s">
        <v>22</v>
      </c>
      <c r="F36" s="7672" t="str">
        <f>INDEX(IP_MAIN_LIST_NAME_IP,MATCH(A36,IP_MAIN_LIST_IP_ID,0))&amp;" ("&amp;INDEX(IP_MAIN_START_DATE,MATCH(A36,IP_MAIN_LIST_IP_ID,0))&amp;"-"&amp;INDEX(IP_MAIN_END_DATE,MATCH(A36,IP_MAIN_LIST_IP_ID,0))&amp;")"</f>
        <v>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 (01.01.2024-31.12.2028)</v>
      </c>
      <c r="G36" s="7673"/>
      <c r="H36" s="7674"/>
      <c r="I36" s="7674"/>
      <c r="J36" s="7674"/>
      <c r="K36" s="7674"/>
      <c r="L36" s="7674"/>
      <c r="M36" s="7674"/>
      <c r="N36" s="7674"/>
      <c r="O36" s="7673"/>
      <c r="P36" s="7673"/>
      <c r="Q36" s="7673"/>
      <c r="R36" s="7673"/>
      <c r="S36" s="7673"/>
      <c r="T36" s="7673"/>
      <c r="U36" s="7675"/>
      <c r="V36" s="7675"/>
      <c r="W36" s="7675"/>
      <c r="X36" s="7675"/>
      <c r="Y36" s="7675"/>
      <c r="Z36" s="7675"/>
      <c r="AA36" s="7675"/>
      <c r="AB36" s="7673"/>
      <c r="AC36" s="7674"/>
      <c r="AD36" s="7674"/>
      <c r="AE36" s="7674"/>
      <c r="AF36" s="7674"/>
      <c r="AG36" s="7674"/>
      <c r="AH36" s="7674"/>
      <c r="AI36" s="7674"/>
      <c r="AJ36" s="7674"/>
      <c r="AK36" s="7674"/>
      <c r="AL36" s="7674"/>
      <c r="AM36" s="7674"/>
      <c r="AN36" s="7674"/>
      <c r="AO36" s="7674"/>
      <c r="AP36" s="7674"/>
      <c r="AQ36" s="7674"/>
      <c r="AR36" s="7674"/>
      <c r="AS36" s="7674"/>
      <c r="AT36" s="7674"/>
      <c r="AU36" s="7674"/>
      <c r="AV36" s="7674"/>
      <c r="AW36" s="7674"/>
      <c r="AX36" s="7674"/>
      <c r="AY36" s="7674"/>
      <c r="AZ36" s="7674"/>
      <c r="BA36" s="7674"/>
      <c r="BB36" s="7674"/>
      <c r="BC36" s="7674"/>
      <c r="BD36" s="7674"/>
      <c r="BE36" s="7674"/>
      <c r="BF36" s="7674"/>
      <c r="BG36" s="7674"/>
      <c r="BH36" s="7674"/>
      <c r="BI36" s="7674"/>
      <c r="BJ36" s="7674"/>
      <c r="BK36" s="7674"/>
      <c r="BL36" s="7674"/>
      <c r="BM36" s="7674"/>
      <c r="BN36" s="7674"/>
      <c r="BO36" s="7674"/>
      <c r="BP36" s="7674"/>
      <c r="BQ36" s="7674"/>
      <c r="BR36" s="7674"/>
      <c r="BS36" s="7674"/>
      <c r="BT36" s="7674"/>
      <c r="BU36" s="7674"/>
      <c r="BV36" s="7674"/>
      <c r="BW36" s="7674"/>
      <c r="BX36" s="7674"/>
      <c r="BY36" s="7674"/>
      <c r="BZ36" s="7674"/>
      <c r="CA36" s="7674"/>
      <c r="CB36" s="7674"/>
      <c r="CC36" s="7674"/>
      <c r="CD36" s="7674"/>
      <c r="CE36" s="7674"/>
      <c r="CF36" s="7674"/>
      <c r="CG36" s="7674"/>
      <c r="CH36" s="7674"/>
      <c r="CI36" s="7674"/>
      <c r="CJ36" s="7674"/>
      <c r="CK36" s="7674"/>
      <c r="CL36" s="7676"/>
      <c r="CM36" s="7676"/>
      <c r="CN36" s="7676"/>
      <c r="CO36" s="7676"/>
      <c r="CP36" s="7676"/>
      <c r="CQ36" s="7676"/>
      <c r="CR36" s="7676"/>
      <c r="CS36" s="7676"/>
      <c r="CT36" s="7676"/>
      <c r="CU36" s="7676"/>
      <c r="CV36" s="7676"/>
      <c r="CW36" s="7676"/>
      <c r="CX36" s="7676"/>
      <c r="CY36" s="7676"/>
      <c r="CZ36" s="7676"/>
      <c r="DA36" s="7676"/>
      <c r="DB36" s="7676"/>
      <c r="DC36" s="7676"/>
      <c r="DD36" s="7676"/>
      <c r="DE36" s="7676"/>
      <c r="DF36" s="7676"/>
      <c r="DG36" s="7676"/>
      <c r="DH36" s="7676"/>
      <c r="DI36" s="7676"/>
      <c r="DJ36" s="7676"/>
      <c r="DK36" s="7676"/>
      <c r="DL36" s="7676"/>
      <c r="DM36" s="7676"/>
      <c r="DN36" s="7676"/>
      <c r="DO36" s="7676"/>
      <c r="DP36" s="7676"/>
      <c r="DQ36" s="7676"/>
      <c r="DR36" s="7676"/>
      <c r="DS36" s="7676"/>
      <c r="DT36" s="7676"/>
      <c r="DU36" s="7676"/>
      <c r="DV36" s="7676"/>
      <c r="DW36" s="7676"/>
      <c r="DX36" s="7676"/>
      <c r="DY36" s="7676"/>
      <c r="DZ36" s="7676"/>
      <c r="EA36" s="7676"/>
      <c r="EB36" s="7676"/>
      <c r="EC36" s="7676"/>
      <c r="ED36" s="7676"/>
      <c r="EE36" s="7676"/>
      <c r="EF36" s="7676"/>
      <c r="EG36" s="7676"/>
      <c r="EH36" s="7676"/>
      <c r="EI36" s="7676"/>
      <c r="EJ36" s="7676"/>
      <c r="EK36" s="7676"/>
      <c r="EL36" s="7676"/>
      <c r="EM36" s="7676"/>
      <c r="EN36" s="7676"/>
      <c r="EO36" s="7676"/>
      <c r="EP36" s="7676"/>
      <c r="EQ36" s="7676"/>
      <c r="ER36" s="7676"/>
      <c r="ES36" s="7676"/>
      <c r="ET36" s="7676"/>
      <c r="EU36" s="7676"/>
      <c r="EV36" s="7676"/>
      <c r="EW36" s="7676"/>
      <c r="EX36" s="7676"/>
      <c r="EY36" s="7676"/>
      <c r="EZ36" s="7676"/>
      <c r="FA36" s="7676"/>
      <c r="FB36" s="7676"/>
      <c r="FC36" s="7676"/>
      <c r="FD36" s="7676"/>
      <c r="FE36" s="7676"/>
      <c r="FF36" s="7676"/>
      <c r="FG36" s="7676"/>
      <c r="FH36" s="7676"/>
      <c r="FI36" s="7676"/>
      <c r="FJ36" s="7676"/>
      <c r="FK36" s="7676"/>
      <c r="FL36" s="7676"/>
      <c r="FM36" s="7676"/>
      <c r="FN36" s="7676"/>
      <c r="FO36" s="7676"/>
      <c r="FP36" s="7676"/>
      <c r="FQ36" s="7676"/>
      <c r="FR36" s="7676"/>
      <c r="FS36" s="7676"/>
      <c r="FT36" s="7676"/>
      <c r="FU36" s="7676"/>
      <c r="FV36" s="7677"/>
      <c r="FW36" s="7110"/>
      <c r="FX36" s="7359"/>
      <c r="FY36" s="7048"/>
      <c r="FZ36" s="7048"/>
      <c r="GA36" s="7048"/>
      <c r="GB36" s="7048"/>
    </row>
    <row s="7048" customFormat="1" customHeight="1" ht="24.75">
      <c r="A37" s="7048" t="s">
        <v>1206</v>
      </c>
      <c r="B37" s="7105"/>
      <c r="C37" s="7048"/>
      <c r="D37" s="7048"/>
      <c r="E37" s="7954"/>
      <c r="F37" s="7679">
        <v>1</v>
      </c>
      <c r="G37" s="7680" t="s">
        <v>1160</v>
      </c>
      <c r="H37" s="7681" t="s">
        <v>67</v>
      </c>
      <c r="I37" s="7682" t="s">
        <v>1540</v>
      </c>
      <c r="J37" s="7683"/>
      <c r="K37" s="7683"/>
      <c r="L37" s="7683"/>
      <c r="M37" s="7683"/>
      <c r="N37" s="7683"/>
      <c r="O37" s="7684">
        <v>0</v>
      </c>
      <c r="P37" s="7684">
        <v>0</v>
      </c>
      <c r="Q37" s="7684">
        <v>0</v>
      </c>
      <c r="R37" s="7684">
        <v>0</v>
      </c>
      <c r="S37" s="7684">
        <v>0.15</v>
      </c>
      <c r="T37" s="7684">
        <v>0.15</v>
      </c>
      <c r="U37" s="7684">
        <v>0.8</v>
      </c>
      <c r="V37" s="7684">
        <v>0.8</v>
      </c>
      <c r="W37" s="7684">
        <v>0</v>
      </c>
      <c r="X37" s="7684">
        <v>0</v>
      </c>
      <c r="Y37" s="7684">
        <v>511.44</v>
      </c>
      <c r="Z37" s="7684">
        <v>511.44</v>
      </c>
      <c r="AA37" s="7684">
        <v>0</v>
      </c>
      <c r="AB37" s="7684">
        <v>0</v>
      </c>
      <c r="AC37" s="7683"/>
      <c r="AD37" s="7683"/>
      <c r="AE37" s="7683"/>
      <c r="AF37" s="7683"/>
      <c r="AG37" s="7683"/>
      <c r="AH37" s="7683"/>
      <c r="AI37" s="7683"/>
      <c r="AJ37" s="7683"/>
      <c r="AK37" s="7683"/>
      <c r="AL37" s="7683"/>
      <c r="AM37" s="7683"/>
      <c r="AN37" s="7683"/>
      <c r="AO37" s="7683"/>
      <c r="AP37" s="7683"/>
      <c r="AQ37" s="7683"/>
      <c r="AR37" s="7683"/>
      <c r="AS37" s="7683"/>
      <c r="AT37" s="7683"/>
      <c r="AU37" s="7683"/>
      <c r="AV37" s="7683"/>
      <c r="AW37" s="7683"/>
      <c r="AX37" s="7683"/>
      <c r="AY37" s="7683"/>
      <c r="AZ37" s="7683"/>
      <c r="BA37" s="7683"/>
      <c r="BB37" s="7683"/>
      <c r="BC37" s="7683"/>
      <c r="BD37" s="7683"/>
      <c r="BE37" s="7683"/>
      <c r="BF37" s="7683"/>
      <c r="BG37" s="7683"/>
      <c r="BH37" s="7683"/>
      <c r="BI37" s="7683"/>
      <c r="BJ37" s="7683"/>
      <c r="BK37" s="7683"/>
      <c r="BL37" s="7683"/>
      <c r="BM37" s="7683"/>
      <c r="BN37" s="7683"/>
      <c r="BO37" s="7683"/>
      <c r="BP37" s="7683"/>
      <c r="BQ37" s="7683"/>
      <c r="BR37" s="7683"/>
      <c r="BS37" s="7683"/>
      <c r="BT37" s="7684"/>
      <c r="BU37" s="7684"/>
      <c r="BV37" s="7684"/>
      <c r="BW37" s="7684"/>
      <c r="BX37" s="7684"/>
      <c r="BY37" s="7684"/>
      <c r="BZ37" s="7684"/>
      <c r="CA37" s="7684"/>
      <c r="CB37" s="7684"/>
      <c r="CC37" s="7684"/>
      <c r="CD37" s="7684"/>
      <c r="CE37" s="7684"/>
      <c r="CF37" s="7684"/>
      <c r="CG37" s="7684"/>
      <c r="CH37" s="7684"/>
      <c r="CI37" s="7684"/>
      <c r="CJ37" s="7684"/>
      <c r="CK37" s="7684"/>
      <c r="CL37" s="7683"/>
      <c r="CM37" s="7683"/>
      <c r="CN37" s="7683"/>
      <c r="CO37" s="7683"/>
      <c r="CP37" s="7683"/>
      <c r="CQ37" s="7683"/>
      <c r="CR37" s="7683"/>
      <c r="CS37" s="7683"/>
      <c r="CT37" s="7683"/>
      <c r="CU37" s="7683"/>
      <c r="CV37" s="7683"/>
      <c r="CW37" s="7683"/>
      <c r="CX37" s="7683"/>
      <c r="CY37" s="7684"/>
      <c r="CZ37" s="7684"/>
      <c r="DA37" s="7684"/>
      <c r="DB37" s="7684"/>
      <c r="DC37" s="7684"/>
      <c r="DD37" s="7684"/>
      <c r="DE37" s="7684"/>
      <c r="DF37" s="7684"/>
      <c r="DG37" s="7684"/>
      <c r="DH37" s="7684"/>
      <c r="DI37" s="7684"/>
      <c r="DJ37" s="7684"/>
      <c r="DK37" s="7683"/>
      <c r="DL37" s="7683"/>
      <c r="DM37" s="7683"/>
      <c r="DN37" s="7683"/>
      <c r="DO37" s="7683"/>
      <c r="DP37" s="7683"/>
      <c r="DQ37" s="7683"/>
      <c r="DR37" s="7683"/>
      <c r="DS37" s="7683"/>
      <c r="DT37" s="7683"/>
      <c r="DU37" s="7683"/>
      <c r="DV37" s="7683"/>
      <c r="DW37" s="7683"/>
      <c r="DX37" s="7683"/>
      <c r="DY37" s="7683"/>
      <c r="DZ37" s="7683"/>
      <c r="EA37" s="7683"/>
      <c r="EB37" s="7683"/>
      <c r="EC37" s="7683"/>
      <c r="ED37" s="7683"/>
      <c r="EE37" s="7683"/>
      <c r="EF37" s="7683"/>
      <c r="EG37" s="7683"/>
      <c r="EH37" s="7683"/>
      <c r="EI37" s="7683"/>
      <c r="EJ37" s="7683"/>
      <c r="EK37" s="7683"/>
      <c r="EL37" s="7683"/>
      <c r="EM37" s="7683"/>
      <c r="EN37" s="7683"/>
      <c r="EO37" s="7683"/>
      <c r="EP37" s="7683"/>
      <c r="EQ37" s="7683"/>
      <c r="ER37" s="7683"/>
      <c r="ES37" s="7683"/>
      <c r="ET37" s="7683"/>
      <c r="EU37" s="7683"/>
      <c r="EV37" s="7683"/>
      <c r="EW37" s="7683"/>
      <c r="EX37" s="7683"/>
      <c r="EY37" s="7683"/>
      <c r="EZ37" s="7683"/>
      <c r="FA37" s="7683"/>
      <c r="FB37" s="7683"/>
      <c r="FC37" s="7683"/>
      <c r="FD37" s="7683"/>
      <c r="FE37" s="7683"/>
      <c r="FF37" s="7683"/>
      <c r="FG37" s="7683"/>
      <c r="FH37" s="7683"/>
      <c r="FI37" s="7683"/>
      <c r="FJ37" s="7683"/>
      <c r="FK37" s="7683"/>
      <c r="FL37" s="7683"/>
      <c r="FM37" s="7683"/>
      <c r="FN37" s="7683"/>
      <c r="FO37" s="7683"/>
      <c r="FP37" s="7683"/>
      <c r="FQ37" s="7683"/>
      <c r="FR37" s="7683"/>
      <c r="FS37" s="7683"/>
      <c r="FT37" s="7683"/>
      <c r="FU37" s="7683"/>
      <c r="FV37" s="7683"/>
      <c r="FW37" s="7683"/>
      <c r="FX37" s="7359"/>
      <c r="FY37" s="7048"/>
      <c r="FZ37" s="7048"/>
      <c r="GA37" s="7048"/>
      <c r="GB37" s="7048"/>
    </row>
    <row s="7048" customFormat="1" customHeight="1" ht="12">
      <c r="A38" s="7048" t="s">
        <v>1206</v>
      </c>
      <c r="B38" s="7105"/>
      <c r="C38" s="7048"/>
      <c r="D38" s="7048"/>
      <c r="E38" s="7048"/>
      <c r="F38" s="9214"/>
      <c r="G38" s="9215" t="s">
        <v>1541</v>
      </c>
      <c r="H38" s="9216"/>
      <c r="I38" s="9217"/>
      <c r="J38" s="9218"/>
      <c r="K38" s="9219"/>
      <c r="L38" s="9220"/>
      <c r="M38" s="9221"/>
      <c r="N38" s="9222"/>
      <c r="O38" s="9223"/>
      <c r="P38" s="9224"/>
      <c r="Q38" s="9225"/>
      <c r="R38" s="9226"/>
      <c r="S38" s="9227"/>
      <c r="T38" s="9228"/>
      <c r="U38" s="9229"/>
      <c r="V38" s="9230"/>
      <c r="W38" s="9231"/>
      <c r="X38" s="9232"/>
      <c r="Y38" s="9233"/>
      <c r="Z38" s="9234"/>
      <c r="AA38" s="9235"/>
      <c r="AB38" s="9236"/>
      <c r="AC38" s="9237"/>
      <c r="AD38" s="9238"/>
      <c r="AE38" s="9239"/>
      <c r="AF38" s="9240"/>
      <c r="AG38" s="9241"/>
      <c r="AH38" s="9242"/>
      <c r="AI38" s="9243"/>
      <c r="AJ38" s="9244"/>
      <c r="AK38" s="9245"/>
      <c r="AL38" s="9246"/>
      <c r="AM38" s="9247"/>
      <c r="AN38" s="9248"/>
      <c r="AO38" s="9249"/>
      <c r="AP38" s="9250"/>
      <c r="AQ38" s="9251"/>
      <c r="AR38" s="9252"/>
      <c r="AS38" s="9253"/>
      <c r="AT38" s="9254"/>
      <c r="AU38" s="9255"/>
      <c r="AV38" s="9256"/>
      <c r="AW38" s="9257"/>
      <c r="AX38" s="9258"/>
      <c r="AY38" s="9259"/>
      <c r="AZ38" s="9260"/>
      <c r="BA38" s="9261"/>
      <c r="BB38" s="9262"/>
      <c r="BC38" s="9263"/>
      <c r="BD38" s="9264"/>
      <c r="BE38" s="9265"/>
      <c r="BF38" s="9266"/>
      <c r="BG38" s="9267"/>
      <c r="BH38" s="9268"/>
      <c r="BI38" s="9269"/>
      <c r="BJ38" s="9270"/>
      <c r="BK38" s="9271"/>
      <c r="BL38" s="9272"/>
      <c r="BM38" s="9273"/>
      <c r="BN38" s="9274"/>
      <c r="BO38" s="9275"/>
      <c r="BP38" s="9276"/>
      <c r="BQ38" s="9277"/>
      <c r="BR38" s="9278"/>
      <c r="BS38" s="9279"/>
      <c r="BT38" s="9280"/>
      <c r="BU38" s="9281"/>
      <c r="BV38" s="9282"/>
      <c r="BW38" s="9283"/>
      <c r="BX38" s="9284"/>
      <c r="BY38" s="9285"/>
      <c r="BZ38" s="9286"/>
      <c r="CA38" s="9287"/>
      <c r="CB38" s="9288"/>
      <c r="CC38" s="9289"/>
      <c r="CD38" s="9290"/>
      <c r="CE38" s="9291"/>
      <c r="CF38" s="9292"/>
      <c r="CG38" s="9293"/>
      <c r="CH38" s="9294"/>
      <c r="CI38" s="9295"/>
      <c r="CJ38" s="9296"/>
      <c r="CK38" s="9297"/>
      <c r="CL38" s="9298"/>
      <c r="CM38" s="9299"/>
      <c r="CN38" s="9300"/>
      <c r="CO38" s="9301"/>
      <c r="CP38" s="9302"/>
      <c r="CQ38" s="9303"/>
      <c r="CR38" s="9304"/>
      <c r="CS38" s="9305"/>
      <c r="CT38" s="9306"/>
      <c r="CU38" s="9307"/>
      <c r="CV38" s="9308"/>
      <c r="CW38" s="9309"/>
      <c r="CX38" s="9310"/>
      <c r="CY38" s="9311"/>
      <c r="CZ38" s="9312"/>
      <c r="DA38" s="9313"/>
      <c r="DB38" s="9314"/>
      <c r="DC38" s="9315"/>
      <c r="DD38" s="9316"/>
      <c r="DE38" s="9317"/>
      <c r="DF38" s="9318"/>
      <c r="DG38" s="9319"/>
      <c r="DH38" s="9320"/>
      <c r="DI38" s="9321"/>
      <c r="DJ38" s="9322"/>
      <c r="DK38" s="9323"/>
      <c r="DL38" s="9324"/>
      <c r="DM38" s="9325"/>
      <c r="DN38" s="9326"/>
      <c r="DO38" s="9327"/>
      <c r="DP38" s="9328"/>
      <c r="DQ38" s="9329"/>
      <c r="DR38" s="9330"/>
      <c r="DS38" s="9331"/>
      <c r="DT38" s="9332"/>
      <c r="DU38" s="9333"/>
      <c r="DV38" s="9334"/>
      <c r="DW38" s="9335"/>
      <c r="DX38" s="9336"/>
      <c r="DY38" s="9337"/>
      <c r="DZ38" s="9338"/>
      <c r="EA38" s="9339"/>
      <c r="EB38" s="9340"/>
      <c r="EC38" s="9341"/>
      <c r="ED38" s="9342"/>
      <c r="EE38" s="9343"/>
      <c r="EF38" s="9344"/>
      <c r="EG38" s="9345"/>
      <c r="EH38" s="9346"/>
      <c r="EI38" s="9347"/>
      <c r="EJ38" s="9348"/>
      <c r="EK38" s="9349"/>
      <c r="EL38" s="9350"/>
      <c r="EM38" s="9351"/>
      <c r="EN38" s="9352"/>
      <c r="EO38" s="9353"/>
      <c r="EP38" s="9354"/>
      <c r="EQ38" s="9355"/>
      <c r="ER38" s="9356"/>
      <c r="ES38" s="9357"/>
      <c r="ET38" s="9358"/>
      <c r="EU38" s="9359"/>
      <c r="EV38" s="9360"/>
      <c r="EW38" s="9361"/>
      <c r="EX38" s="9362"/>
      <c r="EY38" s="9363"/>
      <c r="EZ38" s="9364"/>
      <c r="FA38" s="9365"/>
      <c r="FB38" s="9366"/>
      <c r="FC38" s="9367"/>
      <c r="FD38" s="9368"/>
      <c r="FE38" s="9369"/>
      <c r="FF38" s="9370"/>
      <c r="FG38" s="9371"/>
      <c r="FH38" s="9372"/>
      <c r="FI38" s="9373"/>
      <c r="FJ38" s="9374"/>
      <c r="FK38" s="9375"/>
      <c r="FL38" s="9376"/>
      <c r="FM38" s="9377"/>
      <c r="FN38" s="9378"/>
      <c r="FO38" s="9379"/>
      <c r="FP38" s="9380"/>
      <c r="FQ38" s="9381"/>
      <c r="FR38" s="9382"/>
      <c r="FS38" s="9383"/>
      <c r="FT38" s="9384"/>
      <c r="FU38" s="9385"/>
      <c r="FV38" s="9386"/>
      <c r="FW38" s="9387"/>
      <c r="FX38" s="7689"/>
      <c r="FY38" s="7501"/>
      <c r="FZ38" s="7501"/>
      <c r="GA38" s="7501"/>
      <c r="GB38" s="7501"/>
    </row>
    <row s="7048" customFormat="1" customHeight="1" ht="21">
      <c r="A39" s="6959" t="s">
        <v>1212</v>
      </c>
      <c r="B39" s="7105"/>
      <c r="C39" s="7048"/>
      <c r="D39" s="7048"/>
      <c r="E39" s="7099" t="s">
        <v>22</v>
      </c>
      <c r="F39" s="7672" t="str">
        <f>INDEX(IP_MAIN_LIST_NAME_IP,MATCH(A39,IP_MAIN_LIST_IP_ID,0))&amp;" ("&amp;INDEX(IP_MAIN_START_DATE,MATCH(A39,IP_MAIN_LIST_IP_ID,0))&amp;"-"&amp;INDEX(IP_MAIN_END_DATE,MATCH(A39,IP_MAIN_LIST_IP_ID,0))&amp;")"</f>
        <v>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 (01.01.2024-31.12.2028)</v>
      </c>
      <c r="G39" s="7673"/>
      <c r="H39" s="7674"/>
      <c r="I39" s="7674"/>
      <c r="J39" s="7674"/>
      <c r="K39" s="7674"/>
      <c r="L39" s="7674"/>
      <c r="M39" s="7674"/>
      <c r="N39" s="7674"/>
      <c r="O39" s="7673"/>
      <c r="P39" s="7673"/>
      <c r="Q39" s="7673"/>
      <c r="R39" s="7673"/>
      <c r="S39" s="7673"/>
      <c r="T39" s="7673"/>
      <c r="U39" s="7675"/>
      <c r="V39" s="7675"/>
      <c r="W39" s="7675"/>
      <c r="X39" s="7675"/>
      <c r="Y39" s="7675"/>
      <c r="Z39" s="7675"/>
      <c r="AA39" s="7675"/>
      <c r="AB39" s="7673"/>
      <c r="AC39" s="7674"/>
      <c r="AD39" s="7674"/>
      <c r="AE39" s="7674"/>
      <c r="AF39" s="7674"/>
      <c r="AG39" s="7674"/>
      <c r="AH39" s="7674"/>
      <c r="AI39" s="7674"/>
      <c r="AJ39" s="7674"/>
      <c r="AK39" s="7674"/>
      <c r="AL39" s="7674"/>
      <c r="AM39" s="7674"/>
      <c r="AN39" s="7674"/>
      <c r="AO39" s="7674"/>
      <c r="AP39" s="7674"/>
      <c r="AQ39" s="7674"/>
      <c r="AR39" s="7674"/>
      <c r="AS39" s="7674"/>
      <c r="AT39" s="7674"/>
      <c r="AU39" s="7674"/>
      <c r="AV39" s="7674"/>
      <c r="AW39" s="7674"/>
      <c r="AX39" s="7674"/>
      <c r="AY39" s="7674"/>
      <c r="AZ39" s="7674"/>
      <c r="BA39" s="7674"/>
      <c r="BB39" s="7674"/>
      <c r="BC39" s="7674"/>
      <c r="BD39" s="7674"/>
      <c r="BE39" s="7674"/>
      <c r="BF39" s="7674"/>
      <c r="BG39" s="7674"/>
      <c r="BH39" s="7674"/>
      <c r="BI39" s="7674"/>
      <c r="BJ39" s="7674"/>
      <c r="BK39" s="7674"/>
      <c r="BL39" s="7674"/>
      <c r="BM39" s="7674"/>
      <c r="BN39" s="7674"/>
      <c r="BO39" s="7674"/>
      <c r="BP39" s="7674"/>
      <c r="BQ39" s="7674"/>
      <c r="BR39" s="7674"/>
      <c r="BS39" s="7674"/>
      <c r="BT39" s="7674"/>
      <c r="BU39" s="7674"/>
      <c r="BV39" s="7674"/>
      <c r="BW39" s="7674"/>
      <c r="BX39" s="7674"/>
      <c r="BY39" s="7674"/>
      <c r="BZ39" s="7674"/>
      <c r="CA39" s="7674"/>
      <c r="CB39" s="7674"/>
      <c r="CC39" s="7674"/>
      <c r="CD39" s="7674"/>
      <c r="CE39" s="7674"/>
      <c r="CF39" s="7674"/>
      <c r="CG39" s="7674"/>
      <c r="CH39" s="7674"/>
      <c r="CI39" s="7674"/>
      <c r="CJ39" s="7674"/>
      <c r="CK39" s="7674"/>
      <c r="CL39" s="7676"/>
      <c r="CM39" s="7676"/>
      <c r="CN39" s="7676"/>
      <c r="CO39" s="7676"/>
      <c r="CP39" s="7676"/>
      <c r="CQ39" s="7676"/>
      <c r="CR39" s="7676"/>
      <c r="CS39" s="7676"/>
      <c r="CT39" s="7676"/>
      <c r="CU39" s="7676"/>
      <c r="CV39" s="7676"/>
      <c r="CW39" s="7676"/>
      <c r="CX39" s="7676"/>
      <c r="CY39" s="7676"/>
      <c r="CZ39" s="7676"/>
      <c r="DA39" s="7676"/>
      <c r="DB39" s="7676"/>
      <c r="DC39" s="7676"/>
      <c r="DD39" s="7676"/>
      <c r="DE39" s="7676"/>
      <c r="DF39" s="7676"/>
      <c r="DG39" s="7676"/>
      <c r="DH39" s="7676"/>
      <c r="DI39" s="7676"/>
      <c r="DJ39" s="7676"/>
      <c r="DK39" s="7676"/>
      <c r="DL39" s="7676"/>
      <c r="DM39" s="7676"/>
      <c r="DN39" s="7676"/>
      <c r="DO39" s="7676"/>
      <c r="DP39" s="7676"/>
      <c r="DQ39" s="7676"/>
      <c r="DR39" s="7676"/>
      <c r="DS39" s="7676"/>
      <c r="DT39" s="7676"/>
      <c r="DU39" s="7676"/>
      <c r="DV39" s="7676"/>
      <c r="DW39" s="7676"/>
      <c r="DX39" s="7676"/>
      <c r="DY39" s="7676"/>
      <c r="DZ39" s="7676"/>
      <c r="EA39" s="7676"/>
      <c r="EB39" s="7676"/>
      <c r="EC39" s="7676"/>
      <c r="ED39" s="7676"/>
      <c r="EE39" s="7676"/>
      <c r="EF39" s="7676"/>
      <c r="EG39" s="7676"/>
      <c r="EH39" s="7676"/>
      <c r="EI39" s="7676"/>
      <c r="EJ39" s="7676"/>
      <c r="EK39" s="7676"/>
      <c r="EL39" s="7676"/>
      <c r="EM39" s="7676"/>
      <c r="EN39" s="7676"/>
      <c r="EO39" s="7676"/>
      <c r="EP39" s="7676"/>
      <c r="EQ39" s="7676"/>
      <c r="ER39" s="7676"/>
      <c r="ES39" s="7676"/>
      <c r="ET39" s="7676"/>
      <c r="EU39" s="7676"/>
      <c r="EV39" s="7676"/>
      <c r="EW39" s="7676"/>
      <c r="EX39" s="7676"/>
      <c r="EY39" s="7676"/>
      <c r="EZ39" s="7676"/>
      <c r="FA39" s="7676"/>
      <c r="FB39" s="7676"/>
      <c r="FC39" s="7676"/>
      <c r="FD39" s="7676"/>
      <c r="FE39" s="7676"/>
      <c r="FF39" s="7676"/>
      <c r="FG39" s="7676"/>
      <c r="FH39" s="7676"/>
      <c r="FI39" s="7676"/>
      <c r="FJ39" s="7676"/>
      <c r="FK39" s="7676"/>
      <c r="FL39" s="7676"/>
      <c r="FM39" s="7676"/>
      <c r="FN39" s="7676"/>
      <c r="FO39" s="7676"/>
      <c r="FP39" s="7676"/>
      <c r="FQ39" s="7676"/>
      <c r="FR39" s="7676"/>
      <c r="FS39" s="7676"/>
      <c r="FT39" s="7676"/>
      <c r="FU39" s="7676"/>
      <c r="FV39" s="7677"/>
      <c r="FW39" s="7110"/>
      <c r="FX39" s="7359"/>
      <c r="FY39" s="7048"/>
      <c r="FZ39" s="7048"/>
      <c r="GA39" s="7048"/>
      <c r="GB39" s="7048"/>
    </row>
    <row s="7048" customFormat="1" customHeight="1" ht="24.75">
      <c r="A40" s="7048" t="s">
        <v>1212</v>
      </c>
      <c r="B40" s="7105"/>
      <c r="C40" s="7048"/>
      <c r="D40" s="7048"/>
      <c r="E40" s="7954"/>
      <c r="F40" s="7679">
        <v>1</v>
      </c>
      <c r="G40" s="7680" t="s">
        <v>1160</v>
      </c>
      <c r="H40" s="7681" t="s">
        <v>67</v>
      </c>
      <c r="I40" s="7682" t="s">
        <v>1540</v>
      </c>
      <c r="J40" s="7683"/>
      <c r="K40" s="7683"/>
      <c r="L40" s="7683"/>
      <c r="M40" s="7683"/>
      <c r="N40" s="7683"/>
      <c r="O40" s="7684">
        <v>0</v>
      </c>
      <c r="P40" s="7684">
        <v>0</v>
      </c>
      <c r="Q40" s="7684">
        <v>0</v>
      </c>
      <c r="R40" s="7684">
        <v>0</v>
      </c>
      <c r="S40" s="7684">
        <v>0.15</v>
      </c>
      <c r="T40" s="7684">
        <v>0.15</v>
      </c>
      <c r="U40" s="7684">
        <v>1.31</v>
      </c>
      <c r="V40" s="7684">
        <v>1.31</v>
      </c>
      <c r="W40" s="7684">
        <v>0</v>
      </c>
      <c r="X40" s="7684">
        <v>0</v>
      </c>
      <c r="Y40" s="7684">
        <v>1397.97</v>
      </c>
      <c r="Z40" s="7684">
        <v>1397.97</v>
      </c>
      <c r="AA40" s="7684">
        <v>0</v>
      </c>
      <c r="AB40" s="7684">
        <v>0</v>
      </c>
      <c r="AC40" s="7683"/>
      <c r="AD40" s="7683"/>
      <c r="AE40" s="7683"/>
      <c r="AF40" s="7683"/>
      <c r="AG40" s="7683"/>
      <c r="AH40" s="7683"/>
      <c r="AI40" s="7683"/>
      <c r="AJ40" s="7683"/>
      <c r="AK40" s="7683"/>
      <c r="AL40" s="7683"/>
      <c r="AM40" s="7683"/>
      <c r="AN40" s="7683"/>
      <c r="AO40" s="7683"/>
      <c r="AP40" s="7683"/>
      <c r="AQ40" s="7683"/>
      <c r="AR40" s="7683"/>
      <c r="AS40" s="7683"/>
      <c r="AT40" s="7683"/>
      <c r="AU40" s="7683"/>
      <c r="AV40" s="7683"/>
      <c r="AW40" s="7683"/>
      <c r="AX40" s="7683"/>
      <c r="AY40" s="7683"/>
      <c r="AZ40" s="7683"/>
      <c r="BA40" s="7683"/>
      <c r="BB40" s="7683"/>
      <c r="BC40" s="7683"/>
      <c r="BD40" s="7683"/>
      <c r="BE40" s="7683"/>
      <c r="BF40" s="7683"/>
      <c r="BG40" s="7683"/>
      <c r="BH40" s="7683"/>
      <c r="BI40" s="7683"/>
      <c r="BJ40" s="7683"/>
      <c r="BK40" s="7683"/>
      <c r="BL40" s="7683"/>
      <c r="BM40" s="7683"/>
      <c r="BN40" s="7683"/>
      <c r="BO40" s="7683"/>
      <c r="BP40" s="7683"/>
      <c r="BQ40" s="7683"/>
      <c r="BR40" s="7683"/>
      <c r="BS40" s="7683"/>
      <c r="BT40" s="7684"/>
      <c r="BU40" s="7684"/>
      <c r="BV40" s="7684"/>
      <c r="BW40" s="7684"/>
      <c r="BX40" s="7684"/>
      <c r="BY40" s="7684"/>
      <c r="BZ40" s="7684"/>
      <c r="CA40" s="7684"/>
      <c r="CB40" s="7684"/>
      <c r="CC40" s="7684"/>
      <c r="CD40" s="7684"/>
      <c r="CE40" s="7684"/>
      <c r="CF40" s="7684"/>
      <c r="CG40" s="7684"/>
      <c r="CH40" s="7684"/>
      <c r="CI40" s="7684"/>
      <c r="CJ40" s="7684"/>
      <c r="CK40" s="7684"/>
      <c r="CL40" s="7683"/>
      <c r="CM40" s="7683"/>
      <c r="CN40" s="7683"/>
      <c r="CO40" s="7683"/>
      <c r="CP40" s="7683"/>
      <c r="CQ40" s="7683"/>
      <c r="CR40" s="7683"/>
      <c r="CS40" s="7683"/>
      <c r="CT40" s="7683"/>
      <c r="CU40" s="7683"/>
      <c r="CV40" s="7683"/>
      <c r="CW40" s="7683"/>
      <c r="CX40" s="7683"/>
      <c r="CY40" s="7684"/>
      <c r="CZ40" s="7684"/>
      <c r="DA40" s="7684"/>
      <c r="DB40" s="7684"/>
      <c r="DC40" s="7684"/>
      <c r="DD40" s="7684"/>
      <c r="DE40" s="7684"/>
      <c r="DF40" s="7684"/>
      <c r="DG40" s="7684"/>
      <c r="DH40" s="7684"/>
      <c r="DI40" s="7684"/>
      <c r="DJ40" s="7684"/>
      <c r="DK40" s="7683"/>
      <c r="DL40" s="7683"/>
      <c r="DM40" s="7683"/>
      <c r="DN40" s="7683"/>
      <c r="DO40" s="7683"/>
      <c r="DP40" s="7683"/>
      <c r="DQ40" s="7683"/>
      <c r="DR40" s="7683"/>
      <c r="DS40" s="7683"/>
      <c r="DT40" s="7683"/>
      <c r="DU40" s="7683"/>
      <c r="DV40" s="7683"/>
      <c r="DW40" s="7683"/>
      <c r="DX40" s="7683"/>
      <c r="DY40" s="7683"/>
      <c r="DZ40" s="7683"/>
      <c r="EA40" s="7683"/>
      <c r="EB40" s="7683"/>
      <c r="EC40" s="7683"/>
      <c r="ED40" s="7683"/>
      <c r="EE40" s="7683"/>
      <c r="EF40" s="7683"/>
      <c r="EG40" s="7683"/>
      <c r="EH40" s="7683"/>
      <c r="EI40" s="7683"/>
      <c r="EJ40" s="7683"/>
      <c r="EK40" s="7683"/>
      <c r="EL40" s="7683"/>
      <c r="EM40" s="7683"/>
      <c r="EN40" s="7683"/>
      <c r="EO40" s="7683"/>
      <c r="EP40" s="7683"/>
      <c r="EQ40" s="7683"/>
      <c r="ER40" s="7683"/>
      <c r="ES40" s="7683"/>
      <c r="ET40" s="7683"/>
      <c r="EU40" s="7683"/>
      <c r="EV40" s="7683"/>
      <c r="EW40" s="7683"/>
      <c r="EX40" s="7683"/>
      <c r="EY40" s="7683"/>
      <c r="EZ40" s="7683"/>
      <c r="FA40" s="7683"/>
      <c r="FB40" s="7683"/>
      <c r="FC40" s="7683"/>
      <c r="FD40" s="7683"/>
      <c r="FE40" s="7683"/>
      <c r="FF40" s="7683"/>
      <c r="FG40" s="7683"/>
      <c r="FH40" s="7683"/>
      <c r="FI40" s="7683"/>
      <c r="FJ40" s="7683"/>
      <c r="FK40" s="7683"/>
      <c r="FL40" s="7683"/>
      <c r="FM40" s="7683"/>
      <c r="FN40" s="7683"/>
      <c r="FO40" s="7683"/>
      <c r="FP40" s="7683"/>
      <c r="FQ40" s="7683"/>
      <c r="FR40" s="7683"/>
      <c r="FS40" s="7683"/>
      <c r="FT40" s="7683"/>
      <c r="FU40" s="7683"/>
      <c r="FV40" s="7683"/>
      <c r="FW40" s="7683"/>
      <c r="FX40" s="7359"/>
      <c r="FY40" s="7048"/>
      <c r="FZ40" s="7048"/>
      <c r="GA40" s="7048"/>
      <c r="GB40" s="7048"/>
    </row>
    <row s="7048" customFormat="1" customHeight="1" ht="12">
      <c r="A41" s="7048" t="s">
        <v>1212</v>
      </c>
      <c r="B41" s="7105"/>
      <c r="C41" s="7048"/>
      <c r="D41" s="7048"/>
      <c r="E41" s="7048"/>
      <c r="F41" s="9388"/>
      <c r="G41" s="9389" t="s">
        <v>1541</v>
      </c>
      <c r="H41" s="9390"/>
      <c r="I41" s="9391"/>
      <c r="J41" s="9392"/>
      <c r="K41" s="9393"/>
      <c r="L41" s="9394"/>
      <c r="M41" s="9395"/>
      <c r="N41" s="9396"/>
      <c r="O41" s="9397"/>
      <c r="P41" s="9398"/>
      <c r="Q41" s="9399"/>
      <c r="R41" s="9400"/>
      <c r="S41" s="9401"/>
      <c r="T41" s="9402"/>
      <c r="U41" s="9403"/>
      <c r="V41" s="9404"/>
      <c r="W41" s="9405"/>
      <c r="X41" s="9406"/>
      <c r="Y41" s="9407"/>
      <c r="Z41" s="9408"/>
      <c r="AA41" s="9409"/>
      <c r="AB41" s="9410"/>
      <c r="AC41" s="9411"/>
      <c r="AD41" s="9412"/>
      <c r="AE41" s="9413"/>
      <c r="AF41" s="9414"/>
      <c r="AG41" s="9415"/>
      <c r="AH41" s="9416"/>
      <c r="AI41" s="9417"/>
      <c r="AJ41" s="9418"/>
      <c r="AK41" s="9419"/>
      <c r="AL41" s="9420"/>
      <c r="AM41" s="9421"/>
      <c r="AN41" s="9422"/>
      <c r="AO41" s="9423"/>
      <c r="AP41" s="9424"/>
      <c r="AQ41" s="9425"/>
      <c r="AR41" s="9426"/>
      <c r="AS41" s="9427"/>
      <c r="AT41" s="9428"/>
      <c r="AU41" s="9429"/>
      <c r="AV41" s="9430"/>
      <c r="AW41" s="9431"/>
      <c r="AX41" s="9432"/>
      <c r="AY41" s="9433"/>
      <c r="AZ41" s="9434"/>
      <c r="BA41" s="9435"/>
      <c r="BB41" s="9436"/>
      <c r="BC41" s="9437"/>
      <c r="BD41" s="9438"/>
      <c r="BE41" s="9439"/>
      <c r="BF41" s="9440"/>
      <c r="BG41" s="9441"/>
      <c r="BH41" s="9442"/>
      <c r="BI41" s="9443"/>
      <c r="BJ41" s="9444"/>
      <c r="BK41" s="9445"/>
      <c r="BL41" s="9446"/>
      <c r="BM41" s="9447"/>
      <c r="BN41" s="9448"/>
      <c r="BO41" s="9449"/>
      <c r="BP41" s="9450"/>
      <c r="BQ41" s="9451"/>
      <c r="BR41" s="9452"/>
      <c r="BS41" s="9453"/>
      <c r="BT41" s="9454"/>
      <c r="BU41" s="9455"/>
      <c r="BV41" s="9456"/>
      <c r="BW41" s="9457"/>
      <c r="BX41" s="9458"/>
      <c r="BY41" s="9459"/>
      <c r="BZ41" s="9460"/>
      <c r="CA41" s="9461"/>
      <c r="CB41" s="9462"/>
      <c r="CC41" s="9463"/>
      <c r="CD41" s="9464"/>
      <c r="CE41" s="9465"/>
      <c r="CF41" s="9466"/>
      <c r="CG41" s="9467"/>
      <c r="CH41" s="9468"/>
      <c r="CI41" s="9469"/>
      <c r="CJ41" s="9470"/>
      <c r="CK41" s="9471"/>
      <c r="CL41" s="9472"/>
      <c r="CM41" s="9473"/>
      <c r="CN41" s="9474"/>
      <c r="CO41" s="9475"/>
      <c r="CP41" s="9476"/>
      <c r="CQ41" s="9477"/>
      <c r="CR41" s="9478"/>
      <c r="CS41" s="9479"/>
      <c r="CT41" s="9480"/>
      <c r="CU41" s="9481"/>
      <c r="CV41" s="9482"/>
      <c r="CW41" s="9483"/>
      <c r="CX41" s="9484"/>
      <c r="CY41" s="9485"/>
      <c r="CZ41" s="9486"/>
      <c r="DA41" s="9487"/>
      <c r="DB41" s="9488"/>
      <c r="DC41" s="9489"/>
      <c r="DD41" s="9490"/>
      <c r="DE41" s="9491"/>
      <c r="DF41" s="9492"/>
      <c r="DG41" s="9493"/>
      <c r="DH41" s="9494"/>
      <c r="DI41" s="9495"/>
      <c r="DJ41" s="9496"/>
      <c r="DK41" s="9497"/>
      <c r="DL41" s="9498"/>
      <c r="DM41" s="9499"/>
      <c r="DN41" s="9500"/>
      <c r="DO41" s="9501"/>
      <c r="DP41" s="9502"/>
      <c r="DQ41" s="9503"/>
      <c r="DR41" s="9504"/>
      <c r="DS41" s="9505"/>
      <c r="DT41" s="9506"/>
      <c r="DU41" s="9507"/>
      <c r="DV41" s="9508"/>
      <c r="DW41" s="9509"/>
      <c r="DX41" s="9510"/>
      <c r="DY41" s="9511"/>
      <c r="DZ41" s="9512"/>
      <c r="EA41" s="9513"/>
      <c r="EB41" s="9514"/>
      <c r="EC41" s="9515"/>
      <c r="ED41" s="9516"/>
      <c r="EE41" s="9517"/>
      <c r="EF41" s="9518"/>
      <c r="EG41" s="9519"/>
      <c r="EH41" s="9520"/>
      <c r="EI41" s="9521"/>
      <c r="EJ41" s="9522"/>
      <c r="EK41" s="9523"/>
      <c r="EL41" s="9524"/>
      <c r="EM41" s="9525"/>
      <c r="EN41" s="9526"/>
      <c r="EO41" s="9527"/>
      <c r="EP41" s="9528"/>
      <c r="EQ41" s="9529"/>
      <c r="ER41" s="9530"/>
      <c r="ES41" s="9531"/>
      <c r="ET41" s="9532"/>
      <c r="EU41" s="9533"/>
      <c r="EV41" s="9534"/>
      <c r="EW41" s="9535"/>
      <c r="EX41" s="9536"/>
      <c r="EY41" s="9537"/>
      <c r="EZ41" s="9538"/>
      <c r="FA41" s="9539"/>
      <c r="FB41" s="9540"/>
      <c r="FC41" s="9541"/>
      <c r="FD41" s="9542"/>
      <c r="FE41" s="9543"/>
      <c r="FF41" s="9544"/>
      <c r="FG41" s="9545"/>
      <c r="FH41" s="9546"/>
      <c r="FI41" s="9547"/>
      <c r="FJ41" s="9548"/>
      <c r="FK41" s="9549"/>
      <c r="FL41" s="9550"/>
      <c r="FM41" s="9551"/>
      <c r="FN41" s="9552"/>
      <c r="FO41" s="9553"/>
      <c r="FP41" s="9554"/>
      <c r="FQ41" s="9555"/>
      <c r="FR41" s="9556"/>
      <c r="FS41" s="9557"/>
      <c r="FT41" s="9558"/>
      <c r="FU41" s="9559"/>
      <c r="FV41" s="9560"/>
      <c r="FW41" s="9561"/>
      <c r="FX41" s="7689"/>
      <c r="FY41" s="7501"/>
      <c r="FZ41" s="7501"/>
      <c r="GA41" s="7501"/>
      <c r="GB41" s="7501"/>
    </row>
    <row s="7048" customFormat="1" customHeight="1" ht="21">
      <c r="A42" s="6959" t="s">
        <v>1218</v>
      </c>
      <c r="B42" s="7105"/>
      <c r="C42" s="7048"/>
      <c r="D42" s="7048"/>
      <c r="E42" s="7099" t="s">
        <v>22</v>
      </c>
      <c r="F42" s="7672" t="str">
        <f>INDEX(IP_MAIN_LIST_NAME_IP,MATCH(A42,IP_MAIN_LIST_IP_ID,0))&amp;" ("&amp;INDEX(IP_MAIN_START_DATE,MATCH(A42,IP_MAIN_LIST_IP_ID,0))&amp;"-"&amp;INDEX(IP_MAIN_END_DATE,MATCH(A42,IP_MAIN_LIST_IP_ID,0))&amp;")"</f>
        <v>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 (01.01.2024-31.12.2028)</v>
      </c>
      <c r="G42" s="7673"/>
      <c r="H42" s="7674"/>
      <c r="I42" s="7674"/>
      <c r="J42" s="7674"/>
      <c r="K42" s="7674"/>
      <c r="L42" s="7674"/>
      <c r="M42" s="7674"/>
      <c r="N42" s="7674"/>
      <c r="O42" s="7673"/>
      <c r="P42" s="7673"/>
      <c r="Q42" s="7673"/>
      <c r="R42" s="7673"/>
      <c r="S42" s="7673"/>
      <c r="T42" s="7673"/>
      <c r="U42" s="7675"/>
      <c r="V42" s="7675"/>
      <c r="W42" s="7675"/>
      <c r="X42" s="7675"/>
      <c r="Y42" s="7675"/>
      <c r="Z42" s="7675"/>
      <c r="AA42" s="7675"/>
      <c r="AB42" s="7673"/>
      <c r="AC42" s="7674"/>
      <c r="AD42" s="7674"/>
      <c r="AE42" s="7674"/>
      <c r="AF42" s="7674"/>
      <c r="AG42" s="7674"/>
      <c r="AH42" s="7674"/>
      <c r="AI42" s="7674"/>
      <c r="AJ42" s="7674"/>
      <c r="AK42" s="7674"/>
      <c r="AL42" s="7674"/>
      <c r="AM42" s="7674"/>
      <c r="AN42" s="7674"/>
      <c r="AO42" s="7674"/>
      <c r="AP42" s="7674"/>
      <c r="AQ42" s="7674"/>
      <c r="AR42" s="7674"/>
      <c r="AS42" s="7674"/>
      <c r="AT42" s="7674"/>
      <c r="AU42" s="7674"/>
      <c r="AV42" s="7674"/>
      <c r="AW42" s="7674"/>
      <c r="AX42" s="7674"/>
      <c r="AY42" s="7674"/>
      <c r="AZ42" s="7674"/>
      <c r="BA42" s="7674"/>
      <c r="BB42" s="7674"/>
      <c r="BC42" s="7674"/>
      <c r="BD42" s="7674"/>
      <c r="BE42" s="7674"/>
      <c r="BF42" s="7674"/>
      <c r="BG42" s="7674"/>
      <c r="BH42" s="7674"/>
      <c r="BI42" s="7674"/>
      <c r="BJ42" s="7674"/>
      <c r="BK42" s="7674"/>
      <c r="BL42" s="7674"/>
      <c r="BM42" s="7674"/>
      <c r="BN42" s="7674"/>
      <c r="BO42" s="7674"/>
      <c r="BP42" s="7674"/>
      <c r="BQ42" s="7674"/>
      <c r="BR42" s="7674"/>
      <c r="BS42" s="7674"/>
      <c r="BT42" s="7674"/>
      <c r="BU42" s="7674"/>
      <c r="BV42" s="7674"/>
      <c r="BW42" s="7674"/>
      <c r="BX42" s="7674"/>
      <c r="BY42" s="7674"/>
      <c r="BZ42" s="7674"/>
      <c r="CA42" s="7674"/>
      <c r="CB42" s="7674"/>
      <c r="CC42" s="7674"/>
      <c r="CD42" s="7674"/>
      <c r="CE42" s="7674"/>
      <c r="CF42" s="7674"/>
      <c r="CG42" s="7674"/>
      <c r="CH42" s="7674"/>
      <c r="CI42" s="7674"/>
      <c r="CJ42" s="7674"/>
      <c r="CK42" s="7674"/>
      <c r="CL42" s="7676"/>
      <c r="CM42" s="7676"/>
      <c r="CN42" s="7676"/>
      <c r="CO42" s="7676"/>
      <c r="CP42" s="7676"/>
      <c r="CQ42" s="7676"/>
      <c r="CR42" s="7676"/>
      <c r="CS42" s="7676"/>
      <c r="CT42" s="7676"/>
      <c r="CU42" s="7676"/>
      <c r="CV42" s="7676"/>
      <c r="CW42" s="7676"/>
      <c r="CX42" s="7676"/>
      <c r="CY42" s="7676"/>
      <c r="CZ42" s="7676"/>
      <c r="DA42" s="7676"/>
      <c r="DB42" s="7676"/>
      <c r="DC42" s="7676"/>
      <c r="DD42" s="7676"/>
      <c r="DE42" s="7676"/>
      <c r="DF42" s="7676"/>
      <c r="DG42" s="7676"/>
      <c r="DH42" s="7676"/>
      <c r="DI42" s="7676"/>
      <c r="DJ42" s="7676"/>
      <c r="DK42" s="7676"/>
      <c r="DL42" s="7676"/>
      <c r="DM42" s="7676"/>
      <c r="DN42" s="7676"/>
      <c r="DO42" s="7676"/>
      <c r="DP42" s="7676"/>
      <c r="DQ42" s="7676"/>
      <c r="DR42" s="7676"/>
      <c r="DS42" s="7676"/>
      <c r="DT42" s="7676"/>
      <c r="DU42" s="7676"/>
      <c r="DV42" s="7676"/>
      <c r="DW42" s="7676"/>
      <c r="DX42" s="7676"/>
      <c r="DY42" s="7676"/>
      <c r="DZ42" s="7676"/>
      <c r="EA42" s="7676"/>
      <c r="EB42" s="7676"/>
      <c r="EC42" s="7676"/>
      <c r="ED42" s="7676"/>
      <c r="EE42" s="7676"/>
      <c r="EF42" s="7676"/>
      <c r="EG42" s="7676"/>
      <c r="EH42" s="7676"/>
      <c r="EI42" s="7676"/>
      <c r="EJ42" s="7676"/>
      <c r="EK42" s="7676"/>
      <c r="EL42" s="7676"/>
      <c r="EM42" s="7676"/>
      <c r="EN42" s="7676"/>
      <c r="EO42" s="7676"/>
      <c r="EP42" s="7676"/>
      <c r="EQ42" s="7676"/>
      <c r="ER42" s="7676"/>
      <c r="ES42" s="7676"/>
      <c r="ET42" s="7676"/>
      <c r="EU42" s="7676"/>
      <c r="EV42" s="7676"/>
      <c r="EW42" s="7676"/>
      <c r="EX42" s="7676"/>
      <c r="EY42" s="7676"/>
      <c r="EZ42" s="7676"/>
      <c r="FA42" s="7676"/>
      <c r="FB42" s="7676"/>
      <c r="FC42" s="7676"/>
      <c r="FD42" s="7676"/>
      <c r="FE42" s="7676"/>
      <c r="FF42" s="7676"/>
      <c r="FG42" s="7676"/>
      <c r="FH42" s="7676"/>
      <c r="FI42" s="7676"/>
      <c r="FJ42" s="7676"/>
      <c r="FK42" s="7676"/>
      <c r="FL42" s="7676"/>
      <c r="FM42" s="7676"/>
      <c r="FN42" s="7676"/>
      <c r="FO42" s="7676"/>
      <c r="FP42" s="7676"/>
      <c r="FQ42" s="7676"/>
      <c r="FR42" s="7676"/>
      <c r="FS42" s="7676"/>
      <c r="FT42" s="7676"/>
      <c r="FU42" s="7676"/>
      <c r="FV42" s="7677"/>
      <c r="FW42" s="7110"/>
      <c r="FX42" s="7359"/>
      <c r="FY42" s="7048"/>
      <c r="FZ42" s="7048"/>
      <c r="GA42" s="7048"/>
      <c r="GB42" s="7048"/>
    </row>
    <row s="7048" customFormat="1" customHeight="1" ht="24.75">
      <c r="A43" s="7048" t="s">
        <v>1218</v>
      </c>
      <c r="B43" s="7105"/>
      <c r="C43" s="7048"/>
      <c r="D43" s="7048"/>
      <c r="E43" s="7954"/>
      <c r="F43" s="7679">
        <v>1</v>
      </c>
      <c r="G43" s="7680" t="s">
        <v>1160</v>
      </c>
      <c r="H43" s="7681" t="s">
        <v>67</v>
      </c>
      <c r="I43" s="7682" t="s">
        <v>1540</v>
      </c>
      <c r="J43" s="7683"/>
      <c r="K43" s="7683"/>
      <c r="L43" s="7683"/>
      <c r="M43" s="7683"/>
      <c r="N43" s="7683"/>
      <c r="O43" s="7684">
        <v>0</v>
      </c>
      <c r="P43" s="7684">
        <v>0</v>
      </c>
      <c r="Q43" s="7684">
        <v>0</v>
      </c>
      <c r="R43" s="7684">
        <v>0</v>
      </c>
      <c r="S43" s="7684">
        <v>0.15</v>
      </c>
      <c r="T43" s="7684">
        <v>0.15</v>
      </c>
      <c r="U43" s="7684">
        <v>1.32</v>
      </c>
      <c r="V43" s="7684">
        <v>1.32</v>
      </c>
      <c r="W43" s="7684">
        <v>0</v>
      </c>
      <c r="X43" s="7684">
        <v>0</v>
      </c>
      <c r="Y43" s="7684">
        <v>578.8</v>
      </c>
      <c r="Z43" s="7684">
        <v>578.8</v>
      </c>
      <c r="AA43" s="7684">
        <v>0</v>
      </c>
      <c r="AB43" s="7684">
        <v>0</v>
      </c>
      <c r="AC43" s="7683"/>
      <c r="AD43" s="7683"/>
      <c r="AE43" s="7683"/>
      <c r="AF43" s="7683"/>
      <c r="AG43" s="7683"/>
      <c r="AH43" s="7683"/>
      <c r="AI43" s="7683"/>
      <c r="AJ43" s="7683"/>
      <c r="AK43" s="7683"/>
      <c r="AL43" s="7683"/>
      <c r="AM43" s="7683"/>
      <c r="AN43" s="7683"/>
      <c r="AO43" s="7683"/>
      <c r="AP43" s="7683"/>
      <c r="AQ43" s="7683"/>
      <c r="AR43" s="7683"/>
      <c r="AS43" s="7683"/>
      <c r="AT43" s="7683"/>
      <c r="AU43" s="7683"/>
      <c r="AV43" s="7683"/>
      <c r="AW43" s="7683"/>
      <c r="AX43" s="7683"/>
      <c r="AY43" s="7683"/>
      <c r="AZ43" s="7683"/>
      <c r="BA43" s="7683"/>
      <c r="BB43" s="7683"/>
      <c r="BC43" s="7683"/>
      <c r="BD43" s="7683"/>
      <c r="BE43" s="7683"/>
      <c r="BF43" s="7683"/>
      <c r="BG43" s="7683"/>
      <c r="BH43" s="7683"/>
      <c r="BI43" s="7683"/>
      <c r="BJ43" s="7683"/>
      <c r="BK43" s="7683"/>
      <c r="BL43" s="7683"/>
      <c r="BM43" s="7683"/>
      <c r="BN43" s="7683"/>
      <c r="BO43" s="7683"/>
      <c r="BP43" s="7683"/>
      <c r="BQ43" s="7683"/>
      <c r="BR43" s="7683"/>
      <c r="BS43" s="7683"/>
      <c r="BT43" s="7684"/>
      <c r="BU43" s="7684"/>
      <c r="BV43" s="7684"/>
      <c r="BW43" s="7684"/>
      <c r="BX43" s="7684"/>
      <c r="BY43" s="7684"/>
      <c r="BZ43" s="7684"/>
      <c r="CA43" s="7684"/>
      <c r="CB43" s="7684"/>
      <c r="CC43" s="7684"/>
      <c r="CD43" s="7684"/>
      <c r="CE43" s="7684"/>
      <c r="CF43" s="7684"/>
      <c r="CG43" s="7684"/>
      <c r="CH43" s="7684"/>
      <c r="CI43" s="7684"/>
      <c r="CJ43" s="7684"/>
      <c r="CK43" s="7684"/>
      <c r="CL43" s="7683"/>
      <c r="CM43" s="7683"/>
      <c r="CN43" s="7683"/>
      <c r="CO43" s="7683"/>
      <c r="CP43" s="7683"/>
      <c r="CQ43" s="7683"/>
      <c r="CR43" s="7683"/>
      <c r="CS43" s="7683"/>
      <c r="CT43" s="7683"/>
      <c r="CU43" s="7683"/>
      <c r="CV43" s="7683"/>
      <c r="CW43" s="7683"/>
      <c r="CX43" s="7683"/>
      <c r="CY43" s="7684"/>
      <c r="CZ43" s="7684"/>
      <c r="DA43" s="7684"/>
      <c r="DB43" s="7684"/>
      <c r="DC43" s="7684"/>
      <c r="DD43" s="7684"/>
      <c r="DE43" s="7684"/>
      <c r="DF43" s="7684"/>
      <c r="DG43" s="7684"/>
      <c r="DH43" s="7684"/>
      <c r="DI43" s="7684"/>
      <c r="DJ43" s="7684"/>
      <c r="DK43" s="7683"/>
      <c r="DL43" s="7683"/>
      <c r="DM43" s="7683"/>
      <c r="DN43" s="7683"/>
      <c r="DO43" s="7683"/>
      <c r="DP43" s="7683"/>
      <c r="DQ43" s="7683"/>
      <c r="DR43" s="7683"/>
      <c r="DS43" s="7683"/>
      <c r="DT43" s="7683"/>
      <c r="DU43" s="7683"/>
      <c r="DV43" s="7683"/>
      <c r="DW43" s="7683"/>
      <c r="DX43" s="7683"/>
      <c r="DY43" s="7683"/>
      <c r="DZ43" s="7683"/>
      <c r="EA43" s="7683"/>
      <c r="EB43" s="7683"/>
      <c r="EC43" s="7683"/>
      <c r="ED43" s="7683"/>
      <c r="EE43" s="7683"/>
      <c r="EF43" s="7683"/>
      <c r="EG43" s="7683"/>
      <c r="EH43" s="7683"/>
      <c r="EI43" s="7683"/>
      <c r="EJ43" s="7683"/>
      <c r="EK43" s="7683"/>
      <c r="EL43" s="7683"/>
      <c r="EM43" s="7683"/>
      <c r="EN43" s="7683"/>
      <c r="EO43" s="7683"/>
      <c r="EP43" s="7683"/>
      <c r="EQ43" s="7683"/>
      <c r="ER43" s="7683"/>
      <c r="ES43" s="7683"/>
      <c r="ET43" s="7683"/>
      <c r="EU43" s="7683"/>
      <c r="EV43" s="7683"/>
      <c r="EW43" s="7683"/>
      <c r="EX43" s="7683"/>
      <c r="EY43" s="7683"/>
      <c r="EZ43" s="7683"/>
      <c r="FA43" s="7683"/>
      <c r="FB43" s="7683"/>
      <c r="FC43" s="7683"/>
      <c r="FD43" s="7683"/>
      <c r="FE43" s="7683"/>
      <c r="FF43" s="7683"/>
      <c r="FG43" s="7683"/>
      <c r="FH43" s="7683"/>
      <c r="FI43" s="7683"/>
      <c r="FJ43" s="7683"/>
      <c r="FK43" s="7683"/>
      <c r="FL43" s="7683"/>
      <c r="FM43" s="7683"/>
      <c r="FN43" s="7683"/>
      <c r="FO43" s="7683"/>
      <c r="FP43" s="7683"/>
      <c r="FQ43" s="7683"/>
      <c r="FR43" s="7683"/>
      <c r="FS43" s="7683"/>
      <c r="FT43" s="7683"/>
      <c r="FU43" s="7683"/>
      <c r="FV43" s="7683"/>
      <c r="FW43" s="7683"/>
      <c r="FX43" s="7359"/>
      <c r="FY43" s="7048"/>
      <c r="FZ43" s="7048"/>
      <c r="GA43" s="7048"/>
      <c r="GB43" s="7048"/>
    </row>
    <row s="7048" customFormat="1" customHeight="1" ht="12">
      <c r="A44" s="7048" t="s">
        <v>1218</v>
      </c>
      <c r="B44" s="7105"/>
      <c r="C44" s="7048"/>
      <c r="D44" s="7048"/>
      <c r="E44" s="7048"/>
      <c r="F44" s="9562"/>
      <c r="G44" s="9563" t="s">
        <v>1541</v>
      </c>
      <c r="H44" s="9564"/>
      <c r="I44" s="9565"/>
      <c r="J44" s="9566"/>
      <c r="K44" s="9567"/>
      <c r="L44" s="9568"/>
      <c r="M44" s="9569"/>
      <c r="N44" s="9570"/>
      <c r="O44" s="9571"/>
      <c r="P44" s="9572"/>
      <c r="Q44" s="9573"/>
      <c r="R44" s="9574"/>
      <c r="S44" s="9575"/>
      <c r="T44" s="9576"/>
      <c r="U44" s="9577"/>
      <c r="V44" s="9578"/>
      <c r="W44" s="9579"/>
      <c r="X44" s="9580"/>
      <c r="Y44" s="9581"/>
      <c r="Z44" s="9582"/>
      <c r="AA44" s="9583"/>
      <c r="AB44" s="9584"/>
      <c r="AC44" s="9585"/>
      <c r="AD44" s="9586"/>
      <c r="AE44" s="9587"/>
      <c r="AF44" s="9588"/>
      <c r="AG44" s="9589"/>
      <c r="AH44" s="9590"/>
      <c r="AI44" s="9591"/>
      <c r="AJ44" s="9592"/>
      <c r="AK44" s="9593"/>
      <c r="AL44" s="9594"/>
      <c r="AM44" s="9595"/>
      <c r="AN44" s="9596"/>
      <c r="AO44" s="9597"/>
      <c r="AP44" s="9598"/>
      <c r="AQ44" s="9599"/>
      <c r="AR44" s="9600"/>
      <c r="AS44" s="9601"/>
      <c r="AT44" s="9602"/>
      <c r="AU44" s="9603"/>
      <c r="AV44" s="9604"/>
      <c r="AW44" s="9605"/>
      <c r="AX44" s="9606"/>
      <c r="AY44" s="9607"/>
      <c r="AZ44" s="9608"/>
      <c r="BA44" s="9609"/>
      <c r="BB44" s="9610"/>
      <c r="BC44" s="9611"/>
      <c r="BD44" s="9612"/>
      <c r="BE44" s="9613"/>
      <c r="BF44" s="9614"/>
      <c r="BG44" s="9615"/>
      <c r="BH44" s="9616"/>
      <c r="BI44" s="9617"/>
      <c r="BJ44" s="9618"/>
      <c r="BK44" s="9619"/>
      <c r="BL44" s="9620"/>
      <c r="BM44" s="9621"/>
      <c r="BN44" s="9622"/>
      <c r="BO44" s="9623"/>
      <c r="BP44" s="9624"/>
      <c r="BQ44" s="9625"/>
      <c r="BR44" s="9626"/>
      <c r="BS44" s="9627"/>
      <c r="BT44" s="9628"/>
      <c r="BU44" s="9629"/>
      <c r="BV44" s="9630"/>
      <c r="BW44" s="9631"/>
      <c r="BX44" s="9632"/>
      <c r="BY44" s="9633"/>
      <c r="BZ44" s="9634"/>
      <c r="CA44" s="9635"/>
      <c r="CB44" s="9636"/>
      <c r="CC44" s="9637"/>
      <c r="CD44" s="9638"/>
      <c r="CE44" s="9639"/>
      <c r="CF44" s="9640"/>
      <c r="CG44" s="9641"/>
      <c r="CH44" s="9642"/>
      <c r="CI44" s="9643"/>
      <c r="CJ44" s="9644"/>
      <c r="CK44" s="9645"/>
      <c r="CL44" s="9646"/>
      <c r="CM44" s="9647"/>
      <c r="CN44" s="9648"/>
      <c r="CO44" s="9649"/>
      <c r="CP44" s="9650"/>
      <c r="CQ44" s="9651"/>
      <c r="CR44" s="9652"/>
      <c r="CS44" s="9653"/>
      <c r="CT44" s="9654"/>
      <c r="CU44" s="9655"/>
      <c r="CV44" s="9656"/>
      <c r="CW44" s="9657"/>
      <c r="CX44" s="9658"/>
      <c r="CY44" s="9659"/>
      <c r="CZ44" s="9660"/>
      <c r="DA44" s="9661"/>
      <c r="DB44" s="9662"/>
      <c r="DC44" s="9663"/>
      <c r="DD44" s="9664"/>
      <c r="DE44" s="9665"/>
      <c r="DF44" s="9666"/>
      <c r="DG44" s="9667"/>
      <c r="DH44" s="9668"/>
      <c r="DI44" s="9669"/>
      <c r="DJ44" s="9670"/>
      <c r="DK44" s="9671"/>
      <c r="DL44" s="9672"/>
      <c r="DM44" s="9673"/>
      <c r="DN44" s="9674"/>
      <c r="DO44" s="9675"/>
      <c r="DP44" s="9676"/>
      <c r="DQ44" s="9677"/>
      <c r="DR44" s="9678"/>
      <c r="DS44" s="9679"/>
      <c r="DT44" s="9680"/>
      <c r="DU44" s="9681"/>
      <c r="DV44" s="9682"/>
      <c r="DW44" s="9683"/>
      <c r="DX44" s="9684"/>
      <c r="DY44" s="9685"/>
      <c r="DZ44" s="9686"/>
      <c r="EA44" s="9687"/>
      <c r="EB44" s="9688"/>
      <c r="EC44" s="9689"/>
      <c r="ED44" s="9690"/>
      <c r="EE44" s="9691"/>
      <c r="EF44" s="9692"/>
      <c r="EG44" s="9693"/>
      <c r="EH44" s="9694"/>
      <c r="EI44" s="9695"/>
      <c r="EJ44" s="9696"/>
      <c r="EK44" s="9697"/>
      <c r="EL44" s="9698"/>
      <c r="EM44" s="9699"/>
      <c r="EN44" s="9700"/>
      <c r="EO44" s="9701"/>
      <c r="EP44" s="9702"/>
      <c r="EQ44" s="9703"/>
      <c r="ER44" s="9704"/>
      <c r="ES44" s="9705"/>
      <c r="ET44" s="9706"/>
      <c r="EU44" s="9707"/>
      <c r="EV44" s="9708"/>
      <c r="EW44" s="9709"/>
      <c r="EX44" s="9710"/>
      <c r="EY44" s="9711"/>
      <c r="EZ44" s="9712"/>
      <c r="FA44" s="9713"/>
      <c r="FB44" s="9714"/>
      <c r="FC44" s="9715"/>
      <c r="FD44" s="9716"/>
      <c r="FE44" s="9717"/>
      <c r="FF44" s="9718"/>
      <c r="FG44" s="9719"/>
      <c r="FH44" s="9720"/>
      <c r="FI44" s="9721"/>
      <c r="FJ44" s="9722"/>
      <c r="FK44" s="9723"/>
      <c r="FL44" s="9724"/>
      <c r="FM44" s="9725"/>
      <c r="FN44" s="9726"/>
      <c r="FO44" s="9727"/>
      <c r="FP44" s="9728"/>
      <c r="FQ44" s="9729"/>
      <c r="FR44" s="9730"/>
      <c r="FS44" s="9731"/>
      <c r="FT44" s="9732"/>
      <c r="FU44" s="9733"/>
      <c r="FV44" s="9734"/>
      <c r="FW44" s="9735"/>
      <c r="FX44" s="7689"/>
      <c r="FY44" s="7501"/>
      <c r="FZ44" s="7501"/>
      <c r="GA44" s="7501"/>
      <c r="GB44" s="7501"/>
    </row>
    <row s="7048" customFormat="1" customHeight="1" ht="21">
      <c r="A45" s="6959" t="s">
        <v>1223</v>
      </c>
      <c r="B45" s="7105"/>
      <c r="C45" s="7048"/>
      <c r="D45" s="7048"/>
      <c r="E45" s="7099" t="s">
        <v>22</v>
      </c>
      <c r="F45" s="7672" t="str">
        <f>INDEX(IP_MAIN_LIST_NAME_IP,MATCH(A45,IP_MAIN_LIST_IP_ID,0))&amp;" ("&amp;INDEX(IP_MAIN_START_DATE,MATCH(A45,IP_MAIN_LIST_IP_ID,0))&amp;"-"&amp;INDEX(IP_MAIN_END_DATE,MATCH(A45,IP_MAIN_LIST_IP_ID,0))&amp;")"</f>
        <v>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 (01.01.2024-31.12.2028)</v>
      </c>
      <c r="G45" s="7673"/>
      <c r="H45" s="7674"/>
      <c r="I45" s="7674"/>
      <c r="J45" s="7674"/>
      <c r="K45" s="7674"/>
      <c r="L45" s="7674"/>
      <c r="M45" s="7674"/>
      <c r="N45" s="7674"/>
      <c r="O45" s="7673"/>
      <c r="P45" s="7673"/>
      <c r="Q45" s="7673"/>
      <c r="R45" s="7673"/>
      <c r="S45" s="7673"/>
      <c r="T45" s="7673"/>
      <c r="U45" s="7675"/>
      <c r="V45" s="7675"/>
      <c r="W45" s="7675"/>
      <c r="X45" s="7675"/>
      <c r="Y45" s="7675"/>
      <c r="Z45" s="7675"/>
      <c r="AA45" s="7675"/>
      <c r="AB45" s="7673"/>
      <c r="AC45" s="7674"/>
      <c r="AD45" s="7674"/>
      <c r="AE45" s="7674"/>
      <c r="AF45" s="7674"/>
      <c r="AG45" s="7674"/>
      <c r="AH45" s="7674"/>
      <c r="AI45" s="7674"/>
      <c r="AJ45" s="7674"/>
      <c r="AK45" s="7674"/>
      <c r="AL45" s="7674"/>
      <c r="AM45" s="7674"/>
      <c r="AN45" s="7674"/>
      <c r="AO45" s="7674"/>
      <c r="AP45" s="7674"/>
      <c r="AQ45" s="7674"/>
      <c r="AR45" s="7674"/>
      <c r="AS45" s="7674"/>
      <c r="AT45" s="7674"/>
      <c r="AU45" s="7674"/>
      <c r="AV45" s="7674"/>
      <c r="AW45" s="7674"/>
      <c r="AX45" s="7674"/>
      <c r="AY45" s="7674"/>
      <c r="AZ45" s="7674"/>
      <c r="BA45" s="7674"/>
      <c r="BB45" s="7674"/>
      <c r="BC45" s="7674"/>
      <c r="BD45" s="7674"/>
      <c r="BE45" s="7674"/>
      <c r="BF45" s="7674"/>
      <c r="BG45" s="7674"/>
      <c r="BH45" s="7674"/>
      <c r="BI45" s="7674"/>
      <c r="BJ45" s="7674"/>
      <c r="BK45" s="7674"/>
      <c r="BL45" s="7674"/>
      <c r="BM45" s="7674"/>
      <c r="BN45" s="7674"/>
      <c r="BO45" s="7674"/>
      <c r="BP45" s="7674"/>
      <c r="BQ45" s="7674"/>
      <c r="BR45" s="7674"/>
      <c r="BS45" s="7674"/>
      <c r="BT45" s="7674"/>
      <c r="BU45" s="7674"/>
      <c r="BV45" s="7674"/>
      <c r="BW45" s="7674"/>
      <c r="BX45" s="7674"/>
      <c r="BY45" s="7674"/>
      <c r="BZ45" s="7674"/>
      <c r="CA45" s="7674"/>
      <c r="CB45" s="7674"/>
      <c r="CC45" s="7674"/>
      <c r="CD45" s="7674"/>
      <c r="CE45" s="7674"/>
      <c r="CF45" s="7674"/>
      <c r="CG45" s="7674"/>
      <c r="CH45" s="7674"/>
      <c r="CI45" s="7674"/>
      <c r="CJ45" s="7674"/>
      <c r="CK45" s="7674"/>
      <c r="CL45" s="7676"/>
      <c r="CM45" s="7676"/>
      <c r="CN45" s="7676"/>
      <c r="CO45" s="7676"/>
      <c r="CP45" s="7676"/>
      <c r="CQ45" s="7676"/>
      <c r="CR45" s="7676"/>
      <c r="CS45" s="7676"/>
      <c r="CT45" s="7676"/>
      <c r="CU45" s="7676"/>
      <c r="CV45" s="7676"/>
      <c r="CW45" s="7676"/>
      <c r="CX45" s="7676"/>
      <c r="CY45" s="7676"/>
      <c r="CZ45" s="7676"/>
      <c r="DA45" s="7676"/>
      <c r="DB45" s="7676"/>
      <c r="DC45" s="7676"/>
      <c r="DD45" s="7676"/>
      <c r="DE45" s="7676"/>
      <c r="DF45" s="7676"/>
      <c r="DG45" s="7676"/>
      <c r="DH45" s="7676"/>
      <c r="DI45" s="7676"/>
      <c r="DJ45" s="7676"/>
      <c r="DK45" s="7676"/>
      <c r="DL45" s="7676"/>
      <c r="DM45" s="7676"/>
      <c r="DN45" s="7676"/>
      <c r="DO45" s="7676"/>
      <c r="DP45" s="7676"/>
      <c r="DQ45" s="7676"/>
      <c r="DR45" s="7676"/>
      <c r="DS45" s="7676"/>
      <c r="DT45" s="7676"/>
      <c r="DU45" s="7676"/>
      <c r="DV45" s="7676"/>
      <c r="DW45" s="7676"/>
      <c r="DX45" s="7676"/>
      <c r="DY45" s="7676"/>
      <c r="DZ45" s="7676"/>
      <c r="EA45" s="7676"/>
      <c r="EB45" s="7676"/>
      <c r="EC45" s="7676"/>
      <c r="ED45" s="7676"/>
      <c r="EE45" s="7676"/>
      <c r="EF45" s="7676"/>
      <c r="EG45" s="7676"/>
      <c r="EH45" s="7676"/>
      <c r="EI45" s="7676"/>
      <c r="EJ45" s="7676"/>
      <c r="EK45" s="7676"/>
      <c r="EL45" s="7676"/>
      <c r="EM45" s="7676"/>
      <c r="EN45" s="7676"/>
      <c r="EO45" s="7676"/>
      <c r="EP45" s="7676"/>
      <c r="EQ45" s="7676"/>
      <c r="ER45" s="7676"/>
      <c r="ES45" s="7676"/>
      <c r="ET45" s="7676"/>
      <c r="EU45" s="7676"/>
      <c r="EV45" s="7676"/>
      <c r="EW45" s="7676"/>
      <c r="EX45" s="7676"/>
      <c r="EY45" s="7676"/>
      <c r="EZ45" s="7676"/>
      <c r="FA45" s="7676"/>
      <c r="FB45" s="7676"/>
      <c r="FC45" s="7676"/>
      <c r="FD45" s="7676"/>
      <c r="FE45" s="7676"/>
      <c r="FF45" s="7676"/>
      <c r="FG45" s="7676"/>
      <c r="FH45" s="7676"/>
      <c r="FI45" s="7676"/>
      <c r="FJ45" s="7676"/>
      <c r="FK45" s="7676"/>
      <c r="FL45" s="7676"/>
      <c r="FM45" s="7676"/>
      <c r="FN45" s="7676"/>
      <c r="FO45" s="7676"/>
      <c r="FP45" s="7676"/>
      <c r="FQ45" s="7676"/>
      <c r="FR45" s="7676"/>
      <c r="FS45" s="7676"/>
      <c r="FT45" s="7676"/>
      <c r="FU45" s="7676"/>
      <c r="FV45" s="7677"/>
      <c r="FW45" s="7110"/>
      <c r="FX45" s="7359"/>
      <c r="FY45" s="7048"/>
      <c r="FZ45" s="7048"/>
      <c r="GA45" s="7048"/>
      <c r="GB45" s="7048"/>
    </row>
    <row s="7048" customFormat="1" customHeight="1" ht="24.75">
      <c r="A46" s="7048" t="s">
        <v>1223</v>
      </c>
      <c r="B46" s="7105"/>
      <c r="C46" s="7048"/>
      <c r="D46" s="7048"/>
      <c r="E46" s="7954"/>
      <c r="F46" s="7679">
        <v>1</v>
      </c>
      <c r="G46" s="7680" t="s">
        <v>1160</v>
      </c>
      <c r="H46" s="7681" t="s">
        <v>67</v>
      </c>
      <c r="I46" s="7682" t="s">
        <v>1540</v>
      </c>
      <c r="J46" s="7683"/>
      <c r="K46" s="7683"/>
      <c r="L46" s="7683"/>
      <c r="M46" s="7683"/>
      <c r="N46" s="7683"/>
      <c r="O46" s="7684">
        <v>0</v>
      </c>
      <c r="P46" s="7684">
        <v>0</v>
      </c>
      <c r="Q46" s="7684">
        <v>0</v>
      </c>
      <c r="R46" s="7684">
        <v>0</v>
      </c>
      <c r="S46" s="7684">
        <v>0.15</v>
      </c>
      <c r="T46" s="7684">
        <v>0.15</v>
      </c>
      <c r="U46" s="7684">
        <v>0.88</v>
      </c>
      <c r="V46" s="7684">
        <v>0.88</v>
      </c>
      <c r="W46" s="7684">
        <v>0</v>
      </c>
      <c r="X46" s="7684">
        <v>0</v>
      </c>
      <c r="Y46" s="7684">
        <v>859.42</v>
      </c>
      <c r="Z46" s="7684">
        <v>859.42</v>
      </c>
      <c r="AA46" s="7684">
        <v>0</v>
      </c>
      <c r="AB46" s="7684">
        <v>0</v>
      </c>
      <c r="AC46" s="7683"/>
      <c r="AD46" s="7683"/>
      <c r="AE46" s="7683"/>
      <c r="AF46" s="7683"/>
      <c r="AG46" s="7683"/>
      <c r="AH46" s="7683"/>
      <c r="AI46" s="7683"/>
      <c r="AJ46" s="7683"/>
      <c r="AK46" s="7683"/>
      <c r="AL46" s="7683"/>
      <c r="AM46" s="7683"/>
      <c r="AN46" s="7683"/>
      <c r="AO46" s="7683"/>
      <c r="AP46" s="7683"/>
      <c r="AQ46" s="7683"/>
      <c r="AR46" s="7683"/>
      <c r="AS46" s="7683"/>
      <c r="AT46" s="7683"/>
      <c r="AU46" s="7683"/>
      <c r="AV46" s="7683"/>
      <c r="AW46" s="7683"/>
      <c r="AX46" s="7683"/>
      <c r="AY46" s="7683"/>
      <c r="AZ46" s="7683"/>
      <c r="BA46" s="7683"/>
      <c r="BB46" s="7683"/>
      <c r="BC46" s="7683"/>
      <c r="BD46" s="7683"/>
      <c r="BE46" s="7683"/>
      <c r="BF46" s="7683"/>
      <c r="BG46" s="7683"/>
      <c r="BH46" s="7683"/>
      <c r="BI46" s="7683"/>
      <c r="BJ46" s="7683"/>
      <c r="BK46" s="7683"/>
      <c r="BL46" s="7683"/>
      <c r="BM46" s="7683"/>
      <c r="BN46" s="7683"/>
      <c r="BO46" s="7683"/>
      <c r="BP46" s="7683"/>
      <c r="BQ46" s="7683"/>
      <c r="BR46" s="7683"/>
      <c r="BS46" s="7683"/>
      <c r="BT46" s="7684"/>
      <c r="BU46" s="7684"/>
      <c r="BV46" s="7684"/>
      <c r="BW46" s="7684"/>
      <c r="BX46" s="7684"/>
      <c r="BY46" s="7684"/>
      <c r="BZ46" s="7684"/>
      <c r="CA46" s="7684"/>
      <c r="CB46" s="7684"/>
      <c r="CC46" s="7684"/>
      <c r="CD46" s="7684"/>
      <c r="CE46" s="7684"/>
      <c r="CF46" s="7684"/>
      <c r="CG46" s="7684"/>
      <c r="CH46" s="7684"/>
      <c r="CI46" s="7684"/>
      <c r="CJ46" s="7684"/>
      <c r="CK46" s="7684"/>
      <c r="CL46" s="7683"/>
      <c r="CM46" s="7683"/>
      <c r="CN46" s="7683"/>
      <c r="CO46" s="7683"/>
      <c r="CP46" s="7683"/>
      <c r="CQ46" s="7683"/>
      <c r="CR46" s="7683"/>
      <c r="CS46" s="7683"/>
      <c r="CT46" s="7683"/>
      <c r="CU46" s="7683"/>
      <c r="CV46" s="7683"/>
      <c r="CW46" s="7683"/>
      <c r="CX46" s="7683"/>
      <c r="CY46" s="7684"/>
      <c r="CZ46" s="7684"/>
      <c r="DA46" s="7684"/>
      <c r="DB46" s="7684"/>
      <c r="DC46" s="7684"/>
      <c r="DD46" s="7684"/>
      <c r="DE46" s="7684"/>
      <c r="DF46" s="7684"/>
      <c r="DG46" s="7684"/>
      <c r="DH46" s="7684"/>
      <c r="DI46" s="7684"/>
      <c r="DJ46" s="7684"/>
      <c r="DK46" s="7683"/>
      <c r="DL46" s="7683"/>
      <c r="DM46" s="7683"/>
      <c r="DN46" s="7683"/>
      <c r="DO46" s="7683"/>
      <c r="DP46" s="7683"/>
      <c r="DQ46" s="7683"/>
      <c r="DR46" s="7683"/>
      <c r="DS46" s="7683"/>
      <c r="DT46" s="7683"/>
      <c r="DU46" s="7683"/>
      <c r="DV46" s="7683"/>
      <c r="DW46" s="7683"/>
      <c r="DX46" s="7683"/>
      <c r="DY46" s="7683"/>
      <c r="DZ46" s="7683"/>
      <c r="EA46" s="7683"/>
      <c r="EB46" s="7683"/>
      <c r="EC46" s="7683"/>
      <c r="ED46" s="7683"/>
      <c r="EE46" s="7683"/>
      <c r="EF46" s="7683"/>
      <c r="EG46" s="7683"/>
      <c r="EH46" s="7683"/>
      <c r="EI46" s="7683"/>
      <c r="EJ46" s="7683"/>
      <c r="EK46" s="7683"/>
      <c r="EL46" s="7683"/>
      <c r="EM46" s="7683"/>
      <c r="EN46" s="7683"/>
      <c r="EO46" s="7683"/>
      <c r="EP46" s="7683"/>
      <c r="EQ46" s="7683"/>
      <c r="ER46" s="7683"/>
      <c r="ES46" s="7683"/>
      <c r="ET46" s="7683"/>
      <c r="EU46" s="7683"/>
      <c r="EV46" s="7683"/>
      <c r="EW46" s="7683"/>
      <c r="EX46" s="7683"/>
      <c r="EY46" s="7683"/>
      <c r="EZ46" s="7683"/>
      <c r="FA46" s="7683"/>
      <c r="FB46" s="7683"/>
      <c r="FC46" s="7683"/>
      <c r="FD46" s="7683"/>
      <c r="FE46" s="7683"/>
      <c r="FF46" s="7683"/>
      <c r="FG46" s="7683"/>
      <c r="FH46" s="7683"/>
      <c r="FI46" s="7683"/>
      <c r="FJ46" s="7683"/>
      <c r="FK46" s="7683"/>
      <c r="FL46" s="7683"/>
      <c r="FM46" s="7683"/>
      <c r="FN46" s="7683"/>
      <c r="FO46" s="7683"/>
      <c r="FP46" s="7683"/>
      <c r="FQ46" s="7683"/>
      <c r="FR46" s="7683"/>
      <c r="FS46" s="7683"/>
      <c r="FT46" s="7683"/>
      <c r="FU46" s="7683"/>
      <c r="FV46" s="7683"/>
      <c r="FW46" s="7683"/>
      <c r="FX46" s="7359"/>
      <c r="FY46" s="7048"/>
      <c r="FZ46" s="7048"/>
      <c r="GA46" s="7048"/>
      <c r="GB46" s="7048"/>
    </row>
    <row s="7048" customFormat="1" customHeight="1" ht="12">
      <c r="A47" s="7048" t="s">
        <v>1223</v>
      </c>
      <c r="B47" s="7105"/>
      <c r="C47" s="7048"/>
      <c r="D47" s="7048"/>
      <c r="E47" s="7048"/>
      <c r="F47" s="9736"/>
      <c r="G47" s="9737" t="s">
        <v>1541</v>
      </c>
      <c r="H47" s="9738"/>
      <c r="I47" s="9739"/>
      <c r="J47" s="9740"/>
      <c r="K47" s="9741"/>
      <c r="L47" s="9742"/>
      <c r="M47" s="9743"/>
      <c r="N47" s="9744"/>
      <c r="O47" s="9745"/>
      <c r="P47" s="9746"/>
      <c r="Q47" s="9747"/>
      <c r="R47" s="9748"/>
      <c r="S47" s="9749"/>
      <c r="T47" s="9750"/>
      <c r="U47" s="9751"/>
      <c r="V47" s="9752"/>
      <c r="W47" s="9753"/>
      <c r="X47" s="9754"/>
      <c r="Y47" s="9755"/>
      <c r="Z47" s="9756"/>
      <c r="AA47" s="9757"/>
      <c r="AB47" s="9758"/>
      <c r="AC47" s="9759"/>
      <c r="AD47" s="9760"/>
      <c r="AE47" s="9761"/>
      <c r="AF47" s="9762"/>
      <c r="AG47" s="9763"/>
      <c r="AH47" s="9764"/>
      <c r="AI47" s="9765"/>
      <c r="AJ47" s="9766"/>
      <c r="AK47" s="9767"/>
      <c r="AL47" s="9768"/>
      <c r="AM47" s="9769"/>
      <c r="AN47" s="9770"/>
      <c r="AO47" s="9771"/>
      <c r="AP47" s="9772"/>
      <c r="AQ47" s="9773"/>
      <c r="AR47" s="9774"/>
      <c r="AS47" s="9775"/>
      <c r="AT47" s="9776"/>
      <c r="AU47" s="9777"/>
      <c r="AV47" s="9778"/>
      <c r="AW47" s="9779"/>
      <c r="AX47" s="9780"/>
      <c r="AY47" s="9781"/>
      <c r="AZ47" s="9782"/>
      <c r="BA47" s="9783"/>
      <c r="BB47" s="9784"/>
      <c r="BC47" s="9785"/>
      <c r="BD47" s="9786"/>
      <c r="BE47" s="9787"/>
      <c r="BF47" s="9788"/>
      <c r="BG47" s="9789"/>
      <c r="BH47" s="9790"/>
      <c r="BI47" s="9791"/>
      <c r="BJ47" s="9792"/>
      <c r="BK47" s="9793"/>
      <c r="BL47" s="9794"/>
      <c r="BM47" s="9795"/>
      <c r="BN47" s="9796"/>
      <c r="BO47" s="9797"/>
      <c r="BP47" s="9798"/>
      <c r="BQ47" s="9799"/>
      <c r="BR47" s="9800"/>
      <c r="BS47" s="9801"/>
      <c r="BT47" s="9802"/>
      <c r="BU47" s="9803"/>
      <c r="BV47" s="9804"/>
      <c r="BW47" s="9805"/>
      <c r="BX47" s="9806"/>
      <c r="BY47" s="9807"/>
      <c r="BZ47" s="9808"/>
      <c r="CA47" s="9809"/>
      <c r="CB47" s="9810"/>
      <c r="CC47" s="9811"/>
      <c r="CD47" s="9812"/>
      <c r="CE47" s="9813"/>
      <c r="CF47" s="9814"/>
      <c r="CG47" s="9815"/>
      <c r="CH47" s="9816"/>
      <c r="CI47" s="9817"/>
      <c r="CJ47" s="9818"/>
      <c r="CK47" s="9819"/>
      <c r="CL47" s="9820"/>
      <c r="CM47" s="9821"/>
      <c r="CN47" s="9822"/>
      <c r="CO47" s="9823"/>
      <c r="CP47" s="9824"/>
      <c r="CQ47" s="9825"/>
      <c r="CR47" s="9826"/>
      <c r="CS47" s="9827"/>
      <c r="CT47" s="9828"/>
      <c r="CU47" s="9829"/>
      <c r="CV47" s="9830"/>
      <c r="CW47" s="9831"/>
      <c r="CX47" s="9832"/>
      <c r="CY47" s="9833"/>
      <c r="CZ47" s="9834"/>
      <c r="DA47" s="9835"/>
      <c r="DB47" s="9836"/>
      <c r="DC47" s="9837"/>
      <c r="DD47" s="9838"/>
      <c r="DE47" s="9839"/>
      <c r="DF47" s="9840"/>
      <c r="DG47" s="9841"/>
      <c r="DH47" s="9842"/>
      <c r="DI47" s="9843"/>
      <c r="DJ47" s="9844"/>
      <c r="DK47" s="9845"/>
      <c r="DL47" s="9846"/>
      <c r="DM47" s="9847"/>
      <c r="DN47" s="9848"/>
      <c r="DO47" s="9849"/>
      <c r="DP47" s="9850"/>
      <c r="DQ47" s="9851"/>
      <c r="DR47" s="9852"/>
      <c r="DS47" s="9853"/>
      <c r="DT47" s="9854"/>
      <c r="DU47" s="9855"/>
      <c r="DV47" s="9856"/>
      <c r="DW47" s="9857"/>
      <c r="DX47" s="9858"/>
      <c r="DY47" s="9859"/>
      <c r="DZ47" s="9860"/>
      <c r="EA47" s="9861"/>
      <c r="EB47" s="9862"/>
      <c r="EC47" s="9863"/>
      <c r="ED47" s="9864"/>
      <c r="EE47" s="9865"/>
      <c r="EF47" s="9866"/>
      <c r="EG47" s="9867"/>
      <c r="EH47" s="9868"/>
      <c r="EI47" s="9869"/>
      <c r="EJ47" s="9870"/>
      <c r="EK47" s="9871"/>
      <c r="EL47" s="9872"/>
      <c r="EM47" s="9873"/>
      <c r="EN47" s="9874"/>
      <c r="EO47" s="9875"/>
      <c r="EP47" s="9876"/>
      <c r="EQ47" s="9877"/>
      <c r="ER47" s="9878"/>
      <c r="ES47" s="9879"/>
      <c r="ET47" s="9880"/>
      <c r="EU47" s="9881"/>
      <c r="EV47" s="9882"/>
      <c r="EW47" s="9883"/>
      <c r="EX47" s="9884"/>
      <c r="EY47" s="9885"/>
      <c r="EZ47" s="9886"/>
      <c r="FA47" s="9887"/>
      <c r="FB47" s="9888"/>
      <c r="FC47" s="9889"/>
      <c r="FD47" s="9890"/>
      <c r="FE47" s="9891"/>
      <c r="FF47" s="9892"/>
      <c r="FG47" s="9893"/>
      <c r="FH47" s="9894"/>
      <c r="FI47" s="9895"/>
      <c r="FJ47" s="9896"/>
      <c r="FK47" s="9897"/>
      <c r="FL47" s="9898"/>
      <c r="FM47" s="9899"/>
      <c r="FN47" s="9900"/>
      <c r="FO47" s="9901"/>
      <c r="FP47" s="9902"/>
      <c r="FQ47" s="9903"/>
      <c r="FR47" s="9904"/>
      <c r="FS47" s="9905"/>
      <c r="FT47" s="9906"/>
      <c r="FU47" s="9907"/>
      <c r="FV47" s="9908"/>
      <c r="FW47" s="9909"/>
      <c r="FX47" s="7689"/>
      <c r="FY47" s="7501"/>
      <c r="FZ47" s="7501"/>
      <c r="GA47" s="7501"/>
      <c r="GB47" s="7501"/>
    </row>
    <row s="7048" customFormat="1" customHeight="1" ht="21">
      <c r="A48" s="6959" t="s">
        <v>1229</v>
      </c>
      <c r="B48" s="7105"/>
      <c r="C48" s="7048"/>
      <c r="D48" s="7048"/>
      <c r="E48" s="7099" t="s">
        <v>22</v>
      </c>
      <c r="F48" s="7672" t="str">
        <f>INDEX(IP_MAIN_LIST_NAME_IP,MATCH(A48,IP_MAIN_LIST_IP_ID,0))&amp;" ("&amp;INDEX(IP_MAIN_START_DATE,MATCH(A48,IP_MAIN_LIST_IP_ID,0))&amp;"-"&amp;INDEX(IP_MAIN_END_DATE,MATCH(A48,IP_MAIN_LIST_IP_ID,0))&amp;")"</f>
        <v>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 (01.01.2024-31.12.2028)</v>
      </c>
      <c r="G48" s="7673"/>
      <c r="H48" s="7674"/>
      <c r="I48" s="7674"/>
      <c r="J48" s="7674"/>
      <c r="K48" s="7674"/>
      <c r="L48" s="7674"/>
      <c r="M48" s="7674"/>
      <c r="N48" s="7674"/>
      <c r="O48" s="7673"/>
      <c r="P48" s="7673"/>
      <c r="Q48" s="7673"/>
      <c r="R48" s="7673"/>
      <c r="S48" s="7673"/>
      <c r="T48" s="7673"/>
      <c r="U48" s="7675"/>
      <c r="V48" s="7675"/>
      <c r="W48" s="7675"/>
      <c r="X48" s="7675"/>
      <c r="Y48" s="7675"/>
      <c r="Z48" s="7675"/>
      <c r="AA48" s="7675"/>
      <c r="AB48" s="7673"/>
      <c r="AC48" s="7674"/>
      <c r="AD48" s="7674"/>
      <c r="AE48" s="7674"/>
      <c r="AF48" s="7674"/>
      <c r="AG48" s="7674"/>
      <c r="AH48" s="7674"/>
      <c r="AI48" s="7674"/>
      <c r="AJ48" s="7674"/>
      <c r="AK48" s="7674"/>
      <c r="AL48" s="7674"/>
      <c r="AM48" s="7674"/>
      <c r="AN48" s="7674"/>
      <c r="AO48" s="7674"/>
      <c r="AP48" s="7674"/>
      <c r="AQ48" s="7674"/>
      <c r="AR48" s="7674"/>
      <c r="AS48" s="7674"/>
      <c r="AT48" s="7674"/>
      <c r="AU48" s="7674"/>
      <c r="AV48" s="7674"/>
      <c r="AW48" s="7674"/>
      <c r="AX48" s="7674"/>
      <c r="AY48" s="7674"/>
      <c r="AZ48" s="7674"/>
      <c r="BA48" s="7674"/>
      <c r="BB48" s="7674"/>
      <c r="BC48" s="7674"/>
      <c r="BD48" s="7674"/>
      <c r="BE48" s="7674"/>
      <c r="BF48" s="7674"/>
      <c r="BG48" s="7674"/>
      <c r="BH48" s="7674"/>
      <c r="BI48" s="7674"/>
      <c r="BJ48" s="7674"/>
      <c r="BK48" s="7674"/>
      <c r="BL48" s="7674"/>
      <c r="BM48" s="7674"/>
      <c r="BN48" s="7674"/>
      <c r="BO48" s="7674"/>
      <c r="BP48" s="7674"/>
      <c r="BQ48" s="7674"/>
      <c r="BR48" s="7674"/>
      <c r="BS48" s="7674"/>
      <c r="BT48" s="7674"/>
      <c r="BU48" s="7674"/>
      <c r="BV48" s="7674"/>
      <c r="BW48" s="7674"/>
      <c r="BX48" s="7674"/>
      <c r="BY48" s="7674"/>
      <c r="BZ48" s="7674"/>
      <c r="CA48" s="7674"/>
      <c r="CB48" s="7674"/>
      <c r="CC48" s="7674"/>
      <c r="CD48" s="7674"/>
      <c r="CE48" s="7674"/>
      <c r="CF48" s="7674"/>
      <c r="CG48" s="7674"/>
      <c r="CH48" s="7674"/>
      <c r="CI48" s="7674"/>
      <c r="CJ48" s="7674"/>
      <c r="CK48" s="7674"/>
      <c r="CL48" s="7676"/>
      <c r="CM48" s="7676"/>
      <c r="CN48" s="7676"/>
      <c r="CO48" s="7676"/>
      <c r="CP48" s="7676"/>
      <c r="CQ48" s="7676"/>
      <c r="CR48" s="7676"/>
      <c r="CS48" s="7676"/>
      <c r="CT48" s="7676"/>
      <c r="CU48" s="7676"/>
      <c r="CV48" s="7676"/>
      <c r="CW48" s="7676"/>
      <c r="CX48" s="7676"/>
      <c r="CY48" s="7676"/>
      <c r="CZ48" s="7676"/>
      <c r="DA48" s="7676"/>
      <c r="DB48" s="7676"/>
      <c r="DC48" s="7676"/>
      <c r="DD48" s="7676"/>
      <c r="DE48" s="7676"/>
      <c r="DF48" s="7676"/>
      <c r="DG48" s="7676"/>
      <c r="DH48" s="7676"/>
      <c r="DI48" s="7676"/>
      <c r="DJ48" s="7676"/>
      <c r="DK48" s="7676"/>
      <c r="DL48" s="7676"/>
      <c r="DM48" s="7676"/>
      <c r="DN48" s="7676"/>
      <c r="DO48" s="7676"/>
      <c r="DP48" s="7676"/>
      <c r="DQ48" s="7676"/>
      <c r="DR48" s="7676"/>
      <c r="DS48" s="7676"/>
      <c r="DT48" s="7676"/>
      <c r="DU48" s="7676"/>
      <c r="DV48" s="7676"/>
      <c r="DW48" s="7676"/>
      <c r="DX48" s="7676"/>
      <c r="DY48" s="7676"/>
      <c r="DZ48" s="7676"/>
      <c r="EA48" s="7676"/>
      <c r="EB48" s="7676"/>
      <c r="EC48" s="7676"/>
      <c r="ED48" s="7676"/>
      <c r="EE48" s="7676"/>
      <c r="EF48" s="7676"/>
      <c r="EG48" s="7676"/>
      <c r="EH48" s="7676"/>
      <c r="EI48" s="7676"/>
      <c r="EJ48" s="7676"/>
      <c r="EK48" s="7676"/>
      <c r="EL48" s="7676"/>
      <c r="EM48" s="7676"/>
      <c r="EN48" s="7676"/>
      <c r="EO48" s="7676"/>
      <c r="EP48" s="7676"/>
      <c r="EQ48" s="7676"/>
      <c r="ER48" s="7676"/>
      <c r="ES48" s="7676"/>
      <c r="ET48" s="7676"/>
      <c r="EU48" s="7676"/>
      <c r="EV48" s="7676"/>
      <c r="EW48" s="7676"/>
      <c r="EX48" s="7676"/>
      <c r="EY48" s="7676"/>
      <c r="EZ48" s="7676"/>
      <c r="FA48" s="7676"/>
      <c r="FB48" s="7676"/>
      <c r="FC48" s="7676"/>
      <c r="FD48" s="7676"/>
      <c r="FE48" s="7676"/>
      <c r="FF48" s="7676"/>
      <c r="FG48" s="7676"/>
      <c r="FH48" s="7676"/>
      <c r="FI48" s="7676"/>
      <c r="FJ48" s="7676"/>
      <c r="FK48" s="7676"/>
      <c r="FL48" s="7676"/>
      <c r="FM48" s="7676"/>
      <c r="FN48" s="7676"/>
      <c r="FO48" s="7676"/>
      <c r="FP48" s="7676"/>
      <c r="FQ48" s="7676"/>
      <c r="FR48" s="7676"/>
      <c r="FS48" s="7676"/>
      <c r="FT48" s="7676"/>
      <c r="FU48" s="7676"/>
      <c r="FV48" s="7677"/>
      <c r="FW48" s="7110"/>
      <c r="FX48" s="7359"/>
      <c r="FY48" s="7048"/>
      <c r="FZ48" s="7048"/>
      <c r="GA48" s="7048"/>
      <c r="GB48" s="7048"/>
    </row>
    <row s="7048" customFormat="1" customHeight="1" ht="24.75">
      <c r="A49" s="7048" t="s">
        <v>1229</v>
      </c>
      <c r="B49" s="7105"/>
      <c r="C49" s="7048"/>
      <c r="D49" s="7048"/>
      <c r="E49" s="7954"/>
      <c r="F49" s="7679">
        <v>1</v>
      </c>
      <c r="G49" s="7680" t="s">
        <v>1160</v>
      </c>
      <c r="H49" s="7681" t="s">
        <v>67</v>
      </c>
      <c r="I49" s="7682" t="s">
        <v>1540</v>
      </c>
      <c r="J49" s="7683"/>
      <c r="K49" s="7683"/>
      <c r="L49" s="7683"/>
      <c r="M49" s="7683"/>
      <c r="N49" s="7683"/>
      <c r="O49" s="7684">
        <v>0</v>
      </c>
      <c r="P49" s="7684">
        <v>0</v>
      </c>
      <c r="Q49" s="7684">
        <v>0</v>
      </c>
      <c r="R49" s="7684">
        <v>0</v>
      </c>
      <c r="S49" s="7684">
        <v>0.16</v>
      </c>
      <c r="T49" s="7684">
        <v>0.16</v>
      </c>
      <c r="U49" s="7684">
        <v>1.33</v>
      </c>
      <c r="V49" s="7684">
        <v>1.33</v>
      </c>
      <c r="W49" s="7684">
        <v>0</v>
      </c>
      <c r="X49" s="7684">
        <v>0</v>
      </c>
      <c r="Y49" s="7684">
        <v>11.54</v>
      </c>
      <c r="Z49" s="7684">
        <v>11.54</v>
      </c>
      <c r="AA49" s="7684">
        <v>0</v>
      </c>
      <c r="AB49" s="7684">
        <v>0</v>
      </c>
      <c r="AC49" s="7683"/>
      <c r="AD49" s="7683"/>
      <c r="AE49" s="7683"/>
      <c r="AF49" s="7683"/>
      <c r="AG49" s="7683"/>
      <c r="AH49" s="7683"/>
      <c r="AI49" s="7683"/>
      <c r="AJ49" s="7683"/>
      <c r="AK49" s="7683"/>
      <c r="AL49" s="7683"/>
      <c r="AM49" s="7683"/>
      <c r="AN49" s="7683"/>
      <c r="AO49" s="7683"/>
      <c r="AP49" s="7683"/>
      <c r="AQ49" s="7683"/>
      <c r="AR49" s="7683"/>
      <c r="AS49" s="7683"/>
      <c r="AT49" s="7683"/>
      <c r="AU49" s="7683"/>
      <c r="AV49" s="7683"/>
      <c r="AW49" s="7683"/>
      <c r="AX49" s="7683"/>
      <c r="AY49" s="7683"/>
      <c r="AZ49" s="7683"/>
      <c r="BA49" s="7683"/>
      <c r="BB49" s="7683"/>
      <c r="BC49" s="7683"/>
      <c r="BD49" s="7683"/>
      <c r="BE49" s="7683"/>
      <c r="BF49" s="7683"/>
      <c r="BG49" s="7683"/>
      <c r="BH49" s="7683"/>
      <c r="BI49" s="7683"/>
      <c r="BJ49" s="7683"/>
      <c r="BK49" s="7683"/>
      <c r="BL49" s="7683"/>
      <c r="BM49" s="7683"/>
      <c r="BN49" s="7683"/>
      <c r="BO49" s="7683"/>
      <c r="BP49" s="7683"/>
      <c r="BQ49" s="7683"/>
      <c r="BR49" s="7683"/>
      <c r="BS49" s="7683"/>
      <c r="BT49" s="7684"/>
      <c r="BU49" s="7684"/>
      <c r="BV49" s="7684"/>
      <c r="BW49" s="7684"/>
      <c r="BX49" s="7684"/>
      <c r="BY49" s="7684"/>
      <c r="BZ49" s="7684"/>
      <c r="CA49" s="7684"/>
      <c r="CB49" s="7684"/>
      <c r="CC49" s="7684"/>
      <c r="CD49" s="7684"/>
      <c r="CE49" s="7684"/>
      <c r="CF49" s="7684"/>
      <c r="CG49" s="7684"/>
      <c r="CH49" s="7684"/>
      <c r="CI49" s="7684"/>
      <c r="CJ49" s="7684"/>
      <c r="CK49" s="7684"/>
      <c r="CL49" s="7683"/>
      <c r="CM49" s="7683"/>
      <c r="CN49" s="7683"/>
      <c r="CO49" s="7683"/>
      <c r="CP49" s="7683"/>
      <c r="CQ49" s="7683"/>
      <c r="CR49" s="7683"/>
      <c r="CS49" s="7683"/>
      <c r="CT49" s="7683"/>
      <c r="CU49" s="7683"/>
      <c r="CV49" s="7683"/>
      <c r="CW49" s="7683"/>
      <c r="CX49" s="7683"/>
      <c r="CY49" s="7684"/>
      <c r="CZ49" s="7684"/>
      <c r="DA49" s="7684"/>
      <c r="DB49" s="7684"/>
      <c r="DC49" s="7684"/>
      <c r="DD49" s="7684"/>
      <c r="DE49" s="7684"/>
      <c r="DF49" s="7684"/>
      <c r="DG49" s="7684"/>
      <c r="DH49" s="7684"/>
      <c r="DI49" s="7684"/>
      <c r="DJ49" s="7684"/>
      <c r="DK49" s="7683"/>
      <c r="DL49" s="7683"/>
      <c r="DM49" s="7683"/>
      <c r="DN49" s="7683"/>
      <c r="DO49" s="7683"/>
      <c r="DP49" s="7683"/>
      <c r="DQ49" s="7683"/>
      <c r="DR49" s="7683"/>
      <c r="DS49" s="7683"/>
      <c r="DT49" s="7683"/>
      <c r="DU49" s="7683"/>
      <c r="DV49" s="7683"/>
      <c r="DW49" s="7683"/>
      <c r="DX49" s="7683"/>
      <c r="DY49" s="7683"/>
      <c r="DZ49" s="7683"/>
      <c r="EA49" s="7683"/>
      <c r="EB49" s="7683"/>
      <c r="EC49" s="7683"/>
      <c r="ED49" s="7683"/>
      <c r="EE49" s="7683"/>
      <c r="EF49" s="7683"/>
      <c r="EG49" s="7683"/>
      <c r="EH49" s="7683"/>
      <c r="EI49" s="7683"/>
      <c r="EJ49" s="7683"/>
      <c r="EK49" s="7683"/>
      <c r="EL49" s="7683"/>
      <c r="EM49" s="7683"/>
      <c r="EN49" s="7683"/>
      <c r="EO49" s="7683"/>
      <c r="EP49" s="7683"/>
      <c r="EQ49" s="7683"/>
      <c r="ER49" s="7683"/>
      <c r="ES49" s="7683"/>
      <c r="ET49" s="7683"/>
      <c r="EU49" s="7683"/>
      <c r="EV49" s="7683"/>
      <c r="EW49" s="7683"/>
      <c r="EX49" s="7683"/>
      <c r="EY49" s="7683"/>
      <c r="EZ49" s="7683"/>
      <c r="FA49" s="7683"/>
      <c r="FB49" s="7683"/>
      <c r="FC49" s="7683"/>
      <c r="FD49" s="7683"/>
      <c r="FE49" s="7683"/>
      <c r="FF49" s="7683"/>
      <c r="FG49" s="7683"/>
      <c r="FH49" s="7683"/>
      <c r="FI49" s="7683"/>
      <c r="FJ49" s="7683"/>
      <c r="FK49" s="7683"/>
      <c r="FL49" s="7683"/>
      <c r="FM49" s="7683"/>
      <c r="FN49" s="7683"/>
      <c r="FO49" s="7683"/>
      <c r="FP49" s="7683"/>
      <c r="FQ49" s="7683"/>
      <c r="FR49" s="7683"/>
      <c r="FS49" s="7683"/>
      <c r="FT49" s="7683"/>
      <c r="FU49" s="7683"/>
      <c r="FV49" s="7683"/>
      <c r="FW49" s="7683"/>
      <c r="FX49" s="7359"/>
      <c r="FY49" s="7048"/>
      <c r="FZ49" s="7048"/>
      <c r="GA49" s="7048"/>
      <c r="GB49" s="7048"/>
    </row>
    <row s="7048" customFormat="1" customHeight="1" ht="12">
      <c r="A50" s="7048" t="s">
        <v>1229</v>
      </c>
      <c r="B50" s="7105"/>
      <c r="C50" s="7048"/>
      <c r="D50" s="7048"/>
      <c r="E50" s="7048"/>
      <c r="F50" s="9910"/>
      <c r="G50" s="9911" t="s">
        <v>1541</v>
      </c>
      <c r="H50" s="9912"/>
      <c r="I50" s="9913"/>
      <c r="J50" s="9914"/>
      <c r="K50" s="9915"/>
      <c r="L50" s="9916"/>
      <c r="M50" s="9917"/>
      <c r="N50" s="9918"/>
      <c r="O50" s="9919"/>
      <c r="P50" s="9920"/>
      <c r="Q50" s="9921"/>
      <c r="R50" s="9922"/>
      <c r="S50" s="9923"/>
      <c r="T50" s="9924"/>
      <c r="U50" s="9925"/>
      <c r="V50" s="9926"/>
      <c r="W50" s="9927"/>
      <c r="X50" s="9928"/>
      <c r="Y50" s="9929"/>
      <c r="Z50" s="9930"/>
      <c r="AA50" s="9931"/>
      <c r="AB50" s="9932"/>
      <c r="AC50" s="9933"/>
      <c r="AD50" s="9934"/>
      <c r="AE50" s="9935"/>
      <c r="AF50" s="9936"/>
      <c r="AG50" s="9937"/>
      <c r="AH50" s="9938"/>
      <c r="AI50" s="9939"/>
      <c r="AJ50" s="9940"/>
      <c r="AK50" s="9941"/>
      <c r="AL50" s="9942"/>
      <c r="AM50" s="9943"/>
      <c r="AN50" s="9944"/>
      <c r="AO50" s="9945"/>
      <c r="AP50" s="9946"/>
      <c r="AQ50" s="9947"/>
      <c r="AR50" s="9948"/>
      <c r="AS50" s="9949"/>
      <c r="AT50" s="9950"/>
      <c r="AU50" s="9951"/>
      <c r="AV50" s="9952"/>
      <c r="AW50" s="9953"/>
      <c r="AX50" s="9954"/>
      <c r="AY50" s="9955"/>
      <c r="AZ50" s="9956"/>
      <c r="BA50" s="9957"/>
      <c r="BB50" s="9958"/>
      <c r="BC50" s="9959"/>
      <c r="BD50" s="9960"/>
      <c r="BE50" s="9961"/>
      <c r="BF50" s="9962"/>
      <c r="BG50" s="9963"/>
      <c r="BH50" s="9964"/>
      <c r="BI50" s="9965"/>
      <c r="BJ50" s="9966"/>
      <c r="BK50" s="9967"/>
      <c r="BL50" s="9968"/>
      <c r="BM50" s="9969"/>
      <c r="BN50" s="9970"/>
      <c r="BO50" s="9971"/>
      <c r="BP50" s="9972"/>
      <c r="BQ50" s="9973"/>
      <c r="BR50" s="9974"/>
      <c r="BS50" s="9975"/>
      <c r="BT50" s="9976"/>
      <c r="BU50" s="9977"/>
      <c r="BV50" s="9978"/>
      <c r="BW50" s="9979"/>
      <c r="BX50" s="9980"/>
      <c r="BY50" s="9981"/>
      <c r="BZ50" s="9982"/>
      <c r="CA50" s="9983"/>
      <c r="CB50" s="9984"/>
      <c r="CC50" s="9985"/>
      <c r="CD50" s="9986"/>
      <c r="CE50" s="9987"/>
      <c r="CF50" s="9988"/>
      <c r="CG50" s="9989"/>
      <c r="CH50" s="9990"/>
      <c r="CI50" s="9991"/>
      <c r="CJ50" s="9992"/>
      <c r="CK50" s="9993"/>
      <c r="CL50" s="9994"/>
      <c r="CM50" s="9995"/>
      <c r="CN50" s="9996"/>
      <c r="CO50" s="9997"/>
      <c r="CP50" s="9998"/>
      <c r="CQ50" s="9999"/>
      <c r="CR50" s="10000"/>
      <c r="CS50" s="10001"/>
      <c r="CT50" s="10002"/>
      <c r="CU50" s="10003"/>
      <c r="CV50" s="10004"/>
      <c r="CW50" s="10005"/>
      <c r="CX50" s="10006"/>
      <c r="CY50" s="10007"/>
      <c r="CZ50" s="10008"/>
      <c r="DA50" s="10009"/>
      <c r="DB50" s="10010"/>
      <c r="DC50" s="10011"/>
      <c r="DD50" s="10012"/>
      <c r="DE50" s="10013"/>
      <c r="DF50" s="10014"/>
      <c r="DG50" s="10015"/>
      <c r="DH50" s="10016"/>
      <c r="DI50" s="10017"/>
      <c r="DJ50" s="10018"/>
      <c r="DK50" s="10019"/>
      <c r="DL50" s="10020"/>
      <c r="DM50" s="10021"/>
      <c r="DN50" s="10022"/>
      <c r="DO50" s="10023"/>
      <c r="DP50" s="10024"/>
      <c r="DQ50" s="10025"/>
      <c r="DR50" s="10026"/>
      <c r="DS50" s="10027"/>
      <c r="DT50" s="10028"/>
      <c r="DU50" s="10029"/>
      <c r="DV50" s="10030"/>
      <c r="DW50" s="10031"/>
      <c r="DX50" s="10032"/>
      <c r="DY50" s="10033"/>
      <c r="DZ50" s="10034"/>
      <c r="EA50" s="10035"/>
      <c r="EB50" s="10036"/>
      <c r="EC50" s="10037"/>
      <c r="ED50" s="10038"/>
      <c r="EE50" s="10039"/>
      <c r="EF50" s="10040"/>
      <c r="EG50" s="10041"/>
      <c r="EH50" s="10042"/>
      <c r="EI50" s="10043"/>
      <c r="EJ50" s="10044"/>
      <c r="EK50" s="10045"/>
      <c r="EL50" s="10046"/>
      <c r="EM50" s="10047"/>
      <c r="EN50" s="10048"/>
      <c r="EO50" s="10049"/>
      <c r="EP50" s="10050"/>
      <c r="EQ50" s="10051"/>
      <c r="ER50" s="10052"/>
      <c r="ES50" s="10053"/>
      <c r="ET50" s="10054"/>
      <c r="EU50" s="10055"/>
      <c r="EV50" s="10056"/>
      <c r="EW50" s="10057"/>
      <c r="EX50" s="10058"/>
      <c r="EY50" s="10059"/>
      <c r="EZ50" s="10060"/>
      <c r="FA50" s="10061"/>
      <c r="FB50" s="10062"/>
      <c r="FC50" s="10063"/>
      <c r="FD50" s="10064"/>
      <c r="FE50" s="10065"/>
      <c r="FF50" s="10066"/>
      <c r="FG50" s="10067"/>
      <c r="FH50" s="10068"/>
      <c r="FI50" s="10069"/>
      <c r="FJ50" s="10070"/>
      <c r="FK50" s="10071"/>
      <c r="FL50" s="10072"/>
      <c r="FM50" s="10073"/>
      <c r="FN50" s="10074"/>
      <c r="FO50" s="10075"/>
      <c r="FP50" s="10076"/>
      <c r="FQ50" s="10077"/>
      <c r="FR50" s="10078"/>
      <c r="FS50" s="10079"/>
      <c r="FT50" s="10080"/>
      <c r="FU50" s="10081"/>
      <c r="FV50" s="10082"/>
      <c r="FW50" s="10083"/>
      <c r="FX50" s="7689"/>
      <c r="FY50" s="7501"/>
      <c r="FZ50" s="7501"/>
      <c r="GA50" s="7501"/>
      <c r="GB50" s="7501"/>
    </row>
    <row s="7048" customFormat="1" customHeight="1" ht="21">
      <c r="A51" s="6959" t="s">
        <v>1235</v>
      </c>
      <c r="B51" s="7105"/>
      <c r="C51" s="7048"/>
      <c r="D51" s="7048"/>
      <c r="E51" s="7099" t="s">
        <v>22</v>
      </c>
      <c r="F51" s="7672" t="str">
        <f>INDEX(IP_MAIN_LIST_NAME_IP,MATCH(A51,IP_MAIN_LIST_IP_ID,0))&amp;" ("&amp;INDEX(IP_MAIN_START_DATE,MATCH(A51,IP_MAIN_LIST_IP_ID,0))&amp;"-"&amp;INDEX(IP_MAIN_END_DATE,MATCH(A51,IP_MAIN_LIST_IP_ID,0))&amp;")"</f>
        <v>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 (01.01.2024-31.12.2028)</v>
      </c>
      <c r="G51" s="7673"/>
      <c r="H51" s="7674"/>
      <c r="I51" s="7674"/>
      <c r="J51" s="7674"/>
      <c r="K51" s="7674"/>
      <c r="L51" s="7674"/>
      <c r="M51" s="7674"/>
      <c r="N51" s="7674"/>
      <c r="O51" s="7673"/>
      <c r="P51" s="7673"/>
      <c r="Q51" s="7673"/>
      <c r="R51" s="7673"/>
      <c r="S51" s="7673"/>
      <c r="T51" s="7673"/>
      <c r="U51" s="7675"/>
      <c r="V51" s="7675"/>
      <c r="W51" s="7675"/>
      <c r="X51" s="7675"/>
      <c r="Y51" s="7675"/>
      <c r="Z51" s="7675"/>
      <c r="AA51" s="7675"/>
      <c r="AB51" s="7673"/>
      <c r="AC51" s="7674"/>
      <c r="AD51" s="7674"/>
      <c r="AE51" s="7674"/>
      <c r="AF51" s="7674"/>
      <c r="AG51" s="7674"/>
      <c r="AH51" s="7674"/>
      <c r="AI51" s="7674"/>
      <c r="AJ51" s="7674"/>
      <c r="AK51" s="7674"/>
      <c r="AL51" s="7674"/>
      <c r="AM51" s="7674"/>
      <c r="AN51" s="7674"/>
      <c r="AO51" s="7674"/>
      <c r="AP51" s="7674"/>
      <c r="AQ51" s="7674"/>
      <c r="AR51" s="7674"/>
      <c r="AS51" s="7674"/>
      <c r="AT51" s="7674"/>
      <c r="AU51" s="7674"/>
      <c r="AV51" s="7674"/>
      <c r="AW51" s="7674"/>
      <c r="AX51" s="7674"/>
      <c r="AY51" s="7674"/>
      <c r="AZ51" s="7674"/>
      <c r="BA51" s="7674"/>
      <c r="BB51" s="7674"/>
      <c r="BC51" s="7674"/>
      <c r="BD51" s="7674"/>
      <c r="BE51" s="7674"/>
      <c r="BF51" s="7674"/>
      <c r="BG51" s="7674"/>
      <c r="BH51" s="7674"/>
      <c r="BI51" s="7674"/>
      <c r="BJ51" s="7674"/>
      <c r="BK51" s="7674"/>
      <c r="BL51" s="7674"/>
      <c r="BM51" s="7674"/>
      <c r="BN51" s="7674"/>
      <c r="BO51" s="7674"/>
      <c r="BP51" s="7674"/>
      <c r="BQ51" s="7674"/>
      <c r="BR51" s="7674"/>
      <c r="BS51" s="7674"/>
      <c r="BT51" s="7674"/>
      <c r="BU51" s="7674"/>
      <c r="BV51" s="7674"/>
      <c r="BW51" s="7674"/>
      <c r="BX51" s="7674"/>
      <c r="BY51" s="7674"/>
      <c r="BZ51" s="7674"/>
      <c r="CA51" s="7674"/>
      <c r="CB51" s="7674"/>
      <c r="CC51" s="7674"/>
      <c r="CD51" s="7674"/>
      <c r="CE51" s="7674"/>
      <c r="CF51" s="7674"/>
      <c r="CG51" s="7674"/>
      <c r="CH51" s="7674"/>
      <c r="CI51" s="7674"/>
      <c r="CJ51" s="7674"/>
      <c r="CK51" s="7674"/>
      <c r="CL51" s="7676"/>
      <c r="CM51" s="7676"/>
      <c r="CN51" s="7676"/>
      <c r="CO51" s="7676"/>
      <c r="CP51" s="7676"/>
      <c r="CQ51" s="7676"/>
      <c r="CR51" s="7676"/>
      <c r="CS51" s="7676"/>
      <c r="CT51" s="7676"/>
      <c r="CU51" s="7676"/>
      <c r="CV51" s="7676"/>
      <c r="CW51" s="7676"/>
      <c r="CX51" s="7676"/>
      <c r="CY51" s="7676"/>
      <c r="CZ51" s="7676"/>
      <c r="DA51" s="7676"/>
      <c r="DB51" s="7676"/>
      <c r="DC51" s="7676"/>
      <c r="DD51" s="7676"/>
      <c r="DE51" s="7676"/>
      <c r="DF51" s="7676"/>
      <c r="DG51" s="7676"/>
      <c r="DH51" s="7676"/>
      <c r="DI51" s="7676"/>
      <c r="DJ51" s="7676"/>
      <c r="DK51" s="7676"/>
      <c r="DL51" s="7676"/>
      <c r="DM51" s="7676"/>
      <c r="DN51" s="7676"/>
      <c r="DO51" s="7676"/>
      <c r="DP51" s="7676"/>
      <c r="DQ51" s="7676"/>
      <c r="DR51" s="7676"/>
      <c r="DS51" s="7676"/>
      <c r="DT51" s="7676"/>
      <c r="DU51" s="7676"/>
      <c r="DV51" s="7676"/>
      <c r="DW51" s="7676"/>
      <c r="DX51" s="7676"/>
      <c r="DY51" s="7676"/>
      <c r="DZ51" s="7676"/>
      <c r="EA51" s="7676"/>
      <c r="EB51" s="7676"/>
      <c r="EC51" s="7676"/>
      <c r="ED51" s="7676"/>
      <c r="EE51" s="7676"/>
      <c r="EF51" s="7676"/>
      <c r="EG51" s="7676"/>
      <c r="EH51" s="7676"/>
      <c r="EI51" s="7676"/>
      <c r="EJ51" s="7676"/>
      <c r="EK51" s="7676"/>
      <c r="EL51" s="7676"/>
      <c r="EM51" s="7676"/>
      <c r="EN51" s="7676"/>
      <c r="EO51" s="7676"/>
      <c r="EP51" s="7676"/>
      <c r="EQ51" s="7676"/>
      <c r="ER51" s="7676"/>
      <c r="ES51" s="7676"/>
      <c r="ET51" s="7676"/>
      <c r="EU51" s="7676"/>
      <c r="EV51" s="7676"/>
      <c r="EW51" s="7676"/>
      <c r="EX51" s="7676"/>
      <c r="EY51" s="7676"/>
      <c r="EZ51" s="7676"/>
      <c r="FA51" s="7676"/>
      <c r="FB51" s="7676"/>
      <c r="FC51" s="7676"/>
      <c r="FD51" s="7676"/>
      <c r="FE51" s="7676"/>
      <c r="FF51" s="7676"/>
      <c r="FG51" s="7676"/>
      <c r="FH51" s="7676"/>
      <c r="FI51" s="7676"/>
      <c r="FJ51" s="7676"/>
      <c r="FK51" s="7676"/>
      <c r="FL51" s="7676"/>
      <c r="FM51" s="7676"/>
      <c r="FN51" s="7676"/>
      <c r="FO51" s="7676"/>
      <c r="FP51" s="7676"/>
      <c r="FQ51" s="7676"/>
      <c r="FR51" s="7676"/>
      <c r="FS51" s="7676"/>
      <c r="FT51" s="7676"/>
      <c r="FU51" s="7676"/>
      <c r="FV51" s="7677"/>
      <c r="FW51" s="7110"/>
      <c r="FX51" s="7359"/>
      <c r="FY51" s="7048"/>
      <c r="FZ51" s="7048"/>
      <c r="GA51" s="7048"/>
      <c r="GB51" s="7048"/>
    </row>
    <row s="7048" customFormat="1" customHeight="1" ht="24.75">
      <c r="A52" s="7048" t="s">
        <v>1235</v>
      </c>
      <c r="B52" s="7105"/>
      <c r="C52" s="7048"/>
      <c r="D52" s="7048"/>
      <c r="E52" s="7954"/>
      <c r="F52" s="7679">
        <v>1</v>
      </c>
      <c r="G52" s="7680" t="s">
        <v>1160</v>
      </c>
      <c r="H52" s="7681" t="s">
        <v>67</v>
      </c>
      <c r="I52" s="7682" t="s">
        <v>1540</v>
      </c>
      <c r="J52" s="7683"/>
      <c r="K52" s="7683"/>
      <c r="L52" s="7683"/>
      <c r="M52" s="7683"/>
      <c r="N52" s="7683"/>
      <c r="O52" s="7684">
        <v>0</v>
      </c>
      <c r="P52" s="7684">
        <v>0</v>
      </c>
      <c r="Q52" s="7684">
        <v>0</v>
      </c>
      <c r="R52" s="7684">
        <v>0</v>
      </c>
      <c r="S52" s="7684">
        <v>0.15</v>
      </c>
      <c r="T52" s="7684">
        <v>0.15</v>
      </c>
      <c r="U52" s="7684">
        <v>1.3</v>
      </c>
      <c r="V52" s="7684">
        <v>1.3</v>
      </c>
      <c r="W52" s="7684">
        <v>0</v>
      </c>
      <c r="X52" s="7684">
        <v>0</v>
      </c>
      <c r="Y52" s="7684">
        <v>68.49</v>
      </c>
      <c r="Z52" s="7684">
        <v>68.49</v>
      </c>
      <c r="AA52" s="7684">
        <v>0</v>
      </c>
      <c r="AB52" s="7684">
        <v>0</v>
      </c>
      <c r="AC52" s="7683"/>
      <c r="AD52" s="7683"/>
      <c r="AE52" s="7683"/>
      <c r="AF52" s="7683"/>
      <c r="AG52" s="7683"/>
      <c r="AH52" s="7683"/>
      <c r="AI52" s="7683"/>
      <c r="AJ52" s="7683"/>
      <c r="AK52" s="7683"/>
      <c r="AL52" s="7683"/>
      <c r="AM52" s="7683"/>
      <c r="AN52" s="7683"/>
      <c r="AO52" s="7683"/>
      <c r="AP52" s="7683"/>
      <c r="AQ52" s="7683"/>
      <c r="AR52" s="7683"/>
      <c r="AS52" s="7683"/>
      <c r="AT52" s="7683"/>
      <c r="AU52" s="7683"/>
      <c r="AV52" s="7683"/>
      <c r="AW52" s="7683"/>
      <c r="AX52" s="7683"/>
      <c r="AY52" s="7683"/>
      <c r="AZ52" s="7683"/>
      <c r="BA52" s="7683"/>
      <c r="BB52" s="7683"/>
      <c r="BC52" s="7683"/>
      <c r="BD52" s="7683"/>
      <c r="BE52" s="7683"/>
      <c r="BF52" s="7683"/>
      <c r="BG52" s="7683"/>
      <c r="BH52" s="7683"/>
      <c r="BI52" s="7683"/>
      <c r="BJ52" s="7683"/>
      <c r="BK52" s="7683"/>
      <c r="BL52" s="7683"/>
      <c r="BM52" s="7683"/>
      <c r="BN52" s="7683"/>
      <c r="BO52" s="7683"/>
      <c r="BP52" s="7683"/>
      <c r="BQ52" s="7683"/>
      <c r="BR52" s="7683"/>
      <c r="BS52" s="7683"/>
      <c r="BT52" s="7684"/>
      <c r="BU52" s="7684"/>
      <c r="BV52" s="7684"/>
      <c r="BW52" s="7684"/>
      <c r="BX52" s="7684"/>
      <c r="BY52" s="7684"/>
      <c r="BZ52" s="7684"/>
      <c r="CA52" s="7684"/>
      <c r="CB52" s="7684"/>
      <c r="CC52" s="7684"/>
      <c r="CD52" s="7684"/>
      <c r="CE52" s="7684"/>
      <c r="CF52" s="7684"/>
      <c r="CG52" s="7684"/>
      <c r="CH52" s="7684"/>
      <c r="CI52" s="7684"/>
      <c r="CJ52" s="7684"/>
      <c r="CK52" s="7684"/>
      <c r="CL52" s="7683"/>
      <c r="CM52" s="7683"/>
      <c r="CN52" s="7683"/>
      <c r="CO52" s="7683"/>
      <c r="CP52" s="7683"/>
      <c r="CQ52" s="7683"/>
      <c r="CR52" s="7683"/>
      <c r="CS52" s="7683"/>
      <c r="CT52" s="7683"/>
      <c r="CU52" s="7683"/>
      <c r="CV52" s="7683"/>
      <c r="CW52" s="7683"/>
      <c r="CX52" s="7683"/>
      <c r="CY52" s="7684"/>
      <c r="CZ52" s="7684"/>
      <c r="DA52" s="7684"/>
      <c r="DB52" s="7684"/>
      <c r="DC52" s="7684"/>
      <c r="DD52" s="7684"/>
      <c r="DE52" s="7684"/>
      <c r="DF52" s="7684"/>
      <c r="DG52" s="7684"/>
      <c r="DH52" s="7684"/>
      <c r="DI52" s="7684"/>
      <c r="DJ52" s="7684"/>
      <c r="DK52" s="7683"/>
      <c r="DL52" s="7683"/>
      <c r="DM52" s="7683"/>
      <c r="DN52" s="7683"/>
      <c r="DO52" s="7683"/>
      <c r="DP52" s="7683"/>
      <c r="DQ52" s="7683"/>
      <c r="DR52" s="7683"/>
      <c r="DS52" s="7683"/>
      <c r="DT52" s="7683"/>
      <c r="DU52" s="7683"/>
      <c r="DV52" s="7683"/>
      <c r="DW52" s="7683"/>
      <c r="DX52" s="7683"/>
      <c r="DY52" s="7683"/>
      <c r="DZ52" s="7683"/>
      <c r="EA52" s="7683"/>
      <c r="EB52" s="7683"/>
      <c r="EC52" s="7683"/>
      <c r="ED52" s="7683"/>
      <c r="EE52" s="7683"/>
      <c r="EF52" s="7683"/>
      <c r="EG52" s="7683"/>
      <c r="EH52" s="7683"/>
      <c r="EI52" s="7683"/>
      <c r="EJ52" s="7683"/>
      <c r="EK52" s="7683"/>
      <c r="EL52" s="7683"/>
      <c r="EM52" s="7683"/>
      <c r="EN52" s="7683"/>
      <c r="EO52" s="7683"/>
      <c r="EP52" s="7683"/>
      <c r="EQ52" s="7683"/>
      <c r="ER52" s="7683"/>
      <c r="ES52" s="7683"/>
      <c r="ET52" s="7683"/>
      <c r="EU52" s="7683"/>
      <c r="EV52" s="7683"/>
      <c r="EW52" s="7683"/>
      <c r="EX52" s="7683"/>
      <c r="EY52" s="7683"/>
      <c r="EZ52" s="7683"/>
      <c r="FA52" s="7683"/>
      <c r="FB52" s="7683"/>
      <c r="FC52" s="7683"/>
      <c r="FD52" s="7683"/>
      <c r="FE52" s="7683"/>
      <c r="FF52" s="7683"/>
      <c r="FG52" s="7683"/>
      <c r="FH52" s="7683"/>
      <c r="FI52" s="7683"/>
      <c r="FJ52" s="7683"/>
      <c r="FK52" s="7683"/>
      <c r="FL52" s="7683"/>
      <c r="FM52" s="7683"/>
      <c r="FN52" s="7683"/>
      <c r="FO52" s="7683"/>
      <c r="FP52" s="7683"/>
      <c r="FQ52" s="7683"/>
      <c r="FR52" s="7683"/>
      <c r="FS52" s="7683"/>
      <c r="FT52" s="7683"/>
      <c r="FU52" s="7683"/>
      <c r="FV52" s="7683"/>
      <c r="FW52" s="7683"/>
      <c r="FX52" s="7359"/>
      <c r="FY52" s="7048"/>
      <c r="FZ52" s="7048"/>
      <c r="GA52" s="7048"/>
      <c r="GB52" s="7048"/>
    </row>
    <row s="7048" customFormat="1" customHeight="1" ht="12">
      <c r="A53" s="7048" t="s">
        <v>1235</v>
      </c>
      <c r="B53" s="7105"/>
      <c r="C53" s="7048"/>
      <c r="D53" s="7048"/>
      <c r="E53" s="7048"/>
      <c r="F53" s="10084"/>
      <c r="G53" s="10085" t="s">
        <v>1541</v>
      </c>
      <c r="H53" s="10086"/>
      <c r="I53" s="10087"/>
      <c r="J53" s="10088"/>
      <c r="K53" s="10089"/>
      <c r="L53" s="10090"/>
      <c r="M53" s="10091"/>
      <c r="N53" s="10092"/>
      <c r="O53" s="10093"/>
      <c r="P53" s="10094"/>
      <c r="Q53" s="10095"/>
      <c r="R53" s="10096"/>
      <c r="S53" s="10097"/>
      <c r="T53" s="10098"/>
      <c r="U53" s="10099"/>
      <c r="V53" s="10100"/>
      <c r="W53" s="10101"/>
      <c r="X53" s="10102"/>
      <c r="Y53" s="10103"/>
      <c r="Z53" s="10104"/>
      <c r="AA53" s="10105"/>
      <c r="AB53" s="10106"/>
      <c r="AC53" s="10107"/>
      <c r="AD53" s="10108"/>
      <c r="AE53" s="10109"/>
      <c r="AF53" s="10110"/>
      <c r="AG53" s="10111"/>
      <c r="AH53" s="10112"/>
      <c r="AI53" s="10113"/>
      <c r="AJ53" s="10114"/>
      <c r="AK53" s="10115"/>
      <c r="AL53" s="10116"/>
      <c r="AM53" s="10117"/>
      <c r="AN53" s="10118"/>
      <c r="AO53" s="10119"/>
      <c r="AP53" s="10120"/>
      <c r="AQ53" s="10121"/>
      <c r="AR53" s="10122"/>
      <c r="AS53" s="10123"/>
      <c r="AT53" s="10124"/>
      <c r="AU53" s="10125"/>
      <c r="AV53" s="10126"/>
      <c r="AW53" s="10127"/>
      <c r="AX53" s="10128"/>
      <c r="AY53" s="10129"/>
      <c r="AZ53" s="10130"/>
      <c r="BA53" s="10131"/>
      <c r="BB53" s="10132"/>
      <c r="BC53" s="10133"/>
      <c r="BD53" s="10134"/>
      <c r="BE53" s="10135"/>
      <c r="BF53" s="10136"/>
      <c r="BG53" s="10137"/>
      <c r="BH53" s="10138"/>
      <c r="BI53" s="10139"/>
      <c r="BJ53" s="10140"/>
      <c r="BK53" s="10141"/>
      <c r="BL53" s="10142"/>
      <c r="BM53" s="10143"/>
      <c r="BN53" s="10144"/>
      <c r="BO53" s="10145"/>
      <c r="BP53" s="10146"/>
      <c r="BQ53" s="10147"/>
      <c r="BR53" s="10148"/>
      <c r="BS53" s="10149"/>
      <c r="BT53" s="10150"/>
      <c r="BU53" s="10151"/>
      <c r="BV53" s="10152"/>
      <c r="BW53" s="10153"/>
      <c r="BX53" s="10154"/>
      <c r="BY53" s="10155"/>
      <c r="BZ53" s="10156"/>
      <c r="CA53" s="10157"/>
      <c r="CB53" s="10158"/>
      <c r="CC53" s="10159"/>
      <c r="CD53" s="10160"/>
      <c r="CE53" s="10161"/>
      <c r="CF53" s="10162"/>
      <c r="CG53" s="10163"/>
      <c r="CH53" s="10164"/>
      <c r="CI53" s="10165"/>
      <c r="CJ53" s="10166"/>
      <c r="CK53" s="10167"/>
      <c r="CL53" s="10168"/>
      <c r="CM53" s="10169"/>
      <c r="CN53" s="10170"/>
      <c r="CO53" s="10171"/>
      <c r="CP53" s="10172"/>
      <c r="CQ53" s="10173"/>
      <c r="CR53" s="10174"/>
      <c r="CS53" s="10175"/>
      <c r="CT53" s="10176"/>
      <c r="CU53" s="10177"/>
      <c r="CV53" s="10178"/>
      <c r="CW53" s="10179"/>
      <c r="CX53" s="10180"/>
      <c r="CY53" s="10181"/>
      <c r="CZ53" s="10182"/>
      <c r="DA53" s="10183"/>
      <c r="DB53" s="10184"/>
      <c r="DC53" s="10185"/>
      <c r="DD53" s="10186"/>
      <c r="DE53" s="10187"/>
      <c r="DF53" s="10188"/>
      <c r="DG53" s="10189"/>
      <c r="DH53" s="10190"/>
      <c r="DI53" s="10191"/>
      <c r="DJ53" s="10192"/>
      <c r="DK53" s="10193"/>
      <c r="DL53" s="10194"/>
      <c r="DM53" s="10195"/>
      <c r="DN53" s="10196"/>
      <c r="DO53" s="10197"/>
      <c r="DP53" s="10198"/>
      <c r="DQ53" s="10199"/>
      <c r="DR53" s="10200"/>
      <c r="DS53" s="10201"/>
      <c r="DT53" s="10202"/>
      <c r="DU53" s="10203"/>
      <c r="DV53" s="10204"/>
      <c r="DW53" s="10205"/>
      <c r="DX53" s="10206"/>
      <c r="DY53" s="10207"/>
      <c r="DZ53" s="10208"/>
      <c r="EA53" s="10209"/>
      <c r="EB53" s="10210"/>
      <c r="EC53" s="10211"/>
      <c r="ED53" s="10212"/>
      <c r="EE53" s="10213"/>
      <c r="EF53" s="10214"/>
      <c r="EG53" s="10215"/>
      <c r="EH53" s="10216"/>
      <c r="EI53" s="10217"/>
      <c r="EJ53" s="10218"/>
      <c r="EK53" s="10219"/>
      <c r="EL53" s="10220"/>
      <c r="EM53" s="10221"/>
      <c r="EN53" s="10222"/>
      <c r="EO53" s="10223"/>
      <c r="EP53" s="10224"/>
      <c r="EQ53" s="10225"/>
      <c r="ER53" s="10226"/>
      <c r="ES53" s="10227"/>
      <c r="ET53" s="10228"/>
      <c r="EU53" s="10229"/>
      <c r="EV53" s="10230"/>
      <c r="EW53" s="10231"/>
      <c r="EX53" s="10232"/>
      <c r="EY53" s="10233"/>
      <c r="EZ53" s="10234"/>
      <c r="FA53" s="10235"/>
      <c r="FB53" s="10236"/>
      <c r="FC53" s="10237"/>
      <c r="FD53" s="10238"/>
      <c r="FE53" s="10239"/>
      <c r="FF53" s="10240"/>
      <c r="FG53" s="10241"/>
      <c r="FH53" s="10242"/>
      <c r="FI53" s="10243"/>
      <c r="FJ53" s="10244"/>
      <c r="FK53" s="10245"/>
      <c r="FL53" s="10246"/>
      <c r="FM53" s="10247"/>
      <c r="FN53" s="10248"/>
      <c r="FO53" s="10249"/>
      <c r="FP53" s="10250"/>
      <c r="FQ53" s="10251"/>
      <c r="FR53" s="10252"/>
      <c r="FS53" s="10253"/>
      <c r="FT53" s="10254"/>
      <c r="FU53" s="10255"/>
      <c r="FV53" s="10256"/>
      <c r="FW53" s="10257"/>
      <c r="FX53" s="7689"/>
      <c r="FY53" s="7501"/>
      <c r="FZ53" s="7501"/>
      <c r="GA53" s="7501"/>
      <c r="GB53" s="7501"/>
    </row>
    <row s="7048" customFormat="1" customHeight="1" ht="21">
      <c r="A54" s="6959" t="s">
        <v>1241</v>
      </c>
      <c r="B54" s="7105"/>
      <c r="C54" s="7048"/>
      <c r="D54" s="7048"/>
      <c r="E54" s="7099" t="s">
        <v>22</v>
      </c>
      <c r="F54" s="7672" t="str">
        <f>INDEX(IP_MAIN_LIST_NAME_IP,MATCH(A54,IP_MAIN_LIST_IP_ID,0))&amp;" ("&amp;INDEX(IP_MAIN_START_DATE,MATCH(A54,IP_MAIN_LIST_IP_ID,0))&amp;"-"&amp;INDEX(IP_MAIN_END_DATE,MATCH(A54,IP_MAIN_LIST_IP_ID,0))&amp;")"</f>
        <v>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 (01.01.2024-31.12.2028)</v>
      </c>
      <c r="G54" s="7673"/>
      <c r="H54" s="7674"/>
      <c r="I54" s="7674"/>
      <c r="J54" s="7674"/>
      <c r="K54" s="7674"/>
      <c r="L54" s="7674"/>
      <c r="M54" s="7674"/>
      <c r="N54" s="7674"/>
      <c r="O54" s="7673"/>
      <c r="P54" s="7673"/>
      <c r="Q54" s="7673"/>
      <c r="R54" s="7673"/>
      <c r="S54" s="7673"/>
      <c r="T54" s="7673"/>
      <c r="U54" s="7675"/>
      <c r="V54" s="7675"/>
      <c r="W54" s="7675"/>
      <c r="X54" s="7675"/>
      <c r="Y54" s="7675"/>
      <c r="Z54" s="7675"/>
      <c r="AA54" s="7675"/>
      <c r="AB54" s="7673"/>
      <c r="AC54" s="7674"/>
      <c r="AD54" s="7674"/>
      <c r="AE54" s="7674"/>
      <c r="AF54" s="7674"/>
      <c r="AG54" s="7674"/>
      <c r="AH54" s="7674"/>
      <c r="AI54" s="7674"/>
      <c r="AJ54" s="7674"/>
      <c r="AK54" s="7674"/>
      <c r="AL54" s="7674"/>
      <c r="AM54" s="7674"/>
      <c r="AN54" s="7674"/>
      <c r="AO54" s="7674"/>
      <c r="AP54" s="7674"/>
      <c r="AQ54" s="7674"/>
      <c r="AR54" s="7674"/>
      <c r="AS54" s="7674"/>
      <c r="AT54" s="7674"/>
      <c r="AU54" s="7674"/>
      <c r="AV54" s="7674"/>
      <c r="AW54" s="7674"/>
      <c r="AX54" s="7674"/>
      <c r="AY54" s="7674"/>
      <c r="AZ54" s="7674"/>
      <c r="BA54" s="7674"/>
      <c r="BB54" s="7674"/>
      <c r="BC54" s="7674"/>
      <c r="BD54" s="7674"/>
      <c r="BE54" s="7674"/>
      <c r="BF54" s="7674"/>
      <c r="BG54" s="7674"/>
      <c r="BH54" s="7674"/>
      <c r="BI54" s="7674"/>
      <c r="BJ54" s="7674"/>
      <c r="BK54" s="7674"/>
      <c r="BL54" s="7674"/>
      <c r="BM54" s="7674"/>
      <c r="BN54" s="7674"/>
      <c r="BO54" s="7674"/>
      <c r="BP54" s="7674"/>
      <c r="BQ54" s="7674"/>
      <c r="BR54" s="7674"/>
      <c r="BS54" s="7674"/>
      <c r="BT54" s="7674"/>
      <c r="BU54" s="7674"/>
      <c r="BV54" s="7674"/>
      <c r="BW54" s="7674"/>
      <c r="BX54" s="7674"/>
      <c r="BY54" s="7674"/>
      <c r="BZ54" s="7674"/>
      <c r="CA54" s="7674"/>
      <c r="CB54" s="7674"/>
      <c r="CC54" s="7674"/>
      <c r="CD54" s="7674"/>
      <c r="CE54" s="7674"/>
      <c r="CF54" s="7674"/>
      <c r="CG54" s="7674"/>
      <c r="CH54" s="7674"/>
      <c r="CI54" s="7674"/>
      <c r="CJ54" s="7674"/>
      <c r="CK54" s="7674"/>
      <c r="CL54" s="7676"/>
      <c r="CM54" s="7676"/>
      <c r="CN54" s="7676"/>
      <c r="CO54" s="7676"/>
      <c r="CP54" s="7676"/>
      <c r="CQ54" s="7676"/>
      <c r="CR54" s="7676"/>
      <c r="CS54" s="7676"/>
      <c r="CT54" s="7676"/>
      <c r="CU54" s="7676"/>
      <c r="CV54" s="7676"/>
      <c r="CW54" s="7676"/>
      <c r="CX54" s="7676"/>
      <c r="CY54" s="7676"/>
      <c r="CZ54" s="7676"/>
      <c r="DA54" s="7676"/>
      <c r="DB54" s="7676"/>
      <c r="DC54" s="7676"/>
      <c r="DD54" s="7676"/>
      <c r="DE54" s="7676"/>
      <c r="DF54" s="7676"/>
      <c r="DG54" s="7676"/>
      <c r="DH54" s="7676"/>
      <c r="DI54" s="7676"/>
      <c r="DJ54" s="7676"/>
      <c r="DK54" s="7676"/>
      <c r="DL54" s="7676"/>
      <c r="DM54" s="7676"/>
      <c r="DN54" s="7676"/>
      <c r="DO54" s="7676"/>
      <c r="DP54" s="7676"/>
      <c r="DQ54" s="7676"/>
      <c r="DR54" s="7676"/>
      <c r="DS54" s="7676"/>
      <c r="DT54" s="7676"/>
      <c r="DU54" s="7676"/>
      <c r="DV54" s="7676"/>
      <c r="DW54" s="7676"/>
      <c r="DX54" s="7676"/>
      <c r="DY54" s="7676"/>
      <c r="DZ54" s="7676"/>
      <c r="EA54" s="7676"/>
      <c r="EB54" s="7676"/>
      <c r="EC54" s="7676"/>
      <c r="ED54" s="7676"/>
      <c r="EE54" s="7676"/>
      <c r="EF54" s="7676"/>
      <c r="EG54" s="7676"/>
      <c r="EH54" s="7676"/>
      <c r="EI54" s="7676"/>
      <c r="EJ54" s="7676"/>
      <c r="EK54" s="7676"/>
      <c r="EL54" s="7676"/>
      <c r="EM54" s="7676"/>
      <c r="EN54" s="7676"/>
      <c r="EO54" s="7676"/>
      <c r="EP54" s="7676"/>
      <c r="EQ54" s="7676"/>
      <c r="ER54" s="7676"/>
      <c r="ES54" s="7676"/>
      <c r="ET54" s="7676"/>
      <c r="EU54" s="7676"/>
      <c r="EV54" s="7676"/>
      <c r="EW54" s="7676"/>
      <c r="EX54" s="7676"/>
      <c r="EY54" s="7676"/>
      <c r="EZ54" s="7676"/>
      <c r="FA54" s="7676"/>
      <c r="FB54" s="7676"/>
      <c r="FC54" s="7676"/>
      <c r="FD54" s="7676"/>
      <c r="FE54" s="7676"/>
      <c r="FF54" s="7676"/>
      <c r="FG54" s="7676"/>
      <c r="FH54" s="7676"/>
      <c r="FI54" s="7676"/>
      <c r="FJ54" s="7676"/>
      <c r="FK54" s="7676"/>
      <c r="FL54" s="7676"/>
      <c r="FM54" s="7676"/>
      <c r="FN54" s="7676"/>
      <c r="FO54" s="7676"/>
      <c r="FP54" s="7676"/>
      <c r="FQ54" s="7676"/>
      <c r="FR54" s="7676"/>
      <c r="FS54" s="7676"/>
      <c r="FT54" s="7676"/>
      <c r="FU54" s="7676"/>
      <c r="FV54" s="7677"/>
      <c r="FW54" s="7110"/>
      <c r="FX54" s="7359"/>
      <c r="FY54" s="7048"/>
      <c r="FZ54" s="7048"/>
      <c r="GA54" s="7048"/>
      <c r="GB54" s="7048"/>
    </row>
    <row s="7048" customFormat="1" customHeight="1" ht="24.75">
      <c r="A55" s="7048" t="s">
        <v>1241</v>
      </c>
      <c r="B55" s="7105"/>
      <c r="C55" s="7048"/>
      <c r="D55" s="7048"/>
      <c r="E55" s="7954"/>
      <c r="F55" s="7679">
        <v>1</v>
      </c>
      <c r="G55" s="7680" t="s">
        <v>1160</v>
      </c>
      <c r="H55" s="7681" t="s">
        <v>67</v>
      </c>
      <c r="I55" s="7682" t="s">
        <v>1540</v>
      </c>
      <c r="J55" s="7683"/>
      <c r="K55" s="7683"/>
      <c r="L55" s="7683"/>
      <c r="M55" s="7683"/>
      <c r="N55" s="7683"/>
      <c r="O55" s="7684">
        <v>0</v>
      </c>
      <c r="P55" s="7684">
        <v>0</v>
      </c>
      <c r="Q55" s="7684">
        <v>0</v>
      </c>
      <c r="R55" s="7684">
        <v>0</v>
      </c>
      <c r="S55" s="7684">
        <v>0.16</v>
      </c>
      <c r="T55" s="7684">
        <v>0.16</v>
      </c>
      <c r="U55" s="7684">
        <v>1.39</v>
      </c>
      <c r="V55" s="7684">
        <v>1.39</v>
      </c>
      <c r="W55" s="7684">
        <v>0</v>
      </c>
      <c r="X55" s="7684">
        <v>0</v>
      </c>
      <c r="Y55" s="7684">
        <v>134.37</v>
      </c>
      <c r="Z55" s="7684">
        <v>134.37</v>
      </c>
      <c r="AA55" s="7684">
        <v>0</v>
      </c>
      <c r="AB55" s="7684">
        <v>0</v>
      </c>
      <c r="AC55" s="7683"/>
      <c r="AD55" s="7683"/>
      <c r="AE55" s="7683"/>
      <c r="AF55" s="7683"/>
      <c r="AG55" s="7683"/>
      <c r="AH55" s="7683"/>
      <c r="AI55" s="7683"/>
      <c r="AJ55" s="7683"/>
      <c r="AK55" s="7683"/>
      <c r="AL55" s="7683"/>
      <c r="AM55" s="7683"/>
      <c r="AN55" s="7683"/>
      <c r="AO55" s="7683"/>
      <c r="AP55" s="7683"/>
      <c r="AQ55" s="7683"/>
      <c r="AR55" s="7683"/>
      <c r="AS55" s="7683"/>
      <c r="AT55" s="7683"/>
      <c r="AU55" s="7683"/>
      <c r="AV55" s="7683"/>
      <c r="AW55" s="7683"/>
      <c r="AX55" s="7683"/>
      <c r="AY55" s="7683"/>
      <c r="AZ55" s="7683"/>
      <c r="BA55" s="7683"/>
      <c r="BB55" s="7683"/>
      <c r="BC55" s="7683"/>
      <c r="BD55" s="7683"/>
      <c r="BE55" s="7683"/>
      <c r="BF55" s="7683"/>
      <c r="BG55" s="7683"/>
      <c r="BH55" s="7683"/>
      <c r="BI55" s="7683"/>
      <c r="BJ55" s="7683"/>
      <c r="BK55" s="7683"/>
      <c r="BL55" s="7683"/>
      <c r="BM55" s="7683"/>
      <c r="BN55" s="7683"/>
      <c r="BO55" s="7683"/>
      <c r="BP55" s="7683"/>
      <c r="BQ55" s="7683"/>
      <c r="BR55" s="7683"/>
      <c r="BS55" s="7683"/>
      <c r="BT55" s="7684"/>
      <c r="BU55" s="7684"/>
      <c r="BV55" s="7684"/>
      <c r="BW55" s="7684"/>
      <c r="BX55" s="7684"/>
      <c r="BY55" s="7684"/>
      <c r="BZ55" s="7684"/>
      <c r="CA55" s="7684"/>
      <c r="CB55" s="7684"/>
      <c r="CC55" s="7684"/>
      <c r="CD55" s="7684"/>
      <c r="CE55" s="7684"/>
      <c r="CF55" s="7684"/>
      <c r="CG55" s="7684"/>
      <c r="CH55" s="7684"/>
      <c r="CI55" s="7684"/>
      <c r="CJ55" s="7684"/>
      <c r="CK55" s="7684"/>
      <c r="CL55" s="7683"/>
      <c r="CM55" s="7683"/>
      <c r="CN55" s="7683"/>
      <c r="CO55" s="7683"/>
      <c r="CP55" s="7683"/>
      <c r="CQ55" s="7683"/>
      <c r="CR55" s="7683"/>
      <c r="CS55" s="7683"/>
      <c r="CT55" s="7683"/>
      <c r="CU55" s="7683"/>
      <c r="CV55" s="7683"/>
      <c r="CW55" s="7683"/>
      <c r="CX55" s="7683"/>
      <c r="CY55" s="7684"/>
      <c r="CZ55" s="7684"/>
      <c r="DA55" s="7684"/>
      <c r="DB55" s="7684"/>
      <c r="DC55" s="7684"/>
      <c r="DD55" s="7684"/>
      <c r="DE55" s="7684"/>
      <c r="DF55" s="7684"/>
      <c r="DG55" s="7684"/>
      <c r="DH55" s="7684"/>
      <c r="DI55" s="7684"/>
      <c r="DJ55" s="7684"/>
      <c r="DK55" s="7683"/>
      <c r="DL55" s="7683"/>
      <c r="DM55" s="7683"/>
      <c r="DN55" s="7683"/>
      <c r="DO55" s="7683"/>
      <c r="DP55" s="7683"/>
      <c r="DQ55" s="7683"/>
      <c r="DR55" s="7683"/>
      <c r="DS55" s="7683"/>
      <c r="DT55" s="7683"/>
      <c r="DU55" s="7683"/>
      <c r="DV55" s="7683"/>
      <c r="DW55" s="7683"/>
      <c r="DX55" s="7683"/>
      <c r="DY55" s="7683"/>
      <c r="DZ55" s="7683"/>
      <c r="EA55" s="7683"/>
      <c r="EB55" s="7683"/>
      <c r="EC55" s="7683"/>
      <c r="ED55" s="7683"/>
      <c r="EE55" s="7683"/>
      <c r="EF55" s="7683"/>
      <c r="EG55" s="7683"/>
      <c r="EH55" s="7683"/>
      <c r="EI55" s="7683"/>
      <c r="EJ55" s="7683"/>
      <c r="EK55" s="7683"/>
      <c r="EL55" s="7683"/>
      <c r="EM55" s="7683"/>
      <c r="EN55" s="7683"/>
      <c r="EO55" s="7683"/>
      <c r="EP55" s="7683"/>
      <c r="EQ55" s="7683"/>
      <c r="ER55" s="7683"/>
      <c r="ES55" s="7683"/>
      <c r="ET55" s="7683"/>
      <c r="EU55" s="7683"/>
      <c r="EV55" s="7683"/>
      <c r="EW55" s="7683"/>
      <c r="EX55" s="7683"/>
      <c r="EY55" s="7683"/>
      <c r="EZ55" s="7683"/>
      <c r="FA55" s="7683"/>
      <c r="FB55" s="7683"/>
      <c r="FC55" s="7683"/>
      <c r="FD55" s="7683"/>
      <c r="FE55" s="7683"/>
      <c r="FF55" s="7683"/>
      <c r="FG55" s="7683"/>
      <c r="FH55" s="7683"/>
      <c r="FI55" s="7683"/>
      <c r="FJ55" s="7683"/>
      <c r="FK55" s="7683"/>
      <c r="FL55" s="7683"/>
      <c r="FM55" s="7683"/>
      <c r="FN55" s="7683"/>
      <c r="FO55" s="7683"/>
      <c r="FP55" s="7683"/>
      <c r="FQ55" s="7683"/>
      <c r="FR55" s="7683"/>
      <c r="FS55" s="7683"/>
      <c r="FT55" s="7683"/>
      <c r="FU55" s="7683"/>
      <c r="FV55" s="7683"/>
      <c r="FW55" s="7683"/>
      <c r="FX55" s="7359"/>
      <c r="FY55" s="7048"/>
      <c r="FZ55" s="7048"/>
      <c r="GA55" s="7048"/>
      <c r="GB55" s="7048"/>
    </row>
    <row s="7048" customFormat="1" customHeight="1" ht="12">
      <c r="A56" s="7048" t="s">
        <v>1241</v>
      </c>
      <c r="B56" s="7105"/>
      <c r="C56" s="7048"/>
      <c r="D56" s="7048"/>
      <c r="E56" s="7048"/>
      <c r="F56" s="10258"/>
      <c r="G56" s="10259" t="s">
        <v>1541</v>
      </c>
      <c r="H56" s="10260"/>
      <c r="I56" s="10261"/>
      <c r="J56" s="10262"/>
      <c r="K56" s="10263"/>
      <c r="L56" s="10264"/>
      <c r="M56" s="10265"/>
      <c r="N56" s="10266"/>
      <c r="O56" s="10267"/>
      <c r="P56" s="10268"/>
      <c r="Q56" s="10269"/>
      <c r="R56" s="10270"/>
      <c r="S56" s="10271"/>
      <c r="T56" s="10272"/>
      <c r="U56" s="10273"/>
      <c r="V56" s="10274"/>
      <c r="W56" s="10275"/>
      <c r="X56" s="10276"/>
      <c r="Y56" s="10277"/>
      <c r="Z56" s="10278"/>
      <c r="AA56" s="10279"/>
      <c r="AB56" s="10280"/>
      <c r="AC56" s="10281"/>
      <c r="AD56" s="10282"/>
      <c r="AE56" s="10283"/>
      <c r="AF56" s="10284"/>
      <c r="AG56" s="10285"/>
      <c r="AH56" s="10286"/>
      <c r="AI56" s="10287"/>
      <c r="AJ56" s="10288"/>
      <c r="AK56" s="10289"/>
      <c r="AL56" s="10290"/>
      <c r="AM56" s="10291"/>
      <c r="AN56" s="10292"/>
      <c r="AO56" s="10293"/>
      <c r="AP56" s="10294"/>
      <c r="AQ56" s="10295"/>
      <c r="AR56" s="10296"/>
      <c r="AS56" s="10297"/>
      <c r="AT56" s="10298"/>
      <c r="AU56" s="10299"/>
      <c r="AV56" s="10300"/>
      <c r="AW56" s="10301"/>
      <c r="AX56" s="10302"/>
      <c r="AY56" s="10303"/>
      <c r="AZ56" s="10304"/>
      <c r="BA56" s="10305"/>
      <c r="BB56" s="10306"/>
      <c r="BC56" s="10307"/>
      <c r="BD56" s="10308"/>
      <c r="BE56" s="10309"/>
      <c r="BF56" s="10310"/>
      <c r="BG56" s="10311"/>
      <c r="BH56" s="10312"/>
      <c r="BI56" s="10313"/>
      <c r="BJ56" s="10314"/>
      <c r="BK56" s="10315"/>
      <c r="BL56" s="10316"/>
      <c r="BM56" s="10317"/>
      <c r="BN56" s="10318"/>
      <c r="BO56" s="10319"/>
      <c r="BP56" s="10320"/>
      <c r="BQ56" s="10321"/>
      <c r="BR56" s="10322"/>
      <c r="BS56" s="10323"/>
      <c r="BT56" s="10324"/>
      <c r="BU56" s="10325"/>
      <c r="BV56" s="10326"/>
      <c r="BW56" s="10327"/>
      <c r="BX56" s="10328"/>
      <c r="BY56" s="10329"/>
      <c r="BZ56" s="10330"/>
      <c r="CA56" s="10331"/>
      <c r="CB56" s="10332"/>
      <c r="CC56" s="10333"/>
      <c r="CD56" s="10334"/>
      <c r="CE56" s="10335"/>
      <c r="CF56" s="10336"/>
      <c r="CG56" s="10337"/>
      <c r="CH56" s="10338"/>
      <c r="CI56" s="10339"/>
      <c r="CJ56" s="10340"/>
      <c r="CK56" s="10341"/>
      <c r="CL56" s="10342"/>
      <c r="CM56" s="10343"/>
      <c r="CN56" s="10344"/>
      <c r="CO56" s="10345"/>
      <c r="CP56" s="10346"/>
      <c r="CQ56" s="10347"/>
      <c r="CR56" s="10348"/>
      <c r="CS56" s="10349"/>
      <c r="CT56" s="10350"/>
      <c r="CU56" s="10351"/>
      <c r="CV56" s="10352"/>
      <c r="CW56" s="10353"/>
      <c r="CX56" s="10354"/>
      <c r="CY56" s="10355"/>
      <c r="CZ56" s="10356"/>
      <c r="DA56" s="10357"/>
      <c r="DB56" s="10358"/>
      <c r="DC56" s="10359"/>
      <c r="DD56" s="10360"/>
      <c r="DE56" s="10361"/>
      <c r="DF56" s="10362"/>
      <c r="DG56" s="10363"/>
      <c r="DH56" s="10364"/>
      <c r="DI56" s="10365"/>
      <c r="DJ56" s="10366"/>
      <c r="DK56" s="10367"/>
      <c r="DL56" s="10368"/>
      <c r="DM56" s="10369"/>
      <c r="DN56" s="10370"/>
      <c r="DO56" s="10371"/>
      <c r="DP56" s="10372"/>
      <c r="DQ56" s="10373"/>
      <c r="DR56" s="10374"/>
      <c r="DS56" s="10375"/>
      <c r="DT56" s="10376"/>
      <c r="DU56" s="10377"/>
      <c r="DV56" s="10378"/>
      <c r="DW56" s="10379"/>
      <c r="DX56" s="10380"/>
      <c r="DY56" s="10381"/>
      <c r="DZ56" s="10382"/>
      <c r="EA56" s="10383"/>
      <c r="EB56" s="10384"/>
      <c r="EC56" s="10385"/>
      <c r="ED56" s="10386"/>
      <c r="EE56" s="10387"/>
      <c r="EF56" s="10388"/>
      <c r="EG56" s="10389"/>
      <c r="EH56" s="10390"/>
      <c r="EI56" s="10391"/>
      <c r="EJ56" s="10392"/>
      <c r="EK56" s="10393"/>
      <c r="EL56" s="10394"/>
      <c r="EM56" s="10395"/>
      <c r="EN56" s="10396"/>
      <c r="EO56" s="10397"/>
      <c r="EP56" s="10398"/>
      <c r="EQ56" s="10399"/>
      <c r="ER56" s="10400"/>
      <c r="ES56" s="10401"/>
      <c r="ET56" s="10402"/>
      <c r="EU56" s="10403"/>
      <c r="EV56" s="10404"/>
      <c r="EW56" s="10405"/>
      <c r="EX56" s="10406"/>
      <c r="EY56" s="10407"/>
      <c r="EZ56" s="10408"/>
      <c r="FA56" s="10409"/>
      <c r="FB56" s="10410"/>
      <c r="FC56" s="10411"/>
      <c r="FD56" s="10412"/>
      <c r="FE56" s="10413"/>
      <c r="FF56" s="10414"/>
      <c r="FG56" s="10415"/>
      <c r="FH56" s="10416"/>
      <c r="FI56" s="10417"/>
      <c r="FJ56" s="10418"/>
      <c r="FK56" s="10419"/>
      <c r="FL56" s="10420"/>
      <c r="FM56" s="10421"/>
      <c r="FN56" s="10422"/>
      <c r="FO56" s="10423"/>
      <c r="FP56" s="10424"/>
      <c r="FQ56" s="10425"/>
      <c r="FR56" s="10426"/>
      <c r="FS56" s="10427"/>
      <c r="FT56" s="10428"/>
      <c r="FU56" s="10429"/>
      <c r="FV56" s="10430"/>
      <c r="FW56" s="10431"/>
      <c r="FX56" s="7689"/>
      <c r="FY56" s="7501"/>
      <c r="FZ56" s="7501"/>
      <c r="GA56" s="7501"/>
      <c r="GB56" s="7501"/>
    </row>
    <row s="7048" customFormat="1" customHeight="1" ht="21">
      <c r="A57" s="6959" t="s">
        <v>1247</v>
      </c>
      <c r="B57" s="7105"/>
      <c r="C57" s="7048"/>
      <c r="D57" s="7048"/>
      <c r="E57" s="7099" t="s">
        <v>22</v>
      </c>
      <c r="F57" s="7672" t="str">
        <f>INDEX(IP_MAIN_LIST_NAME_IP,MATCH(A57,IP_MAIN_LIST_IP_ID,0))&amp;" ("&amp;INDEX(IP_MAIN_START_DATE,MATCH(A57,IP_MAIN_LIST_IP_ID,0))&amp;"-"&amp;INDEX(IP_MAIN_END_DATE,MATCH(A57,IP_MAIN_LIST_IP_ID,0))&amp;")"</f>
        <v>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 (01.01.2024-31.12.2028)</v>
      </c>
      <c r="G57" s="7673"/>
      <c r="H57" s="7674"/>
      <c r="I57" s="7674"/>
      <c r="J57" s="7674"/>
      <c r="K57" s="7674"/>
      <c r="L57" s="7674"/>
      <c r="M57" s="7674"/>
      <c r="N57" s="7674"/>
      <c r="O57" s="7673"/>
      <c r="P57" s="7673"/>
      <c r="Q57" s="7673"/>
      <c r="R57" s="7673"/>
      <c r="S57" s="7673"/>
      <c r="T57" s="7673"/>
      <c r="U57" s="7675"/>
      <c r="V57" s="7675"/>
      <c r="W57" s="7675"/>
      <c r="X57" s="7675"/>
      <c r="Y57" s="7675"/>
      <c r="Z57" s="7675"/>
      <c r="AA57" s="7675"/>
      <c r="AB57" s="7673"/>
      <c r="AC57" s="7674"/>
      <c r="AD57" s="7674"/>
      <c r="AE57" s="7674"/>
      <c r="AF57" s="7674"/>
      <c r="AG57" s="7674"/>
      <c r="AH57" s="7674"/>
      <c r="AI57" s="7674"/>
      <c r="AJ57" s="7674"/>
      <c r="AK57" s="7674"/>
      <c r="AL57" s="7674"/>
      <c r="AM57" s="7674"/>
      <c r="AN57" s="7674"/>
      <c r="AO57" s="7674"/>
      <c r="AP57" s="7674"/>
      <c r="AQ57" s="7674"/>
      <c r="AR57" s="7674"/>
      <c r="AS57" s="7674"/>
      <c r="AT57" s="7674"/>
      <c r="AU57" s="7674"/>
      <c r="AV57" s="7674"/>
      <c r="AW57" s="7674"/>
      <c r="AX57" s="7674"/>
      <c r="AY57" s="7674"/>
      <c r="AZ57" s="7674"/>
      <c r="BA57" s="7674"/>
      <c r="BB57" s="7674"/>
      <c r="BC57" s="7674"/>
      <c r="BD57" s="7674"/>
      <c r="BE57" s="7674"/>
      <c r="BF57" s="7674"/>
      <c r="BG57" s="7674"/>
      <c r="BH57" s="7674"/>
      <c r="BI57" s="7674"/>
      <c r="BJ57" s="7674"/>
      <c r="BK57" s="7674"/>
      <c r="BL57" s="7674"/>
      <c r="BM57" s="7674"/>
      <c r="BN57" s="7674"/>
      <c r="BO57" s="7674"/>
      <c r="BP57" s="7674"/>
      <c r="BQ57" s="7674"/>
      <c r="BR57" s="7674"/>
      <c r="BS57" s="7674"/>
      <c r="BT57" s="7674"/>
      <c r="BU57" s="7674"/>
      <c r="BV57" s="7674"/>
      <c r="BW57" s="7674"/>
      <c r="BX57" s="7674"/>
      <c r="BY57" s="7674"/>
      <c r="BZ57" s="7674"/>
      <c r="CA57" s="7674"/>
      <c r="CB57" s="7674"/>
      <c r="CC57" s="7674"/>
      <c r="CD57" s="7674"/>
      <c r="CE57" s="7674"/>
      <c r="CF57" s="7674"/>
      <c r="CG57" s="7674"/>
      <c r="CH57" s="7674"/>
      <c r="CI57" s="7674"/>
      <c r="CJ57" s="7674"/>
      <c r="CK57" s="7674"/>
      <c r="CL57" s="7676"/>
      <c r="CM57" s="7676"/>
      <c r="CN57" s="7676"/>
      <c r="CO57" s="7676"/>
      <c r="CP57" s="7676"/>
      <c r="CQ57" s="7676"/>
      <c r="CR57" s="7676"/>
      <c r="CS57" s="7676"/>
      <c r="CT57" s="7676"/>
      <c r="CU57" s="7676"/>
      <c r="CV57" s="7676"/>
      <c r="CW57" s="7676"/>
      <c r="CX57" s="7676"/>
      <c r="CY57" s="7676"/>
      <c r="CZ57" s="7676"/>
      <c r="DA57" s="7676"/>
      <c r="DB57" s="7676"/>
      <c r="DC57" s="7676"/>
      <c r="DD57" s="7676"/>
      <c r="DE57" s="7676"/>
      <c r="DF57" s="7676"/>
      <c r="DG57" s="7676"/>
      <c r="DH57" s="7676"/>
      <c r="DI57" s="7676"/>
      <c r="DJ57" s="7676"/>
      <c r="DK57" s="7676"/>
      <c r="DL57" s="7676"/>
      <c r="DM57" s="7676"/>
      <c r="DN57" s="7676"/>
      <c r="DO57" s="7676"/>
      <c r="DP57" s="7676"/>
      <c r="DQ57" s="7676"/>
      <c r="DR57" s="7676"/>
      <c r="DS57" s="7676"/>
      <c r="DT57" s="7676"/>
      <c r="DU57" s="7676"/>
      <c r="DV57" s="7676"/>
      <c r="DW57" s="7676"/>
      <c r="DX57" s="7676"/>
      <c r="DY57" s="7676"/>
      <c r="DZ57" s="7676"/>
      <c r="EA57" s="7676"/>
      <c r="EB57" s="7676"/>
      <c r="EC57" s="7676"/>
      <c r="ED57" s="7676"/>
      <c r="EE57" s="7676"/>
      <c r="EF57" s="7676"/>
      <c r="EG57" s="7676"/>
      <c r="EH57" s="7676"/>
      <c r="EI57" s="7676"/>
      <c r="EJ57" s="7676"/>
      <c r="EK57" s="7676"/>
      <c r="EL57" s="7676"/>
      <c r="EM57" s="7676"/>
      <c r="EN57" s="7676"/>
      <c r="EO57" s="7676"/>
      <c r="EP57" s="7676"/>
      <c r="EQ57" s="7676"/>
      <c r="ER57" s="7676"/>
      <c r="ES57" s="7676"/>
      <c r="ET57" s="7676"/>
      <c r="EU57" s="7676"/>
      <c r="EV57" s="7676"/>
      <c r="EW57" s="7676"/>
      <c r="EX57" s="7676"/>
      <c r="EY57" s="7676"/>
      <c r="EZ57" s="7676"/>
      <c r="FA57" s="7676"/>
      <c r="FB57" s="7676"/>
      <c r="FC57" s="7676"/>
      <c r="FD57" s="7676"/>
      <c r="FE57" s="7676"/>
      <c r="FF57" s="7676"/>
      <c r="FG57" s="7676"/>
      <c r="FH57" s="7676"/>
      <c r="FI57" s="7676"/>
      <c r="FJ57" s="7676"/>
      <c r="FK57" s="7676"/>
      <c r="FL57" s="7676"/>
      <c r="FM57" s="7676"/>
      <c r="FN57" s="7676"/>
      <c r="FO57" s="7676"/>
      <c r="FP57" s="7676"/>
      <c r="FQ57" s="7676"/>
      <c r="FR57" s="7676"/>
      <c r="FS57" s="7676"/>
      <c r="FT57" s="7676"/>
      <c r="FU57" s="7676"/>
      <c r="FV57" s="7677"/>
      <c r="FW57" s="7110"/>
      <c r="FX57" s="7359"/>
      <c r="FY57" s="7048"/>
      <c r="FZ57" s="7048"/>
      <c r="GA57" s="7048"/>
      <c r="GB57" s="7048"/>
    </row>
    <row s="7048" customFormat="1" customHeight="1" ht="24.75">
      <c r="A58" s="7048" t="s">
        <v>1247</v>
      </c>
      <c r="B58" s="7105"/>
      <c r="C58" s="7048"/>
      <c r="D58" s="7048"/>
      <c r="E58" s="7954"/>
      <c r="F58" s="7679">
        <v>1</v>
      </c>
      <c r="G58" s="7680" t="s">
        <v>1160</v>
      </c>
      <c r="H58" s="7681" t="s">
        <v>67</v>
      </c>
      <c r="I58" s="7682" t="s">
        <v>1540</v>
      </c>
      <c r="J58" s="7683"/>
      <c r="K58" s="7683"/>
      <c r="L58" s="7683"/>
      <c r="M58" s="7683"/>
      <c r="N58" s="7683"/>
      <c r="O58" s="7684">
        <v>0</v>
      </c>
      <c r="P58" s="7684">
        <v>0</v>
      </c>
      <c r="Q58" s="7684">
        <v>0</v>
      </c>
      <c r="R58" s="7684">
        <v>0</v>
      </c>
      <c r="S58" s="7684">
        <v>0.16</v>
      </c>
      <c r="T58" s="7684">
        <v>0.16</v>
      </c>
      <c r="U58" s="7684">
        <v>1.24</v>
      </c>
      <c r="V58" s="7684">
        <v>1.24</v>
      </c>
      <c r="W58" s="7684">
        <v>0</v>
      </c>
      <c r="X58" s="7684">
        <v>0</v>
      </c>
      <c r="Y58" s="7684">
        <v>149.07</v>
      </c>
      <c r="Z58" s="7684">
        <v>149.07</v>
      </c>
      <c r="AA58" s="7684">
        <v>0</v>
      </c>
      <c r="AB58" s="7684">
        <v>0</v>
      </c>
      <c r="AC58" s="7683"/>
      <c r="AD58" s="7683"/>
      <c r="AE58" s="7683"/>
      <c r="AF58" s="7683"/>
      <c r="AG58" s="7683"/>
      <c r="AH58" s="7683"/>
      <c r="AI58" s="7683"/>
      <c r="AJ58" s="7683"/>
      <c r="AK58" s="7683"/>
      <c r="AL58" s="7683"/>
      <c r="AM58" s="7683"/>
      <c r="AN58" s="7683"/>
      <c r="AO58" s="7683"/>
      <c r="AP58" s="7683"/>
      <c r="AQ58" s="7683"/>
      <c r="AR58" s="7683"/>
      <c r="AS58" s="7683"/>
      <c r="AT58" s="7683"/>
      <c r="AU58" s="7683"/>
      <c r="AV58" s="7683"/>
      <c r="AW58" s="7683"/>
      <c r="AX58" s="7683"/>
      <c r="AY58" s="7683"/>
      <c r="AZ58" s="7683"/>
      <c r="BA58" s="7683"/>
      <c r="BB58" s="7683"/>
      <c r="BC58" s="7683"/>
      <c r="BD58" s="7683"/>
      <c r="BE58" s="7683"/>
      <c r="BF58" s="7683"/>
      <c r="BG58" s="7683"/>
      <c r="BH58" s="7683"/>
      <c r="BI58" s="7683"/>
      <c r="BJ58" s="7683"/>
      <c r="BK58" s="7683"/>
      <c r="BL58" s="7683"/>
      <c r="BM58" s="7683"/>
      <c r="BN58" s="7683"/>
      <c r="BO58" s="7683"/>
      <c r="BP58" s="7683"/>
      <c r="BQ58" s="7683"/>
      <c r="BR58" s="7683"/>
      <c r="BS58" s="7683"/>
      <c r="BT58" s="7684"/>
      <c r="BU58" s="7684"/>
      <c r="BV58" s="7684"/>
      <c r="BW58" s="7684"/>
      <c r="BX58" s="7684"/>
      <c r="BY58" s="7684"/>
      <c r="BZ58" s="7684"/>
      <c r="CA58" s="7684"/>
      <c r="CB58" s="7684"/>
      <c r="CC58" s="7684"/>
      <c r="CD58" s="7684"/>
      <c r="CE58" s="7684"/>
      <c r="CF58" s="7684"/>
      <c r="CG58" s="7684"/>
      <c r="CH58" s="7684"/>
      <c r="CI58" s="7684"/>
      <c r="CJ58" s="7684"/>
      <c r="CK58" s="7684"/>
      <c r="CL58" s="7683"/>
      <c r="CM58" s="7683"/>
      <c r="CN58" s="7683"/>
      <c r="CO58" s="7683"/>
      <c r="CP58" s="7683"/>
      <c r="CQ58" s="7683"/>
      <c r="CR58" s="7683"/>
      <c r="CS58" s="7683"/>
      <c r="CT58" s="7683"/>
      <c r="CU58" s="7683"/>
      <c r="CV58" s="7683"/>
      <c r="CW58" s="7683"/>
      <c r="CX58" s="7683"/>
      <c r="CY58" s="7684"/>
      <c r="CZ58" s="7684"/>
      <c r="DA58" s="7684"/>
      <c r="DB58" s="7684"/>
      <c r="DC58" s="7684"/>
      <c r="DD58" s="7684"/>
      <c r="DE58" s="7684"/>
      <c r="DF58" s="7684"/>
      <c r="DG58" s="7684"/>
      <c r="DH58" s="7684"/>
      <c r="DI58" s="7684"/>
      <c r="DJ58" s="7684"/>
      <c r="DK58" s="7683"/>
      <c r="DL58" s="7683"/>
      <c r="DM58" s="7683"/>
      <c r="DN58" s="7683"/>
      <c r="DO58" s="7683"/>
      <c r="DP58" s="7683"/>
      <c r="DQ58" s="7683"/>
      <c r="DR58" s="7683"/>
      <c r="DS58" s="7683"/>
      <c r="DT58" s="7683"/>
      <c r="DU58" s="7683"/>
      <c r="DV58" s="7683"/>
      <c r="DW58" s="7683"/>
      <c r="DX58" s="7683"/>
      <c r="DY58" s="7683"/>
      <c r="DZ58" s="7683"/>
      <c r="EA58" s="7683"/>
      <c r="EB58" s="7683"/>
      <c r="EC58" s="7683"/>
      <c r="ED58" s="7683"/>
      <c r="EE58" s="7683"/>
      <c r="EF58" s="7683"/>
      <c r="EG58" s="7683"/>
      <c r="EH58" s="7683"/>
      <c r="EI58" s="7683"/>
      <c r="EJ58" s="7683"/>
      <c r="EK58" s="7683"/>
      <c r="EL58" s="7683"/>
      <c r="EM58" s="7683"/>
      <c r="EN58" s="7683"/>
      <c r="EO58" s="7683"/>
      <c r="EP58" s="7683"/>
      <c r="EQ58" s="7683"/>
      <c r="ER58" s="7683"/>
      <c r="ES58" s="7683"/>
      <c r="ET58" s="7683"/>
      <c r="EU58" s="7683"/>
      <c r="EV58" s="7683"/>
      <c r="EW58" s="7683"/>
      <c r="EX58" s="7683"/>
      <c r="EY58" s="7683"/>
      <c r="EZ58" s="7683"/>
      <c r="FA58" s="7683"/>
      <c r="FB58" s="7683"/>
      <c r="FC58" s="7683"/>
      <c r="FD58" s="7683"/>
      <c r="FE58" s="7683"/>
      <c r="FF58" s="7683"/>
      <c r="FG58" s="7683"/>
      <c r="FH58" s="7683"/>
      <c r="FI58" s="7683"/>
      <c r="FJ58" s="7683"/>
      <c r="FK58" s="7683"/>
      <c r="FL58" s="7683"/>
      <c r="FM58" s="7683"/>
      <c r="FN58" s="7683"/>
      <c r="FO58" s="7683"/>
      <c r="FP58" s="7683"/>
      <c r="FQ58" s="7683"/>
      <c r="FR58" s="7683"/>
      <c r="FS58" s="7683"/>
      <c r="FT58" s="7683"/>
      <c r="FU58" s="7683"/>
      <c r="FV58" s="7683"/>
      <c r="FW58" s="7683"/>
      <c r="FX58" s="7359"/>
      <c r="FY58" s="7048"/>
      <c r="FZ58" s="7048"/>
      <c r="GA58" s="7048"/>
      <c r="GB58" s="7048"/>
    </row>
    <row s="7048" customFormat="1" customHeight="1" ht="12">
      <c r="A59" s="7048" t="s">
        <v>1247</v>
      </c>
      <c r="B59" s="7105"/>
      <c r="C59" s="7048"/>
      <c r="D59" s="7048"/>
      <c r="E59" s="7048"/>
      <c r="F59" s="10432"/>
      <c r="G59" s="10433" t="s">
        <v>1541</v>
      </c>
      <c r="H59" s="10434"/>
      <c r="I59" s="10435"/>
      <c r="J59" s="10436"/>
      <c r="K59" s="10437"/>
      <c r="L59" s="10438"/>
      <c r="M59" s="10439"/>
      <c r="N59" s="10440"/>
      <c r="O59" s="10441"/>
      <c r="P59" s="10442"/>
      <c r="Q59" s="10443"/>
      <c r="R59" s="10444"/>
      <c r="S59" s="10445"/>
      <c r="T59" s="10446"/>
      <c r="U59" s="10447"/>
      <c r="V59" s="10448"/>
      <c r="W59" s="10449"/>
      <c r="X59" s="10450"/>
      <c r="Y59" s="10451"/>
      <c r="Z59" s="10452"/>
      <c r="AA59" s="10453"/>
      <c r="AB59" s="10454"/>
      <c r="AC59" s="10455"/>
      <c r="AD59" s="10456"/>
      <c r="AE59" s="10457"/>
      <c r="AF59" s="10458"/>
      <c r="AG59" s="10459"/>
      <c r="AH59" s="10460"/>
      <c r="AI59" s="10461"/>
      <c r="AJ59" s="10462"/>
      <c r="AK59" s="10463"/>
      <c r="AL59" s="10464"/>
      <c r="AM59" s="10465"/>
      <c r="AN59" s="10466"/>
      <c r="AO59" s="10467"/>
      <c r="AP59" s="10468"/>
      <c r="AQ59" s="10469"/>
      <c r="AR59" s="10470"/>
      <c r="AS59" s="10471"/>
      <c r="AT59" s="10472"/>
      <c r="AU59" s="10473"/>
      <c r="AV59" s="10474"/>
      <c r="AW59" s="10475"/>
      <c r="AX59" s="10476"/>
      <c r="AY59" s="10477"/>
      <c r="AZ59" s="10478"/>
      <c r="BA59" s="10479"/>
      <c r="BB59" s="10480"/>
      <c r="BC59" s="10481"/>
      <c r="BD59" s="10482"/>
      <c r="BE59" s="10483"/>
      <c r="BF59" s="10484"/>
      <c r="BG59" s="10485"/>
      <c r="BH59" s="10486"/>
      <c r="BI59" s="10487"/>
      <c r="BJ59" s="10488"/>
      <c r="BK59" s="10489"/>
      <c r="BL59" s="10490"/>
      <c r="BM59" s="10491"/>
      <c r="BN59" s="10492"/>
      <c r="BO59" s="10493"/>
      <c r="BP59" s="10494"/>
      <c r="BQ59" s="10495"/>
      <c r="BR59" s="10496"/>
      <c r="BS59" s="10497"/>
      <c r="BT59" s="10498"/>
      <c r="BU59" s="10499"/>
      <c r="BV59" s="10500"/>
      <c r="BW59" s="10501"/>
      <c r="BX59" s="10502"/>
      <c r="BY59" s="10503"/>
      <c r="BZ59" s="10504"/>
      <c r="CA59" s="10505"/>
      <c r="CB59" s="10506"/>
      <c r="CC59" s="10507"/>
      <c r="CD59" s="10508"/>
      <c r="CE59" s="10509"/>
      <c r="CF59" s="10510"/>
      <c r="CG59" s="10511"/>
      <c r="CH59" s="10512"/>
      <c r="CI59" s="10513"/>
      <c r="CJ59" s="10514"/>
      <c r="CK59" s="10515"/>
      <c r="CL59" s="10516"/>
      <c r="CM59" s="10517"/>
      <c r="CN59" s="10518"/>
      <c r="CO59" s="10519"/>
      <c r="CP59" s="10520"/>
      <c r="CQ59" s="10521"/>
      <c r="CR59" s="10522"/>
      <c r="CS59" s="10523"/>
      <c r="CT59" s="10524"/>
      <c r="CU59" s="10525"/>
      <c r="CV59" s="10526"/>
      <c r="CW59" s="10527"/>
      <c r="CX59" s="10528"/>
      <c r="CY59" s="10529"/>
      <c r="CZ59" s="10530"/>
      <c r="DA59" s="10531"/>
      <c r="DB59" s="10532"/>
      <c r="DC59" s="10533"/>
      <c r="DD59" s="10534"/>
      <c r="DE59" s="10535"/>
      <c r="DF59" s="10536"/>
      <c r="DG59" s="10537"/>
      <c r="DH59" s="10538"/>
      <c r="DI59" s="10539"/>
      <c r="DJ59" s="10540"/>
      <c r="DK59" s="10541"/>
      <c r="DL59" s="10542"/>
      <c r="DM59" s="10543"/>
      <c r="DN59" s="10544"/>
      <c r="DO59" s="10545"/>
      <c r="DP59" s="10546"/>
      <c r="DQ59" s="10547"/>
      <c r="DR59" s="10548"/>
      <c r="DS59" s="10549"/>
      <c r="DT59" s="10550"/>
      <c r="DU59" s="10551"/>
      <c r="DV59" s="10552"/>
      <c r="DW59" s="10553"/>
      <c r="DX59" s="10554"/>
      <c r="DY59" s="10555"/>
      <c r="DZ59" s="10556"/>
      <c r="EA59" s="10557"/>
      <c r="EB59" s="10558"/>
      <c r="EC59" s="10559"/>
      <c r="ED59" s="10560"/>
      <c r="EE59" s="10561"/>
      <c r="EF59" s="10562"/>
      <c r="EG59" s="10563"/>
      <c r="EH59" s="10564"/>
      <c r="EI59" s="10565"/>
      <c r="EJ59" s="10566"/>
      <c r="EK59" s="10567"/>
      <c r="EL59" s="10568"/>
      <c r="EM59" s="10569"/>
      <c r="EN59" s="10570"/>
      <c r="EO59" s="10571"/>
      <c r="EP59" s="10572"/>
      <c r="EQ59" s="10573"/>
      <c r="ER59" s="10574"/>
      <c r="ES59" s="10575"/>
      <c r="ET59" s="10576"/>
      <c r="EU59" s="10577"/>
      <c r="EV59" s="10578"/>
      <c r="EW59" s="10579"/>
      <c r="EX59" s="10580"/>
      <c r="EY59" s="10581"/>
      <c r="EZ59" s="10582"/>
      <c r="FA59" s="10583"/>
      <c r="FB59" s="10584"/>
      <c r="FC59" s="10585"/>
      <c r="FD59" s="10586"/>
      <c r="FE59" s="10587"/>
      <c r="FF59" s="10588"/>
      <c r="FG59" s="10589"/>
      <c r="FH59" s="10590"/>
      <c r="FI59" s="10591"/>
      <c r="FJ59" s="10592"/>
      <c r="FK59" s="10593"/>
      <c r="FL59" s="10594"/>
      <c r="FM59" s="10595"/>
      <c r="FN59" s="10596"/>
      <c r="FO59" s="10597"/>
      <c r="FP59" s="10598"/>
      <c r="FQ59" s="10599"/>
      <c r="FR59" s="10600"/>
      <c r="FS59" s="10601"/>
      <c r="FT59" s="10602"/>
      <c r="FU59" s="10603"/>
      <c r="FV59" s="10604"/>
      <c r="FW59" s="10605"/>
      <c r="FX59" s="7689"/>
      <c r="FY59" s="7501"/>
      <c r="FZ59" s="7501"/>
      <c r="GA59" s="7501"/>
      <c r="GB59" s="7501"/>
    </row>
    <row s="7048" customFormat="1" customHeight="1" ht="21">
      <c r="A60" s="6959" t="s">
        <v>1253</v>
      </c>
      <c r="B60" s="7105"/>
      <c r="C60" s="7048"/>
      <c r="D60" s="7048"/>
      <c r="E60" s="7099" t="s">
        <v>22</v>
      </c>
      <c r="F60" s="7672" t="str">
        <f>INDEX(IP_MAIN_LIST_NAME_IP,MATCH(A60,IP_MAIN_LIST_IP_ID,0))&amp;" ("&amp;INDEX(IP_MAIN_START_DATE,MATCH(A60,IP_MAIN_LIST_IP_ID,0))&amp;"-"&amp;INDEX(IP_MAIN_END_DATE,MATCH(A60,IP_MAIN_LIST_IP_ID,0))&amp;")"</f>
        <v>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 (01.01.2024-31.12.2028)</v>
      </c>
      <c r="G60" s="7673"/>
      <c r="H60" s="7674"/>
      <c r="I60" s="7674"/>
      <c r="J60" s="7674"/>
      <c r="K60" s="7674"/>
      <c r="L60" s="7674"/>
      <c r="M60" s="7674"/>
      <c r="N60" s="7674"/>
      <c r="O60" s="7673"/>
      <c r="P60" s="7673"/>
      <c r="Q60" s="7673"/>
      <c r="R60" s="7673"/>
      <c r="S60" s="7673"/>
      <c r="T60" s="7673"/>
      <c r="U60" s="7675"/>
      <c r="V60" s="7675"/>
      <c r="W60" s="7675"/>
      <c r="X60" s="7675"/>
      <c r="Y60" s="7675"/>
      <c r="Z60" s="7675"/>
      <c r="AA60" s="7675"/>
      <c r="AB60" s="7673"/>
      <c r="AC60" s="7674"/>
      <c r="AD60" s="7674"/>
      <c r="AE60" s="7674"/>
      <c r="AF60" s="7674"/>
      <c r="AG60" s="7674"/>
      <c r="AH60" s="7674"/>
      <c r="AI60" s="7674"/>
      <c r="AJ60" s="7674"/>
      <c r="AK60" s="7674"/>
      <c r="AL60" s="7674"/>
      <c r="AM60" s="7674"/>
      <c r="AN60" s="7674"/>
      <c r="AO60" s="7674"/>
      <c r="AP60" s="7674"/>
      <c r="AQ60" s="7674"/>
      <c r="AR60" s="7674"/>
      <c r="AS60" s="7674"/>
      <c r="AT60" s="7674"/>
      <c r="AU60" s="7674"/>
      <c r="AV60" s="7674"/>
      <c r="AW60" s="7674"/>
      <c r="AX60" s="7674"/>
      <c r="AY60" s="7674"/>
      <c r="AZ60" s="7674"/>
      <c r="BA60" s="7674"/>
      <c r="BB60" s="7674"/>
      <c r="BC60" s="7674"/>
      <c r="BD60" s="7674"/>
      <c r="BE60" s="7674"/>
      <c r="BF60" s="7674"/>
      <c r="BG60" s="7674"/>
      <c r="BH60" s="7674"/>
      <c r="BI60" s="7674"/>
      <c r="BJ60" s="7674"/>
      <c r="BK60" s="7674"/>
      <c r="BL60" s="7674"/>
      <c r="BM60" s="7674"/>
      <c r="BN60" s="7674"/>
      <c r="BO60" s="7674"/>
      <c r="BP60" s="7674"/>
      <c r="BQ60" s="7674"/>
      <c r="BR60" s="7674"/>
      <c r="BS60" s="7674"/>
      <c r="BT60" s="7674"/>
      <c r="BU60" s="7674"/>
      <c r="BV60" s="7674"/>
      <c r="BW60" s="7674"/>
      <c r="BX60" s="7674"/>
      <c r="BY60" s="7674"/>
      <c r="BZ60" s="7674"/>
      <c r="CA60" s="7674"/>
      <c r="CB60" s="7674"/>
      <c r="CC60" s="7674"/>
      <c r="CD60" s="7674"/>
      <c r="CE60" s="7674"/>
      <c r="CF60" s="7674"/>
      <c r="CG60" s="7674"/>
      <c r="CH60" s="7674"/>
      <c r="CI60" s="7674"/>
      <c r="CJ60" s="7674"/>
      <c r="CK60" s="7674"/>
      <c r="CL60" s="7676"/>
      <c r="CM60" s="7676"/>
      <c r="CN60" s="7676"/>
      <c r="CO60" s="7676"/>
      <c r="CP60" s="7676"/>
      <c r="CQ60" s="7676"/>
      <c r="CR60" s="7676"/>
      <c r="CS60" s="7676"/>
      <c r="CT60" s="7676"/>
      <c r="CU60" s="7676"/>
      <c r="CV60" s="7676"/>
      <c r="CW60" s="7676"/>
      <c r="CX60" s="7676"/>
      <c r="CY60" s="7676"/>
      <c r="CZ60" s="7676"/>
      <c r="DA60" s="7676"/>
      <c r="DB60" s="7676"/>
      <c r="DC60" s="7676"/>
      <c r="DD60" s="7676"/>
      <c r="DE60" s="7676"/>
      <c r="DF60" s="7676"/>
      <c r="DG60" s="7676"/>
      <c r="DH60" s="7676"/>
      <c r="DI60" s="7676"/>
      <c r="DJ60" s="7676"/>
      <c r="DK60" s="7676"/>
      <c r="DL60" s="7676"/>
      <c r="DM60" s="7676"/>
      <c r="DN60" s="7676"/>
      <c r="DO60" s="7676"/>
      <c r="DP60" s="7676"/>
      <c r="DQ60" s="7676"/>
      <c r="DR60" s="7676"/>
      <c r="DS60" s="7676"/>
      <c r="DT60" s="7676"/>
      <c r="DU60" s="7676"/>
      <c r="DV60" s="7676"/>
      <c r="DW60" s="7676"/>
      <c r="DX60" s="7676"/>
      <c r="DY60" s="7676"/>
      <c r="DZ60" s="7676"/>
      <c r="EA60" s="7676"/>
      <c r="EB60" s="7676"/>
      <c r="EC60" s="7676"/>
      <c r="ED60" s="7676"/>
      <c r="EE60" s="7676"/>
      <c r="EF60" s="7676"/>
      <c r="EG60" s="7676"/>
      <c r="EH60" s="7676"/>
      <c r="EI60" s="7676"/>
      <c r="EJ60" s="7676"/>
      <c r="EK60" s="7676"/>
      <c r="EL60" s="7676"/>
      <c r="EM60" s="7676"/>
      <c r="EN60" s="7676"/>
      <c r="EO60" s="7676"/>
      <c r="EP60" s="7676"/>
      <c r="EQ60" s="7676"/>
      <c r="ER60" s="7676"/>
      <c r="ES60" s="7676"/>
      <c r="ET60" s="7676"/>
      <c r="EU60" s="7676"/>
      <c r="EV60" s="7676"/>
      <c r="EW60" s="7676"/>
      <c r="EX60" s="7676"/>
      <c r="EY60" s="7676"/>
      <c r="EZ60" s="7676"/>
      <c r="FA60" s="7676"/>
      <c r="FB60" s="7676"/>
      <c r="FC60" s="7676"/>
      <c r="FD60" s="7676"/>
      <c r="FE60" s="7676"/>
      <c r="FF60" s="7676"/>
      <c r="FG60" s="7676"/>
      <c r="FH60" s="7676"/>
      <c r="FI60" s="7676"/>
      <c r="FJ60" s="7676"/>
      <c r="FK60" s="7676"/>
      <c r="FL60" s="7676"/>
      <c r="FM60" s="7676"/>
      <c r="FN60" s="7676"/>
      <c r="FO60" s="7676"/>
      <c r="FP60" s="7676"/>
      <c r="FQ60" s="7676"/>
      <c r="FR60" s="7676"/>
      <c r="FS60" s="7676"/>
      <c r="FT60" s="7676"/>
      <c r="FU60" s="7676"/>
      <c r="FV60" s="7677"/>
      <c r="FW60" s="7110"/>
      <c r="FX60" s="7359"/>
      <c r="FY60" s="7048"/>
      <c r="FZ60" s="7048"/>
      <c r="GA60" s="7048"/>
      <c r="GB60" s="7048"/>
    </row>
    <row s="7048" customFormat="1" customHeight="1" ht="24.75">
      <c r="A61" s="7048" t="s">
        <v>1253</v>
      </c>
      <c r="B61" s="7105"/>
      <c r="C61" s="7048"/>
      <c r="D61" s="7048"/>
      <c r="E61" s="7954"/>
      <c r="F61" s="7679">
        <v>1</v>
      </c>
      <c r="G61" s="7680" t="s">
        <v>1160</v>
      </c>
      <c r="H61" s="7681" t="s">
        <v>67</v>
      </c>
      <c r="I61" s="7682" t="s">
        <v>1540</v>
      </c>
      <c r="J61" s="7683"/>
      <c r="K61" s="7683"/>
      <c r="L61" s="7683"/>
      <c r="M61" s="7683"/>
      <c r="N61" s="7683"/>
      <c r="O61" s="7684">
        <v>0</v>
      </c>
      <c r="P61" s="7684">
        <v>0</v>
      </c>
      <c r="Q61" s="7684">
        <v>0</v>
      </c>
      <c r="R61" s="7684">
        <v>0</v>
      </c>
      <c r="S61" s="7684">
        <v>0.15</v>
      </c>
      <c r="T61" s="7684">
        <v>0.15</v>
      </c>
      <c r="U61" s="7684">
        <v>3.04</v>
      </c>
      <c r="V61" s="7684">
        <v>3.04</v>
      </c>
      <c r="W61" s="7684">
        <v>0</v>
      </c>
      <c r="X61" s="7684">
        <v>0</v>
      </c>
      <c r="Y61" s="7684">
        <v>338.53</v>
      </c>
      <c r="Z61" s="7684">
        <v>338.53</v>
      </c>
      <c r="AA61" s="7684">
        <v>0</v>
      </c>
      <c r="AB61" s="7684">
        <v>0</v>
      </c>
      <c r="AC61" s="7683"/>
      <c r="AD61" s="7683"/>
      <c r="AE61" s="7683"/>
      <c r="AF61" s="7683"/>
      <c r="AG61" s="7683"/>
      <c r="AH61" s="7683"/>
      <c r="AI61" s="7683"/>
      <c r="AJ61" s="7683"/>
      <c r="AK61" s="7683"/>
      <c r="AL61" s="7683"/>
      <c r="AM61" s="7683"/>
      <c r="AN61" s="7683"/>
      <c r="AO61" s="7683"/>
      <c r="AP61" s="7683"/>
      <c r="AQ61" s="7683"/>
      <c r="AR61" s="7683"/>
      <c r="AS61" s="7683"/>
      <c r="AT61" s="7683"/>
      <c r="AU61" s="7683"/>
      <c r="AV61" s="7683"/>
      <c r="AW61" s="7683"/>
      <c r="AX61" s="7683"/>
      <c r="AY61" s="7683"/>
      <c r="AZ61" s="7683"/>
      <c r="BA61" s="7683"/>
      <c r="BB61" s="7683"/>
      <c r="BC61" s="7683"/>
      <c r="BD61" s="7683"/>
      <c r="BE61" s="7683"/>
      <c r="BF61" s="7683"/>
      <c r="BG61" s="7683"/>
      <c r="BH61" s="7683"/>
      <c r="BI61" s="7683"/>
      <c r="BJ61" s="7683"/>
      <c r="BK61" s="7683"/>
      <c r="BL61" s="7683"/>
      <c r="BM61" s="7683"/>
      <c r="BN61" s="7683"/>
      <c r="BO61" s="7683"/>
      <c r="BP61" s="7683"/>
      <c r="BQ61" s="7683"/>
      <c r="BR61" s="7683"/>
      <c r="BS61" s="7683"/>
      <c r="BT61" s="7684"/>
      <c r="BU61" s="7684"/>
      <c r="BV61" s="7684"/>
      <c r="BW61" s="7684"/>
      <c r="BX61" s="7684"/>
      <c r="BY61" s="7684"/>
      <c r="BZ61" s="7684"/>
      <c r="CA61" s="7684"/>
      <c r="CB61" s="7684"/>
      <c r="CC61" s="7684"/>
      <c r="CD61" s="7684"/>
      <c r="CE61" s="7684"/>
      <c r="CF61" s="7684"/>
      <c r="CG61" s="7684"/>
      <c r="CH61" s="7684"/>
      <c r="CI61" s="7684"/>
      <c r="CJ61" s="7684"/>
      <c r="CK61" s="7684"/>
      <c r="CL61" s="7683"/>
      <c r="CM61" s="7683"/>
      <c r="CN61" s="7683"/>
      <c r="CO61" s="7683"/>
      <c r="CP61" s="7683"/>
      <c r="CQ61" s="7683"/>
      <c r="CR61" s="7683"/>
      <c r="CS61" s="7683"/>
      <c r="CT61" s="7683"/>
      <c r="CU61" s="7683"/>
      <c r="CV61" s="7683"/>
      <c r="CW61" s="7683"/>
      <c r="CX61" s="7683"/>
      <c r="CY61" s="7684"/>
      <c r="CZ61" s="7684"/>
      <c r="DA61" s="7684"/>
      <c r="DB61" s="7684"/>
      <c r="DC61" s="7684"/>
      <c r="DD61" s="7684"/>
      <c r="DE61" s="7684"/>
      <c r="DF61" s="7684"/>
      <c r="DG61" s="7684"/>
      <c r="DH61" s="7684"/>
      <c r="DI61" s="7684"/>
      <c r="DJ61" s="7684"/>
      <c r="DK61" s="7683"/>
      <c r="DL61" s="7683"/>
      <c r="DM61" s="7683"/>
      <c r="DN61" s="7683"/>
      <c r="DO61" s="7683"/>
      <c r="DP61" s="7683"/>
      <c r="DQ61" s="7683"/>
      <c r="DR61" s="7683"/>
      <c r="DS61" s="7683"/>
      <c r="DT61" s="7683"/>
      <c r="DU61" s="7683"/>
      <c r="DV61" s="7683"/>
      <c r="DW61" s="7683"/>
      <c r="DX61" s="7683"/>
      <c r="DY61" s="7683"/>
      <c r="DZ61" s="7683"/>
      <c r="EA61" s="7683"/>
      <c r="EB61" s="7683"/>
      <c r="EC61" s="7683"/>
      <c r="ED61" s="7683"/>
      <c r="EE61" s="7683"/>
      <c r="EF61" s="7683"/>
      <c r="EG61" s="7683"/>
      <c r="EH61" s="7683"/>
      <c r="EI61" s="7683"/>
      <c r="EJ61" s="7683"/>
      <c r="EK61" s="7683"/>
      <c r="EL61" s="7683"/>
      <c r="EM61" s="7683"/>
      <c r="EN61" s="7683"/>
      <c r="EO61" s="7683"/>
      <c r="EP61" s="7683"/>
      <c r="EQ61" s="7683"/>
      <c r="ER61" s="7683"/>
      <c r="ES61" s="7683"/>
      <c r="ET61" s="7683"/>
      <c r="EU61" s="7683"/>
      <c r="EV61" s="7683"/>
      <c r="EW61" s="7683"/>
      <c r="EX61" s="7683"/>
      <c r="EY61" s="7683"/>
      <c r="EZ61" s="7683"/>
      <c r="FA61" s="7683"/>
      <c r="FB61" s="7683"/>
      <c r="FC61" s="7683"/>
      <c r="FD61" s="7683"/>
      <c r="FE61" s="7683"/>
      <c r="FF61" s="7683"/>
      <c r="FG61" s="7683"/>
      <c r="FH61" s="7683"/>
      <c r="FI61" s="7683"/>
      <c r="FJ61" s="7683"/>
      <c r="FK61" s="7683"/>
      <c r="FL61" s="7683"/>
      <c r="FM61" s="7683"/>
      <c r="FN61" s="7683"/>
      <c r="FO61" s="7683"/>
      <c r="FP61" s="7683"/>
      <c r="FQ61" s="7683"/>
      <c r="FR61" s="7683"/>
      <c r="FS61" s="7683"/>
      <c r="FT61" s="7683"/>
      <c r="FU61" s="7683"/>
      <c r="FV61" s="7683"/>
      <c r="FW61" s="7683"/>
      <c r="FX61" s="7359"/>
      <c r="FY61" s="7048"/>
      <c r="FZ61" s="7048"/>
      <c r="GA61" s="7048"/>
      <c r="GB61" s="7048"/>
    </row>
    <row s="7048" customFormat="1" customHeight="1" ht="12">
      <c r="A62" s="7048" t="s">
        <v>1253</v>
      </c>
      <c r="B62" s="7105"/>
      <c r="C62" s="7048"/>
      <c r="D62" s="7048"/>
      <c r="E62" s="7048"/>
      <c r="F62" s="10606"/>
      <c r="G62" s="10607" t="s">
        <v>1541</v>
      </c>
      <c r="H62" s="10608"/>
      <c r="I62" s="10609"/>
      <c r="J62" s="10610"/>
      <c r="K62" s="10611"/>
      <c r="L62" s="10612"/>
      <c r="M62" s="10613"/>
      <c r="N62" s="10614"/>
      <c r="O62" s="10615"/>
      <c r="P62" s="10616"/>
      <c r="Q62" s="10617"/>
      <c r="R62" s="10618"/>
      <c r="S62" s="10619"/>
      <c r="T62" s="10620"/>
      <c r="U62" s="10621"/>
      <c r="V62" s="10622"/>
      <c r="W62" s="10623"/>
      <c r="X62" s="10624"/>
      <c r="Y62" s="10625"/>
      <c r="Z62" s="10626"/>
      <c r="AA62" s="10627"/>
      <c r="AB62" s="10628"/>
      <c r="AC62" s="10629"/>
      <c r="AD62" s="10630"/>
      <c r="AE62" s="10631"/>
      <c r="AF62" s="10632"/>
      <c r="AG62" s="10633"/>
      <c r="AH62" s="10634"/>
      <c r="AI62" s="10635"/>
      <c r="AJ62" s="10636"/>
      <c r="AK62" s="10637"/>
      <c r="AL62" s="10638"/>
      <c r="AM62" s="10639"/>
      <c r="AN62" s="10640"/>
      <c r="AO62" s="10641"/>
      <c r="AP62" s="10642"/>
      <c r="AQ62" s="10643"/>
      <c r="AR62" s="10644"/>
      <c r="AS62" s="10645"/>
      <c r="AT62" s="10646"/>
      <c r="AU62" s="10647"/>
      <c r="AV62" s="10648"/>
      <c r="AW62" s="10649"/>
      <c r="AX62" s="10650"/>
      <c r="AY62" s="10651"/>
      <c r="AZ62" s="10652"/>
      <c r="BA62" s="10653"/>
      <c r="BB62" s="10654"/>
      <c r="BC62" s="10655"/>
      <c r="BD62" s="10656"/>
      <c r="BE62" s="10657"/>
      <c r="BF62" s="10658"/>
      <c r="BG62" s="10659"/>
      <c r="BH62" s="10660"/>
      <c r="BI62" s="10661"/>
      <c r="BJ62" s="10662"/>
      <c r="BK62" s="10663"/>
      <c r="BL62" s="10664"/>
      <c r="BM62" s="10665"/>
      <c r="BN62" s="10666"/>
      <c r="BO62" s="10667"/>
      <c r="BP62" s="10668"/>
      <c r="BQ62" s="10669"/>
      <c r="BR62" s="10670"/>
      <c r="BS62" s="10671"/>
      <c r="BT62" s="10672"/>
      <c r="BU62" s="10673"/>
      <c r="BV62" s="10674"/>
      <c r="BW62" s="10675"/>
      <c r="BX62" s="10676"/>
      <c r="BY62" s="10677"/>
      <c r="BZ62" s="10678"/>
      <c r="CA62" s="10679"/>
      <c r="CB62" s="10680"/>
      <c r="CC62" s="10681"/>
      <c r="CD62" s="10682"/>
      <c r="CE62" s="10683"/>
      <c r="CF62" s="10684"/>
      <c r="CG62" s="10685"/>
      <c r="CH62" s="10686"/>
      <c r="CI62" s="10687"/>
      <c r="CJ62" s="10688"/>
      <c r="CK62" s="10689"/>
      <c r="CL62" s="10690"/>
      <c r="CM62" s="10691"/>
      <c r="CN62" s="10692"/>
      <c r="CO62" s="10693"/>
      <c r="CP62" s="10694"/>
      <c r="CQ62" s="10695"/>
      <c r="CR62" s="10696"/>
      <c r="CS62" s="10697"/>
      <c r="CT62" s="10698"/>
      <c r="CU62" s="10699"/>
      <c r="CV62" s="10700"/>
      <c r="CW62" s="10701"/>
      <c r="CX62" s="10702"/>
      <c r="CY62" s="10703"/>
      <c r="CZ62" s="10704"/>
      <c r="DA62" s="10705"/>
      <c r="DB62" s="10706"/>
      <c r="DC62" s="10707"/>
      <c r="DD62" s="10708"/>
      <c r="DE62" s="10709"/>
      <c r="DF62" s="10710"/>
      <c r="DG62" s="10711"/>
      <c r="DH62" s="10712"/>
      <c r="DI62" s="10713"/>
      <c r="DJ62" s="10714"/>
      <c r="DK62" s="10715"/>
      <c r="DL62" s="10716"/>
      <c r="DM62" s="10717"/>
      <c r="DN62" s="10718"/>
      <c r="DO62" s="10719"/>
      <c r="DP62" s="10720"/>
      <c r="DQ62" s="10721"/>
      <c r="DR62" s="10722"/>
      <c r="DS62" s="10723"/>
      <c r="DT62" s="10724"/>
      <c r="DU62" s="10725"/>
      <c r="DV62" s="10726"/>
      <c r="DW62" s="10727"/>
      <c r="DX62" s="10728"/>
      <c r="DY62" s="10729"/>
      <c r="DZ62" s="10730"/>
      <c r="EA62" s="10731"/>
      <c r="EB62" s="10732"/>
      <c r="EC62" s="10733"/>
      <c r="ED62" s="10734"/>
      <c r="EE62" s="10735"/>
      <c r="EF62" s="10736"/>
      <c r="EG62" s="10737"/>
      <c r="EH62" s="10738"/>
      <c r="EI62" s="10739"/>
      <c r="EJ62" s="10740"/>
      <c r="EK62" s="10741"/>
      <c r="EL62" s="10742"/>
      <c r="EM62" s="10743"/>
      <c r="EN62" s="10744"/>
      <c r="EO62" s="10745"/>
      <c r="EP62" s="10746"/>
      <c r="EQ62" s="10747"/>
      <c r="ER62" s="10748"/>
      <c r="ES62" s="10749"/>
      <c r="ET62" s="10750"/>
      <c r="EU62" s="10751"/>
      <c r="EV62" s="10752"/>
      <c r="EW62" s="10753"/>
      <c r="EX62" s="10754"/>
      <c r="EY62" s="10755"/>
      <c r="EZ62" s="10756"/>
      <c r="FA62" s="10757"/>
      <c r="FB62" s="10758"/>
      <c r="FC62" s="10759"/>
      <c r="FD62" s="10760"/>
      <c r="FE62" s="10761"/>
      <c r="FF62" s="10762"/>
      <c r="FG62" s="10763"/>
      <c r="FH62" s="10764"/>
      <c r="FI62" s="10765"/>
      <c r="FJ62" s="10766"/>
      <c r="FK62" s="10767"/>
      <c r="FL62" s="10768"/>
      <c r="FM62" s="10769"/>
      <c r="FN62" s="10770"/>
      <c r="FO62" s="10771"/>
      <c r="FP62" s="10772"/>
      <c r="FQ62" s="10773"/>
      <c r="FR62" s="10774"/>
      <c r="FS62" s="10775"/>
      <c r="FT62" s="10776"/>
      <c r="FU62" s="10777"/>
      <c r="FV62" s="10778"/>
      <c r="FW62" s="10779"/>
      <c r="FX62" s="7689"/>
      <c r="FY62" s="7501"/>
      <c r="FZ62" s="7501"/>
      <c r="GA62" s="7501"/>
      <c r="GB62" s="7501"/>
    </row>
    <row s="7048" customFormat="1" customHeight="1" ht="21">
      <c r="A63" s="6959" t="s">
        <v>1258</v>
      </c>
      <c r="B63" s="7105"/>
      <c r="C63" s="7048"/>
      <c r="D63" s="7048"/>
      <c r="E63" s="7099" t="s">
        <v>22</v>
      </c>
      <c r="F63" s="7672" t="str">
        <f>INDEX(IP_MAIN_LIST_NAME_IP,MATCH(A63,IP_MAIN_LIST_IP_ID,0))&amp;" ("&amp;INDEX(IP_MAIN_START_DATE,MATCH(A63,IP_MAIN_LIST_IP_ID,0))&amp;"-"&amp;INDEX(IP_MAIN_END_DATE,MATCH(A63,IP_MAIN_LIST_IP_ID,0))&amp;")"</f>
        <v>Инвестиционная программа № 209 от 15.11.2024 ООО "СамРЭК-Эксплуатация" в сфере теплоснабжения по модернизации системы теплоснабжения, на территории городского округа Октябрьск на 2024-2028 годы (15.11.2024-31.12.2028)</v>
      </c>
      <c r="G63" s="7673"/>
      <c r="H63" s="7674"/>
      <c r="I63" s="7674"/>
      <c r="J63" s="7674"/>
      <c r="K63" s="7674"/>
      <c r="L63" s="7674"/>
      <c r="M63" s="7674"/>
      <c r="N63" s="7674"/>
      <c r="O63" s="7673"/>
      <c r="P63" s="7673"/>
      <c r="Q63" s="7673"/>
      <c r="R63" s="7673"/>
      <c r="S63" s="7673"/>
      <c r="T63" s="7673"/>
      <c r="U63" s="7675"/>
      <c r="V63" s="7675"/>
      <c r="W63" s="7675"/>
      <c r="X63" s="7675"/>
      <c r="Y63" s="7675"/>
      <c r="Z63" s="7675"/>
      <c r="AA63" s="7675"/>
      <c r="AB63" s="7673"/>
      <c r="AC63" s="7674"/>
      <c r="AD63" s="7674"/>
      <c r="AE63" s="7674"/>
      <c r="AF63" s="7674"/>
      <c r="AG63" s="7674"/>
      <c r="AH63" s="7674"/>
      <c r="AI63" s="7674"/>
      <c r="AJ63" s="7674"/>
      <c r="AK63" s="7674"/>
      <c r="AL63" s="7674"/>
      <c r="AM63" s="7674"/>
      <c r="AN63" s="7674"/>
      <c r="AO63" s="7674"/>
      <c r="AP63" s="7674"/>
      <c r="AQ63" s="7674"/>
      <c r="AR63" s="7674"/>
      <c r="AS63" s="7674"/>
      <c r="AT63" s="7674"/>
      <c r="AU63" s="7674"/>
      <c r="AV63" s="7674"/>
      <c r="AW63" s="7674"/>
      <c r="AX63" s="7674"/>
      <c r="AY63" s="7674"/>
      <c r="AZ63" s="7674"/>
      <c r="BA63" s="7674"/>
      <c r="BB63" s="7674"/>
      <c r="BC63" s="7674"/>
      <c r="BD63" s="7674"/>
      <c r="BE63" s="7674"/>
      <c r="BF63" s="7674"/>
      <c r="BG63" s="7674"/>
      <c r="BH63" s="7674"/>
      <c r="BI63" s="7674"/>
      <c r="BJ63" s="7674"/>
      <c r="BK63" s="7674"/>
      <c r="BL63" s="7674"/>
      <c r="BM63" s="7674"/>
      <c r="BN63" s="7674"/>
      <c r="BO63" s="7674"/>
      <c r="BP63" s="7674"/>
      <c r="BQ63" s="7674"/>
      <c r="BR63" s="7674"/>
      <c r="BS63" s="7674"/>
      <c r="BT63" s="7674"/>
      <c r="BU63" s="7674"/>
      <c r="BV63" s="7674"/>
      <c r="BW63" s="7674"/>
      <c r="BX63" s="7674"/>
      <c r="BY63" s="7674"/>
      <c r="BZ63" s="7674"/>
      <c r="CA63" s="7674"/>
      <c r="CB63" s="7674"/>
      <c r="CC63" s="7674"/>
      <c r="CD63" s="7674"/>
      <c r="CE63" s="7674"/>
      <c r="CF63" s="7674"/>
      <c r="CG63" s="7674"/>
      <c r="CH63" s="7674"/>
      <c r="CI63" s="7674"/>
      <c r="CJ63" s="7674"/>
      <c r="CK63" s="7674"/>
      <c r="CL63" s="7676"/>
      <c r="CM63" s="7676"/>
      <c r="CN63" s="7676"/>
      <c r="CO63" s="7676"/>
      <c r="CP63" s="7676"/>
      <c r="CQ63" s="7676"/>
      <c r="CR63" s="7676"/>
      <c r="CS63" s="7676"/>
      <c r="CT63" s="7676"/>
      <c r="CU63" s="7676"/>
      <c r="CV63" s="7676"/>
      <c r="CW63" s="7676"/>
      <c r="CX63" s="7676"/>
      <c r="CY63" s="7676"/>
      <c r="CZ63" s="7676"/>
      <c r="DA63" s="7676"/>
      <c r="DB63" s="7676"/>
      <c r="DC63" s="7676"/>
      <c r="DD63" s="7676"/>
      <c r="DE63" s="7676"/>
      <c r="DF63" s="7676"/>
      <c r="DG63" s="7676"/>
      <c r="DH63" s="7676"/>
      <c r="DI63" s="7676"/>
      <c r="DJ63" s="7676"/>
      <c r="DK63" s="7676"/>
      <c r="DL63" s="7676"/>
      <c r="DM63" s="7676"/>
      <c r="DN63" s="7676"/>
      <c r="DO63" s="7676"/>
      <c r="DP63" s="7676"/>
      <c r="DQ63" s="7676"/>
      <c r="DR63" s="7676"/>
      <c r="DS63" s="7676"/>
      <c r="DT63" s="7676"/>
      <c r="DU63" s="7676"/>
      <c r="DV63" s="7676"/>
      <c r="DW63" s="7676"/>
      <c r="DX63" s="7676"/>
      <c r="DY63" s="7676"/>
      <c r="DZ63" s="7676"/>
      <c r="EA63" s="7676"/>
      <c r="EB63" s="7676"/>
      <c r="EC63" s="7676"/>
      <c r="ED63" s="7676"/>
      <c r="EE63" s="7676"/>
      <c r="EF63" s="7676"/>
      <c r="EG63" s="7676"/>
      <c r="EH63" s="7676"/>
      <c r="EI63" s="7676"/>
      <c r="EJ63" s="7676"/>
      <c r="EK63" s="7676"/>
      <c r="EL63" s="7676"/>
      <c r="EM63" s="7676"/>
      <c r="EN63" s="7676"/>
      <c r="EO63" s="7676"/>
      <c r="EP63" s="7676"/>
      <c r="EQ63" s="7676"/>
      <c r="ER63" s="7676"/>
      <c r="ES63" s="7676"/>
      <c r="ET63" s="7676"/>
      <c r="EU63" s="7676"/>
      <c r="EV63" s="7676"/>
      <c r="EW63" s="7676"/>
      <c r="EX63" s="7676"/>
      <c r="EY63" s="7676"/>
      <c r="EZ63" s="7676"/>
      <c r="FA63" s="7676"/>
      <c r="FB63" s="7676"/>
      <c r="FC63" s="7676"/>
      <c r="FD63" s="7676"/>
      <c r="FE63" s="7676"/>
      <c r="FF63" s="7676"/>
      <c r="FG63" s="7676"/>
      <c r="FH63" s="7676"/>
      <c r="FI63" s="7676"/>
      <c r="FJ63" s="7676"/>
      <c r="FK63" s="7676"/>
      <c r="FL63" s="7676"/>
      <c r="FM63" s="7676"/>
      <c r="FN63" s="7676"/>
      <c r="FO63" s="7676"/>
      <c r="FP63" s="7676"/>
      <c r="FQ63" s="7676"/>
      <c r="FR63" s="7676"/>
      <c r="FS63" s="7676"/>
      <c r="FT63" s="7676"/>
      <c r="FU63" s="7676"/>
      <c r="FV63" s="7677"/>
      <c r="FW63" s="7110"/>
      <c r="FX63" s="7359"/>
      <c r="FY63" s="7048"/>
      <c r="FZ63" s="7048"/>
      <c r="GA63" s="7048"/>
      <c r="GB63" s="7048"/>
    </row>
    <row s="7048" customFormat="1" customHeight="1" ht="24.75">
      <c r="A64" s="7048" t="s">
        <v>1258</v>
      </c>
      <c r="B64" s="7105"/>
      <c r="C64" s="7048"/>
      <c r="D64" s="7048"/>
      <c r="E64" s="7954"/>
      <c r="F64" s="7679">
        <v>1</v>
      </c>
      <c r="G64" s="7680" t="s">
        <v>1160</v>
      </c>
      <c r="H64" s="7681" t="s">
        <v>67</v>
      </c>
      <c r="I64" s="7682" t="s">
        <v>1540</v>
      </c>
      <c r="J64" s="7683"/>
      <c r="K64" s="7683"/>
      <c r="L64" s="7683"/>
      <c r="M64" s="7683"/>
      <c r="N64" s="7683"/>
      <c r="O64" s="7684">
        <v>0</v>
      </c>
      <c r="P64" s="7684">
        <v>0</v>
      </c>
      <c r="Q64" s="7684">
        <v>0</v>
      </c>
      <c r="R64" s="7684">
        <v>0</v>
      </c>
      <c r="S64" s="7684">
        <v>0</v>
      </c>
      <c r="T64" s="7684">
        <v>0</v>
      </c>
      <c r="U64" s="7684">
        <v>1.22</v>
      </c>
      <c r="V64" s="7684">
        <v>1.22</v>
      </c>
      <c r="W64" s="7684">
        <v>0</v>
      </c>
      <c r="X64" s="7684">
        <v>0</v>
      </c>
      <c r="Y64" s="7684">
        <v>5635.95</v>
      </c>
      <c r="Z64" s="7684">
        <v>5635.95</v>
      </c>
      <c r="AA64" s="7684">
        <v>0</v>
      </c>
      <c r="AB64" s="7684">
        <v>0</v>
      </c>
      <c r="AC64" s="7683"/>
      <c r="AD64" s="7683"/>
      <c r="AE64" s="7683"/>
      <c r="AF64" s="7683"/>
      <c r="AG64" s="7683"/>
      <c r="AH64" s="7683"/>
      <c r="AI64" s="7683"/>
      <c r="AJ64" s="7683"/>
      <c r="AK64" s="7683"/>
      <c r="AL64" s="7683"/>
      <c r="AM64" s="7683"/>
      <c r="AN64" s="7683"/>
      <c r="AO64" s="7683"/>
      <c r="AP64" s="7683"/>
      <c r="AQ64" s="7683"/>
      <c r="AR64" s="7683"/>
      <c r="AS64" s="7683"/>
      <c r="AT64" s="7683"/>
      <c r="AU64" s="7683"/>
      <c r="AV64" s="7683"/>
      <c r="AW64" s="7683"/>
      <c r="AX64" s="7683"/>
      <c r="AY64" s="7683"/>
      <c r="AZ64" s="7683"/>
      <c r="BA64" s="7683"/>
      <c r="BB64" s="7683"/>
      <c r="BC64" s="7683"/>
      <c r="BD64" s="7683"/>
      <c r="BE64" s="7683"/>
      <c r="BF64" s="7683"/>
      <c r="BG64" s="7683"/>
      <c r="BH64" s="7683"/>
      <c r="BI64" s="7683"/>
      <c r="BJ64" s="7683"/>
      <c r="BK64" s="7683"/>
      <c r="BL64" s="7683"/>
      <c r="BM64" s="7683"/>
      <c r="BN64" s="7683"/>
      <c r="BO64" s="7683"/>
      <c r="BP64" s="7683"/>
      <c r="BQ64" s="7683"/>
      <c r="BR64" s="7683"/>
      <c r="BS64" s="7683"/>
      <c r="BT64" s="7684"/>
      <c r="BU64" s="7684"/>
      <c r="BV64" s="7684"/>
      <c r="BW64" s="7684"/>
      <c r="BX64" s="7684"/>
      <c r="BY64" s="7684"/>
      <c r="BZ64" s="7684"/>
      <c r="CA64" s="7684"/>
      <c r="CB64" s="7684"/>
      <c r="CC64" s="7684"/>
      <c r="CD64" s="7684"/>
      <c r="CE64" s="7684"/>
      <c r="CF64" s="7684"/>
      <c r="CG64" s="7684"/>
      <c r="CH64" s="7684"/>
      <c r="CI64" s="7684"/>
      <c r="CJ64" s="7684"/>
      <c r="CK64" s="7684"/>
      <c r="CL64" s="7683"/>
      <c r="CM64" s="7683"/>
      <c r="CN64" s="7683"/>
      <c r="CO64" s="7683"/>
      <c r="CP64" s="7683"/>
      <c r="CQ64" s="7683"/>
      <c r="CR64" s="7683"/>
      <c r="CS64" s="7683"/>
      <c r="CT64" s="7683"/>
      <c r="CU64" s="7683"/>
      <c r="CV64" s="7683"/>
      <c r="CW64" s="7683"/>
      <c r="CX64" s="7683"/>
      <c r="CY64" s="7684"/>
      <c r="CZ64" s="7684"/>
      <c r="DA64" s="7684"/>
      <c r="DB64" s="7684"/>
      <c r="DC64" s="7684"/>
      <c r="DD64" s="7684"/>
      <c r="DE64" s="7684"/>
      <c r="DF64" s="7684"/>
      <c r="DG64" s="7684"/>
      <c r="DH64" s="7684"/>
      <c r="DI64" s="7684"/>
      <c r="DJ64" s="7684"/>
      <c r="DK64" s="7683"/>
      <c r="DL64" s="7683"/>
      <c r="DM64" s="7683"/>
      <c r="DN64" s="7683"/>
      <c r="DO64" s="7683"/>
      <c r="DP64" s="7683"/>
      <c r="DQ64" s="7683"/>
      <c r="DR64" s="7683"/>
      <c r="DS64" s="7683"/>
      <c r="DT64" s="7683"/>
      <c r="DU64" s="7683"/>
      <c r="DV64" s="7683"/>
      <c r="DW64" s="7683"/>
      <c r="DX64" s="7683"/>
      <c r="DY64" s="7683"/>
      <c r="DZ64" s="7683"/>
      <c r="EA64" s="7683"/>
      <c r="EB64" s="7683"/>
      <c r="EC64" s="7683"/>
      <c r="ED64" s="7683"/>
      <c r="EE64" s="7683"/>
      <c r="EF64" s="7683"/>
      <c r="EG64" s="7683"/>
      <c r="EH64" s="7683"/>
      <c r="EI64" s="7683"/>
      <c r="EJ64" s="7683"/>
      <c r="EK64" s="7683"/>
      <c r="EL64" s="7683"/>
      <c r="EM64" s="7683"/>
      <c r="EN64" s="7683"/>
      <c r="EO64" s="7683"/>
      <c r="EP64" s="7683"/>
      <c r="EQ64" s="7683"/>
      <c r="ER64" s="7683"/>
      <c r="ES64" s="7683"/>
      <c r="ET64" s="7683"/>
      <c r="EU64" s="7683"/>
      <c r="EV64" s="7683"/>
      <c r="EW64" s="7683"/>
      <c r="EX64" s="7683"/>
      <c r="EY64" s="7683"/>
      <c r="EZ64" s="7683"/>
      <c r="FA64" s="7683"/>
      <c r="FB64" s="7683"/>
      <c r="FC64" s="7683"/>
      <c r="FD64" s="7683"/>
      <c r="FE64" s="7683"/>
      <c r="FF64" s="7683"/>
      <c r="FG64" s="7683"/>
      <c r="FH64" s="7683"/>
      <c r="FI64" s="7683"/>
      <c r="FJ64" s="7683"/>
      <c r="FK64" s="7683"/>
      <c r="FL64" s="7683"/>
      <c r="FM64" s="7683"/>
      <c r="FN64" s="7683"/>
      <c r="FO64" s="7683"/>
      <c r="FP64" s="7683"/>
      <c r="FQ64" s="7683"/>
      <c r="FR64" s="7683"/>
      <c r="FS64" s="7683"/>
      <c r="FT64" s="7683"/>
      <c r="FU64" s="7683"/>
      <c r="FV64" s="7683"/>
      <c r="FW64" s="7683"/>
      <c r="FX64" s="7359"/>
      <c r="FY64" s="7048"/>
      <c r="FZ64" s="7048"/>
      <c r="GA64" s="7048"/>
      <c r="GB64" s="7048"/>
    </row>
    <row s="7048" customFormat="1" customHeight="1" ht="12">
      <c r="A65" s="7048" t="s">
        <v>1258</v>
      </c>
      <c r="B65" s="7105"/>
      <c r="C65" s="7048"/>
      <c r="D65" s="7048"/>
      <c r="E65" s="7048"/>
      <c r="F65" s="10785"/>
      <c r="G65" s="10786" t="s">
        <v>1541</v>
      </c>
      <c r="H65" s="10787"/>
      <c r="I65" s="10788"/>
      <c r="J65" s="10789"/>
      <c r="K65" s="10790"/>
      <c r="L65" s="10791"/>
      <c r="M65" s="10792"/>
      <c r="N65" s="10793"/>
      <c r="O65" s="10794"/>
      <c r="P65" s="10795"/>
      <c r="Q65" s="10796"/>
      <c r="R65" s="10797"/>
      <c r="S65" s="10798"/>
      <c r="T65" s="10799"/>
      <c r="U65" s="10800"/>
      <c r="V65" s="10801"/>
      <c r="W65" s="10802"/>
      <c r="X65" s="10803"/>
      <c r="Y65" s="10804"/>
      <c r="Z65" s="10805"/>
      <c r="AA65" s="10806"/>
      <c r="AB65" s="10807"/>
      <c r="AC65" s="10808"/>
      <c r="AD65" s="10809"/>
      <c r="AE65" s="10810"/>
      <c r="AF65" s="10811"/>
      <c r="AG65" s="10812"/>
      <c r="AH65" s="10813"/>
      <c r="AI65" s="10814"/>
      <c r="AJ65" s="10815"/>
      <c r="AK65" s="10816"/>
      <c r="AL65" s="10817"/>
      <c r="AM65" s="10818"/>
      <c r="AN65" s="10819"/>
      <c r="AO65" s="10820"/>
      <c r="AP65" s="10821"/>
      <c r="AQ65" s="10822"/>
      <c r="AR65" s="10823"/>
      <c r="AS65" s="10824"/>
      <c r="AT65" s="10825"/>
      <c r="AU65" s="10826"/>
      <c r="AV65" s="10827"/>
      <c r="AW65" s="10828"/>
      <c r="AX65" s="10829"/>
      <c r="AY65" s="10830"/>
      <c r="AZ65" s="10831"/>
      <c r="BA65" s="10832"/>
      <c r="BB65" s="10833"/>
      <c r="BC65" s="10834"/>
      <c r="BD65" s="10835"/>
      <c r="BE65" s="10836"/>
      <c r="BF65" s="10837"/>
      <c r="BG65" s="10838"/>
      <c r="BH65" s="10839"/>
      <c r="BI65" s="10840"/>
      <c r="BJ65" s="10841"/>
      <c r="BK65" s="10842"/>
      <c r="BL65" s="10843"/>
      <c r="BM65" s="10844"/>
      <c r="BN65" s="10845"/>
      <c r="BO65" s="10846"/>
      <c r="BP65" s="10847"/>
      <c r="BQ65" s="10848"/>
      <c r="BR65" s="10849"/>
      <c r="BS65" s="10850"/>
      <c r="BT65" s="10851"/>
      <c r="BU65" s="10852"/>
      <c r="BV65" s="10853"/>
      <c r="BW65" s="10854"/>
      <c r="BX65" s="10855"/>
      <c r="BY65" s="10856"/>
      <c r="BZ65" s="10857"/>
      <c r="CA65" s="10858"/>
      <c r="CB65" s="10859"/>
      <c r="CC65" s="10860"/>
      <c r="CD65" s="10861"/>
      <c r="CE65" s="10862"/>
      <c r="CF65" s="10863"/>
      <c r="CG65" s="10864"/>
      <c r="CH65" s="10865"/>
      <c r="CI65" s="10866"/>
      <c r="CJ65" s="10867"/>
      <c r="CK65" s="10868"/>
      <c r="CL65" s="10869"/>
      <c r="CM65" s="10870"/>
      <c r="CN65" s="10871"/>
      <c r="CO65" s="10872"/>
      <c r="CP65" s="10873"/>
      <c r="CQ65" s="10874"/>
      <c r="CR65" s="10875"/>
      <c r="CS65" s="10876"/>
      <c r="CT65" s="10877"/>
      <c r="CU65" s="10878"/>
      <c r="CV65" s="10879"/>
      <c r="CW65" s="10880"/>
      <c r="CX65" s="10881"/>
      <c r="CY65" s="10882"/>
      <c r="CZ65" s="10883"/>
      <c r="DA65" s="10884"/>
      <c r="DB65" s="10885"/>
      <c r="DC65" s="10886"/>
      <c r="DD65" s="10887"/>
      <c r="DE65" s="10888"/>
      <c r="DF65" s="10889"/>
      <c r="DG65" s="10890"/>
      <c r="DH65" s="10891"/>
      <c r="DI65" s="10892"/>
      <c r="DJ65" s="10893"/>
      <c r="DK65" s="10894"/>
      <c r="DL65" s="10895"/>
      <c r="DM65" s="10896"/>
      <c r="DN65" s="10897"/>
      <c r="DO65" s="10898"/>
      <c r="DP65" s="10899"/>
      <c r="DQ65" s="10900"/>
      <c r="DR65" s="10901"/>
      <c r="DS65" s="10902"/>
      <c r="DT65" s="10903"/>
      <c r="DU65" s="10904"/>
      <c r="DV65" s="10905"/>
      <c r="DW65" s="10906"/>
      <c r="DX65" s="10907"/>
      <c r="DY65" s="10908"/>
      <c r="DZ65" s="10909"/>
      <c r="EA65" s="10910"/>
      <c r="EB65" s="10911"/>
      <c r="EC65" s="10912"/>
      <c r="ED65" s="10913"/>
      <c r="EE65" s="10914"/>
      <c r="EF65" s="10915"/>
      <c r="EG65" s="10916"/>
      <c r="EH65" s="10917"/>
      <c r="EI65" s="10918"/>
      <c r="EJ65" s="10919"/>
      <c r="EK65" s="10920"/>
      <c r="EL65" s="10921"/>
      <c r="EM65" s="10922"/>
      <c r="EN65" s="10923"/>
      <c r="EO65" s="10924"/>
      <c r="EP65" s="10925"/>
      <c r="EQ65" s="10926"/>
      <c r="ER65" s="10927"/>
      <c r="ES65" s="10928"/>
      <c r="ET65" s="10929"/>
      <c r="EU65" s="10930"/>
      <c r="EV65" s="10931"/>
      <c r="EW65" s="10932"/>
      <c r="EX65" s="10933"/>
      <c r="EY65" s="10934"/>
      <c r="EZ65" s="10935"/>
      <c r="FA65" s="10936"/>
      <c r="FB65" s="10937"/>
      <c r="FC65" s="10938"/>
      <c r="FD65" s="10939"/>
      <c r="FE65" s="10940"/>
      <c r="FF65" s="10941"/>
      <c r="FG65" s="10942"/>
      <c r="FH65" s="10943"/>
      <c r="FI65" s="10944"/>
      <c r="FJ65" s="10945"/>
      <c r="FK65" s="10946"/>
      <c r="FL65" s="10947"/>
      <c r="FM65" s="10948"/>
      <c r="FN65" s="10949"/>
      <c r="FO65" s="10950"/>
      <c r="FP65" s="10951"/>
      <c r="FQ65" s="10952"/>
      <c r="FR65" s="10953"/>
      <c r="FS65" s="10954"/>
      <c r="FT65" s="10955"/>
      <c r="FU65" s="10956"/>
      <c r="FV65" s="10957"/>
      <c r="FW65" s="10958"/>
      <c r="FX65" s="7689"/>
      <c r="FY65" s="7501"/>
      <c r="FZ65" s="7501"/>
      <c r="GA65" s="7501"/>
      <c r="GB65" s="7501"/>
    </row>
    <row s="7048" customFormat="1" customHeight="1" ht="21">
      <c r="A66" s="6959" t="s">
        <v>1263</v>
      </c>
      <c r="B66" s="7105"/>
      <c r="C66" s="7048"/>
      <c r="D66" s="7048"/>
      <c r="E66" s="7099" t="s">
        <v>22</v>
      </c>
      <c r="F66" s="7672" t="str">
        <f>INDEX(IP_MAIN_LIST_NAME_IP,MATCH(A66,IP_MAIN_LIST_IP_ID,0))&amp;" ("&amp;INDEX(IP_MAIN_START_DATE,MATCH(A66,IP_MAIN_LIST_IP_ID,0))&amp;"-"&amp;INDEX(IP_MAIN_END_DATE,MATCH(A66,IP_MAIN_LIST_IP_ID,0))&amp;")"</f>
        <v>Инвестиционная программа № 211 от 15.11.2024 ООО "СамРЭК-Эксплуатация" в сфере теплоснабжения по модернизации системы теплоснабжения, на территории муниципального района Приволжский на 2024-2033 годы (15.11.2024-31.12.2033)</v>
      </c>
      <c r="G66" s="7673"/>
      <c r="H66" s="7674"/>
      <c r="I66" s="7674"/>
      <c r="J66" s="7674"/>
      <c r="K66" s="7674"/>
      <c r="L66" s="7674"/>
      <c r="M66" s="7674"/>
      <c r="N66" s="7674"/>
      <c r="O66" s="7673"/>
      <c r="P66" s="7673"/>
      <c r="Q66" s="7673"/>
      <c r="R66" s="7673"/>
      <c r="S66" s="7673"/>
      <c r="T66" s="7673"/>
      <c r="U66" s="7675"/>
      <c r="V66" s="7675"/>
      <c r="W66" s="7675"/>
      <c r="X66" s="7675"/>
      <c r="Y66" s="7675"/>
      <c r="Z66" s="7675"/>
      <c r="AA66" s="7675"/>
      <c r="AB66" s="7673"/>
      <c r="AC66" s="7674"/>
      <c r="AD66" s="7674"/>
      <c r="AE66" s="7674"/>
      <c r="AF66" s="7674"/>
      <c r="AG66" s="7674"/>
      <c r="AH66" s="7674"/>
      <c r="AI66" s="7674"/>
      <c r="AJ66" s="7674"/>
      <c r="AK66" s="7674"/>
      <c r="AL66" s="7674"/>
      <c r="AM66" s="7674"/>
      <c r="AN66" s="7674"/>
      <c r="AO66" s="7674"/>
      <c r="AP66" s="7674"/>
      <c r="AQ66" s="7674"/>
      <c r="AR66" s="7674"/>
      <c r="AS66" s="7674"/>
      <c r="AT66" s="7674"/>
      <c r="AU66" s="7674"/>
      <c r="AV66" s="7674"/>
      <c r="AW66" s="7674"/>
      <c r="AX66" s="7674"/>
      <c r="AY66" s="7674"/>
      <c r="AZ66" s="7674"/>
      <c r="BA66" s="7674"/>
      <c r="BB66" s="7674"/>
      <c r="BC66" s="7674"/>
      <c r="BD66" s="7674"/>
      <c r="BE66" s="7674"/>
      <c r="BF66" s="7674"/>
      <c r="BG66" s="7674"/>
      <c r="BH66" s="7674"/>
      <c r="BI66" s="7674"/>
      <c r="BJ66" s="7674"/>
      <c r="BK66" s="7674"/>
      <c r="BL66" s="7674"/>
      <c r="BM66" s="7674"/>
      <c r="BN66" s="7674"/>
      <c r="BO66" s="7674"/>
      <c r="BP66" s="7674"/>
      <c r="BQ66" s="7674"/>
      <c r="BR66" s="7674"/>
      <c r="BS66" s="7674"/>
      <c r="BT66" s="7674"/>
      <c r="BU66" s="7674"/>
      <c r="BV66" s="7674"/>
      <c r="BW66" s="7674"/>
      <c r="BX66" s="7674"/>
      <c r="BY66" s="7674"/>
      <c r="BZ66" s="7674"/>
      <c r="CA66" s="7674"/>
      <c r="CB66" s="7674"/>
      <c r="CC66" s="7674"/>
      <c r="CD66" s="7674"/>
      <c r="CE66" s="7674"/>
      <c r="CF66" s="7674"/>
      <c r="CG66" s="7674"/>
      <c r="CH66" s="7674"/>
      <c r="CI66" s="7674"/>
      <c r="CJ66" s="7674"/>
      <c r="CK66" s="7674"/>
      <c r="CL66" s="7676"/>
      <c r="CM66" s="7676"/>
      <c r="CN66" s="7676"/>
      <c r="CO66" s="7676"/>
      <c r="CP66" s="7676"/>
      <c r="CQ66" s="7676"/>
      <c r="CR66" s="7676"/>
      <c r="CS66" s="7676"/>
      <c r="CT66" s="7676"/>
      <c r="CU66" s="7676"/>
      <c r="CV66" s="7676"/>
      <c r="CW66" s="7676"/>
      <c r="CX66" s="7676"/>
      <c r="CY66" s="7676"/>
      <c r="CZ66" s="7676"/>
      <c r="DA66" s="7676"/>
      <c r="DB66" s="7676"/>
      <c r="DC66" s="7676"/>
      <c r="DD66" s="7676"/>
      <c r="DE66" s="7676"/>
      <c r="DF66" s="7676"/>
      <c r="DG66" s="7676"/>
      <c r="DH66" s="7676"/>
      <c r="DI66" s="7676"/>
      <c r="DJ66" s="7676"/>
      <c r="DK66" s="7676"/>
      <c r="DL66" s="7676"/>
      <c r="DM66" s="7676"/>
      <c r="DN66" s="7676"/>
      <c r="DO66" s="7676"/>
      <c r="DP66" s="7676"/>
      <c r="DQ66" s="7676"/>
      <c r="DR66" s="7676"/>
      <c r="DS66" s="7676"/>
      <c r="DT66" s="7676"/>
      <c r="DU66" s="7676"/>
      <c r="DV66" s="7676"/>
      <c r="DW66" s="7676"/>
      <c r="DX66" s="7676"/>
      <c r="DY66" s="7676"/>
      <c r="DZ66" s="7676"/>
      <c r="EA66" s="7676"/>
      <c r="EB66" s="7676"/>
      <c r="EC66" s="7676"/>
      <c r="ED66" s="7676"/>
      <c r="EE66" s="7676"/>
      <c r="EF66" s="7676"/>
      <c r="EG66" s="7676"/>
      <c r="EH66" s="7676"/>
      <c r="EI66" s="7676"/>
      <c r="EJ66" s="7676"/>
      <c r="EK66" s="7676"/>
      <c r="EL66" s="7676"/>
      <c r="EM66" s="7676"/>
      <c r="EN66" s="7676"/>
      <c r="EO66" s="7676"/>
      <c r="EP66" s="7676"/>
      <c r="EQ66" s="7676"/>
      <c r="ER66" s="7676"/>
      <c r="ES66" s="7676"/>
      <c r="ET66" s="7676"/>
      <c r="EU66" s="7676"/>
      <c r="EV66" s="7676"/>
      <c r="EW66" s="7676"/>
      <c r="EX66" s="7676"/>
      <c r="EY66" s="7676"/>
      <c r="EZ66" s="7676"/>
      <c r="FA66" s="7676"/>
      <c r="FB66" s="7676"/>
      <c r="FC66" s="7676"/>
      <c r="FD66" s="7676"/>
      <c r="FE66" s="7676"/>
      <c r="FF66" s="7676"/>
      <c r="FG66" s="7676"/>
      <c r="FH66" s="7676"/>
      <c r="FI66" s="7676"/>
      <c r="FJ66" s="7676"/>
      <c r="FK66" s="7676"/>
      <c r="FL66" s="7676"/>
      <c r="FM66" s="7676"/>
      <c r="FN66" s="7676"/>
      <c r="FO66" s="7676"/>
      <c r="FP66" s="7676"/>
      <c r="FQ66" s="7676"/>
      <c r="FR66" s="7676"/>
      <c r="FS66" s="7676"/>
      <c r="FT66" s="7676"/>
      <c r="FU66" s="7676"/>
      <c r="FV66" s="7677"/>
      <c r="FW66" s="7110"/>
      <c r="FX66" s="7359"/>
      <c r="FY66" s="7048"/>
      <c r="FZ66" s="7048"/>
      <c r="GA66" s="7048"/>
      <c r="GB66" s="7048"/>
    </row>
    <row s="7048" customFormat="1" customHeight="1" ht="24.75">
      <c r="A67" s="7048" t="s">
        <v>1263</v>
      </c>
      <c r="B67" s="7105"/>
      <c r="C67" s="7048"/>
      <c r="D67" s="7048"/>
      <c r="E67" s="7954"/>
      <c r="F67" s="7679">
        <v>1</v>
      </c>
      <c r="G67" s="7680" t="s">
        <v>1160</v>
      </c>
      <c r="H67" s="7681" t="s">
        <v>67</v>
      </c>
      <c r="I67" s="7682" t="s">
        <v>1540</v>
      </c>
      <c r="J67" s="7683"/>
      <c r="K67" s="7683"/>
      <c r="L67" s="7683"/>
      <c r="M67" s="7683"/>
      <c r="N67" s="7683"/>
      <c r="O67" s="7684">
        <v>0</v>
      </c>
      <c r="P67" s="7684">
        <v>0</v>
      </c>
      <c r="Q67" s="7684">
        <v>0</v>
      </c>
      <c r="R67" s="7684">
        <v>0</v>
      </c>
      <c r="S67" s="7684">
        <v>0</v>
      </c>
      <c r="T67" s="7684">
        <v>0</v>
      </c>
      <c r="U67" s="7684">
        <v>1.78</v>
      </c>
      <c r="V67" s="7684">
        <v>1.78</v>
      </c>
      <c r="W67" s="7684">
        <v>0</v>
      </c>
      <c r="X67" s="7684">
        <v>0</v>
      </c>
      <c r="Y67" s="7684">
        <v>7978.09</v>
      </c>
      <c r="Z67" s="7684">
        <v>7978.09</v>
      </c>
      <c r="AA67" s="7684">
        <v>0</v>
      </c>
      <c r="AB67" s="7684">
        <v>0</v>
      </c>
      <c r="AC67" s="7683"/>
      <c r="AD67" s="7683"/>
      <c r="AE67" s="7683"/>
      <c r="AF67" s="7683"/>
      <c r="AG67" s="7683"/>
      <c r="AH67" s="7683"/>
      <c r="AI67" s="7683"/>
      <c r="AJ67" s="7683"/>
      <c r="AK67" s="7683"/>
      <c r="AL67" s="7683"/>
      <c r="AM67" s="7683"/>
      <c r="AN67" s="7683"/>
      <c r="AO67" s="7683"/>
      <c r="AP67" s="7683"/>
      <c r="AQ67" s="7683"/>
      <c r="AR67" s="7683"/>
      <c r="AS67" s="7683"/>
      <c r="AT67" s="7683"/>
      <c r="AU67" s="7683"/>
      <c r="AV67" s="7683"/>
      <c r="AW67" s="7683"/>
      <c r="AX67" s="7683"/>
      <c r="AY67" s="7683"/>
      <c r="AZ67" s="7683"/>
      <c r="BA67" s="7683"/>
      <c r="BB67" s="7683"/>
      <c r="BC67" s="7683"/>
      <c r="BD67" s="7683"/>
      <c r="BE67" s="7683"/>
      <c r="BF67" s="7683"/>
      <c r="BG67" s="7683"/>
      <c r="BH67" s="7683"/>
      <c r="BI67" s="7683"/>
      <c r="BJ67" s="7683"/>
      <c r="BK67" s="7683"/>
      <c r="BL67" s="7683"/>
      <c r="BM67" s="7683"/>
      <c r="BN67" s="7683"/>
      <c r="BO67" s="7683"/>
      <c r="BP67" s="7683"/>
      <c r="BQ67" s="7683"/>
      <c r="BR67" s="7683"/>
      <c r="BS67" s="7683"/>
      <c r="BT67" s="7684"/>
      <c r="BU67" s="7684"/>
      <c r="BV67" s="7684"/>
      <c r="BW67" s="7684"/>
      <c r="BX67" s="7684"/>
      <c r="BY67" s="7684"/>
      <c r="BZ67" s="7684"/>
      <c r="CA67" s="7684"/>
      <c r="CB67" s="7684"/>
      <c r="CC67" s="7684"/>
      <c r="CD67" s="7684"/>
      <c r="CE67" s="7684"/>
      <c r="CF67" s="7684"/>
      <c r="CG67" s="7684"/>
      <c r="CH67" s="7684"/>
      <c r="CI67" s="7684"/>
      <c r="CJ67" s="7684"/>
      <c r="CK67" s="7684"/>
      <c r="CL67" s="7683"/>
      <c r="CM67" s="7683"/>
      <c r="CN67" s="7683"/>
      <c r="CO67" s="7683"/>
      <c r="CP67" s="7683"/>
      <c r="CQ67" s="7683"/>
      <c r="CR67" s="7683"/>
      <c r="CS67" s="7683"/>
      <c r="CT67" s="7683"/>
      <c r="CU67" s="7683"/>
      <c r="CV67" s="7683"/>
      <c r="CW67" s="7683"/>
      <c r="CX67" s="7683"/>
      <c r="CY67" s="7684"/>
      <c r="CZ67" s="7684"/>
      <c r="DA67" s="7684"/>
      <c r="DB67" s="7684"/>
      <c r="DC67" s="7684"/>
      <c r="DD67" s="7684"/>
      <c r="DE67" s="7684"/>
      <c r="DF67" s="7684"/>
      <c r="DG67" s="7684"/>
      <c r="DH67" s="7684"/>
      <c r="DI67" s="7684"/>
      <c r="DJ67" s="7684"/>
      <c r="DK67" s="7683"/>
      <c r="DL67" s="7683"/>
      <c r="DM67" s="7683"/>
      <c r="DN67" s="7683"/>
      <c r="DO67" s="7683"/>
      <c r="DP67" s="7683"/>
      <c r="DQ67" s="7683"/>
      <c r="DR67" s="7683"/>
      <c r="DS67" s="7683"/>
      <c r="DT67" s="7683"/>
      <c r="DU67" s="7683"/>
      <c r="DV67" s="7683"/>
      <c r="DW67" s="7683"/>
      <c r="DX67" s="7683"/>
      <c r="DY67" s="7683"/>
      <c r="DZ67" s="7683"/>
      <c r="EA67" s="7683"/>
      <c r="EB67" s="7683"/>
      <c r="EC67" s="7683"/>
      <c r="ED67" s="7683"/>
      <c r="EE67" s="7683"/>
      <c r="EF67" s="7683"/>
      <c r="EG67" s="7683"/>
      <c r="EH67" s="7683"/>
      <c r="EI67" s="7683"/>
      <c r="EJ67" s="7683"/>
      <c r="EK67" s="7683"/>
      <c r="EL67" s="7683"/>
      <c r="EM67" s="7683"/>
      <c r="EN67" s="7683"/>
      <c r="EO67" s="7683"/>
      <c r="EP67" s="7683"/>
      <c r="EQ67" s="7683"/>
      <c r="ER67" s="7683"/>
      <c r="ES67" s="7683"/>
      <c r="ET67" s="7683"/>
      <c r="EU67" s="7683"/>
      <c r="EV67" s="7683"/>
      <c r="EW67" s="7683"/>
      <c r="EX67" s="7683"/>
      <c r="EY67" s="7683"/>
      <c r="EZ67" s="7683"/>
      <c r="FA67" s="7683"/>
      <c r="FB67" s="7683"/>
      <c r="FC67" s="7683"/>
      <c r="FD67" s="7683"/>
      <c r="FE67" s="7683"/>
      <c r="FF67" s="7683"/>
      <c r="FG67" s="7683"/>
      <c r="FH67" s="7683"/>
      <c r="FI67" s="7683"/>
      <c r="FJ67" s="7683"/>
      <c r="FK67" s="7683"/>
      <c r="FL67" s="7683"/>
      <c r="FM67" s="7683"/>
      <c r="FN67" s="7683"/>
      <c r="FO67" s="7683"/>
      <c r="FP67" s="7683"/>
      <c r="FQ67" s="7683"/>
      <c r="FR67" s="7683"/>
      <c r="FS67" s="7683"/>
      <c r="FT67" s="7683"/>
      <c r="FU67" s="7683"/>
      <c r="FV67" s="7683"/>
      <c r="FW67" s="7683"/>
      <c r="FX67" s="7359"/>
      <c r="FY67" s="7048"/>
      <c r="FZ67" s="7048"/>
      <c r="GA67" s="7048"/>
      <c r="GB67" s="7048"/>
    </row>
    <row s="7048" customFormat="1" customHeight="1" ht="12">
      <c r="A68" s="7048" t="s">
        <v>1263</v>
      </c>
      <c r="B68" s="7105"/>
      <c r="C68" s="7048"/>
      <c r="D68" s="7048"/>
      <c r="E68" s="7048"/>
      <c r="F68" s="10959"/>
      <c r="G68" s="10960" t="s">
        <v>1541</v>
      </c>
      <c r="H68" s="10961"/>
      <c r="I68" s="10962"/>
      <c r="J68" s="10963"/>
      <c r="K68" s="10964"/>
      <c r="L68" s="10965"/>
      <c r="M68" s="10966"/>
      <c r="N68" s="10967"/>
      <c r="O68" s="10968"/>
      <c r="P68" s="10969"/>
      <c r="Q68" s="10970"/>
      <c r="R68" s="10971"/>
      <c r="S68" s="10972"/>
      <c r="T68" s="10973"/>
      <c r="U68" s="10974"/>
      <c r="V68" s="10975"/>
      <c r="W68" s="10976"/>
      <c r="X68" s="10977"/>
      <c r="Y68" s="10978"/>
      <c r="Z68" s="10979"/>
      <c r="AA68" s="10980"/>
      <c r="AB68" s="10981"/>
      <c r="AC68" s="10982"/>
      <c r="AD68" s="10983"/>
      <c r="AE68" s="10984"/>
      <c r="AF68" s="10985"/>
      <c r="AG68" s="10986"/>
      <c r="AH68" s="10987"/>
      <c r="AI68" s="10988"/>
      <c r="AJ68" s="10989"/>
      <c r="AK68" s="10990"/>
      <c r="AL68" s="10991"/>
      <c r="AM68" s="10992"/>
      <c r="AN68" s="10993"/>
      <c r="AO68" s="10994"/>
      <c r="AP68" s="10995"/>
      <c r="AQ68" s="10996"/>
      <c r="AR68" s="10997"/>
      <c r="AS68" s="10998"/>
      <c r="AT68" s="10999"/>
      <c r="AU68" s="11000"/>
      <c r="AV68" s="11001"/>
      <c r="AW68" s="11002"/>
      <c r="AX68" s="11003"/>
      <c r="AY68" s="11004"/>
      <c r="AZ68" s="11005"/>
      <c r="BA68" s="11006"/>
      <c r="BB68" s="11007"/>
      <c r="BC68" s="11008"/>
      <c r="BD68" s="11009"/>
      <c r="BE68" s="11010"/>
      <c r="BF68" s="11011"/>
      <c r="BG68" s="11012"/>
      <c r="BH68" s="11013"/>
      <c r="BI68" s="11014"/>
      <c r="BJ68" s="11015"/>
      <c r="BK68" s="11016"/>
      <c r="BL68" s="11017"/>
      <c r="BM68" s="11018"/>
      <c r="BN68" s="11019"/>
      <c r="BO68" s="11020"/>
      <c r="BP68" s="11021"/>
      <c r="BQ68" s="11022"/>
      <c r="BR68" s="11023"/>
      <c r="BS68" s="11024"/>
      <c r="BT68" s="11025"/>
      <c r="BU68" s="11026"/>
      <c r="BV68" s="11027"/>
      <c r="BW68" s="11028"/>
      <c r="BX68" s="11029"/>
      <c r="BY68" s="11030"/>
      <c r="BZ68" s="11031"/>
      <c r="CA68" s="11032"/>
      <c r="CB68" s="11033"/>
      <c r="CC68" s="11034"/>
      <c r="CD68" s="11035"/>
      <c r="CE68" s="11036"/>
      <c r="CF68" s="11037"/>
      <c r="CG68" s="11038"/>
      <c r="CH68" s="11039"/>
      <c r="CI68" s="11040"/>
      <c r="CJ68" s="11041"/>
      <c r="CK68" s="11042"/>
      <c r="CL68" s="11043"/>
      <c r="CM68" s="11044"/>
      <c r="CN68" s="11045"/>
      <c r="CO68" s="11046"/>
      <c r="CP68" s="11047"/>
      <c r="CQ68" s="11048"/>
      <c r="CR68" s="11049"/>
      <c r="CS68" s="11050"/>
      <c r="CT68" s="11051"/>
      <c r="CU68" s="11052"/>
      <c r="CV68" s="11053"/>
      <c r="CW68" s="11054"/>
      <c r="CX68" s="11055"/>
      <c r="CY68" s="11056"/>
      <c r="CZ68" s="11057"/>
      <c r="DA68" s="11058"/>
      <c r="DB68" s="11059"/>
      <c r="DC68" s="11060"/>
      <c r="DD68" s="11061"/>
      <c r="DE68" s="11062"/>
      <c r="DF68" s="11063"/>
      <c r="DG68" s="11064"/>
      <c r="DH68" s="11065"/>
      <c r="DI68" s="11066"/>
      <c r="DJ68" s="11067"/>
      <c r="DK68" s="11068"/>
      <c r="DL68" s="11069"/>
      <c r="DM68" s="11070"/>
      <c r="DN68" s="11071"/>
      <c r="DO68" s="11072"/>
      <c r="DP68" s="11073"/>
      <c r="DQ68" s="11074"/>
      <c r="DR68" s="11075"/>
      <c r="DS68" s="11076"/>
      <c r="DT68" s="11077"/>
      <c r="DU68" s="11078"/>
      <c r="DV68" s="11079"/>
      <c r="DW68" s="11080"/>
      <c r="DX68" s="11081"/>
      <c r="DY68" s="11082"/>
      <c r="DZ68" s="11083"/>
      <c r="EA68" s="11084"/>
      <c r="EB68" s="11085"/>
      <c r="EC68" s="11086"/>
      <c r="ED68" s="11087"/>
      <c r="EE68" s="11088"/>
      <c r="EF68" s="11089"/>
      <c r="EG68" s="11090"/>
      <c r="EH68" s="11091"/>
      <c r="EI68" s="11092"/>
      <c r="EJ68" s="11093"/>
      <c r="EK68" s="11094"/>
      <c r="EL68" s="11095"/>
      <c r="EM68" s="11096"/>
      <c r="EN68" s="11097"/>
      <c r="EO68" s="11098"/>
      <c r="EP68" s="11099"/>
      <c r="EQ68" s="11100"/>
      <c r="ER68" s="11101"/>
      <c r="ES68" s="11102"/>
      <c r="ET68" s="11103"/>
      <c r="EU68" s="11104"/>
      <c r="EV68" s="11105"/>
      <c r="EW68" s="11106"/>
      <c r="EX68" s="11107"/>
      <c r="EY68" s="11108"/>
      <c r="EZ68" s="11109"/>
      <c r="FA68" s="11110"/>
      <c r="FB68" s="11111"/>
      <c r="FC68" s="11112"/>
      <c r="FD68" s="11113"/>
      <c r="FE68" s="11114"/>
      <c r="FF68" s="11115"/>
      <c r="FG68" s="11116"/>
      <c r="FH68" s="11117"/>
      <c r="FI68" s="11118"/>
      <c r="FJ68" s="11119"/>
      <c r="FK68" s="11120"/>
      <c r="FL68" s="11121"/>
      <c r="FM68" s="11122"/>
      <c r="FN68" s="11123"/>
      <c r="FO68" s="11124"/>
      <c r="FP68" s="11125"/>
      <c r="FQ68" s="11126"/>
      <c r="FR68" s="11127"/>
      <c r="FS68" s="11128"/>
      <c r="FT68" s="11129"/>
      <c r="FU68" s="11130"/>
      <c r="FV68" s="11131"/>
      <c r="FW68" s="11132"/>
      <c r="FX68" s="7689"/>
      <c r="FY68" s="7501"/>
      <c r="FZ68" s="7501"/>
      <c r="GA68" s="7501"/>
      <c r="GB68" s="7501"/>
    </row>
    <row s="7048" customFormat="1" customHeight="1" ht="12.75">
      <c r="A69" s="1065"/>
      <c r="B69" s="1065"/>
      <c r="C69" s="1065"/>
      <c r="D69" s="1065"/>
      <c r="E69" s="1065"/>
      <c r="F69" s="1063"/>
      <c r="G69" s="1063"/>
      <c r="H69" s="1063"/>
      <c r="I69" s="1063"/>
      <c r="J69" s="1063"/>
      <c r="K69" s="1063"/>
      <c r="L69" s="1063"/>
      <c r="M69" s="1063"/>
      <c r="N69" s="1063"/>
      <c r="O69" s="1063"/>
      <c r="P69" s="1063"/>
      <c r="Q69" s="1063"/>
      <c r="R69" s="1063"/>
      <c r="S69" s="1066"/>
      <c r="T69" s="1066"/>
      <c r="U69" s="1063"/>
      <c r="V69" s="1063"/>
      <c r="W69" s="1063"/>
      <c r="X69" s="1063"/>
      <c r="Y69" s="1063"/>
      <c r="Z69" s="1063"/>
      <c r="AA69" s="1063"/>
      <c r="AB69" s="1063"/>
      <c r="AC69" s="1063"/>
      <c r="AD69" s="1063"/>
      <c r="AE69" s="1063"/>
      <c r="AF69" s="1063"/>
      <c r="AG69" s="1063"/>
      <c r="AH69" s="1063"/>
      <c r="AI69" s="1063"/>
      <c r="AJ69" s="1063"/>
      <c r="AK69" s="1063"/>
      <c r="AL69" s="1063"/>
      <c r="AM69" s="1063"/>
      <c r="AN69" s="1063"/>
      <c r="AO69" s="1063"/>
      <c r="AP69" s="1063"/>
      <c r="AQ69" s="1063"/>
      <c r="AR69" s="1063"/>
      <c r="AS69" s="1063"/>
      <c r="AT69" s="1063"/>
      <c r="AU69" s="1063"/>
      <c r="AV69" s="1063"/>
      <c r="AW69" s="1063"/>
      <c r="AX69" s="1063"/>
      <c r="AY69" s="1063"/>
      <c r="AZ69" s="1063"/>
      <c r="BA69" s="1063"/>
      <c r="BB69" s="1063"/>
      <c r="BC69" s="1063"/>
      <c r="BD69" s="1063"/>
      <c r="BE69" s="1063"/>
      <c r="BF69" s="1063"/>
      <c r="BG69" s="1063"/>
      <c r="BH69" s="1063"/>
      <c r="BI69" s="1063"/>
      <c r="BJ69" s="1063"/>
      <c r="BK69" s="1063"/>
      <c r="BL69" s="1063"/>
      <c r="BM69" s="1063"/>
      <c r="BN69" s="1063"/>
      <c r="BO69" s="1063"/>
      <c r="BP69" s="1063"/>
      <c r="BQ69" s="1063"/>
      <c r="BR69" s="1063"/>
      <c r="BS69" s="1063"/>
      <c r="BT69" s="1063"/>
      <c r="BU69" s="1063"/>
      <c r="BV69" s="1063"/>
      <c r="BW69" s="1063"/>
      <c r="BX69" s="1063"/>
      <c r="BY69" s="1063"/>
      <c r="BZ69" s="1063"/>
      <c r="CA69" s="1063"/>
      <c r="CB69" s="1063"/>
      <c r="CC69" s="1063"/>
      <c r="CD69" s="1063"/>
      <c r="CE69" s="1063"/>
      <c r="CF69" s="1063"/>
      <c r="CG69" s="1063"/>
      <c r="CH69" s="1063"/>
      <c r="CI69" s="1063"/>
      <c r="CJ69" s="1063"/>
      <c r="CK69" s="1063"/>
      <c r="CL69" s="1063"/>
      <c r="CM69" s="1063"/>
      <c r="CN69" s="1063"/>
      <c r="CO69" s="1063"/>
      <c r="CP69" s="1063"/>
      <c r="CQ69" s="1063"/>
      <c r="CR69" s="1063"/>
      <c r="CS69" s="1063"/>
      <c r="CT69" s="1063"/>
      <c r="CU69" s="1063"/>
      <c r="CV69" s="1063"/>
      <c r="CW69" s="1063"/>
      <c r="CX69" s="1063"/>
      <c r="CY69" s="1063"/>
      <c r="CZ69" s="1063"/>
      <c r="DA69" s="1063"/>
      <c r="DB69" s="1063"/>
      <c r="DC69" s="1063"/>
      <c r="DD69" s="1063"/>
      <c r="DE69" s="1063"/>
      <c r="DF69" s="1063"/>
      <c r="DG69" s="1063"/>
      <c r="DH69" s="1063"/>
      <c r="DI69" s="1063"/>
      <c r="DJ69" s="1063"/>
      <c r="DK69" s="1063"/>
      <c r="DL69" s="1063"/>
      <c r="DM69" s="1063"/>
      <c r="DN69" s="1063"/>
      <c r="DO69" s="1063"/>
      <c r="DP69" s="1063"/>
      <c r="DQ69" s="1063"/>
      <c r="DR69" s="1063"/>
      <c r="DS69" s="1063"/>
      <c r="DT69" s="1063"/>
      <c r="DU69" s="1063"/>
      <c r="DV69" s="1063"/>
      <c r="DW69" s="1063"/>
      <c r="DX69" s="1063"/>
      <c r="DY69" s="1063"/>
      <c r="DZ69" s="1063"/>
      <c r="EA69" s="1063"/>
      <c r="EB69" s="1063"/>
      <c r="EC69" s="1063"/>
      <c r="ED69" s="1063"/>
      <c r="EE69" s="1063"/>
      <c r="EF69" s="1063"/>
      <c r="EG69" s="1063"/>
      <c r="EH69" s="1063"/>
      <c r="EI69" s="1063"/>
      <c r="EJ69" s="1063"/>
      <c r="EK69" s="1063"/>
      <c r="EL69" s="1063"/>
      <c r="EM69" s="1063"/>
      <c r="EN69" s="1063"/>
      <c r="EO69" s="1063"/>
      <c r="EP69" s="1063"/>
      <c r="EQ69" s="1063"/>
      <c r="ER69" s="1063"/>
      <c r="ES69" s="1063"/>
      <c r="ET69" s="1063"/>
      <c r="EU69" s="1063"/>
      <c r="EV69" s="1063"/>
      <c r="EW69" s="1063"/>
      <c r="EX69" s="1063"/>
      <c r="EY69" s="1063"/>
      <c r="EZ69" s="1063"/>
      <c r="FA69" s="1063"/>
      <c r="FB69" s="1063"/>
      <c r="FC69" s="1063"/>
      <c r="FD69" s="1063"/>
      <c r="FE69" s="1063"/>
      <c r="FF69" s="1063"/>
      <c r="FG69" s="1063"/>
      <c r="FH69" s="1063"/>
      <c r="FI69" s="1063"/>
      <c r="FJ69" s="1063"/>
      <c r="FK69" s="1063"/>
      <c r="FL69" s="1063"/>
      <c r="FM69" s="1063"/>
      <c r="FN69" s="1063"/>
      <c r="FO69" s="1063"/>
      <c r="FP69" s="1063"/>
      <c r="FQ69" s="1063"/>
      <c r="FR69" s="1063"/>
      <c r="FS69" s="1063"/>
      <c r="FT69" s="1063"/>
      <c r="FU69" s="1063"/>
      <c r="FV69" s="1063"/>
      <c r="FW69" s="1063"/>
      <c r="FX69" s="1065"/>
      <c r="FY69" s="1065"/>
      <c r="FZ69" s="1065"/>
      <c r="GA69" s="1065"/>
      <c r="GB69" s="1065"/>
      <c r="GC69" s="1046">
        <v>12</v>
      </c>
    </row>
    <row s="7048" customFormat="1" customHeight="1" ht="12.75">
      <c r="A70" s="1065"/>
      <c r="B70" s="1065"/>
      <c r="C70" s="1065"/>
      <c r="D70" s="1065"/>
      <c r="E70" s="1065"/>
      <c r="FX70" s="1065"/>
      <c r="FY70" s="1065"/>
      <c r="FZ70" s="1065"/>
      <c r="GA70" s="1065"/>
      <c r="GB70" s="1065"/>
      <c r="GC70" s="1046">
        <v>12</v>
      </c>
    </row>
    <row s="7118" customFormat="1" customHeight="1" ht="12.75">
      <c r="A71" s="1186"/>
      <c r="B71" s="1186"/>
      <c r="C71" s="1186"/>
      <c r="D71" s="1186"/>
      <c r="E71" s="1186"/>
      <c r="O71" s="1188"/>
      <c r="P71" s="1188"/>
      <c r="Q71" s="1188"/>
      <c r="R71" s="1188"/>
      <c r="S71" s="1188"/>
      <c r="T71" s="1188"/>
      <c r="U71" s="1188"/>
      <c r="V71" s="1188"/>
      <c r="W71" s="1188"/>
      <c r="X71" s="1188"/>
      <c r="Y71" s="1188"/>
      <c r="Z71" s="1188"/>
      <c r="AA71" s="1188"/>
      <c r="AB71" s="1188"/>
      <c r="AC71" s="1188"/>
      <c r="AD71" s="1188"/>
      <c r="AE71" s="1188"/>
      <c r="AF71" s="1188"/>
      <c r="AG71" s="1188"/>
      <c r="AH71" s="1188"/>
      <c r="AI71" s="1188"/>
      <c r="AJ71" s="1188"/>
      <c r="AK71" s="1188"/>
      <c r="AL71" s="1188"/>
      <c r="AM71" s="1188"/>
      <c r="AN71" s="1188"/>
      <c r="AO71" s="1188"/>
      <c r="AP71" s="1188"/>
      <c r="AQ71" s="1188"/>
      <c r="AR71" s="1188"/>
      <c r="AS71" s="1188"/>
      <c r="AT71" s="1188"/>
      <c r="AU71" s="1188"/>
      <c r="AV71" s="1188"/>
      <c r="AW71" s="1188"/>
      <c r="AX71" s="1188"/>
      <c r="AY71" s="1188"/>
      <c r="AZ71" s="1188"/>
      <c r="BA71" s="1188"/>
      <c r="BB71" s="1188"/>
      <c r="BC71" s="1188"/>
      <c r="BD71" s="1188"/>
      <c r="BE71" s="1188"/>
      <c r="BF71" s="1188"/>
      <c r="BG71" s="1188"/>
      <c r="BH71" s="1188"/>
      <c r="BI71" s="1188"/>
      <c r="BJ71" s="1188"/>
      <c r="BK71" s="1188"/>
      <c r="BL71" s="1188"/>
      <c r="BM71" s="1188"/>
      <c r="BN71" s="1188"/>
      <c r="BO71" s="1188"/>
      <c r="BP71" s="1188"/>
      <c r="BQ71" s="1188"/>
      <c r="BR71" s="1188"/>
      <c r="BS71" s="1188"/>
      <c r="BT71" s="1189"/>
      <c r="BU71" s="1189"/>
      <c r="BV71" s="1189"/>
      <c r="BW71" s="1189"/>
      <c r="BX71" s="1189"/>
      <c r="BY71" s="1189"/>
      <c r="BZ71" s="1189"/>
      <c r="CA71" s="1189"/>
      <c r="CB71" s="1189"/>
      <c r="CC71" s="1189"/>
      <c r="CD71" s="1189"/>
      <c r="CE71" s="1189"/>
      <c r="CF71" s="1189"/>
      <c r="CG71" s="1189"/>
      <c r="CH71" s="1189"/>
      <c r="CI71" s="1189"/>
      <c r="CJ71" s="1189"/>
      <c r="CK71" s="1189"/>
      <c r="CL71" s="1189"/>
      <c r="CM71" s="1189"/>
      <c r="CN71" s="1189"/>
      <c r="CO71" s="1189"/>
      <c r="CP71" s="1189"/>
      <c r="CQ71" s="1189"/>
      <c r="CR71" s="1189"/>
      <c r="CS71" s="1189"/>
      <c r="CT71" s="1189"/>
      <c r="CU71" s="1189"/>
      <c r="CV71" s="1189"/>
      <c r="CW71" s="1189"/>
      <c r="CX71" s="1189"/>
      <c r="CY71" s="1189"/>
      <c r="CZ71" s="1189"/>
      <c r="DA71" s="1189"/>
      <c r="DB71" s="1189"/>
      <c r="DC71" s="1189"/>
      <c r="DD71" s="1189"/>
      <c r="DE71" s="1189"/>
      <c r="DF71" s="1189"/>
      <c r="DG71" s="1189"/>
      <c r="DH71" s="1189"/>
      <c r="DI71" s="1189"/>
      <c r="DJ71" s="1189"/>
      <c r="DK71" s="1189"/>
      <c r="DL71" s="1189"/>
      <c r="DM71" s="1189"/>
      <c r="DN71" s="1189"/>
      <c r="DO71" s="1189"/>
      <c r="DP71" s="1189"/>
      <c r="DQ71" s="1189"/>
      <c r="DR71" s="1189"/>
      <c r="DS71" s="1189"/>
      <c r="DT71" s="1189"/>
      <c r="DU71" s="1189"/>
      <c r="DV71" s="1189"/>
      <c r="DW71" s="1189"/>
      <c r="DX71" s="1189"/>
      <c r="FX71" s="1186"/>
      <c r="FY71" s="1186"/>
      <c r="FZ71" s="1186"/>
      <c r="GA71" s="1186"/>
      <c r="GB71" s="1186"/>
      <c r="GC71" s="1187">
        <v>12</v>
      </c>
    </row>
    <row customHeight="1" ht="12.75">
      <c r="S72" s="1062"/>
      <c r="T72" s="1062"/>
      <c r="U72" s="1062"/>
      <c r="V72" s="1062"/>
      <c r="W72" s="1062"/>
      <c r="X72" s="1062"/>
      <c r="Y72" s="1062"/>
      <c r="Z72" s="1062"/>
      <c r="AA72" s="1062"/>
      <c r="AB72" s="1062"/>
      <c r="FX72" s="1062"/>
      <c r="FY72" s="1062"/>
      <c r="FZ72" s="1062"/>
      <c r="GA72" s="1062"/>
      <c r="GB72" s="1062"/>
      <c r="GC72" s="1050">
        <v>12</v>
      </c>
    </row>
    <row customHeight="1" ht="12" hidden="1">
      <c r="A73" s="1050" t="s">
        <v>82</v>
      </c>
      <c r="B73" s="1060">
        <v>0</v>
      </c>
      <c r="C73" s="1050">
        <v>0</v>
      </c>
      <c r="D73" s="1050">
        <v>0</v>
      </c>
      <c r="E73" s="1050">
        <v>3</v>
      </c>
      <c r="F73" s="1050">
        <v>6</v>
      </c>
      <c r="G73" s="1050">
        <v>18</v>
      </c>
      <c r="H73" s="1050">
        <v>27</v>
      </c>
      <c r="I73" s="1050">
        <v>18</v>
      </c>
      <c r="J73" s="1050">
        <v>0</v>
      </c>
      <c r="K73" s="1050">
        <v>0</v>
      </c>
      <c r="L73" s="1050">
        <v>0</v>
      </c>
      <c r="M73" s="1050">
        <v>0</v>
      </c>
      <c r="N73" s="1050">
        <v>0</v>
      </c>
      <c r="O73" s="1050">
        <v>0</v>
      </c>
      <c r="P73" s="1050">
        <v>0</v>
      </c>
      <c r="Q73" s="1050">
        <v>0</v>
      </c>
      <c r="R73" s="1050">
        <v>0</v>
      </c>
      <c r="S73" s="1050">
        <v>0</v>
      </c>
      <c r="T73" s="1050">
        <v>0</v>
      </c>
      <c r="U73" s="1050">
        <v>0</v>
      </c>
      <c r="V73" s="1050">
        <v>0</v>
      </c>
      <c r="W73" s="1050">
        <v>0</v>
      </c>
      <c r="X73" s="1050">
        <v>0</v>
      </c>
      <c r="Y73" s="1050">
        <v>0</v>
      </c>
      <c r="Z73" s="1050">
        <v>0</v>
      </c>
      <c r="AA73" s="1050">
        <v>0</v>
      </c>
      <c r="AB73" s="1050">
        <v>0</v>
      </c>
      <c r="AC73" s="1050">
        <v>0</v>
      </c>
      <c r="AD73" s="1050">
        <v>0</v>
      </c>
      <c r="AE73" s="1050">
        <v>0</v>
      </c>
      <c r="AF73" s="1050">
        <v>0</v>
      </c>
      <c r="AG73" s="1050">
        <v>0</v>
      </c>
      <c r="AH73" s="1050">
        <v>0</v>
      </c>
      <c r="AI73" s="1050">
        <v>0</v>
      </c>
      <c r="AJ73" s="1050">
        <v>0</v>
      </c>
      <c r="AK73" s="1050">
        <v>0</v>
      </c>
      <c r="AL73" s="1050">
        <v>0</v>
      </c>
      <c r="AM73" s="1050">
        <v>0</v>
      </c>
      <c r="AN73" s="1050">
        <v>0</v>
      </c>
      <c r="AO73" s="1050">
        <v>0</v>
      </c>
      <c r="AP73" s="1050">
        <v>0</v>
      </c>
      <c r="AQ73" s="1050">
        <v>0</v>
      </c>
      <c r="AR73" s="1050">
        <v>0</v>
      </c>
      <c r="AS73" s="1050">
        <v>0</v>
      </c>
      <c r="AT73" s="1050">
        <v>0</v>
      </c>
      <c r="AU73" s="1050">
        <v>0</v>
      </c>
      <c r="AV73" s="1050">
        <v>0</v>
      </c>
      <c r="AW73" s="1050">
        <v>0</v>
      </c>
      <c r="AX73" s="1050">
        <v>0</v>
      </c>
      <c r="AY73" s="1050">
        <v>0</v>
      </c>
      <c r="AZ73" s="1050">
        <v>0</v>
      </c>
      <c r="BA73" s="1050">
        <v>0</v>
      </c>
      <c r="BB73" s="1050">
        <v>0</v>
      </c>
      <c r="BC73" s="1050">
        <v>0</v>
      </c>
      <c r="BD73" s="1050">
        <v>0</v>
      </c>
      <c r="BE73" s="1050">
        <v>0</v>
      </c>
      <c r="BF73" s="1050">
        <v>0</v>
      </c>
      <c r="BG73" s="1050">
        <v>0</v>
      </c>
      <c r="BH73" s="1050">
        <v>0</v>
      </c>
      <c r="BI73" s="1050">
        <v>0</v>
      </c>
      <c r="BJ73" s="1050">
        <v>0</v>
      </c>
      <c r="BK73" s="1050">
        <v>0</v>
      </c>
      <c r="BL73" s="1050">
        <v>0</v>
      </c>
      <c r="BM73" s="1050">
        <v>0</v>
      </c>
      <c r="BN73" s="1050">
        <v>0</v>
      </c>
      <c r="BO73" s="1050">
        <v>0</v>
      </c>
      <c r="BP73" s="1050">
        <v>0</v>
      </c>
      <c r="BQ73" s="1050">
        <v>0</v>
      </c>
      <c r="BR73" s="1050">
        <v>0</v>
      </c>
      <c r="BS73" s="1050">
        <v>0</v>
      </c>
      <c r="BT73" s="1050">
        <v>0</v>
      </c>
      <c r="BU73" s="1050">
        <v>0</v>
      </c>
      <c r="BV73" s="1050">
        <v>0</v>
      </c>
      <c r="BW73" s="1050">
        <v>0</v>
      </c>
      <c r="BX73" s="1050">
        <v>0</v>
      </c>
      <c r="BY73" s="1050">
        <v>0</v>
      </c>
      <c r="BZ73" s="1050">
        <v>0</v>
      </c>
      <c r="CA73" s="1050">
        <v>0</v>
      </c>
      <c r="CB73" s="1050">
        <v>0</v>
      </c>
      <c r="CC73" s="1050">
        <v>0</v>
      </c>
      <c r="CD73" s="1050">
        <v>0</v>
      </c>
      <c r="CE73" s="1050">
        <v>0</v>
      </c>
      <c r="CF73" s="1050">
        <v>0</v>
      </c>
      <c r="CG73" s="1050">
        <v>0</v>
      </c>
      <c r="CH73" s="1050">
        <v>0</v>
      </c>
      <c r="CI73" s="1050">
        <v>0</v>
      </c>
      <c r="CJ73" s="1050">
        <v>0</v>
      </c>
      <c r="CK73" s="1050">
        <v>0</v>
      </c>
      <c r="CL73" s="1050">
        <v>0</v>
      </c>
      <c r="CM73" s="1050">
        <v>0</v>
      </c>
      <c r="CN73" s="1050">
        <v>0</v>
      </c>
      <c r="CO73" s="1050">
        <v>0</v>
      </c>
      <c r="CP73" s="1050">
        <v>0</v>
      </c>
      <c r="CQ73" s="1050">
        <v>0</v>
      </c>
      <c r="CR73" s="1050">
        <v>0</v>
      </c>
      <c r="CS73" s="1050">
        <v>0</v>
      </c>
      <c r="CT73" s="1050">
        <v>0</v>
      </c>
      <c r="CU73" s="1050">
        <v>0</v>
      </c>
      <c r="CV73" s="1050">
        <v>0</v>
      </c>
      <c r="CW73" s="1050">
        <v>0</v>
      </c>
      <c r="CX73" s="1050">
        <v>0</v>
      </c>
      <c r="CY73" s="1050">
        <v>0</v>
      </c>
      <c r="CZ73" s="1050">
        <v>0</v>
      </c>
      <c r="DA73" s="1050">
        <v>0</v>
      </c>
      <c r="DB73" s="1050">
        <v>0</v>
      </c>
      <c r="DC73" s="1050">
        <v>0</v>
      </c>
      <c r="DD73" s="1050">
        <v>0</v>
      </c>
      <c r="DE73" s="1050">
        <v>0</v>
      </c>
      <c r="DF73" s="1050">
        <v>0</v>
      </c>
      <c r="DG73" s="1050">
        <v>0</v>
      </c>
      <c r="DH73" s="1050">
        <v>0</v>
      </c>
      <c r="DI73" s="1050">
        <v>0</v>
      </c>
      <c r="DJ73" s="1050">
        <v>0</v>
      </c>
      <c r="DK73" s="1050">
        <v>0</v>
      </c>
      <c r="DL73" s="1050">
        <v>0</v>
      </c>
      <c r="DM73" s="1050">
        <v>0</v>
      </c>
      <c r="DN73" s="1050">
        <v>0</v>
      </c>
      <c r="DO73" s="1050">
        <v>0</v>
      </c>
      <c r="DP73" s="1050">
        <v>0</v>
      </c>
      <c r="DQ73" s="1050">
        <v>0</v>
      </c>
      <c r="DR73" s="1050">
        <v>0</v>
      </c>
      <c r="DS73" s="1050">
        <v>0</v>
      </c>
      <c r="DT73" s="1050">
        <v>0</v>
      </c>
      <c r="DU73" s="1050">
        <v>0</v>
      </c>
      <c r="DV73" s="1050">
        <v>0</v>
      </c>
      <c r="DW73" s="1050">
        <v>0</v>
      </c>
      <c r="DX73" s="1050">
        <v>0</v>
      </c>
      <c r="DY73" s="1050">
        <v>0</v>
      </c>
      <c r="DZ73" s="1050">
        <v>0</v>
      </c>
      <c r="EA73" s="1050">
        <v>0</v>
      </c>
      <c r="EB73" s="1050">
        <v>0</v>
      </c>
      <c r="EC73" s="1050">
        <v>0</v>
      </c>
      <c r="ED73" s="1050">
        <v>0</v>
      </c>
      <c r="EE73" s="1050">
        <v>0</v>
      </c>
      <c r="EF73" s="1050">
        <v>0</v>
      </c>
      <c r="EG73" s="1050">
        <v>0</v>
      </c>
      <c r="EH73" s="1050">
        <v>0</v>
      </c>
      <c r="EI73" s="1050">
        <v>0</v>
      </c>
      <c r="EJ73" s="1050">
        <v>0</v>
      </c>
      <c r="EK73" s="1050">
        <v>0</v>
      </c>
      <c r="EL73" s="1050">
        <v>0</v>
      </c>
      <c r="EM73" s="1050">
        <v>0</v>
      </c>
      <c r="EN73" s="1050">
        <v>0</v>
      </c>
      <c r="EO73" s="1050">
        <v>0</v>
      </c>
      <c r="EP73" s="1050">
        <v>0</v>
      </c>
      <c r="EQ73" s="1050">
        <v>0</v>
      </c>
      <c r="ER73" s="1050">
        <v>0</v>
      </c>
      <c r="ES73" s="1050">
        <v>0</v>
      </c>
      <c r="ET73" s="1050">
        <v>0</v>
      </c>
      <c r="EU73" s="1050">
        <v>0</v>
      </c>
      <c r="EV73" s="1050">
        <v>0</v>
      </c>
      <c r="EW73" s="1050">
        <v>0</v>
      </c>
      <c r="EX73" s="1050">
        <v>0</v>
      </c>
      <c r="EY73" s="1050">
        <v>0</v>
      </c>
      <c r="EZ73" s="1050">
        <v>0</v>
      </c>
      <c r="FA73" s="1050">
        <v>0</v>
      </c>
      <c r="FB73" s="1050">
        <v>0</v>
      </c>
      <c r="FC73" s="1050">
        <v>0</v>
      </c>
      <c r="FD73" s="1050">
        <v>0</v>
      </c>
      <c r="FE73" s="1050">
        <v>0</v>
      </c>
      <c r="FF73" s="1050">
        <v>0</v>
      </c>
      <c r="FG73" s="1050">
        <v>0</v>
      </c>
      <c r="FH73" s="1050">
        <v>0</v>
      </c>
      <c r="FI73" s="1050">
        <v>0</v>
      </c>
      <c r="FJ73" s="1050">
        <v>0</v>
      </c>
      <c r="FK73" s="1050">
        <v>0</v>
      </c>
      <c r="FL73" s="1050">
        <v>0</v>
      </c>
      <c r="FM73" s="1050">
        <v>0</v>
      </c>
      <c r="FN73" s="1050">
        <v>0</v>
      </c>
      <c r="FO73" s="1050">
        <v>0</v>
      </c>
      <c r="FP73" s="1050">
        <v>0</v>
      </c>
      <c r="FQ73" s="1050">
        <v>0</v>
      </c>
      <c r="FR73" s="1050">
        <v>0</v>
      </c>
      <c r="FS73" s="1050">
        <v>0</v>
      </c>
      <c r="FT73" s="1050">
        <v>0</v>
      </c>
      <c r="FU73" s="1050">
        <v>0</v>
      </c>
      <c r="FV73" s="1050">
        <v>0</v>
      </c>
      <c r="FW73" s="1050">
        <v>0</v>
      </c>
      <c r="FX73" s="1050">
        <v>8</v>
      </c>
      <c r="FY73" s="1050">
        <v>8</v>
      </c>
      <c r="FZ73" s="1050">
        <v>8</v>
      </c>
      <c r="GA73" s="1050">
        <v>8</v>
      </c>
      <c r="GB73" s="1050">
        <v>8</v>
      </c>
      <c r="GC73" s="105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737">
    <dataValidation type="decimal" allowBlank="1" showErrorMessage="1" errorTitle="Ошибка" error="Допускается ввод только действительных чисел!" sqref="DJ61">
      <formula1>-9.99999999999999E+23</formula1>
      <formula2>9.99999999999999E+23</formula2>
    </dataValidation>
    <dataValidation type="decimal" allowBlank="1" showErrorMessage="1" errorTitle="Ошибка" error="Допускается ввод только действительных чисел!" sqref="DI61">
      <formula1>-9.99999999999999E+23</formula1>
      <formula2>9.99999999999999E+23</formula2>
    </dataValidation>
    <dataValidation type="decimal" allowBlank="1" showErrorMessage="1" errorTitle="Ошибка" error="Допускается ввод только действительных чисел!" sqref="DH61">
      <formula1>-9.99999999999999E+23</formula1>
      <formula2>9.99999999999999E+23</formula2>
    </dataValidation>
    <dataValidation type="decimal" allowBlank="1" showErrorMessage="1" errorTitle="Ошибка" error="Допускается ввод только действительных чисел!" sqref="DG61">
      <formula1>-9.99999999999999E+23</formula1>
      <formula2>9.99999999999999E+23</formula2>
    </dataValidation>
    <dataValidation type="decimal" allowBlank="1" showErrorMessage="1" errorTitle="Ошибка" error="Допускается ввод только действительных чисел!" sqref="DF61">
      <formula1>-9.99999999999999E+23</formula1>
      <formula2>9.99999999999999E+23</formula2>
    </dataValidation>
    <dataValidation type="decimal" allowBlank="1" showErrorMessage="1" errorTitle="Ошибка" error="Допускается ввод только действительных чисел!" sqref="DE61">
      <formula1>-9.99999999999999E+23</formula1>
      <formula2>9.99999999999999E+23</formula2>
    </dataValidation>
    <dataValidation type="decimal" allowBlank="1" showErrorMessage="1" errorTitle="Ошибка" error="Допускается ввод только действительных чисел!" sqref="DD61">
      <formula1>-9.99999999999999E+23</formula1>
      <formula2>9.99999999999999E+23</formula2>
    </dataValidation>
    <dataValidation type="decimal" allowBlank="1" showErrorMessage="1" errorTitle="Ошибка" error="Допускается ввод только действительных чисел!" sqref="DC61">
      <formula1>-9.99999999999999E+23</formula1>
      <formula2>9.99999999999999E+23</formula2>
    </dataValidation>
    <dataValidation type="decimal" allowBlank="1" showErrorMessage="1" errorTitle="Ошибка" error="Допускается ввод только действительных чисел!" sqref="DB61">
      <formula1>-9.99999999999999E+23</formula1>
      <formula2>9.99999999999999E+23</formula2>
    </dataValidation>
    <dataValidation type="decimal" allowBlank="1" showErrorMessage="1" errorTitle="Ошибка" error="Допускается ввод только действительных чисел!" sqref="DA61">
      <formula1>-9.99999999999999E+23</formula1>
      <formula2>9.99999999999999E+23</formula2>
    </dataValidation>
    <dataValidation type="decimal" allowBlank="1" showErrorMessage="1" errorTitle="Ошибка" error="Допускается ввод только действительных чисел!" sqref="CZ61">
      <formula1>-9.99999999999999E+23</formula1>
      <formula2>9.99999999999999E+23</formula2>
    </dataValidation>
    <dataValidation type="decimal" allowBlank="1" showErrorMessage="1" errorTitle="Ошибка" error="Допускается ввод только действительных чисел!" sqref="CY61">
      <formula1>-9.99999999999999E+23</formula1>
      <formula2>9.99999999999999E+23</formula2>
    </dataValidation>
    <dataValidation type="decimal" allowBlank="1" showErrorMessage="1" errorTitle="Ошибка" error="Допускается ввод только действительных чисел!" sqref="CK61">
      <formula1>-9.99999999999999E+23</formula1>
      <formula2>9.99999999999999E+23</formula2>
    </dataValidation>
    <dataValidation type="decimal" allowBlank="1" showErrorMessage="1" errorTitle="Ошибка" error="Допускается ввод только действительных чисел!" sqref="CJ61">
      <formula1>-9.99999999999999E+23</formula1>
      <formula2>9.99999999999999E+23</formula2>
    </dataValidation>
    <dataValidation type="decimal" allowBlank="1" showErrorMessage="1" errorTitle="Ошибка" error="Допускается ввод только действительных чисел!" sqref="CI61">
      <formula1>-9.99999999999999E+23</formula1>
      <formula2>9.99999999999999E+23</formula2>
    </dataValidation>
    <dataValidation type="decimal" allowBlank="1" showErrorMessage="1" errorTitle="Ошибка" error="Допускается ввод только действительных чисел!" sqref="CH61">
      <formula1>-9.99999999999999E+23</formula1>
      <formula2>9.99999999999999E+23</formula2>
    </dataValidation>
    <dataValidation type="decimal" allowBlank="1" showErrorMessage="1" errorTitle="Ошибка" error="Допускается ввод только действительных чисел!" sqref="CG61">
      <formula1>-9.99999999999999E+23</formula1>
      <formula2>9.99999999999999E+23</formula2>
    </dataValidation>
    <dataValidation type="decimal" allowBlank="1" showErrorMessage="1" errorTitle="Ошибка" error="Допускается ввод только действительных чисел!" sqref="CF61">
      <formula1>-9.99999999999999E+23</formula1>
      <formula2>9.99999999999999E+23</formula2>
    </dataValidation>
    <dataValidation type="decimal" allowBlank="1" showErrorMessage="1" errorTitle="Ошибка" error="Допускается ввод только действительных чисел!" sqref="CE61">
      <formula1>-9.99999999999999E+23</formula1>
      <formula2>9.99999999999999E+23</formula2>
    </dataValidation>
    <dataValidation type="decimal" allowBlank="1" showErrorMessage="1" errorTitle="Ошибка" error="Допускается ввод только действительных чисел!" sqref="CD61">
      <formula1>-9.99999999999999E+23</formula1>
      <formula2>9.99999999999999E+23</formula2>
    </dataValidation>
    <dataValidation type="decimal" allowBlank="1" showErrorMessage="1" errorTitle="Ошибка" error="Допускается ввод только действительных чисел!" sqref="CC61">
      <formula1>-9.99999999999999E+23</formula1>
      <formula2>9.99999999999999E+23</formula2>
    </dataValidation>
    <dataValidation type="decimal" allowBlank="1" showErrorMessage="1" errorTitle="Ошибка" error="Допускается ввод только действительных чисел!" sqref="CB61">
      <formula1>-9.99999999999999E+23</formula1>
      <formula2>9.99999999999999E+23</formula2>
    </dataValidation>
    <dataValidation type="decimal" allowBlank="1" showErrorMessage="1" errorTitle="Ошибка" error="Допускается ввод только действительных чисел!" sqref="CA61">
      <formula1>-9.99999999999999E+23</formula1>
      <formula2>9.99999999999999E+23</formula2>
    </dataValidation>
    <dataValidation type="decimal" allowBlank="1" showErrorMessage="1" errorTitle="Ошибка" error="Допускается ввод только действительных чисел!" sqref="BZ61">
      <formula1>-9.99999999999999E+23</formula1>
      <formula2>9.99999999999999E+23</formula2>
    </dataValidation>
    <dataValidation type="decimal" allowBlank="1" showErrorMessage="1" errorTitle="Ошибка" error="Допускается ввод только действительных чисел!" sqref="BY61">
      <formula1>-9.99999999999999E+23</formula1>
      <formula2>9.99999999999999E+23</formula2>
    </dataValidation>
    <dataValidation type="decimal" allowBlank="1" showErrorMessage="1" errorTitle="Ошибка" error="Допускается ввод только действительных чисел!" sqref="BX61">
      <formula1>-9.99999999999999E+23</formula1>
      <formula2>9.99999999999999E+23</formula2>
    </dataValidation>
    <dataValidation type="decimal" allowBlank="1" showErrorMessage="1" errorTitle="Ошибка" error="Допускается ввод только действительных чисел!" sqref="BW61">
      <formula1>-9.99999999999999E+23</formula1>
      <formula2>9.99999999999999E+23</formula2>
    </dataValidation>
    <dataValidation type="decimal" allowBlank="1" showErrorMessage="1" errorTitle="Ошибка" error="Допускается ввод только действительных чисел!" sqref="BV61">
      <formula1>-9.99999999999999E+23</formula1>
      <formula2>9.99999999999999E+23</formula2>
    </dataValidation>
    <dataValidation type="decimal" allowBlank="1" showErrorMessage="1" errorTitle="Ошибка" error="Допускается ввод только действительных чисел!" sqref="BU61">
      <formula1>-9.99999999999999E+23</formula1>
      <formula2>9.99999999999999E+23</formula2>
    </dataValidation>
    <dataValidation type="decimal" allowBlank="1" showErrorMessage="1" errorTitle="Ошибка" error="Допускается ввод только действительных чисел!" sqref="BT61">
      <formula1>-9.99999999999999E+23</formula1>
      <formula2>9.99999999999999E+23</formula2>
    </dataValidation>
    <dataValidation type="decimal" allowBlank="1" showErrorMessage="1" errorTitle="Ошибка" error="Допускается ввод только действительных чисел!" sqref="AB61">
      <formula1>-9.99999999999999E+23</formula1>
      <formula2>9.99999999999999E+23</formula2>
    </dataValidation>
    <dataValidation type="decimal" allowBlank="1" showErrorMessage="1" errorTitle="Ошибка" error="Допускается ввод только действительных чисел!" sqref="AA61">
      <formula1>-9.99999999999999E+23</formula1>
      <formula2>9.99999999999999E+23</formula2>
    </dataValidation>
    <dataValidation type="decimal" allowBlank="1" showErrorMessage="1" errorTitle="Ошибка" error="Допускается ввод только действительных чисел!" sqref="Z61">
      <formula1>-9.99999999999999E+23</formula1>
      <formula2>9.99999999999999E+23</formula2>
    </dataValidation>
    <dataValidation type="decimal" allowBlank="1" showErrorMessage="1" errorTitle="Ошибка" error="Допускается ввод только действительных чисел!" sqref="Y61">
      <formula1>-9.99999999999999E+23</formula1>
      <formula2>9.99999999999999E+23</formula2>
    </dataValidation>
    <dataValidation type="decimal" allowBlank="1" showErrorMessage="1" errorTitle="Ошибка" error="Допускается ввод только действительных чисел!" sqref="X61">
      <formula1>-9.99999999999999E+23</formula1>
      <formula2>9.99999999999999E+23</formula2>
    </dataValidation>
    <dataValidation type="decimal" allowBlank="1" showErrorMessage="1" errorTitle="Ошибка" error="Допускается ввод только действительных чисел!" sqref="W61">
      <formula1>-9.99999999999999E+23</formula1>
      <formula2>9.99999999999999E+23</formula2>
    </dataValidation>
    <dataValidation type="decimal" allowBlank="1" showErrorMessage="1" errorTitle="Ошибка" error="Допускается ввод только действительных чисел!" sqref="V61">
      <formula1>-9.99999999999999E+23</formula1>
      <formula2>9.99999999999999E+23</formula2>
    </dataValidation>
    <dataValidation type="decimal" allowBlank="1" showErrorMessage="1" errorTitle="Ошибка" error="Допускается ввод только действительных чисел!" sqref="U61">
      <formula1>-9.99999999999999E+23</formula1>
      <formula2>9.99999999999999E+23</formula2>
    </dataValidation>
    <dataValidation type="decimal" allowBlank="1" showErrorMessage="1" errorTitle="Ошибка" error="Допускается ввод только действительных чисел!" sqref="T61">
      <formula1>-9.99999999999999E+23</formula1>
      <formula2>9.99999999999999E+23</formula2>
    </dataValidation>
    <dataValidation type="decimal" allowBlank="1" showErrorMessage="1" errorTitle="Ошибка" error="Допускается ввод только действительных чисел!" sqref="S61">
      <formula1>-9.99999999999999E+23</formula1>
      <formula2>9.99999999999999E+23</formula2>
    </dataValidation>
    <dataValidation type="decimal" allowBlank="1" showErrorMessage="1" errorTitle="Ошибка" error="Допускается ввод только действительных чисел!" sqref="R61">
      <formula1>-9.99999999999999E+23</formula1>
      <formula2>9.99999999999999E+23</formula2>
    </dataValidation>
    <dataValidation type="decimal" allowBlank="1" showErrorMessage="1" errorTitle="Ошибка" error="Допускается ввод только действительных чисел!" sqref="Q61">
      <formula1>-9.99999999999999E+23</formula1>
      <formula2>9.99999999999999E+23</formula2>
    </dataValidation>
    <dataValidation type="decimal" allowBlank="1" showErrorMessage="1" errorTitle="Ошибка" error="Допускается ввод только действительных чисел!" sqref="P61">
      <formula1>-9.99999999999999E+23</formula1>
      <formula2>9.99999999999999E+23</formula2>
    </dataValidation>
    <dataValidation type="decimal" allowBlank="1" showErrorMessage="1" errorTitle="Ошибка" error="Допускается ввод только действительных чисел!" sqref="O6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61">
      <formula1>900</formula1>
    </dataValidation>
    <dataValidation type="list" allowBlank="1" showInputMessage="1" showErrorMessage="1" errorTitle="Ошибка" error="Выберите значение из списка" prompt="Выберите значение из списка" sqref="H61">
      <formula1>QRE_METHOD_LIST</formula1>
    </dataValidation>
    <dataValidation type="decimal" allowBlank="1" showErrorMessage="1" errorTitle="Ошибка" error="Допускается ввод только действительных чисел!" sqref="DJ58">
      <formula1>-9.99999999999999E+23</formula1>
      <formula2>9.99999999999999E+23</formula2>
    </dataValidation>
    <dataValidation type="decimal" allowBlank="1" showErrorMessage="1" errorTitle="Ошибка" error="Допускается ввод только действительных чисел!" sqref="DI58">
      <formula1>-9.99999999999999E+23</formula1>
      <formula2>9.99999999999999E+23</formula2>
    </dataValidation>
    <dataValidation type="decimal" allowBlank="1" showErrorMessage="1" errorTitle="Ошибка" error="Допускается ввод только действительных чисел!" sqref="DH58">
      <formula1>-9.99999999999999E+23</formula1>
      <formula2>9.99999999999999E+23</formula2>
    </dataValidation>
    <dataValidation type="decimal" allowBlank="1" showErrorMessage="1" errorTitle="Ошибка" error="Допускается ввод только действительных чисел!" sqref="DG58">
      <formula1>-9.99999999999999E+23</formula1>
      <formula2>9.99999999999999E+23</formula2>
    </dataValidation>
    <dataValidation type="decimal" allowBlank="1" showErrorMessage="1" errorTitle="Ошибка" error="Допускается ввод только действительных чисел!" sqref="DF58">
      <formula1>-9.99999999999999E+23</formula1>
      <formula2>9.99999999999999E+23</formula2>
    </dataValidation>
    <dataValidation type="decimal" allowBlank="1" showErrorMessage="1" errorTitle="Ошибка" error="Допускается ввод только действительных чисел!" sqref="DE58">
      <formula1>-9.99999999999999E+23</formula1>
      <formula2>9.99999999999999E+23</formula2>
    </dataValidation>
    <dataValidation type="decimal" allowBlank="1" showErrorMessage="1" errorTitle="Ошибка" error="Допускается ввод только действительных чисел!" sqref="DD58">
      <formula1>-9.99999999999999E+23</formula1>
      <formula2>9.99999999999999E+23</formula2>
    </dataValidation>
    <dataValidation type="decimal" allowBlank="1" showErrorMessage="1" errorTitle="Ошибка" error="Допускается ввод только действительных чисел!" sqref="DC58">
      <formula1>-9.99999999999999E+23</formula1>
      <formula2>9.99999999999999E+23</formula2>
    </dataValidation>
    <dataValidation type="decimal" allowBlank="1" showErrorMessage="1" errorTitle="Ошибка" error="Допускается ввод только действительных чисел!" sqref="DB58">
      <formula1>-9.99999999999999E+23</formula1>
      <formula2>9.99999999999999E+23</formula2>
    </dataValidation>
    <dataValidation type="decimal" allowBlank="1" showErrorMessage="1" errorTitle="Ошибка" error="Допускается ввод только действительных чисел!" sqref="DA58">
      <formula1>-9.99999999999999E+23</formula1>
      <formula2>9.99999999999999E+23</formula2>
    </dataValidation>
    <dataValidation type="decimal" allowBlank="1" showErrorMessage="1" errorTitle="Ошибка" error="Допускается ввод только действительных чисел!" sqref="CZ58">
      <formula1>-9.99999999999999E+23</formula1>
      <formula2>9.99999999999999E+23</formula2>
    </dataValidation>
    <dataValidation type="decimal" allowBlank="1" showErrorMessage="1" errorTitle="Ошибка" error="Допускается ввод только действительных чисел!" sqref="CY58">
      <formula1>-9.99999999999999E+23</formula1>
      <formula2>9.99999999999999E+23</formula2>
    </dataValidation>
    <dataValidation type="decimal" allowBlank="1" showErrorMessage="1" errorTitle="Ошибка" error="Допускается ввод только действительных чисел!" sqref="CK58">
      <formula1>-9.99999999999999E+23</formula1>
      <formula2>9.99999999999999E+23</formula2>
    </dataValidation>
    <dataValidation type="decimal" allowBlank="1" showErrorMessage="1" errorTitle="Ошибка" error="Допускается ввод только действительных чисел!" sqref="CJ58">
      <formula1>-9.99999999999999E+23</formula1>
      <formula2>9.99999999999999E+23</formula2>
    </dataValidation>
    <dataValidation type="decimal" allowBlank="1" showErrorMessage="1" errorTitle="Ошибка" error="Допускается ввод только действительных чисел!" sqref="CI58">
      <formula1>-9.99999999999999E+23</formula1>
      <formula2>9.99999999999999E+23</formula2>
    </dataValidation>
    <dataValidation type="decimal" allowBlank="1" showErrorMessage="1" errorTitle="Ошибка" error="Допускается ввод только действительных чисел!" sqref="CH58">
      <formula1>-9.99999999999999E+23</formula1>
      <formula2>9.99999999999999E+23</formula2>
    </dataValidation>
    <dataValidation type="decimal" allowBlank="1" showErrorMessage="1" errorTitle="Ошибка" error="Допускается ввод только действительных чисел!" sqref="CG58">
      <formula1>-9.99999999999999E+23</formula1>
      <formula2>9.99999999999999E+23</formula2>
    </dataValidation>
    <dataValidation type="decimal" allowBlank="1" showErrorMessage="1" errorTitle="Ошибка" error="Допускается ввод только действительных чисел!" sqref="CF58">
      <formula1>-9.99999999999999E+23</formula1>
      <formula2>9.99999999999999E+23</formula2>
    </dataValidation>
    <dataValidation type="decimal" allowBlank="1" showErrorMessage="1" errorTitle="Ошибка" error="Допускается ввод только действительных чисел!" sqref="CE58">
      <formula1>-9.99999999999999E+23</formula1>
      <formula2>9.99999999999999E+23</formula2>
    </dataValidation>
    <dataValidation type="decimal" allowBlank="1" showErrorMessage="1" errorTitle="Ошибка" error="Допускается ввод только действительных чисел!" sqref="CD58">
      <formula1>-9.99999999999999E+23</formula1>
      <formula2>9.99999999999999E+23</formula2>
    </dataValidation>
    <dataValidation type="decimal" allowBlank="1" showErrorMessage="1" errorTitle="Ошибка" error="Допускается ввод только действительных чисел!" sqref="CC58">
      <formula1>-9.99999999999999E+23</formula1>
      <formula2>9.99999999999999E+23</formula2>
    </dataValidation>
    <dataValidation type="decimal" allowBlank="1" showErrorMessage="1" errorTitle="Ошибка" error="Допускается ввод только действительных чисел!" sqref="CB58">
      <formula1>-9.99999999999999E+23</formula1>
      <formula2>9.99999999999999E+23</formula2>
    </dataValidation>
    <dataValidation type="decimal" allowBlank="1" showErrorMessage="1" errorTitle="Ошибка" error="Допускается ввод только действительных чисел!" sqref="CA58">
      <formula1>-9.99999999999999E+23</formula1>
      <formula2>9.99999999999999E+23</formula2>
    </dataValidation>
    <dataValidation type="decimal" allowBlank="1" showErrorMessage="1" errorTitle="Ошибка" error="Допускается ввод только действительных чисел!" sqref="BZ58">
      <formula1>-9.99999999999999E+23</formula1>
      <formula2>9.99999999999999E+23</formula2>
    </dataValidation>
    <dataValidation type="decimal" allowBlank="1" showErrorMessage="1" errorTitle="Ошибка" error="Допускается ввод только действительных чисел!" sqref="BY58">
      <formula1>-9.99999999999999E+23</formula1>
      <formula2>9.99999999999999E+23</formula2>
    </dataValidation>
    <dataValidation type="decimal" allowBlank="1" showErrorMessage="1" errorTitle="Ошибка" error="Допускается ввод только действительных чисел!" sqref="BX58">
      <formula1>-9.99999999999999E+23</formula1>
      <formula2>9.99999999999999E+23</formula2>
    </dataValidation>
    <dataValidation type="decimal" allowBlank="1" showErrorMessage="1" errorTitle="Ошибка" error="Допускается ввод только действительных чисел!" sqref="BW58">
      <formula1>-9.99999999999999E+23</formula1>
      <formula2>9.99999999999999E+23</formula2>
    </dataValidation>
    <dataValidation type="decimal" allowBlank="1" showErrorMessage="1" errorTitle="Ошибка" error="Допускается ввод только действительных чисел!" sqref="BV58">
      <formula1>-9.99999999999999E+23</formula1>
      <formula2>9.99999999999999E+23</formula2>
    </dataValidation>
    <dataValidation type="decimal" allowBlank="1" showErrorMessage="1" errorTitle="Ошибка" error="Допускается ввод только действительных чисел!" sqref="BU58">
      <formula1>-9.99999999999999E+23</formula1>
      <formula2>9.99999999999999E+23</formula2>
    </dataValidation>
    <dataValidation type="decimal" allowBlank="1" showErrorMessage="1" errorTitle="Ошибка" error="Допускается ввод только действительных чисел!" sqref="BT58">
      <formula1>-9.99999999999999E+23</formula1>
      <formula2>9.99999999999999E+23</formula2>
    </dataValidation>
    <dataValidation type="decimal" allowBlank="1" showErrorMessage="1" errorTitle="Ошибка" error="Допускается ввод только действительных чисел!" sqref="AB58">
      <formula1>-9.99999999999999E+23</formula1>
      <formula2>9.99999999999999E+23</formula2>
    </dataValidation>
    <dataValidation type="decimal" allowBlank="1" showErrorMessage="1" errorTitle="Ошибка" error="Допускается ввод только действительных чисел!" sqref="AA58">
      <formula1>-9.99999999999999E+23</formula1>
      <formula2>9.99999999999999E+23</formula2>
    </dataValidation>
    <dataValidation type="decimal" allowBlank="1" showErrorMessage="1" errorTitle="Ошибка" error="Допускается ввод только действительных чисел!" sqref="Z58">
      <formula1>-9.99999999999999E+23</formula1>
      <formula2>9.99999999999999E+23</formula2>
    </dataValidation>
    <dataValidation type="decimal" allowBlank="1" showErrorMessage="1" errorTitle="Ошибка" error="Допускается ввод только действительных чисел!" sqref="Y58">
      <formula1>-9.99999999999999E+23</formula1>
      <formula2>9.99999999999999E+23</formula2>
    </dataValidation>
    <dataValidation type="decimal" allowBlank="1" showErrorMessage="1" errorTitle="Ошибка" error="Допускается ввод только действительных чисел!" sqref="X58">
      <formula1>-9.99999999999999E+23</formula1>
      <formula2>9.99999999999999E+23</formula2>
    </dataValidation>
    <dataValidation type="decimal" allowBlank="1" showErrorMessage="1" errorTitle="Ошибка" error="Допускается ввод только действительных чисел!" sqref="W58">
      <formula1>-9.99999999999999E+23</formula1>
      <formula2>9.99999999999999E+23</formula2>
    </dataValidation>
    <dataValidation type="decimal" allowBlank="1" showErrorMessage="1" errorTitle="Ошибка" error="Допускается ввод только действительных чисел!" sqref="V58">
      <formula1>-9.99999999999999E+23</formula1>
      <formula2>9.99999999999999E+23</formula2>
    </dataValidation>
    <dataValidation type="decimal" allowBlank="1" showErrorMessage="1" errorTitle="Ошибка" error="Допускается ввод только действительных чисел!" sqref="U58">
      <formula1>-9.99999999999999E+23</formula1>
      <formula2>9.99999999999999E+23</formula2>
    </dataValidation>
    <dataValidation type="decimal" allowBlank="1" showErrorMessage="1" errorTitle="Ошибка" error="Допускается ввод только действительных чисел!" sqref="T58">
      <formula1>-9.99999999999999E+23</formula1>
      <formula2>9.99999999999999E+23</formula2>
    </dataValidation>
    <dataValidation type="decimal" allowBlank="1" showErrorMessage="1" errorTitle="Ошибка" error="Допускается ввод только действительных чисел!" sqref="S58">
      <formula1>-9.99999999999999E+23</formula1>
      <formula2>9.99999999999999E+23</formula2>
    </dataValidation>
    <dataValidation type="decimal" allowBlank="1" showErrorMessage="1" errorTitle="Ошибка" error="Допускается ввод только действительных чисел!" sqref="R58">
      <formula1>-9.99999999999999E+23</formula1>
      <formula2>9.99999999999999E+23</formula2>
    </dataValidation>
    <dataValidation type="decimal" allowBlank="1" showErrorMessage="1" errorTitle="Ошибка" error="Допускается ввод только действительных чисел!" sqref="Q58">
      <formula1>-9.99999999999999E+23</formula1>
      <formula2>9.99999999999999E+23</formula2>
    </dataValidation>
    <dataValidation type="decimal" allowBlank="1" showErrorMessage="1" errorTitle="Ошибка" error="Допускается ввод только действительных чисел!" sqref="P58">
      <formula1>-9.99999999999999E+23</formula1>
      <formula2>9.99999999999999E+23</formula2>
    </dataValidation>
    <dataValidation type="decimal" allowBlank="1" showErrorMessage="1" errorTitle="Ошибка" error="Допускается ввод только действительных чисел!" sqref="O5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58">
      <formula1>900</formula1>
    </dataValidation>
    <dataValidation type="list" allowBlank="1" showInputMessage="1" showErrorMessage="1" errorTitle="Ошибка" error="Выберите значение из списка" prompt="Выберите значение из списка" sqref="H58">
      <formula1>QRE_METHOD_LIST</formula1>
    </dataValidation>
    <dataValidation type="decimal" allowBlank="1" showErrorMessage="1" errorTitle="Ошибка" error="Допускается ввод только действительных чисел!" sqref="DJ55">
      <formula1>-9.99999999999999E+23</formula1>
      <formula2>9.99999999999999E+23</formula2>
    </dataValidation>
    <dataValidation type="decimal" allowBlank="1" showErrorMessage="1" errorTitle="Ошибка" error="Допускается ввод только действительных чисел!" sqref="DI55">
      <formula1>-9.99999999999999E+23</formula1>
      <formula2>9.99999999999999E+23</formula2>
    </dataValidation>
    <dataValidation type="decimal" allowBlank="1" showErrorMessage="1" errorTitle="Ошибка" error="Допускается ввод только действительных чисел!" sqref="DH55">
      <formula1>-9.99999999999999E+23</formula1>
      <formula2>9.99999999999999E+23</formula2>
    </dataValidation>
    <dataValidation type="decimal" allowBlank="1" showErrorMessage="1" errorTitle="Ошибка" error="Допускается ввод только действительных чисел!" sqref="DG55">
      <formula1>-9.99999999999999E+23</formula1>
      <formula2>9.99999999999999E+23</formula2>
    </dataValidation>
    <dataValidation type="decimal" allowBlank="1" showErrorMessage="1" errorTitle="Ошибка" error="Допускается ввод только действительных чисел!" sqref="DF55">
      <formula1>-9.99999999999999E+23</formula1>
      <formula2>9.99999999999999E+23</formula2>
    </dataValidation>
    <dataValidation type="decimal" allowBlank="1" showErrorMessage="1" errorTitle="Ошибка" error="Допускается ввод только действительных чисел!" sqref="DE55">
      <formula1>-9.99999999999999E+23</formula1>
      <formula2>9.99999999999999E+23</formula2>
    </dataValidation>
    <dataValidation type="decimal" allowBlank="1" showErrorMessage="1" errorTitle="Ошибка" error="Допускается ввод только действительных чисел!" sqref="DD55">
      <formula1>-9.99999999999999E+23</formula1>
      <formula2>9.99999999999999E+23</formula2>
    </dataValidation>
    <dataValidation type="decimal" allowBlank="1" showErrorMessage="1" errorTitle="Ошибка" error="Допускается ввод только действительных чисел!" sqref="DC55">
      <formula1>-9.99999999999999E+23</formula1>
      <formula2>9.99999999999999E+23</formula2>
    </dataValidation>
    <dataValidation type="decimal" allowBlank="1" showErrorMessage="1" errorTitle="Ошибка" error="Допускается ввод только действительных чисел!" sqref="DB55">
      <formula1>-9.99999999999999E+23</formula1>
      <formula2>9.99999999999999E+23</formula2>
    </dataValidation>
    <dataValidation type="decimal" allowBlank="1" showErrorMessage="1" errorTitle="Ошибка" error="Допускается ввод только действительных чисел!" sqref="DA55">
      <formula1>-9.99999999999999E+23</formula1>
      <formula2>9.99999999999999E+23</formula2>
    </dataValidation>
    <dataValidation type="decimal" allowBlank="1" showErrorMessage="1" errorTitle="Ошибка" error="Допускается ввод только действительных чисел!" sqref="CZ55">
      <formula1>-9.99999999999999E+23</formula1>
      <formula2>9.99999999999999E+23</formula2>
    </dataValidation>
    <dataValidation type="decimal" allowBlank="1" showErrorMessage="1" errorTitle="Ошибка" error="Допускается ввод только действительных чисел!" sqref="CY55">
      <formula1>-9.99999999999999E+23</formula1>
      <formula2>9.99999999999999E+23</formula2>
    </dataValidation>
    <dataValidation type="decimal" allowBlank="1" showErrorMessage="1" errorTitle="Ошибка" error="Допускается ввод только действительных чисел!" sqref="CK55">
      <formula1>-9.99999999999999E+23</formula1>
      <formula2>9.99999999999999E+23</formula2>
    </dataValidation>
    <dataValidation type="decimal" allowBlank="1" showErrorMessage="1" errorTitle="Ошибка" error="Допускается ввод только действительных чисел!" sqref="CJ55">
      <formula1>-9.99999999999999E+23</formula1>
      <formula2>9.99999999999999E+23</formula2>
    </dataValidation>
    <dataValidation type="decimal" allowBlank="1" showErrorMessage="1" errorTitle="Ошибка" error="Допускается ввод только действительных чисел!" sqref="CI55">
      <formula1>-9.99999999999999E+23</formula1>
      <formula2>9.99999999999999E+23</formula2>
    </dataValidation>
    <dataValidation type="decimal" allowBlank="1" showErrorMessage="1" errorTitle="Ошибка" error="Допускается ввод только действительных чисел!" sqref="CH55">
      <formula1>-9.99999999999999E+23</formula1>
      <formula2>9.99999999999999E+23</formula2>
    </dataValidation>
    <dataValidation type="decimal" allowBlank="1" showErrorMessage="1" errorTitle="Ошибка" error="Допускается ввод только действительных чисел!" sqref="CG55">
      <formula1>-9.99999999999999E+23</formula1>
      <formula2>9.99999999999999E+23</formula2>
    </dataValidation>
    <dataValidation type="decimal" allowBlank="1" showErrorMessage="1" errorTitle="Ошибка" error="Допускается ввод только действительных чисел!" sqref="CF55">
      <formula1>-9.99999999999999E+23</formula1>
      <formula2>9.99999999999999E+23</formula2>
    </dataValidation>
    <dataValidation type="decimal" allowBlank="1" showErrorMessage="1" errorTitle="Ошибка" error="Допускается ввод только действительных чисел!" sqref="CE55">
      <formula1>-9.99999999999999E+23</formula1>
      <formula2>9.99999999999999E+23</formula2>
    </dataValidation>
    <dataValidation type="decimal" allowBlank="1" showErrorMessage="1" errorTitle="Ошибка" error="Допускается ввод только действительных чисел!" sqref="CD55">
      <formula1>-9.99999999999999E+23</formula1>
      <formula2>9.99999999999999E+23</formula2>
    </dataValidation>
    <dataValidation type="decimal" allowBlank="1" showErrorMessage="1" errorTitle="Ошибка" error="Допускается ввод только действительных чисел!" sqref="CC55">
      <formula1>-9.99999999999999E+23</formula1>
      <formula2>9.99999999999999E+23</formula2>
    </dataValidation>
    <dataValidation type="decimal" allowBlank="1" showErrorMessage="1" errorTitle="Ошибка" error="Допускается ввод только действительных чисел!" sqref="CB55">
      <formula1>-9.99999999999999E+23</formula1>
      <formula2>9.99999999999999E+23</formula2>
    </dataValidation>
    <dataValidation type="decimal" allowBlank="1" showErrorMessage="1" errorTitle="Ошибка" error="Допускается ввод только действительных чисел!" sqref="CA55">
      <formula1>-9.99999999999999E+23</formula1>
      <formula2>9.99999999999999E+23</formula2>
    </dataValidation>
    <dataValidation type="decimal" allowBlank="1" showErrorMessage="1" errorTitle="Ошибка" error="Допускается ввод только действительных чисел!" sqref="BZ55">
      <formula1>-9.99999999999999E+23</formula1>
      <formula2>9.99999999999999E+23</formula2>
    </dataValidation>
    <dataValidation type="decimal" allowBlank="1" showErrorMessage="1" errorTitle="Ошибка" error="Допускается ввод только действительных чисел!" sqref="BY55">
      <formula1>-9.99999999999999E+23</formula1>
      <formula2>9.99999999999999E+23</formula2>
    </dataValidation>
    <dataValidation type="decimal" allowBlank="1" showErrorMessage="1" errorTitle="Ошибка" error="Допускается ввод только действительных чисел!" sqref="BX55">
      <formula1>-9.99999999999999E+23</formula1>
      <formula2>9.99999999999999E+23</formula2>
    </dataValidation>
    <dataValidation type="decimal" allowBlank="1" showErrorMessage="1" errorTitle="Ошибка" error="Допускается ввод только действительных чисел!" sqref="BW55">
      <formula1>-9.99999999999999E+23</formula1>
      <formula2>9.99999999999999E+23</formula2>
    </dataValidation>
    <dataValidation type="decimal" allowBlank="1" showErrorMessage="1" errorTitle="Ошибка" error="Допускается ввод только действительных чисел!" sqref="BV55">
      <formula1>-9.99999999999999E+23</formula1>
      <formula2>9.99999999999999E+23</formula2>
    </dataValidation>
    <dataValidation type="decimal" allowBlank="1" showErrorMessage="1" errorTitle="Ошибка" error="Допускается ввод только действительных чисел!" sqref="BU55">
      <formula1>-9.99999999999999E+23</formula1>
      <formula2>9.99999999999999E+23</formula2>
    </dataValidation>
    <dataValidation type="decimal" allowBlank="1" showErrorMessage="1" errorTitle="Ошибка" error="Допускается ввод только действительных чисел!" sqref="BT55">
      <formula1>-9.99999999999999E+23</formula1>
      <formula2>9.99999999999999E+23</formula2>
    </dataValidation>
    <dataValidation type="decimal" allowBlank="1" showErrorMessage="1" errorTitle="Ошибка" error="Допускается ввод только действительных чисел!" sqref="AB55">
      <formula1>-9.99999999999999E+23</formula1>
      <formula2>9.99999999999999E+23</formula2>
    </dataValidation>
    <dataValidation type="decimal" allowBlank="1" showErrorMessage="1" errorTitle="Ошибка" error="Допускается ввод только действительных чисел!" sqref="AA55">
      <formula1>-9.99999999999999E+23</formula1>
      <formula2>9.99999999999999E+23</formula2>
    </dataValidation>
    <dataValidation type="decimal" allowBlank="1" showErrorMessage="1" errorTitle="Ошибка" error="Допускается ввод только действительных чисел!" sqref="Z55">
      <formula1>-9.99999999999999E+23</formula1>
      <formula2>9.99999999999999E+23</formula2>
    </dataValidation>
    <dataValidation type="decimal" allowBlank="1" showErrorMessage="1" errorTitle="Ошибка" error="Допускается ввод только действительных чисел!" sqref="Y55">
      <formula1>-9.99999999999999E+23</formula1>
      <formula2>9.99999999999999E+23</formula2>
    </dataValidation>
    <dataValidation type="decimal" allowBlank="1" showErrorMessage="1" errorTitle="Ошибка" error="Допускается ввод только действительных чисел!" sqref="X55">
      <formula1>-9.99999999999999E+23</formula1>
      <formula2>9.99999999999999E+23</formula2>
    </dataValidation>
    <dataValidation type="decimal" allowBlank="1" showErrorMessage="1" errorTitle="Ошибка" error="Допускается ввод только действительных чисел!" sqref="W55">
      <formula1>-9.99999999999999E+23</formula1>
      <formula2>9.99999999999999E+23</formula2>
    </dataValidation>
    <dataValidation type="decimal" allowBlank="1" showErrorMessage="1" errorTitle="Ошибка" error="Допускается ввод только действительных чисел!" sqref="V55">
      <formula1>-9.99999999999999E+23</formula1>
      <formula2>9.99999999999999E+23</formula2>
    </dataValidation>
    <dataValidation type="decimal" allowBlank="1" showErrorMessage="1" errorTitle="Ошибка" error="Допускается ввод только действительных чисел!" sqref="U55">
      <formula1>-9.99999999999999E+23</formula1>
      <formula2>9.99999999999999E+23</formula2>
    </dataValidation>
    <dataValidation type="decimal" allowBlank="1" showErrorMessage="1" errorTitle="Ошибка" error="Допускается ввод только действительных чисел!" sqref="T55">
      <formula1>-9.99999999999999E+23</formula1>
      <formula2>9.99999999999999E+23</formula2>
    </dataValidation>
    <dataValidation type="decimal" allowBlank="1" showErrorMessage="1" errorTitle="Ошибка" error="Допускается ввод только действительных чисел!" sqref="S55">
      <formula1>-9.99999999999999E+23</formula1>
      <formula2>9.99999999999999E+23</formula2>
    </dataValidation>
    <dataValidation type="decimal" allowBlank="1" showErrorMessage="1" errorTitle="Ошибка" error="Допускается ввод только действительных чисел!" sqref="R55">
      <formula1>-9.99999999999999E+23</formula1>
      <formula2>9.99999999999999E+23</formula2>
    </dataValidation>
    <dataValidation type="decimal" allowBlank="1" showErrorMessage="1" errorTitle="Ошибка" error="Допускается ввод только действительных чисел!" sqref="Q55">
      <formula1>-9.99999999999999E+23</formula1>
      <formula2>9.99999999999999E+23</formula2>
    </dataValidation>
    <dataValidation type="decimal" allowBlank="1" showErrorMessage="1" errorTitle="Ошибка" error="Допускается ввод только действительных чисел!" sqref="P55">
      <formula1>-9.99999999999999E+23</formula1>
      <formula2>9.99999999999999E+23</formula2>
    </dataValidation>
    <dataValidation type="decimal" allowBlank="1" showErrorMessage="1" errorTitle="Ошибка" error="Допускается ввод только действительных чисел!" sqref="O5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55">
      <formula1>900</formula1>
    </dataValidation>
    <dataValidation type="list" allowBlank="1" showInputMessage="1" showErrorMessage="1" errorTitle="Ошибка" error="Выберите значение из списка" prompt="Выберите значение из списка" sqref="H55">
      <formula1>QRE_METHOD_LIST</formula1>
    </dataValidation>
    <dataValidation type="decimal" allowBlank="1" showErrorMessage="1" errorTitle="Ошибка" error="Допускается ввод только действительных чисел!" sqref="DJ52">
      <formula1>-9.99999999999999E+23</formula1>
      <formula2>9.99999999999999E+23</formula2>
    </dataValidation>
    <dataValidation type="decimal" allowBlank="1" showErrorMessage="1" errorTitle="Ошибка" error="Допускается ввод только действительных чисел!" sqref="DI52">
      <formula1>-9.99999999999999E+23</formula1>
      <formula2>9.99999999999999E+23</formula2>
    </dataValidation>
    <dataValidation type="decimal" allowBlank="1" showErrorMessage="1" errorTitle="Ошибка" error="Допускается ввод только действительных чисел!" sqref="DH52">
      <formula1>-9.99999999999999E+23</formula1>
      <formula2>9.99999999999999E+23</formula2>
    </dataValidation>
    <dataValidation type="decimal" allowBlank="1" showErrorMessage="1" errorTitle="Ошибка" error="Допускается ввод только действительных чисел!" sqref="DG52">
      <formula1>-9.99999999999999E+23</formula1>
      <formula2>9.99999999999999E+23</formula2>
    </dataValidation>
    <dataValidation type="decimal" allowBlank="1" showErrorMessage="1" errorTitle="Ошибка" error="Допускается ввод только действительных чисел!" sqref="DF52">
      <formula1>-9.99999999999999E+23</formula1>
      <formula2>9.99999999999999E+23</formula2>
    </dataValidation>
    <dataValidation type="decimal" allowBlank="1" showErrorMessage="1" errorTitle="Ошибка" error="Допускается ввод только действительных чисел!" sqref="DE52">
      <formula1>-9.99999999999999E+23</formula1>
      <formula2>9.99999999999999E+23</formula2>
    </dataValidation>
    <dataValidation type="decimal" allowBlank="1" showErrorMessage="1" errorTitle="Ошибка" error="Допускается ввод только действительных чисел!" sqref="DD52">
      <formula1>-9.99999999999999E+23</formula1>
      <formula2>9.99999999999999E+23</formula2>
    </dataValidation>
    <dataValidation type="decimal" allowBlank="1" showErrorMessage="1" errorTitle="Ошибка" error="Допускается ввод только действительных чисел!" sqref="DC52">
      <formula1>-9.99999999999999E+23</formula1>
      <formula2>9.99999999999999E+23</formula2>
    </dataValidation>
    <dataValidation type="decimal" allowBlank="1" showErrorMessage="1" errorTitle="Ошибка" error="Допускается ввод только действительных чисел!" sqref="DB52">
      <formula1>-9.99999999999999E+23</formula1>
      <formula2>9.99999999999999E+23</formula2>
    </dataValidation>
    <dataValidation type="decimal" allowBlank="1" showErrorMessage="1" errorTitle="Ошибка" error="Допускается ввод только действительных чисел!" sqref="DA52">
      <formula1>-9.99999999999999E+23</formula1>
      <formula2>9.99999999999999E+23</formula2>
    </dataValidation>
    <dataValidation type="decimal" allowBlank="1" showErrorMessage="1" errorTitle="Ошибка" error="Допускается ввод только действительных чисел!" sqref="CZ52">
      <formula1>-9.99999999999999E+23</formula1>
      <formula2>9.99999999999999E+23</formula2>
    </dataValidation>
    <dataValidation type="decimal" allowBlank="1" showErrorMessage="1" errorTitle="Ошибка" error="Допускается ввод только действительных чисел!" sqref="CY52">
      <formula1>-9.99999999999999E+23</formula1>
      <formula2>9.99999999999999E+23</formula2>
    </dataValidation>
    <dataValidation type="decimal" allowBlank="1" showErrorMessage="1" errorTitle="Ошибка" error="Допускается ввод только действительных чисел!" sqref="CK52">
      <formula1>-9.99999999999999E+23</formula1>
      <formula2>9.99999999999999E+23</formula2>
    </dataValidation>
    <dataValidation type="decimal" allowBlank="1" showErrorMessage="1" errorTitle="Ошибка" error="Допускается ввод только действительных чисел!" sqref="CJ52">
      <formula1>-9.99999999999999E+23</formula1>
      <formula2>9.99999999999999E+23</formula2>
    </dataValidation>
    <dataValidation type="decimal" allowBlank="1" showErrorMessage="1" errorTitle="Ошибка" error="Допускается ввод только действительных чисел!" sqref="CI52">
      <formula1>-9.99999999999999E+23</formula1>
      <formula2>9.99999999999999E+23</formula2>
    </dataValidation>
    <dataValidation type="decimal" allowBlank="1" showErrorMessage="1" errorTitle="Ошибка" error="Допускается ввод только действительных чисел!" sqref="CH52">
      <formula1>-9.99999999999999E+23</formula1>
      <formula2>9.99999999999999E+23</formula2>
    </dataValidation>
    <dataValidation type="decimal" allowBlank="1" showErrorMessage="1" errorTitle="Ошибка" error="Допускается ввод только действительных чисел!" sqref="CG52">
      <formula1>-9.99999999999999E+23</formula1>
      <formula2>9.99999999999999E+23</formula2>
    </dataValidation>
    <dataValidation type="decimal" allowBlank="1" showErrorMessage="1" errorTitle="Ошибка" error="Допускается ввод только действительных чисел!" sqref="CF52">
      <formula1>-9.99999999999999E+23</formula1>
      <formula2>9.99999999999999E+23</formula2>
    </dataValidation>
    <dataValidation type="decimal" allowBlank="1" showErrorMessage="1" errorTitle="Ошибка" error="Допускается ввод только действительных чисел!" sqref="CE52">
      <formula1>-9.99999999999999E+23</formula1>
      <formula2>9.99999999999999E+23</formula2>
    </dataValidation>
    <dataValidation type="decimal" allowBlank="1" showErrorMessage="1" errorTitle="Ошибка" error="Допускается ввод только действительных чисел!" sqref="CD52">
      <formula1>-9.99999999999999E+23</formula1>
      <formula2>9.99999999999999E+23</formula2>
    </dataValidation>
    <dataValidation type="decimal" allowBlank="1" showErrorMessage="1" errorTitle="Ошибка" error="Допускается ввод только действительных чисел!" sqref="CC52">
      <formula1>-9.99999999999999E+23</formula1>
      <formula2>9.99999999999999E+23</formula2>
    </dataValidation>
    <dataValidation type="decimal" allowBlank="1" showErrorMessage="1" errorTitle="Ошибка" error="Допускается ввод только действительных чисел!" sqref="CB52">
      <formula1>-9.99999999999999E+23</formula1>
      <formula2>9.99999999999999E+23</formula2>
    </dataValidation>
    <dataValidation type="decimal" allowBlank="1" showErrorMessage="1" errorTitle="Ошибка" error="Допускается ввод только действительных чисел!" sqref="CA52">
      <formula1>-9.99999999999999E+23</formula1>
      <formula2>9.99999999999999E+23</formula2>
    </dataValidation>
    <dataValidation type="decimal" allowBlank="1" showErrorMessage="1" errorTitle="Ошибка" error="Допускается ввод только действительных чисел!" sqref="BZ52">
      <formula1>-9.99999999999999E+23</formula1>
      <formula2>9.99999999999999E+23</formula2>
    </dataValidation>
    <dataValidation type="decimal" allowBlank="1" showErrorMessage="1" errorTitle="Ошибка" error="Допускается ввод только действительных чисел!" sqref="BY52">
      <formula1>-9.99999999999999E+23</formula1>
      <formula2>9.99999999999999E+23</formula2>
    </dataValidation>
    <dataValidation type="decimal" allowBlank="1" showErrorMessage="1" errorTitle="Ошибка" error="Допускается ввод только действительных чисел!" sqref="BX52">
      <formula1>-9.99999999999999E+23</formula1>
      <formula2>9.99999999999999E+23</formula2>
    </dataValidation>
    <dataValidation type="decimal" allowBlank="1" showErrorMessage="1" errorTitle="Ошибка" error="Допускается ввод только действительных чисел!" sqref="BW52">
      <formula1>-9.99999999999999E+23</formula1>
      <formula2>9.99999999999999E+23</formula2>
    </dataValidation>
    <dataValidation type="decimal" allowBlank="1" showErrorMessage="1" errorTitle="Ошибка" error="Допускается ввод только действительных чисел!" sqref="BV52">
      <formula1>-9.99999999999999E+23</formula1>
      <formula2>9.99999999999999E+23</formula2>
    </dataValidation>
    <dataValidation type="decimal" allowBlank="1" showErrorMessage="1" errorTitle="Ошибка" error="Допускается ввод только действительных чисел!" sqref="BU52">
      <formula1>-9.99999999999999E+23</formula1>
      <formula2>9.99999999999999E+23</formula2>
    </dataValidation>
    <dataValidation type="decimal" allowBlank="1" showErrorMessage="1" errorTitle="Ошибка" error="Допускается ввод только действительных чисел!" sqref="BT52">
      <formula1>-9.99999999999999E+23</formula1>
      <formula2>9.99999999999999E+23</formula2>
    </dataValidation>
    <dataValidation type="decimal" allowBlank="1" showErrorMessage="1" errorTitle="Ошибка" error="Допускается ввод только действительных чисел!" sqref="AB52">
      <formula1>-9.99999999999999E+23</formula1>
      <formula2>9.99999999999999E+23</formula2>
    </dataValidation>
    <dataValidation type="decimal" allowBlank="1" showErrorMessage="1" errorTitle="Ошибка" error="Допускается ввод только действительных чисел!" sqref="AA52">
      <formula1>-9.99999999999999E+23</formula1>
      <formula2>9.99999999999999E+23</formula2>
    </dataValidation>
    <dataValidation type="decimal" allowBlank="1" showErrorMessage="1" errorTitle="Ошибка" error="Допускается ввод только действительных чисел!" sqref="Z52">
      <formula1>-9.99999999999999E+23</formula1>
      <formula2>9.99999999999999E+23</formula2>
    </dataValidation>
    <dataValidation type="decimal" allowBlank="1" showErrorMessage="1" errorTitle="Ошибка" error="Допускается ввод только действительных чисел!" sqref="Y52">
      <formula1>-9.99999999999999E+23</formula1>
      <formula2>9.99999999999999E+23</formula2>
    </dataValidation>
    <dataValidation type="decimal" allowBlank="1" showErrorMessage="1" errorTitle="Ошибка" error="Допускается ввод только действительных чисел!" sqref="X52">
      <formula1>-9.99999999999999E+23</formula1>
      <formula2>9.99999999999999E+23</formula2>
    </dataValidation>
    <dataValidation type="decimal" allowBlank="1" showErrorMessage="1" errorTitle="Ошибка" error="Допускается ввод только действительных чисел!" sqref="W52">
      <formula1>-9.99999999999999E+23</formula1>
      <formula2>9.99999999999999E+23</formula2>
    </dataValidation>
    <dataValidation type="decimal" allowBlank="1" showErrorMessage="1" errorTitle="Ошибка" error="Допускается ввод только действительных чисел!" sqref="V52">
      <formula1>-9.99999999999999E+23</formula1>
      <formula2>9.99999999999999E+23</formula2>
    </dataValidation>
    <dataValidation type="decimal" allowBlank="1" showErrorMessage="1" errorTitle="Ошибка" error="Допускается ввод только действительных чисел!" sqref="U52">
      <formula1>-9.99999999999999E+23</formula1>
      <formula2>9.99999999999999E+23</formula2>
    </dataValidation>
    <dataValidation type="decimal" allowBlank="1" showErrorMessage="1" errorTitle="Ошибка" error="Допускается ввод только действительных чисел!" sqref="T52">
      <formula1>-9.99999999999999E+23</formula1>
      <formula2>9.99999999999999E+23</formula2>
    </dataValidation>
    <dataValidation type="decimal" allowBlank="1" showErrorMessage="1" errorTitle="Ошибка" error="Допускается ввод только действительных чисел!" sqref="S52">
      <formula1>-9.99999999999999E+23</formula1>
      <formula2>9.99999999999999E+23</formula2>
    </dataValidation>
    <dataValidation type="decimal" allowBlank="1" showErrorMessage="1" errorTitle="Ошибка" error="Допускается ввод только действительных чисел!" sqref="R52">
      <formula1>-9.99999999999999E+23</formula1>
      <formula2>9.99999999999999E+23</formula2>
    </dataValidation>
    <dataValidation type="decimal" allowBlank="1" showErrorMessage="1" errorTitle="Ошибка" error="Допускается ввод только действительных чисел!" sqref="Q52">
      <formula1>-9.99999999999999E+23</formula1>
      <formula2>9.99999999999999E+23</formula2>
    </dataValidation>
    <dataValidation type="decimal" allowBlank="1" showErrorMessage="1" errorTitle="Ошибка" error="Допускается ввод только действительных чисел!" sqref="P52">
      <formula1>-9.99999999999999E+23</formula1>
      <formula2>9.99999999999999E+23</formula2>
    </dataValidation>
    <dataValidation type="decimal" allowBlank="1" showErrorMessage="1" errorTitle="Ошибка" error="Допускается ввод только действительных чисел!" sqref="O5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52">
      <formula1>900</formula1>
    </dataValidation>
    <dataValidation type="list" allowBlank="1" showInputMessage="1" showErrorMessage="1" errorTitle="Ошибка" error="Выберите значение из списка" prompt="Выберите значение из списка" sqref="H52">
      <formula1>QRE_METHOD_LIST</formula1>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9">
      <formula1>900</formula1>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64">
      <formula1>QRE_METHOD_LIST</formula1>
    </dataValidation>
    <dataValidation type="textLength" operator="lessThanOrEqual" allowBlank="1" showInputMessage="1" showErrorMessage="1" errorTitle="Ошибка" error="Допускается ввод не более 900 символов!" sqref="I64">
      <formula1>900</formula1>
    </dataValidation>
    <dataValidation type="decimal" allowBlank="1" showErrorMessage="1" errorTitle="Ошибка" error="Допускается ввод только действительных чисел!" sqref="O64">
      <formula1>-9.99999999999999E+23</formula1>
      <formula2>9.99999999999999E+23</formula2>
    </dataValidation>
    <dataValidation type="decimal" allowBlank="1" showErrorMessage="1" errorTitle="Ошибка" error="Допускается ввод только действительных чисел!" sqref="P64">
      <formula1>-9.99999999999999E+23</formula1>
      <formula2>9.99999999999999E+23</formula2>
    </dataValidation>
    <dataValidation type="decimal" allowBlank="1" showErrorMessage="1" errorTitle="Ошибка" error="Допускается ввод только действительных чисел!" sqref="Q64">
      <formula1>-9.99999999999999E+23</formula1>
      <formula2>9.99999999999999E+23</formula2>
    </dataValidation>
    <dataValidation type="decimal" allowBlank="1" showErrorMessage="1" errorTitle="Ошибка" error="Допускается ввод только действительных чисел!" sqref="R64">
      <formula1>-9.99999999999999E+23</formula1>
      <formula2>9.99999999999999E+23</formula2>
    </dataValidation>
    <dataValidation type="decimal" allowBlank="1" showErrorMessage="1" errorTitle="Ошибка" error="Допускается ввод только действительных чисел!" sqref="S64">
      <formula1>-9.99999999999999E+23</formula1>
      <formula2>9.99999999999999E+23</formula2>
    </dataValidation>
    <dataValidation type="decimal" allowBlank="1" showErrorMessage="1" errorTitle="Ошибка" error="Допускается ввод только действительных чисел!" sqref="T64">
      <formula1>-9.99999999999999E+23</formula1>
      <formula2>9.99999999999999E+23</formula2>
    </dataValidation>
    <dataValidation type="decimal" allowBlank="1" showErrorMessage="1" errorTitle="Ошибка" error="Допускается ввод только действительных чисел!" sqref="U64">
      <formula1>-9.99999999999999E+23</formula1>
      <formula2>9.99999999999999E+23</formula2>
    </dataValidation>
    <dataValidation type="decimal" allowBlank="1" showErrorMessage="1" errorTitle="Ошибка" error="Допускается ввод только действительных чисел!" sqref="V64">
      <formula1>-9.99999999999999E+23</formula1>
      <formula2>9.99999999999999E+23</formula2>
    </dataValidation>
    <dataValidation type="decimal" allowBlank="1" showErrorMessage="1" errorTitle="Ошибка" error="Допускается ввод только действительных чисел!" sqref="W64">
      <formula1>-9.99999999999999E+23</formula1>
      <formula2>9.99999999999999E+23</formula2>
    </dataValidation>
    <dataValidation type="decimal" allowBlank="1" showErrorMessage="1" errorTitle="Ошибка" error="Допускается ввод только действительных чисел!" sqref="X64">
      <formula1>-9.99999999999999E+23</formula1>
      <formula2>9.99999999999999E+23</formula2>
    </dataValidation>
    <dataValidation type="decimal" allowBlank="1" showErrorMessage="1" errorTitle="Ошибка" error="Допускается ввод только действительных чисел!" sqref="Y64">
      <formula1>-9.99999999999999E+23</formula1>
      <formula2>9.99999999999999E+23</formula2>
    </dataValidation>
    <dataValidation type="decimal" allowBlank="1" showErrorMessage="1" errorTitle="Ошибка" error="Допускается ввод только действительных чисел!" sqref="Z64">
      <formula1>-9.99999999999999E+23</formula1>
      <formula2>9.99999999999999E+23</formula2>
    </dataValidation>
    <dataValidation type="decimal" allowBlank="1" showErrorMessage="1" errorTitle="Ошибка" error="Допускается ввод только действительных чисел!" sqref="AA64">
      <formula1>-9.99999999999999E+23</formula1>
      <formula2>9.99999999999999E+23</formula2>
    </dataValidation>
    <dataValidation type="decimal" allowBlank="1" showErrorMessage="1" errorTitle="Ошибка" error="Допускается ввод только действительных чисел!" sqref="AB64">
      <formula1>-9.99999999999999E+23</formula1>
      <formula2>9.99999999999999E+23</formula2>
    </dataValidation>
    <dataValidation type="decimal" allowBlank="1" showErrorMessage="1" errorTitle="Ошибка" error="Допускается ввод только действительных чисел!" sqref="BT64">
      <formula1>-9.99999999999999E+23</formula1>
      <formula2>9.99999999999999E+23</formula2>
    </dataValidation>
    <dataValidation type="decimal" allowBlank="1" showErrorMessage="1" errorTitle="Ошибка" error="Допускается ввод только действительных чисел!" sqref="BU64">
      <formula1>-9.99999999999999E+23</formula1>
      <formula2>9.99999999999999E+23</formula2>
    </dataValidation>
    <dataValidation type="decimal" allowBlank="1" showErrorMessage="1" errorTitle="Ошибка" error="Допускается ввод только действительных чисел!" sqref="BV64">
      <formula1>-9.99999999999999E+23</formula1>
      <formula2>9.99999999999999E+23</formula2>
    </dataValidation>
    <dataValidation type="decimal" allowBlank="1" showErrorMessage="1" errorTitle="Ошибка" error="Допускается ввод только действительных чисел!" sqref="BW64">
      <formula1>-9.99999999999999E+23</formula1>
      <formula2>9.99999999999999E+23</formula2>
    </dataValidation>
    <dataValidation type="decimal" allowBlank="1" showErrorMessage="1" errorTitle="Ошибка" error="Допускается ввод только действительных чисел!" sqref="BX64">
      <formula1>-9.99999999999999E+23</formula1>
      <formula2>9.99999999999999E+23</formula2>
    </dataValidation>
    <dataValidation type="decimal" allowBlank="1" showErrorMessage="1" errorTitle="Ошибка" error="Допускается ввод только действительных чисел!" sqref="BY64">
      <formula1>-9.99999999999999E+23</formula1>
      <formula2>9.99999999999999E+23</formula2>
    </dataValidation>
    <dataValidation type="decimal" allowBlank="1" showErrorMessage="1" errorTitle="Ошибка" error="Допускается ввод только действительных чисел!" sqref="BZ64">
      <formula1>-9.99999999999999E+23</formula1>
      <formula2>9.99999999999999E+23</formula2>
    </dataValidation>
    <dataValidation type="decimal" allowBlank="1" showErrorMessage="1" errorTitle="Ошибка" error="Допускается ввод только действительных чисел!" sqref="CA64">
      <formula1>-9.99999999999999E+23</formula1>
      <formula2>9.99999999999999E+23</formula2>
    </dataValidation>
    <dataValidation type="decimal" allowBlank="1" showErrorMessage="1" errorTitle="Ошибка" error="Допускается ввод только действительных чисел!" sqref="CB64">
      <formula1>-9.99999999999999E+23</formula1>
      <formula2>9.99999999999999E+23</formula2>
    </dataValidation>
    <dataValidation type="decimal" allowBlank="1" showErrorMessage="1" errorTitle="Ошибка" error="Допускается ввод только действительных чисел!" sqref="CC64">
      <formula1>-9.99999999999999E+23</formula1>
      <formula2>9.99999999999999E+23</formula2>
    </dataValidation>
    <dataValidation type="decimal" allowBlank="1" showErrorMessage="1" errorTitle="Ошибка" error="Допускается ввод только действительных чисел!" sqref="CD64">
      <formula1>-9.99999999999999E+23</formula1>
      <formula2>9.99999999999999E+23</formula2>
    </dataValidation>
    <dataValidation type="decimal" allowBlank="1" showErrorMessage="1" errorTitle="Ошибка" error="Допускается ввод только действительных чисел!" sqref="CE64">
      <formula1>-9.99999999999999E+23</formula1>
      <formula2>9.99999999999999E+23</formula2>
    </dataValidation>
    <dataValidation type="decimal" allowBlank="1" showErrorMessage="1" errorTitle="Ошибка" error="Допускается ввод только действительных чисел!" sqref="CF64">
      <formula1>-9.99999999999999E+23</formula1>
      <formula2>9.99999999999999E+23</formula2>
    </dataValidation>
    <dataValidation type="decimal" allowBlank="1" showErrorMessage="1" errorTitle="Ошибка" error="Допускается ввод только действительных чисел!" sqref="CG64">
      <formula1>-9.99999999999999E+23</formula1>
      <formula2>9.99999999999999E+23</formula2>
    </dataValidation>
    <dataValidation type="decimal" allowBlank="1" showErrorMessage="1" errorTitle="Ошибка" error="Допускается ввод только действительных чисел!" sqref="CH64">
      <formula1>-9.99999999999999E+23</formula1>
      <formula2>9.99999999999999E+23</formula2>
    </dataValidation>
    <dataValidation type="decimal" allowBlank="1" showErrorMessage="1" errorTitle="Ошибка" error="Допускается ввод только действительных чисел!" sqref="CI64">
      <formula1>-9.99999999999999E+23</formula1>
      <formula2>9.99999999999999E+23</formula2>
    </dataValidation>
    <dataValidation type="decimal" allowBlank="1" showErrorMessage="1" errorTitle="Ошибка" error="Допускается ввод только действительных чисел!" sqref="CJ64">
      <formula1>-9.99999999999999E+23</formula1>
      <formula2>9.99999999999999E+23</formula2>
    </dataValidation>
    <dataValidation type="decimal" allowBlank="1" showErrorMessage="1" errorTitle="Ошибка" error="Допускается ввод только действительных чисел!" sqref="CK64">
      <formula1>-9.99999999999999E+23</formula1>
      <formula2>9.99999999999999E+23</formula2>
    </dataValidation>
    <dataValidation type="decimal" allowBlank="1" showErrorMessage="1" errorTitle="Ошибка" error="Допускается ввод только действительных чисел!" sqref="CY64">
      <formula1>-9.99999999999999E+23</formula1>
      <formula2>9.99999999999999E+23</formula2>
    </dataValidation>
    <dataValidation type="decimal" allowBlank="1" showErrorMessage="1" errorTitle="Ошибка" error="Допускается ввод только действительных чисел!" sqref="CZ64">
      <formula1>-9.99999999999999E+23</formula1>
      <formula2>9.99999999999999E+23</formula2>
    </dataValidation>
    <dataValidation type="decimal" allowBlank="1" showErrorMessage="1" errorTitle="Ошибка" error="Допускается ввод только действительных чисел!" sqref="DA64">
      <formula1>-9.99999999999999E+23</formula1>
      <formula2>9.99999999999999E+23</formula2>
    </dataValidation>
    <dataValidation type="decimal" allowBlank="1" showErrorMessage="1" errorTitle="Ошибка" error="Допускается ввод только действительных чисел!" sqref="DB64">
      <formula1>-9.99999999999999E+23</formula1>
      <formula2>9.99999999999999E+23</formula2>
    </dataValidation>
    <dataValidation type="decimal" allowBlank="1" showErrorMessage="1" errorTitle="Ошибка" error="Допускается ввод только действительных чисел!" sqref="DC64">
      <formula1>-9.99999999999999E+23</formula1>
      <formula2>9.99999999999999E+23</formula2>
    </dataValidation>
    <dataValidation type="decimal" allowBlank="1" showErrorMessage="1" errorTitle="Ошибка" error="Допускается ввод только действительных чисел!" sqref="DD64">
      <formula1>-9.99999999999999E+23</formula1>
      <formula2>9.99999999999999E+23</formula2>
    </dataValidation>
    <dataValidation type="decimal" allowBlank="1" showErrorMessage="1" errorTitle="Ошибка" error="Допускается ввод только действительных чисел!" sqref="DE64">
      <formula1>-9.99999999999999E+23</formula1>
      <formula2>9.99999999999999E+23</formula2>
    </dataValidation>
    <dataValidation type="decimal" allowBlank="1" showErrorMessage="1" errorTitle="Ошибка" error="Допускается ввод только действительных чисел!" sqref="DF64">
      <formula1>-9.99999999999999E+23</formula1>
      <formula2>9.99999999999999E+23</formula2>
    </dataValidation>
    <dataValidation type="decimal" allowBlank="1" showErrorMessage="1" errorTitle="Ошибка" error="Допускается ввод только действительных чисел!" sqref="DG64">
      <formula1>-9.99999999999999E+23</formula1>
      <formula2>9.99999999999999E+23</formula2>
    </dataValidation>
    <dataValidation type="decimal" allowBlank="1" showErrorMessage="1" errorTitle="Ошибка" error="Допускается ввод только действительных чисел!" sqref="DH64">
      <formula1>-9.99999999999999E+23</formula1>
      <formula2>9.99999999999999E+23</formula2>
    </dataValidation>
    <dataValidation type="decimal" allowBlank="1" showErrorMessage="1" errorTitle="Ошибка" error="Допускается ввод только действительных чисел!" sqref="DI64">
      <formula1>-9.99999999999999E+23</formula1>
      <formula2>9.99999999999999E+23</formula2>
    </dataValidation>
    <dataValidation type="decimal" allowBlank="1" showErrorMessage="1" errorTitle="Ошибка" error="Допускается ввод только действительных чисел!" sqref="DJ6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67">
      <formula1>QRE_METHOD_LIST</formula1>
    </dataValidation>
    <dataValidation type="textLength" operator="lessThanOrEqual" allowBlank="1" showInputMessage="1" showErrorMessage="1" errorTitle="Ошибка" error="Допускается ввод не более 900 символов!" sqref="I67">
      <formula1>900</formula1>
    </dataValidation>
    <dataValidation type="decimal" allowBlank="1" showErrorMessage="1" errorTitle="Ошибка" error="Допускается ввод только действительных чисел!" sqref="O67">
      <formula1>-9.99999999999999E+23</formula1>
      <formula2>9.99999999999999E+23</formula2>
    </dataValidation>
    <dataValidation type="decimal" allowBlank="1" showErrorMessage="1" errorTitle="Ошибка" error="Допускается ввод только действительных чисел!" sqref="P67">
      <formula1>-9.99999999999999E+23</formula1>
      <formula2>9.99999999999999E+23</formula2>
    </dataValidation>
    <dataValidation type="decimal" allowBlank="1" showErrorMessage="1" errorTitle="Ошибка" error="Допускается ввод только действительных чисел!" sqref="Q67">
      <formula1>-9.99999999999999E+23</formula1>
      <formula2>9.99999999999999E+23</formula2>
    </dataValidation>
    <dataValidation type="decimal" allowBlank="1" showErrorMessage="1" errorTitle="Ошибка" error="Допускается ввод только действительных чисел!" sqref="R67">
      <formula1>-9.99999999999999E+23</formula1>
      <formula2>9.99999999999999E+23</formula2>
    </dataValidation>
    <dataValidation type="decimal" allowBlank="1" showErrorMessage="1" errorTitle="Ошибка" error="Допускается ввод только действительных чисел!" sqref="S67">
      <formula1>-9.99999999999999E+23</formula1>
      <formula2>9.99999999999999E+23</formula2>
    </dataValidation>
    <dataValidation type="decimal" allowBlank="1" showErrorMessage="1" errorTitle="Ошибка" error="Допускается ввод только действительных чисел!" sqref="T67">
      <formula1>-9.99999999999999E+23</formula1>
      <formula2>9.99999999999999E+23</formula2>
    </dataValidation>
    <dataValidation type="decimal" allowBlank="1" showErrorMessage="1" errorTitle="Ошибка" error="Допускается ввод только действительных чисел!" sqref="U67">
      <formula1>-9.99999999999999E+23</formula1>
      <formula2>9.99999999999999E+23</formula2>
    </dataValidation>
    <dataValidation type="decimal" allowBlank="1" showErrorMessage="1" errorTitle="Ошибка" error="Допускается ввод только действительных чисел!" sqref="V67">
      <formula1>-9.99999999999999E+23</formula1>
      <formula2>9.99999999999999E+23</formula2>
    </dataValidation>
    <dataValidation type="decimal" allowBlank="1" showErrorMessage="1" errorTitle="Ошибка" error="Допускается ввод только действительных чисел!" sqref="W67">
      <formula1>-9.99999999999999E+23</formula1>
      <formula2>9.99999999999999E+23</formula2>
    </dataValidation>
    <dataValidation type="decimal" allowBlank="1" showErrorMessage="1" errorTitle="Ошибка" error="Допускается ввод только действительных чисел!" sqref="X67">
      <formula1>-9.99999999999999E+23</formula1>
      <formula2>9.99999999999999E+23</formula2>
    </dataValidation>
    <dataValidation type="decimal" allowBlank="1" showErrorMessage="1" errorTitle="Ошибка" error="Допускается ввод только действительных чисел!" sqref="Y67">
      <formula1>-9.99999999999999E+23</formula1>
      <formula2>9.99999999999999E+23</formula2>
    </dataValidation>
    <dataValidation type="decimal" allowBlank="1" showErrorMessage="1" errorTitle="Ошибка" error="Допускается ввод только действительных чисел!" sqref="Z67">
      <formula1>-9.99999999999999E+23</formula1>
      <formula2>9.99999999999999E+23</formula2>
    </dataValidation>
    <dataValidation type="decimal" allowBlank="1" showErrorMessage="1" errorTitle="Ошибка" error="Допускается ввод только действительных чисел!" sqref="AA67">
      <formula1>-9.99999999999999E+23</formula1>
      <formula2>9.99999999999999E+23</formula2>
    </dataValidation>
    <dataValidation type="decimal" allowBlank="1" showErrorMessage="1" errorTitle="Ошибка" error="Допускается ввод только действительных чисел!" sqref="AB67">
      <formula1>-9.99999999999999E+23</formula1>
      <formula2>9.99999999999999E+23</formula2>
    </dataValidation>
    <dataValidation type="decimal" allowBlank="1" showErrorMessage="1" errorTitle="Ошибка" error="Допускается ввод только действительных чисел!" sqref="BT67">
      <formula1>-9.99999999999999E+23</formula1>
      <formula2>9.99999999999999E+23</formula2>
    </dataValidation>
    <dataValidation type="decimal" allowBlank="1" showErrorMessage="1" errorTitle="Ошибка" error="Допускается ввод только действительных чисел!" sqref="BU67">
      <formula1>-9.99999999999999E+23</formula1>
      <formula2>9.99999999999999E+23</formula2>
    </dataValidation>
    <dataValidation type="decimal" allowBlank="1" showErrorMessage="1" errorTitle="Ошибка" error="Допускается ввод только действительных чисел!" sqref="BV67">
      <formula1>-9.99999999999999E+23</formula1>
      <formula2>9.99999999999999E+23</formula2>
    </dataValidation>
    <dataValidation type="decimal" allowBlank="1" showErrorMessage="1" errorTitle="Ошибка" error="Допускается ввод только действительных чисел!" sqref="BW67">
      <formula1>-9.99999999999999E+23</formula1>
      <formula2>9.99999999999999E+23</formula2>
    </dataValidation>
    <dataValidation type="decimal" allowBlank="1" showErrorMessage="1" errorTitle="Ошибка" error="Допускается ввод только действительных чисел!" sqref="BX67">
      <formula1>-9.99999999999999E+23</formula1>
      <formula2>9.99999999999999E+23</formula2>
    </dataValidation>
    <dataValidation type="decimal" allowBlank="1" showErrorMessage="1" errorTitle="Ошибка" error="Допускается ввод только действительных чисел!" sqref="BY67">
      <formula1>-9.99999999999999E+23</formula1>
      <formula2>9.99999999999999E+23</formula2>
    </dataValidation>
    <dataValidation type="decimal" allowBlank="1" showErrorMessage="1" errorTitle="Ошибка" error="Допускается ввод только действительных чисел!" sqref="BZ67">
      <formula1>-9.99999999999999E+23</formula1>
      <formula2>9.99999999999999E+23</formula2>
    </dataValidation>
    <dataValidation type="decimal" allowBlank="1" showErrorMessage="1" errorTitle="Ошибка" error="Допускается ввод только действительных чисел!" sqref="CA67">
      <formula1>-9.99999999999999E+23</formula1>
      <formula2>9.99999999999999E+23</formula2>
    </dataValidation>
    <dataValidation type="decimal" allowBlank="1" showErrorMessage="1" errorTitle="Ошибка" error="Допускается ввод только действительных чисел!" sqref="CB67">
      <formula1>-9.99999999999999E+23</formula1>
      <formula2>9.99999999999999E+23</formula2>
    </dataValidation>
    <dataValidation type="decimal" allowBlank="1" showErrorMessage="1" errorTitle="Ошибка" error="Допускается ввод только действительных чисел!" sqref="CC67">
      <formula1>-9.99999999999999E+23</formula1>
      <formula2>9.99999999999999E+23</formula2>
    </dataValidation>
    <dataValidation type="decimal" allowBlank="1" showErrorMessage="1" errorTitle="Ошибка" error="Допускается ввод только действительных чисел!" sqref="CD67">
      <formula1>-9.99999999999999E+23</formula1>
      <formula2>9.99999999999999E+23</formula2>
    </dataValidation>
    <dataValidation type="decimal" allowBlank="1" showErrorMessage="1" errorTitle="Ошибка" error="Допускается ввод только действительных чисел!" sqref="CE67">
      <formula1>-9.99999999999999E+23</formula1>
      <formula2>9.99999999999999E+23</formula2>
    </dataValidation>
    <dataValidation type="decimal" allowBlank="1" showErrorMessage="1" errorTitle="Ошибка" error="Допускается ввод только действительных чисел!" sqref="CF67">
      <formula1>-9.99999999999999E+23</formula1>
      <formula2>9.99999999999999E+23</formula2>
    </dataValidation>
    <dataValidation type="decimal" allowBlank="1" showErrorMessage="1" errorTitle="Ошибка" error="Допускается ввод только действительных чисел!" sqref="CG67">
      <formula1>-9.99999999999999E+23</formula1>
      <formula2>9.99999999999999E+23</formula2>
    </dataValidation>
    <dataValidation type="decimal" allowBlank="1" showErrorMessage="1" errorTitle="Ошибка" error="Допускается ввод только действительных чисел!" sqref="CH67">
      <formula1>-9.99999999999999E+23</formula1>
      <formula2>9.99999999999999E+23</formula2>
    </dataValidation>
    <dataValidation type="decimal" allowBlank="1" showErrorMessage="1" errorTitle="Ошибка" error="Допускается ввод только действительных чисел!" sqref="CI67">
      <formula1>-9.99999999999999E+23</formula1>
      <formula2>9.99999999999999E+23</formula2>
    </dataValidation>
    <dataValidation type="decimal" allowBlank="1" showErrorMessage="1" errorTitle="Ошибка" error="Допускается ввод только действительных чисел!" sqref="CJ67">
      <formula1>-9.99999999999999E+23</formula1>
      <formula2>9.99999999999999E+23</formula2>
    </dataValidation>
    <dataValidation type="decimal" allowBlank="1" showErrorMessage="1" errorTitle="Ошибка" error="Допускается ввод только действительных чисел!" sqref="CK67">
      <formula1>-9.99999999999999E+23</formula1>
      <formula2>9.99999999999999E+23</formula2>
    </dataValidation>
    <dataValidation type="decimal" allowBlank="1" showErrorMessage="1" errorTitle="Ошибка" error="Допускается ввод только действительных чисел!" sqref="CY67">
      <formula1>-9.99999999999999E+23</formula1>
      <formula2>9.99999999999999E+23</formula2>
    </dataValidation>
    <dataValidation type="decimal" allowBlank="1" showErrorMessage="1" errorTitle="Ошибка" error="Допускается ввод только действительных чисел!" sqref="CZ67">
      <formula1>-9.99999999999999E+23</formula1>
      <formula2>9.99999999999999E+23</formula2>
    </dataValidation>
    <dataValidation type="decimal" allowBlank="1" showErrorMessage="1" errorTitle="Ошибка" error="Допускается ввод только действительных чисел!" sqref="DA67">
      <formula1>-9.99999999999999E+23</formula1>
      <formula2>9.99999999999999E+23</formula2>
    </dataValidation>
    <dataValidation type="decimal" allowBlank="1" showErrorMessage="1" errorTitle="Ошибка" error="Допускается ввод только действительных чисел!" sqref="DB67">
      <formula1>-9.99999999999999E+23</formula1>
      <formula2>9.99999999999999E+23</formula2>
    </dataValidation>
    <dataValidation type="decimal" allowBlank="1" showErrorMessage="1" errorTitle="Ошибка" error="Допускается ввод только действительных чисел!" sqref="DC67">
      <formula1>-9.99999999999999E+23</formula1>
      <formula2>9.99999999999999E+23</formula2>
    </dataValidation>
    <dataValidation type="decimal" allowBlank="1" showErrorMessage="1" errorTitle="Ошибка" error="Допускается ввод только действительных чисел!" sqref="DD67">
      <formula1>-9.99999999999999E+23</formula1>
      <formula2>9.99999999999999E+23</formula2>
    </dataValidation>
    <dataValidation type="decimal" allowBlank="1" showErrorMessage="1" errorTitle="Ошибка" error="Допускается ввод только действительных чисел!" sqref="DE67">
      <formula1>-9.99999999999999E+23</formula1>
      <formula2>9.99999999999999E+23</formula2>
    </dataValidation>
    <dataValidation type="decimal" allowBlank="1" showErrorMessage="1" errorTitle="Ошибка" error="Допускается ввод только действительных чисел!" sqref="DF67">
      <formula1>-9.99999999999999E+23</formula1>
      <formula2>9.99999999999999E+23</formula2>
    </dataValidation>
    <dataValidation type="decimal" allowBlank="1" showErrorMessage="1" errorTitle="Ошибка" error="Допускается ввод только действительных чисел!" sqref="DG67">
      <formula1>-9.99999999999999E+23</formula1>
      <formula2>9.99999999999999E+23</formula2>
    </dataValidation>
    <dataValidation type="decimal" allowBlank="1" showErrorMessage="1" errorTitle="Ошибка" error="Допускается ввод только действительных чисел!" sqref="DH67">
      <formula1>-9.99999999999999E+23</formula1>
      <formula2>9.99999999999999E+23</formula2>
    </dataValidation>
    <dataValidation type="decimal" allowBlank="1" showErrorMessage="1" errorTitle="Ошибка" error="Допускается ввод только действительных чисел!" sqref="DI67">
      <formula1>-9.99999999999999E+23</formula1>
      <formula2>9.99999999999999E+23</formula2>
    </dataValidation>
    <dataValidation type="decimal" allowBlank="1" showErrorMessage="1" errorTitle="Ошибка" error="Допускается ввод только действительных чисел!" sqref="DJ67">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05D26C-B138-D1E8-FFF9-9A5327BF0A28}" mc:Ignorable="x14ac xr xr2 xr3">
  <sheetPr>
    <tabColor theme="2" tint="-0.1"/>
  </sheetPr>
  <dimension ref="A1:AN23"/>
  <sheetViews>
    <sheetView showGridLines="0" zoomScale="90" workbookViewId="0">
      <pane xSplit="7" ySplit="14" topLeftCell="AD15" activePane="bottomRight" state="frozen"/>
      <selection pane="bottomLeft" activeCell="A15" sqref="A15"/>
      <selection pane="topRight" activeCell="H1" sqref="H1"/>
      <selection pane="bottomRight" activeCell="AD8" sqref="AD8"/>
    </sheetView>
  </sheetViews>
  <sheetFormatPr defaultColWidth="10.57421875" customHeight="1" defaultRowHeight="15"/>
  <cols>
    <col min="1" max="1" style="7464" width="9.140625" hidden="1" customWidth="1"/>
    <col min="2" max="2" style="7213" width="9.140625" hidden="1" customWidth="1"/>
    <col min="3" max="3" style="7121" width="4.00390625" customWidth="1"/>
    <col min="4" max="4" style="7213" width="6.00390625" customWidth="1"/>
    <col min="5" max="5" style="7213" width="36.00390625" customWidth="1"/>
    <col min="6" max="6" style="7213" width="9.00390625" customWidth="1"/>
    <col min="7" max="7" style="7213" width="42.421875" hidden="1" customWidth="1"/>
    <col min="8" max="8" style="7213" width="40.7109375" customWidth="1"/>
    <col min="9" max="29" style="7213" width="42.421875" customWidth="1"/>
    <col min="30" max="30" style="7158" width="93.00390625" customWidth="1"/>
    <col min="31" max="38" style="7213" width="10.00390625" customWidth="1"/>
    <col min="39" max="39" style="7249" width="10.00390625" customWidth="1"/>
    <col min="40" max="40" style="7213" width="10.57421875" hidden="1"/>
  </cols>
  <sheetData>
    <row s="7158" customFormat="1" customHeight="1" ht="15" hidden="1">
      <c r="C1" s="796"/>
      <c r="H1" s="541">
        <v>4</v>
      </c>
      <c r="I1" s="7158"/>
      <c r="J1" s="7158"/>
      <c r="K1" s="7158"/>
      <c r="L1" s="7158"/>
      <c r="M1" s="7158"/>
      <c r="N1" s="7158"/>
      <c r="O1" s="7158"/>
      <c r="P1" s="7158"/>
      <c r="Q1" s="7158"/>
      <c r="R1" s="7158"/>
      <c r="S1" s="7158"/>
      <c r="T1" s="7158"/>
      <c r="U1" s="7158"/>
      <c r="V1" s="7158"/>
      <c r="W1" s="7158"/>
      <c r="X1" s="7158"/>
      <c r="Y1" s="7158"/>
      <c r="Z1" s="7158"/>
      <c r="AA1" s="7158"/>
      <c r="AB1" s="7158"/>
      <c r="AC1" s="7158"/>
      <c r="AM1" s="544"/>
      <c r="AN1" s="541" t="s">
        <v>14</v>
      </c>
    </row>
    <row customHeight="1" ht="22.5" hidden="1">
      <c r="C2" s="2049" t="s">
        <v>103</v>
      </c>
      <c r="D2" s="663"/>
      <c r="E2" s="787"/>
      <c r="F2" s="1884" t="str">
        <f>IF(TEMPLATE_SPHERE="HEAT","Гкал/час","тыс. куб. м/сутки")</f>
        <v>Гкал/час</v>
      </c>
      <c r="G2" s="804"/>
      <c r="H2" s="804"/>
      <c r="I2" s="6869"/>
      <c r="J2" s="6869"/>
      <c r="K2" s="6869"/>
      <c r="L2" s="6869"/>
      <c r="M2" s="6869"/>
      <c r="N2" s="6869"/>
      <c r="O2" s="6869"/>
      <c r="P2" s="6869"/>
      <c r="Q2" s="6869"/>
      <c r="R2" s="6869"/>
      <c r="S2" s="6869"/>
      <c r="T2" s="6869"/>
      <c r="U2" s="6869"/>
      <c r="V2" s="6869"/>
      <c r="W2" s="6869"/>
      <c r="X2" s="6869"/>
      <c r="Y2" s="6869"/>
      <c r="Z2" s="6869"/>
      <c r="AA2" s="6869"/>
      <c r="AB2" s="6869"/>
      <c r="AC2" s="6869"/>
      <c r="AD2" s="413"/>
      <c r="AN2" s="629">
        <v>0</v>
      </c>
    </row>
    <row s="7158" customFormat="1" customHeight="1" ht="15" hidden="1">
      <c r="C3" s="796"/>
      <c r="I3" s="7158"/>
      <c r="J3" s="7158"/>
      <c r="K3" s="7158"/>
      <c r="L3" s="7158"/>
      <c r="M3" s="7158"/>
      <c r="N3" s="7158"/>
      <c r="O3" s="7158"/>
      <c r="P3" s="7158"/>
      <c r="Q3" s="7158"/>
      <c r="R3" s="7158"/>
      <c r="S3" s="7158"/>
      <c r="T3" s="7158"/>
      <c r="U3" s="7158"/>
      <c r="V3" s="7158"/>
      <c r="W3" s="7158"/>
      <c r="X3" s="7158"/>
      <c r="Y3" s="7158"/>
      <c r="Z3" s="7158"/>
      <c r="AA3" s="7158"/>
      <c r="AB3" s="7158"/>
      <c r="AC3" s="7158"/>
      <c r="AM3" s="544"/>
      <c r="AN3" s="541">
        <v>0</v>
      </c>
    </row>
    <row customHeight="1" ht="15.75">
      <c r="C4" s="300"/>
      <c r="D4" s="633"/>
      <c r="E4" s="633"/>
      <c r="F4" s="633"/>
      <c r="G4" s="633"/>
      <c r="H4" s="633"/>
      <c r="I4" s="7213"/>
      <c r="J4" s="7213"/>
      <c r="K4" s="7213"/>
      <c r="L4" s="7213"/>
      <c r="M4" s="7213"/>
      <c r="N4" s="7213"/>
      <c r="O4" s="7213"/>
      <c r="P4" s="7213"/>
      <c r="Q4" s="7213"/>
      <c r="R4" s="7213"/>
      <c r="S4" s="7213"/>
      <c r="T4" s="7213"/>
      <c r="U4" s="7213"/>
      <c r="V4" s="7213"/>
      <c r="W4" s="7213"/>
      <c r="X4" s="7213"/>
      <c r="Y4" s="7213"/>
      <c r="Z4" s="7213"/>
      <c r="AA4" s="7213"/>
      <c r="AB4" s="7213"/>
      <c r="AC4" s="7213"/>
      <c r="AN4" s="629">
        <v>15</v>
      </c>
    </row>
    <row customHeight="1" ht="39.75">
      <c r="C5" s="300"/>
      <c r="D5" s="237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4"/>
      <c r="F5" s="2374"/>
      <c r="G5" s="2374"/>
      <c r="H5" s="2374"/>
      <c r="I5" s="6180"/>
      <c r="J5" s="6180"/>
      <c r="K5" s="6180"/>
      <c r="L5" s="6180"/>
      <c r="M5" s="6180"/>
      <c r="N5" s="6180"/>
      <c r="O5" s="6180"/>
      <c r="P5" s="6180"/>
      <c r="Q5" s="6180"/>
      <c r="R5" s="6180"/>
      <c r="S5" s="6180"/>
      <c r="T5" s="6180"/>
      <c r="U5" s="6180"/>
      <c r="V5" s="6180"/>
      <c r="W5" s="6180"/>
      <c r="X5" s="6180"/>
      <c r="Y5" s="6180"/>
      <c r="Z5" s="6180"/>
      <c r="AA5" s="6180"/>
      <c r="AB5" s="6180"/>
      <c r="AC5" s="6180"/>
      <c r="AD5" s="661"/>
      <c r="AN5" s="629">
        <v>38</v>
      </c>
    </row>
    <row customHeight="1" ht="15.75">
      <c r="C6" s="300"/>
      <c r="D6" s="2313" t="str">
        <f>IF(org=0,"Не определено",org)</f>
        <v>ООО "СамРЭК-Эксплуатация"</v>
      </c>
      <c r="E6" s="2313"/>
      <c r="F6" s="2313"/>
      <c r="G6" s="2313"/>
      <c r="H6" s="2313"/>
      <c r="I6" s="6182"/>
      <c r="J6" s="6182"/>
      <c r="K6" s="6182"/>
      <c r="L6" s="6182"/>
      <c r="M6" s="6182"/>
      <c r="N6" s="6182"/>
      <c r="O6" s="6182"/>
      <c r="P6" s="6182"/>
      <c r="Q6" s="6182"/>
      <c r="R6" s="6182"/>
      <c r="S6" s="6182"/>
      <c r="T6" s="6182"/>
      <c r="U6" s="6182"/>
      <c r="V6" s="6182"/>
      <c r="W6" s="6182"/>
      <c r="X6" s="6182"/>
      <c r="Y6" s="6182"/>
      <c r="Z6" s="6182"/>
      <c r="AA6" s="6182"/>
      <c r="AB6" s="6182"/>
      <c r="AC6" s="6182"/>
      <c r="AD6" s="661"/>
      <c r="AN6" s="629">
        <v>15</v>
      </c>
    </row>
    <row s="7213" customFormat="1" customHeight="1" ht="15.75">
      <c r="A7" s="883"/>
      <c r="C7" s="300"/>
      <c r="D7" s="800"/>
      <c r="E7" s="800"/>
      <c r="F7" s="800"/>
      <c r="G7" s="800"/>
      <c r="H7" s="876"/>
      <c r="I7" s="7888" t="s">
        <v>22</v>
      </c>
      <c r="J7" s="7888" t="s">
        <v>22</v>
      </c>
      <c r="K7" s="7888" t="s">
        <v>22</v>
      </c>
      <c r="L7" s="7888" t="s">
        <v>22</v>
      </c>
      <c r="M7" s="7888" t="s">
        <v>22</v>
      </c>
      <c r="N7" s="7888" t="s">
        <v>22</v>
      </c>
      <c r="O7" s="7888" t="s">
        <v>22</v>
      </c>
      <c r="P7" s="7888" t="s">
        <v>22</v>
      </c>
      <c r="Q7" s="7888" t="s">
        <v>22</v>
      </c>
      <c r="R7" s="7888" t="s">
        <v>22</v>
      </c>
      <c r="S7" s="7888" t="s">
        <v>22</v>
      </c>
      <c r="T7" s="7888" t="s">
        <v>22</v>
      </c>
      <c r="U7" s="7888" t="s">
        <v>22</v>
      </c>
      <c r="V7" s="7888" t="s">
        <v>22</v>
      </c>
      <c r="W7" s="7888" t="s">
        <v>22</v>
      </c>
      <c r="X7" s="7888" t="s">
        <v>22</v>
      </c>
      <c r="Y7" s="7888" t="s">
        <v>22</v>
      </c>
      <c r="Z7" s="7888" t="s">
        <v>22</v>
      </c>
      <c r="AA7" s="7888" t="s">
        <v>22</v>
      </c>
      <c r="AB7" s="7888" t="s">
        <v>22</v>
      </c>
      <c r="AC7" s="7888" t="s">
        <v>22</v>
      </c>
      <c r="AD7" s="661"/>
      <c r="AM7" s="799"/>
      <c r="AN7" s="882">
        <v>15</v>
      </c>
    </row>
    <row customHeight="1" ht="1.05">
      <c r="C8" s="300"/>
      <c r="D8" s="633"/>
      <c r="E8" s="633"/>
      <c r="F8" s="633"/>
      <c r="G8" s="633"/>
      <c r="H8" s="661" t="s">
        <v>215</v>
      </c>
      <c r="I8" s="7213" t="s">
        <v>219</v>
      </c>
      <c r="J8" s="7213" t="s">
        <v>220</v>
      </c>
      <c r="K8" s="7213" t="s">
        <v>221</v>
      </c>
      <c r="L8" s="7213" t="s">
        <v>222</v>
      </c>
      <c r="M8" s="7213" t="s">
        <v>223</v>
      </c>
      <c r="N8" s="7213" t="s">
        <v>224</v>
      </c>
      <c r="O8" s="7213" t="s">
        <v>225</v>
      </c>
      <c r="P8" s="7213" t="s">
        <v>226</v>
      </c>
      <c r="Q8" s="7213" t="s">
        <v>227</v>
      </c>
      <c r="R8" s="7213" t="s">
        <v>228</v>
      </c>
      <c r="S8" s="7213" t="s">
        <v>229</v>
      </c>
      <c r="T8" s="7213" t="s">
        <v>230</v>
      </c>
      <c r="U8" s="7213" t="s">
        <v>231</v>
      </c>
      <c r="V8" s="7213" t="s">
        <v>232</v>
      </c>
      <c r="W8" s="7213" t="s">
        <v>233</v>
      </c>
      <c r="X8" s="7213" t="s">
        <v>234</v>
      </c>
      <c r="Y8" s="7213" t="s">
        <v>235</v>
      </c>
      <c r="Z8" s="7213" t="s">
        <v>236</v>
      </c>
      <c r="AA8" s="7213" t="s">
        <v>237</v>
      </c>
      <c r="AB8" s="7213" t="s">
        <v>238</v>
      </c>
      <c r="AC8" s="7213" t="s">
        <v>239</v>
      </c>
      <c r="AN8" s="629">
        <v>1</v>
      </c>
    </row>
    <row customHeight="1" ht="15.75">
      <c r="C9" s="300"/>
      <c r="D9" s="835"/>
      <c r="E9" s="2504" t="s">
        <v>206</v>
      </c>
      <c r="F9" s="2505"/>
      <c r="G9" s="940" t="str">
        <f>IF(G8="","",INDEX(DIFFERENTIATION_UNMERGE_VD,MATCH(G8,DIFFERENTIATION_ID_DIFF,0)))</f>
        <v/>
      </c>
      <c r="H9" s="940" t="str">
        <f>IF(H8="","",INDEX(DIFFERENTIATION_UNMERGE_VD,MATCH(H8,DIFFERENTIATION_ID_DIFF,0)))</f>
        <v>Производство тепловой энергии. Некомбинированная выработка</v>
      </c>
      <c r="I9" s="7123" t="str">
        <f>IF(I8="","",INDEX(DIFFERENTIATION_UNMERGE_VD,MATCH(I8,DIFFERENTIATION_ID_DIFF,0)))</f>
        <v>Производство тепловой энергии. Некомбинированная выработка</v>
      </c>
      <c r="J9" s="7123" t="str">
        <f>IF(J8="","",INDEX(DIFFERENTIATION_UNMERGE_VD,MATCH(J8,DIFFERENTIATION_ID_DIFF,0)))</f>
        <v>Производство тепловой энергии. Некомбинированная выработка</v>
      </c>
      <c r="K9" s="7123" t="str">
        <f>IF(K8="","",INDEX(DIFFERENTIATION_UNMERGE_VD,MATCH(K8,DIFFERENTIATION_ID_DIFF,0)))</f>
        <v>Производство тепловой энергии. Некомбинированная выработка</v>
      </c>
      <c r="L9" s="7123" t="str">
        <f>IF(L8="","",INDEX(DIFFERENTIATION_UNMERGE_VD,MATCH(L8,DIFFERENTIATION_ID_DIFF,0)))</f>
        <v>Производство тепловой энергии. Некомбинированная выработка</v>
      </c>
      <c r="M9" s="7123" t="str">
        <f>IF(M8="","",INDEX(DIFFERENTIATION_UNMERGE_VD,MATCH(M8,DIFFERENTIATION_ID_DIFF,0)))</f>
        <v>Производство тепловой энергии. Некомбинированная выработка</v>
      </c>
      <c r="N9" s="7123" t="str">
        <f>IF(N8="","",INDEX(DIFFERENTIATION_UNMERGE_VD,MATCH(N8,DIFFERENTIATION_ID_DIFF,0)))</f>
        <v>Производство тепловой энергии. Некомбинированная выработка</v>
      </c>
      <c r="O9" s="7123" t="str">
        <f>IF(O8="","",INDEX(DIFFERENTIATION_UNMERGE_VD,MATCH(O8,DIFFERENTIATION_ID_DIFF,0)))</f>
        <v>Производство тепловой энергии. Некомбинированная выработка</v>
      </c>
      <c r="P9" s="7123" t="str">
        <f>IF(P8="","",INDEX(DIFFERENTIATION_UNMERGE_VD,MATCH(P8,DIFFERENTIATION_ID_DIFF,0)))</f>
        <v>Производство тепловой энергии. Некомбинированная выработка</v>
      </c>
      <c r="Q9" s="7123" t="str">
        <f>IF(Q8="","",INDEX(DIFFERENTIATION_UNMERGE_VD,MATCH(Q8,DIFFERENTIATION_ID_DIFF,0)))</f>
        <v>Производство тепловой энергии. Некомбинированная выработка</v>
      </c>
      <c r="R9" s="7123" t="str">
        <f>IF(R8="","",INDEX(DIFFERENTIATION_UNMERGE_VD,MATCH(R8,DIFFERENTIATION_ID_DIFF,0)))</f>
        <v>Производство тепловой энергии. Некомбинированная выработка</v>
      </c>
      <c r="S9" s="7123" t="str">
        <f>IF(S8="","",INDEX(DIFFERENTIATION_UNMERGE_VD,MATCH(S8,DIFFERENTIATION_ID_DIFF,0)))</f>
        <v>Производство тепловой энергии. Некомбинированная выработка</v>
      </c>
      <c r="T9" s="7123" t="str">
        <f>IF(T8="","",INDEX(DIFFERENTIATION_UNMERGE_VD,MATCH(T8,DIFFERENTIATION_ID_DIFF,0)))</f>
        <v>Производство тепловой энергии. Некомбинированная выработка</v>
      </c>
      <c r="U9" s="7123" t="str">
        <f>IF(U8="","",INDEX(DIFFERENTIATION_UNMERGE_VD,MATCH(U8,DIFFERENTIATION_ID_DIFF,0)))</f>
        <v>Производство тепловой энергии. Некомбинированная выработка</v>
      </c>
      <c r="V9" s="7123" t="str">
        <f>IF(V8="","",INDEX(DIFFERENTIATION_UNMERGE_VD,MATCH(V8,DIFFERENTIATION_ID_DIFF,0)))</f>
        <v>Производство тепловой энергии. Некомбинированная выработка</v>
      </c>
      <c r="W9" s="7123" t="str">
        <f>IF(W8="","",INDEX(DIFFERENTIATION_UNMERGE_VD,MATCH(W8,DIFFERENTIATION_ID_DIFF,0)))</f>
        <v>Производство тепловой энергии. Некомбинированная выработка</v>
      </c>
      <c r="X9" s="7123" t="str">
        <f>IF(X8="","",INDEX(DIFFERENTIATION_UNMERGE_VD,MATCH(X8,DIFFERENTIATION_ID_DIFF,0)))</f>
        <v>Производство тепловой энергии. Некомбинированная выработка</v>
      </c>
      <c r="Y9" s="7123" t="str">
        <f>IF(Y8="","",INDEX(DIFFERENTIATION_UNMERGE_VD,MATCH(Y8,DIFFERENTIATION_ID_DIFF,0)))</f>
        <v>Производство тепловой энергии. Некомбинированная выработка</v>
      </c>
      <c r="Z9" s="7123" t="str">
        <f>IF(Z8="","",INDEX(DIFFERENTIATION_UNMERGE_VD,MATCH(Z8,DIFFERENTIATION_ID_DIFF,0)))</f>
        <v>Производство тепловой энергии. Некомбинированная выработка</v>
      </c>
      <c r="AA9" s="7123" t="str">
        <f>IF(AA8="","",INDEX(DIFFERENTIATION_UNMERGE_VD,MATCH(AA8,DIFFERENTIATION_ID_DIFF,0)))</f>
        <v>Производство тепловой энергии. Некомбинированная выработка</v>
      </c>
      <c r="AB9" s="7123" t="str">
        <f>IF(AB8="","",INDEX(DIFFERENTIATION_UNMERGE_VD,MATCH(AB8,DIFFERENTIATION_ID_DIFF,0)))</f>
        <v>Производство тепловой энергии. Некомбинированная выработка</v>
      </c>
      <c r="AC9" s="7123" t="str">
        <f>IF(AC8="","",INDEX(DIFFERENTIATION_UNMERGE_VD,MATCH(AC8,DIFFERENTIATION_ID_DIFF,0)))</f>
        <v>Производство тепловой энергии. Некомбинированная выработка</v>
      </c>
      <c r="AD9" s="2264" t="s">
        <v>413</v>
      </c>
      <c r="AN9" s="629">
        <v>15</v>
      </c>
    </row>
    <row s="7213" customFormat="1" customHeight="1" ht="15.75">
      <c r="A10" s="883"/>
      <c r="C10" s="300"/>
      <c r="D10" s="835"/>
      <c r="E10" s="2504" t="s">
        <v>676</v>
      </c>
      <c r="F10" s="2505"/>
      <c r="G10" s="940" t="str">
        <f>IF(G8="","",INDEX(DIFFERENTIATION_UNMERGE_AREA,MATCH(G8,DIFFERENTIATION_ID_DIFF,0)))</f>
        <v/>
      </c>
      <c r="H10" s="940" t="str">
        <f>IF(H8="","",INDEX(DIFFERENTIATION_UNMERGE_AREA,MATCH(H8,DIFFERENTIATION_ID_DIFF,0)))</f>
        <v>Территория 1</v>
      </c>
      <c r="I10" s="7123" t="str">
        <f>IF(I8="","",INDEX(DIFFERENTIATION_UNMERGE_AREA,MATCH(I8,DIFFERENTIATION_ID_DIFF,0)))</f>
        <v>Территория 2</v>
      </c>
      <c r="J10" s="7123" t="str">
        <f>IF(J8="","",INDEX(DIFFERENTIATION_UNMERGE_AREA,MATCH(J8,DIFFERENTIATION_ID_DIFF,0)))</f>
        <v>Территория 3</v>
      </c>
      <c r="K10" s="7123" t="str">
        <f>IF(K8="","",INDEX(DIFFERENTIATION_UNMERGE_AREA,MATCH(K8,DIFFERENTIATION_ID_DIFF,0)))</f>
        <v>Территория 4</v>
      </c>
      <c r="L10" s="7123" t="str">
        <f>IF(L8="","",INDEX(DIFFERENTIATION_UNMERGE_AREA,MATCH(L8,DIFFERENTIATION_ID_DIFF,0)))</f>
        <v>Территория 5</v>
      </c>
      <c r="M10" s="7123" t="str">
        <f>IF(M8="","",INDEX(DIFFERENTIATION_UNMERGE_AREA,MATCH(M8,DIFFERENTIATION_ID_DIFF,0)))</f>
        <v>Территория 6</v>
      </c>
      <c r="N10" s="7123" t="str">
        <f>IF(N8="","",INDEX(DIFFERENTIATION_UNMERGE_AREA,MATCH(N8,DIFFERENTIATION_ID_DIFF,0)))</f>
        <v>Территория 7</v>
      </c>
      <c r="O10" s="7123" t="str">
        <f>IF(O8="","",INDEX(DIFFERENTIATION_UNMERGE_AREA,MATCH(O8,DIFFERENTIATION_ID_DIFF,0)))</f>
        <v>Территория 8</v>
      </c>
      <c r="P10" s="7123" t="str">
        <f>IF(P8="","",INDEX(DIFFERENTIATION_UNMERGE_AREA,MATCH(P8,DIFFERENTIATION_ID_DIFF,0)))</f>
        <v>Территория 9</v>
      </c>
      <c r="Q10" s="7123" t="str">
        <f>IF(Q8="","",INDEX(DIFFERENTIATION_UNMERGE_AREA,MATCH(Q8,DIFFERENTIATION_ID_DIFF,0)))</f>
        <v>Территория 10</v>
      </c>
      <c r="R10" s="7123" t="str">
        <f>IF(R8="","",INDEX(DIFFERENTIATION_UNMERGE_AREA,MATCH(R8,DIFFERENTIATION_ID_DIFF,0)))</f>
        <v>Территория 11</v>
      </c>
      <c r="S10" s="7123" t="str">
        <f>IF(S8="","",INDEX(DIFFERENTIATION_UNMERGE_AREA,MATCH(S8,DIFFERENTIATION_ID_DIFF,0)))</f>
        <v>Территория 12</v>
      </c>
      <c r="T10" s="7123" t="str">
        <f>IF(T8="","",INDEX(DIFFERENTIATION_UNMERGE_AREA,MATCH(T8,DIFFERENTIATION_ID_DIFF,0)))</f>
        <v>Территория 13</v>
      </c>
      <c r="U10" s="7123" t="str">
        <f>IF(U8="","",INDEX(DIFFERENTIATION_UNMERGE_AREA,MATCH(U8,DIFFERENTIATION_ID_DIFF,0)))</f>
        <v>Территория 14</v>
      </c>
      <c r="V10" s="7123" t="str">
        <f>IF(V8="","",INDEX(DIFFERENTIATION_UNMERGE_AREA,MATCH(V8,DIFFERENTIATION_ID_DIFF,0)))</f>
        <v>Территория 15</v>
      </c>
      <c r="W10" s="7123" t="str">
        <f>IF(W8="","",INDEX(DIFFERENTIATION_UNMERGE_AREA,MATCH(W8,DIFFERENTIATION_ID_DIFF,0)))</f>
        <v>Территория 16</v>
      </c>
      <c r="X10" s="7123" t="str">
        <f>IF(X8="","",INDEX(DIFFERENTIATION_UNMERGE_AREA,MATCH(X8,DIFFERENTIATION_ID_DIFF,0)))</f>
        <v>Территория 17</v>
      </c>
      <c r="Y10" s="7123" t="str">
        <f>IF(Y8="","",INDEX(DIFFERENTIATION_UNMERGE_AREA,MATCH(Y8,DIFFERENTIATION_ID_DIFF,0)))</f>
        <v>Территория 18</v>
      </c>
      <c r="Z10" s="7123" t="str">
        <f>IF(Z8="","",INDEX(DIFFERENTIATION_UNMERGE_AREA,MATCH(Z8,DIFFERENTIATION_ID_DIFF,0)))</f>
        <v>Территория 19</v>
      </c>
      <c r="AA10" s="7123" t="str">
        <f>IF(AA8="","",INDEX(DIFFERENTIATION_UNMERGE_AREA,MATCH(AA8,DIFFERENTIATION_ID_DIFF,0)))</f>
        <v>Территория 20</v>
      </c>
      <c r="AB10" s="7123" t="str">
        <f>IF(AB8="","",INDEX(DIFFERENTIATION_UNMERGE_AREA,MATCH(AB8,DIFFERENTIATION_ID_DIFF,0)))</f>
        <v>Территория 21</v>
      </c>
      <c r="AC10" s="7123" t="str">
        <f>IF(AC8="","",INDEX(DIFFERENTIATION_UNMERGE_AREA,MATCH(AC8,DIFFERENTIATION_ID_DIFF,0)))</f>
        <v>Территория 22</v>
      </c>
      <c r="AD10" s="2264"/>
      <c r="AM10" s="799"/>
      <c r="AN10" s="882">
        <v>15</v>
      </c>
    </row>
    <row s="7213" customFormat="1" customHeight="1" ht="15.75">
      <c r="A11" s="883"/>
      <c r="C11" s="300"/>
      <c r="D11" s="835"/>
      <c r="E11" s="2504" t="s">
        <v>677</v>
      </c>
      <c r="F11" s="2505"/>
      <c r="G11" s="940" t="str">
        <f>IF(G8="","",INDEX(DIFFERENTIATION_UNMERGE_SYSTEM,MATCH(G8,DIFFERENTIATION_ID_DIFF,0)))</f>
        <v/>
      </c>
      <c r="H11" s="940" t="str">
        <f>IF(H8="","",INDEX(DIFFERENTIATION_UNMERGE_SYSTEM,MATCH(H8,DIFFERENTIATION_ID_DIFF,0)))</f>
        <v>без дифференциации</v>
      </c>
      <c r="I11" s="7123" t="str">
        <f>IF(I8="","",INDEX(DIFFERENTIATION_UNMERGE_SYSTEM,MATCH(I8,DIFFERENTIATION_ID_DIFF,0)))</f>
        <v>без дифференциации</v>
      </c>
      <c r="J11" s="7123" t="str">
        <f>IF(J8="","",INDEX(DIFFERENTIATION_UNMERGE_SYSTEM,MATCH(J8,DIFFERENTIATION_ID_DIFF,0)))</f>
        <v>без дифференциации</v>
      </c>
      <c r="K11" s="7123" t="str">
        <f>IF(K8="","",INDEX(DIFFERENTIATION_UNMERGE_SYSTEM,MATCH(K8,DIFFERENTIATION_ID_DIFF,0)))</f>
        <v>без дифференциации</v>
      </c>
      <c r="L11" s="7123" t="str">
        <f>IF(L8="","",INDEX(DIFFERENTIATION_UNMERGE_SYSTEM,MATCH(L8,DIFFERENTIATION_ID_DIFF,0)))</f>
        <v>без дифференциации</v>
      </c>
      <c r="M11" s="7123" t="str">
        <f>IF(M8="","",INDEX(DIFFERENTIATION_UNMERGE_SYSTEM,MATCH(M8,DIFFERENTIATION_ID_DIFF,0)))</f>
        <v>без дифференциации</v>
      </c>
      <c r="N11" s="7123" t="str">
        <f>IF(N8="","",INDEX(DIFFERENTIATION_UNMERGE_SYSTEM,MATCH(N8,DIFFERENTIATION_ID_DIFF,0)))</f>
        <v>без дифференциации</v>
      </c>
      <c r="O11" s="7123" t="str">
        <f>IF(O8="","",INDEX(DIFFERENTIATION_UNMERGE_SYSTEM,MATCH(O8,DIFFERENTIATION_ID_DIFF,0)))</f>
        <v>без дифференциации</v>
      </c>
      <c r="P11" s="7123" t="str">
        <f>IF(P8="","",INDEX(DIFFERENTIATION_UNMERGE_SYSTEM,MATCH(P8,DIFFERENTIATION_ID_DIFF,0)))</f>
        <v>без дифференциации</v>
      </c>
      <c r="Q11" s="7123" t="str">
        <f>IF(Q8="","",INDEX(DIFFERENTIATION_UNMERGE_SYSTEM,MATCH(Q8,DIFFERENTIATION_ID_DIFF,0)))</f>
        <v>без дифференциации</v>
      </c>
      <c r="R11" s="7123" t="str">
        <f>IF(R8="","",INDEX(DIFFERENTIATION_UNMERGE_SYSTEM,MATCH(R8,DIFFERENTIATION_ID_DIFF,0)))</f>
        <v>без дифференциации</v>
      </c>
      <c r="S11" s="7123" t="str">
        <f>IF(S8="","",INDEX(DIFFERENTIATION_UNMERGE_SYSTEM,MATCH(S8,DIFFERENTIATION_ID_DIFF,0)))</f>
        <v>без дифференциации</v>
      </c>
      <c r="T11" s="7123" t="str">
        <f>IF(T8="","",INDEX(DIFFERENTIATION_UNMERGE_SYSTEM,MATCH(T8,DIFFERENTIATION_ID_DIFF,0)))</f>
        <v>без дифференциации</v>
      </c>
      <c r="U11" s="7123" t="str">
        <f>IF(U8="","",INDEX(DIFFERENTIATION_UNMERGE_SYSTEM,MATCH(U8,DIFFERENTIATION_ID_DIFF,0)))</f>
        <v>без дифференциации</v>
      </c>
      <c r="V11" s="7123" t="str">
        <f>IF(V8="","",INDEX(DIFFERENTIATION_UNMERGE_SYSTEM,MATCH(V8,DIFFERENTIATION_ID_DIFF,0)))</f>
        <v>без дифференциации</v>
      </c>
      <c r="W11" s="7123" t="str">
        <f>IF(W8="","",INDEX(DIFFERENTIATION_UNMERGE_SYSTEM,MATCH(W8,DIFFERENTIATION_ID_DIFF,0)))</f>
        <v>без дифференциации</v>
      </c>
      <c r="X11" s="7123" t="str">
        <f>IF(X8="","",INDEX(DIFFERENTIATION_UNMERGE_SYSTEM,MATCH(X8,DIFFERENTIATION_ID_DIFF,0)))</f>
        <v>без дифференциации</v>
      </c>
      <c r="Y11" s="7123" t="str">
        <f>IF(Y8="","",INDEX(DIFFERENTIATION_UNMERGE_SYSTEM,MATCH(Y8,DIFFERENTIATION_ID_DIFF,0)))</f>
        <v>без дифференциации</v>
      </c>
      <c r="Z11" s="7123" t="str">
        <f>IF(Z8="","",INDEX(DIFFERENTIATION_UNMERGE_SYSTEM,MATCH(Z8,DIFFERENTIATION_ID_DIFF,0)))</f>
        <v>без дифференциации</v>
      </c>
      <c r="AA11" s="7123" t="str">
        <f>IF(AA8="","",INDEX(DIFFERENTIATION_UNMERGE_SYSTEM,MATCH(AA8,DIFFERENTIATION_ID_DIFF,0)))</f>
        <v>без дифференциации</v>
      </c>
      <c r="AB11" s="7123" t="str">
        <f>IF(AB8="","",INDEX(DIFFERENTIATION_UNMERGE_SYSTEM,MATCH(AB8,DIFFERENTIATION_ID_DIFF,0)))</f>
        <v>без дифференциации</v>
      </c>
      <c r="AC11" s="7123" t="str">
        <f>IF(AC8="","",INDEX(DIFFERENTIATION_UNMERGE_SYSTEM,MATCH(AC8,DIFFERENTIATION_ID_DIFF,0)))</f>
        <v>без дифференциации</v>
      </c>
      <c r="AD11" s="2264"/>
      <c r="AM11" s="799"/>
      <c r="AN11" s="882">
        <v>15</v>
      </c>
    </row>
    <row s="7213" customFormat="1" customHeight="1" ht="15.75">
      <c r="A12" s="883"/>
      <c r="C12" s="300"/>
      <c r="D12" s="2506" t="s">
        <v>412</v>
      </c>
      <c r="E12" s="2507"/>
      <c r="F12" s="2507"/>
      <c r="G12" s="1011"/>
      <c r="H12" s="1011"/>
      <c r="I12" s="6920"/>
      <c r="J12" s="6920"/>
      <c r="K12" s="6920"/>
      <c r="L12" s="6920"/>
      <c r="M12" s="6920"/>
      <c r="N12" s="6920"/>
      <c r="O12" s="6920"/>
      <c r="P12" s="6920"/>
      <c r="Q12" s="6920"/>
      <c r="R12" s="6920"/>
      <c r="S12" s="6920"/>
      <c r="T12" s="6920"/>
      <c r="U12" s="6920"/>
      <c r="V12" s="6920"/>
      <c r="W12" s="6920"/>
      <c r="X12" s="6920"/>
      <c r="Y12" s="6920"/>
      <c r="Z12" s="6920"/>
      <c r="AA12" s="6920"/>
      <c r="AB12" s="6920"/>
      <c r="AC12" s="6920"/>
      <c r="AD12" s="2264"/>
      <c r="AM12" s="799"/>
      <c r="AN12" s="882">
        <v>15</v>
      </c>
    </row>
    <row customHeight="1" ht="35.699999999999996">
      <c r="C13" s="300"/>
      <c r="D13" s="885" t="s">
        <v>88</v>
      </c>
      <c r="E13" s="884" t="s">
        <v>414</v>
      </c>
      <c r="F13" s="884" t="s">
        <v>678</v>
      </c>
      <c r="G13" s="932" t="s">
        <v>415</v>
      </c>
      <c r="H13" s="878" t="s">
        <v>415</v>
      </c>
      <c r="I13" s="7430" t="s">
        <v>415</v>
      </c>
      <c r="J13" s="7430" t="s">
        <v>415</v>
      </c>
      <c r="K13" s="7430" t="s">
        <v>415</v>
      </c>
      <c r="L13" s="7430" t="s">
        <v>415</v>
      </c>
      <c r="M13" s="7430" t="s">
        <v>415</v>
      </c>
      <c r="N13" s="7430" t="s">
        <v>415</v>
      </c>
      <c r="O13" s="7430" t="s">
        <v>415</v>
      </c>
      <c r="P13" s="7430" t="s">
        <v>415</v>
      </c>
      <c r="Q13" s="7430" t="s">
        <v>415</v>
      </c>
      <c r="R13" s="7430" t="s">
        <v>415</v>
      </c>
      <c r="S13" s="7430" t="s">
        <v>415</v>
      </c>
      <c r="T13" s="7430" t="s">
        <v>415</v>
      </c>
      <c r="U13" s="7430" t="s">
        <v>415</v>
      </c>
      <c r="V13" s="7430" t="s">
        <v>415</v>
      </c>
      <c r="W13" s="7430" t="s">
        <v>415</v>
      </c>
      <c r="X13" s="7430" t="s">
        <v>415</v>
      </c>
      <c r="Y13" s="7430" t="s">
        <v>415</v>
      </c>
      <c r="Z13" s="7430" t="s">
        <v>415</v>
      </c>
      <c r="AA13" s="7430" t="s">
        <v>415</v>
      </c>
      <c r="AB13" s="7430" t="s">
        <v>415</v>
      </c>
      <c r="AC13" s="7430" t="s">
        <v>415</v>
      </c>
      <c r="AD13" s="2264"/>
      <c r="AN13" s="629">
        <v>34</v>
      </c>
    </row>
    <row customHeight="1" ht="15" hidden="1">
      <c r="C14" s="300"/>
      <c r="D14" s="717" t="s">
        <v>210</v>
      </c>
      <c r="E14" s="717" t="s">
        <v>102</v>
      </c>
      <c r="F14" s="717" t="s">
        <v>90</v>
      </c>
      <c r="G14" s="783" t="str">
        <f>G1&amp;".1"</f>
        <v>.1</v>
      </c>
      <c r="H14" s="783" t="str">
        <f>H1&amp;".1"</f>
        <v>4.1</v>
      </c>
      <c r="I14" s="7121" t="str">
        <f>I1&amp;".1"</f>
        <v>.1</v>
      </c>
      <c r="J14" s="7121" t="str">
        <f>J1&amp;".1"</f>
        <v>.1</v>
      </c>
      <c r="K14" s="7121" t="str">
        <f>K1&amp;".1"</f>
        <v>.1</v>
      </c>
      <c r="L14" s="7121" t="str">
        <f>L1&amp;".1"</f>
        <v>.1</v>
      </c>
      <c r="M14" s="7121" t="str">
        <f>M1&amp;".1"</f>
        <v>.1</v>
      </c>
      <c r="N14" s="7121" t="str">
        <f>N1&amp;".1"</f>
        <v>.1</v>
      </c>
      <c r="O14" s="7121" t="str">
        <f>O1&amp;".1"</f>
        <v>.1</v>
      </c>
      <c r="P14" s="7121" t="str">
        <f>P1&amp;".1"</f>
        <v>.1</v>
      </c>
      <c r="Q14" s="7121" t="str">
        <f>Q1&amp;".1"</f>
        <v>.1</v>
      </c>
      <c r="R14" s="7121" t="str">
        <f>R1&amp;".1"</f>
        <v>.1</v>
      </c>
      <c r="S14" s="7121" t="str">
        <f>S1&amp;".1"</f>
        <v>.1</v>
      </c>
      <c r="T14" s="7121" t="str">
        <f>T1&amp;".1"</f>
        <v>.1</v>
      </c>
      <c r="U14" s="7121" t="str">
        <f>U1&amp;".1"</f>
        <v>.1</v>
      </c>
      <c r="V14" s="7121" t="str">
        <f>V1&amp;".1"</f>
        <v>.1</v>
      </c>
      <c r="W14" s="7121" t="str">
        <f>W1&amp;".1"</f>
        <v>.1</v>
      </c>
      <c r="X14" s="7121" t="str">
        <f>X1&amp;".1"</f>
        <v>.1</v>
      </c>
      <c r="Y14" s="7121" t="str">
        <f>Y1&amp;".1"</f>
        <v>.1</v>
      </c>
      <c r="Z14" s="7121" t="str">
        <f>Z1&amp;".1"</f>
        <v>.1</v>
      </c>
      <c r="AA14" s="7121" t="str">
        <f>AA1&amp;".1"</f>
        <v>.1</v>
      </c>
      <c r="AB14" s="7121" t="str">
        <f>AB1&amp;".1"</f>
        <v>.1</v>
      </c>
      <c r="AC14" s="7121" t="str">
        <f>AC1&amp;".1"</f>
        <v>.1</v>
      </c>
      <c r="AD14" s="413"/>
      <c r="AN14" s="629">
        <v>0</v>
      </c>
    </row>
    <row customHeight="1" ht="15.75">
      <c r="A15" s="629"/>
      <c r="C15" s="650"/>
      <c r="D15" s="645">
        <v>1</v>
      </c>
      <c r="E15" s="2051" t="str">
        <f>TP_P_A</f>
        <v>Количество поданных заявок</v>
      </c>
      <c r="F15" s="645" t="s">
        <v>1542</v>
      </c>
      <c r="G15" s="809"/>
      <c r="H15" s="809"/>
      <c r="I15" s="7126"/>
      <c r="J15" s="7126"/>
      <c r="K15" s="7126"/>
      <c r="L15" s="7126"/>
      <c r="M15" s="7126"/>
      <c r="N15" s="7126"/>
      <c r="O15" s="7126"/>
      <c r="P15" s="7126"/>
      <c r="Q15" s="7126"/>
      <c r="R15" s="7126"/>
      <c r="S15" s="7126"/>
      <c r="T15" s="7126"/>
      <c r="U15" s="7126"/>
      <c r="V15" s="7126"/>
      <c r="W15" s="7126"/>
      <c r="X15" s="7126"/>
      <c r="Y15" s="7126"/>
      <c r="Z15" s="7126"/>
      <c r="AA15" s="7126"/>
      <c r="AB15" s="7126"/>
      <c r="AC15" s="7126"/>
      <c r="AD15" s="33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N15" s="629">
        <v>15</v>
      </c>
    </row>
    <row customHeight="1" ht="15.75">
      <c r="A16" s="629"/>
      <c r="C16" s="650"/>
      <c r="D16" s="645">
        <v>2</v>
      </c>
      <c r="E16" s="2051" t="str">
        <f>TP_P_B</f>
        <v>Количество рассмотренных заявок</v>
      </c>
      <c r="F16" s="645" t="s">
        <v>1542</v>
      </c>
      <c r="G16" s="809"/>
      <c r="H16" s="809"/>
      <c r="I16" s="7126"/>
      <c r="J16" s="7126"/>
      <c r="K16" s="7126"/>
      <c r="L16" s="7126"/>
      <c r="M16" s="7126"/>
      <c r="N16" s="7126"/>
      <c r="O16" s="7126"/>
      <c r="P16" s="7126"/>
      <c r="Q16" s="7126"/>
      <c r="R16" s="7126"/>
      <c r="S16" s="7126"/>
      <c r="T16" s="7126"/>
      <c r="U16" s="7126"/>
      <c r="V16" s="7126"/>
      <c r="W16" s="7126"/>
      <c r="X16" s="7126"/>
      <c r="Y16" s="7126"/>
      <c r="Z16" s="7126"/>
      <c r="AA16" s="7126"/>
      <c r="AB16" s="7126"/>
      <c r="AC16" s="7126"/>
      <c r="AD16" s="33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N16" s="629">
        <v>15</v>
      </c>
    </row>
    <row customHeight="1" ht="77.7">
      <c r="A17" s="629"/>
      <c r="C17" s="650"/>
      <c r="D17" s="645">
        <v>3</v>
      </c>
      <c r="E17" s="20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45" t="s">
        <v>1542</v>
      </c>
      <c r="G17" s="809"/>
      <c r="H17" s="809"/>
      <c r="I17" s="7126"/>
      <c r="J17" s="7126"/>
      <c r="K17" s="7126"/>
      <c r="L17" s="7126"/>
      <c r="M17" s="7126"/>
      <c r="N17" s="7126"/>
      <c r="O17" s="7126"/>
      <c r="P17" s="7126"/>
      <c r="Q17" s="7126"/>
      <c r="R17" s="7126"/>
      <c r="S17" s="7126"/>
      <c r="T17" s="7126"/>
      <c r="U17" s="7126"/>
      <c r="V17" s="7126"/>
      <c r="W17" s="7126"/>
      <c r="X17" s="7126"/>
      <c r="Y17" s="7126"/>
      <c r="Z17" s="7126"/>
      <c r="AA17" s="7126"/>
      <c r="AB17" s="7126"/>
      <c r="AC17" s="7126"/>
      <c r="AD17" s="332" t="str">
        <f>TP_P_NOTE_V</f>
        <v>Указывается количество заявок с решением об отказе в течение отчетного квартала.</v>
      </c>
      <c r="AN17" s="629">
        <v>74</v>
      </c>
    </row>
    <row customHeight="1" ht="54.75">
      <c r="A18" s="629"/>
      <c r="C18" s="650"/>
      <c r="D18" s="645">
        <v>4</v>
      </c>
      <c r="E18" s="2051" t="str">
        <f>TP_P_V_1</f>
        <v>Причины отказа в заключении договора о подключении (технологическом присоединении) к системе теплоснабжения</v>
      </c>
      <c r="F18" s="645" t="s">
        <v>418</v>
      </c>
      <c r="G18" s="810"/>
      <c r="H18" s="810"/>
      <c r="I18" s="6877"/>
      <c r="J18" s="6877"/>
      <c r="K18" s="6877"/>
      <c r="L18" s="6877"/>
      <c r="M18" s="6877"/>
      <c r="N18" s="6877"/>
      <c r="O18" s="6877"/>
      <c r="P18" s="6877"/>
      <c r="Q18" s="6877"/>
      <c r="R18" s="6877"/>
      <c r="S18" s="6877"/>
      <c r="T18" s="6877"/>
      <c r="U18" s="6877"/>
      <c r="V18" s="6877"/>
      <c r="W18" s="6877"/>
      <c r="X18" s="6877"/>
      <c r="Y18" s="6877"/>
      <c r="Z18" s="6877"/>
      <c r="AA18" s="6877"/>
      <c r="AB18" s="6877"/>
      <c r="AC18" s="6877"/>
      <c r="AD18" s="96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N18" s="629">
        <v>52</v>
      </c>
    </row>
    <row customHeight="1" ht="60">
      <c r="A19" s="629"/>
      <c r="C19" s="650"/>
      <c r="D19" s="645">
        <v>5</v>
      </c>
      <c r="E19" s="2051" t="str">
        <f>TP_P_G</f>
        <v>Резерв мощности источников тепловой энергии, входящих в систему теплоснабжения, в течение одного квартала, в том числе:</v>
      </c>
      <c r="F19" s="645" t="str">
        <f>IF(TEMPLATE_SPHERE="HEAT","Гкал/час","тыс. куб. м/сутки")</f>
        <v>Гкал/час</v>
      </c>
      <c r="G19" s="811">
        <f>SUM(G20:G22)</f>
        <v>0</v>
      </c>
      <c r="H19" s="811">
        <f>SUM(H20:H22)</f>
        <v>0</v>
      </c>
      <c r="I19" s="7129">
        <f>SUM(I20:I22)</f>
        <v>0</v>
      </c>
      <c r="J19" s="7129">
        <f>SUM(J20:J22)</f>
        <v>0</v>
      </c>
      <c r="K19" s="7129">
        <f>SUM(K20:K22)</f>
        <v>0</v>
      </c>
      <c r="L19" s="7129">
        <f>SUM(L20:L22)</f>
        <v>0</v>
      </c>
      <c r="M19" s="7129">
        <f>SUM(M20:M22)</f>
        <v>0</v>
      </c>
      <c r="N19" s="7129">
        <f>SUM(N20:N22)</f>
        <v>0</v>
      </c>
      <c r="O19" s="7129">
        <f>SUM(O20:O22)</f>
        <v>0</v>
      </c>
      <c r="P19" s="7129">
        <f>SUM(P20:P22)</f>
        <v>0</v>
      </c>
      <c r="Q19" s="7129">
        <f>SUM(Q20:Q22)</f>
        <v>0</v>
      </c>
      <c r="R19" s="7129">
        <f>SUM(R20:R22)</f>
        <v>0</v>
      </c>
      <c r="S19" s="7129">
        <f>SUM(S20:S22)</f>
        <v>0</v>
      </c>
      <c r="T19" s="7129">
        <f>SUM(T20:T22)</f>
        <v>0</v>
      </c>
      <c r="U19" s="7129">
        <f>SUM(U20:U22)</f>
        <v>0</v>
      </c>
      <c r="V19" s="7129">
        <f>SUM(V20:V22)</f>
        <v>0</v>
      </c>
      <c r="W19" s="7129">
        <f>SUM(W20:W22)</f>
        <v>0</v>
      </c>
      <c r="X19" s="7129">
        <f>SUM(X20:X22)</f>
        <v>0</v>
      </c>
      <c r="Y19" s="7129">
        <f>SUM(Y20:Y22)</f>
        <v>0</v>
      </c>
      <c r="Z19" s="7129">
        <f>SUM(Z20:Z22)</f>
        <v>0</v>
      </c>
      <c r="AA19" s="7129">
        <f>SUM(AA20:AA22)</f>
        <v>0</v>
      </c>
      <c r="AB19" s="7129">
        <f>SUM(AB20:AB22)</f>
        <v>0</v>
      </c>
      <c r="AC19" s="7129">
        <f>SUM(AC20:AC22)</f>
        <v>0</v>
      </c>
      <c r="AD19" s="33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N19" s="629">
        <v>57</v>
      </c>
    </row>
    <row customHeight="1" ht="15" hidden="1">
      <c r="D20" s="633" t="s">
        <v>1543</v>
      </c>
      <c r="E20" s="812"/>
      <c r="F20" s="633"/>
      <c r="G20" s="633"/>
      <c r="H20" s="633"/>
      <c r="I20" s="7213"/>
      <c r="J20" s="7213"/>
      <c r="K20" s="7213"/>
      <c r="L20" s="7213"/>
      <c r="M20" s="7213"/>
      <c r="N20" s="7213"/>
      <c r="O20" s="7213"/>
      <c r="P20" s="7213"/>
      <c r="Q20" s="7213"/>
      <c r="R20" s="7213"/>
      <c r="S20" s="7213"/>
      <c r="T20" s="7213"/>
      <c r="U20" s="7213"/>
      <c r="V20" s="7213"/>
      <c r="W20" s="7213"/>
      <c r="X20" s="7213"/>
      <c r="Y20" s="7213"/>
      <c r="Z20" s="7213"/>
      <c r="AA20" s="7213"/>
      <c r="AB20" s="7213"/>
      <c r="AC20" s="7213"/>
      <c r="AD20" s="1886"/>
      <c r="AN20" s="629">
        <v>0</v>
      </c>
    </row>
    <row customHeight="1" ht="29.25">
      <c r="C21" s="575"/>
      <c r="D21" s="663" t="s">
        <v>425</v>
      </c>
      <c r="E21" s="794"/>
      <c r="F21" s="1884" t="str">
        <f>IF(TEMPLATE_SPHERE="HEAT","Гкал/час","тыс. куб. м/сутки")</f>
        <v>Гкал/час</v>
      </c>
      <c r="G21" s="804"/>
      <c r="H21" s="804"/>
      <c r="I21" s="6869"/>
      <c r="J21" s="6869"/>
      <c r="K21" s="6869"/>
      <c r="L21" s="6869"/>
      <c r="M21" s="6869"/>
      <c r="N21" s="6869"/>
      <c r="O21" s="6869"/>
      <c r="P21" s="6869"/>
      <c r="Q21" s="6869"/>
      <c r="R21" s="6869"/>
      <c r="S21" s="6869"/>
      <c r="T21" s="6869"/>
      <c r="U21" s="6869"/>
      <c r="V21" s="6869"/>
      <c r="W21" s="6869"/>
      <c r="X21" s="6869"/>
      <c r="Y21" s="6869"/>
      <c r="Z21" s="6869"/>
      <c r="AA21" s="6869"/>
      <c r="AB21" s="6869"/>
      <c r="AC21" s="6869"/>
      <c r="AD21" s="230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N21" s="629">
        <v>28</v>
      </c>
    </row>
    <row customHeight="1" ht="15.75">
      <c r="A22" s="629"/>
      <c r="C22" s="629"/>
      <c r="D22" s="471"/>
      <c r="E22" s="704" t="s">
        <v>1544</v>
      </c>
      <c r="F22" s="696"/>
      <c r="G22" s="696"/>
      <c r="H22" s="696"/>
      <c r="I22" s="8323"/>
      <c r="J22" s="8324"/>
      <c r="K22" s="8325"/>
      <c r="L22" s="8326"/>
      <c r="M22" s="8327"/>
      <c r="N22" s="8328"/>
      <c r="O22" s="8329"/>
      <c r="P22" s="8330"/>
      <c r="Q22" s="8331"/>
      <c r="R22" s="8332"/>
      <c r="S22" s="8333"/>
      <c r="T22" s="8334"/>
      <c r="U22" s="8335"/>
      <c r="V22" s="8336"/>
      <c r="W22" s="8337"/>
      <c r="X22" s="8338"/>
      <c r="Y22" s="8339"/>
      <c r="Z22" s="8340"/>
      <c r="AA22" s="8341"/>
      <c r="AB22" s="8342"/>
      <c r="AC22" s="8343"/>
      <c r="AD22" s="2308"/>
      <c r="AM22" s="629"/>
      <c r="AN22" s="629">
        <v>15</v>
      </c>
    </row>
    <row customHeight="1" ht="22.5" hidden="1">
      <c r="A23" s="573" t="s">
        <v>82</v>
      </c>
      <c r="B23" s="629">
        <v>0</v>
      </c>
      <c r="C23" s="807">
        <v>4</v>
      </c>
      <c r="D23" s="629">
        <v>6</v>
      </c>
      <c r="E23" s="629">
        <v>36</v>
      </c>
      <c r="F23" s="629">
        <v>9</v>
      </c>
      <c r="G23" s="882">
        <v>0</v>
      </c>
      <c r="H23" s="629">
        <v>40</v>
      </c>
      <c r="I23" s="7213">
        <v>0</v>
      </c>
      <c r="J23" s="7213">
        <v>0</v>
      </c>
      <c r="K23" s="7213">
        <v>0</v>
      </c>
      <c r="L23" s="7213">
        <v>0</v>
      </c>
      <c r="M23" s="7213">
        <v>0</v>
      </c>
      <c r="N23" s="7213">
        <v>0</v>
      </c>
      <c r="O23" s="7213">
        <v>0</v>
      </c>
      <c r="P23" s="7213">
        <v>0</v>
      </c>
      <c r="Q23" s="7213">
        <v>0</v>
      </c>
      <c r="R23" s="7213">
        <v>0</v>
      </c>
      <c r="S23" s="7213">
        <v>0</v>
      </c>
      <c r="T23" s="7213">
        <v>0</v>
      </c>
      <c r="U23" s="7213">
        <v>0</v>
      </c>
      <c r="V23" s="7213">
        <v>0</v>
      </c>
      <c r="W23" s="7213">
        <v>0</v>
      </c>
      <c r="X23" s="7213">
        <v>0</v>
      </c>
      <c r="Y23" s="7213">
        <v>0</v>
      </c>
      <c r="Z23" s="7213">
        <v>0</v>
      </c>
      <c r="AA23" s="7213">
        <v>0</v>
      </c>
      <c r="AB23" s="7213">
        <v>0</v>
      </c>
      <c r="AC23" s="7213">
        <v>0</v>
      </c>
      <c r="AD23" s="541">
        <v>93</v>
      </c>
      <c r="AE23" s="629">
        <v>10</v>
      </c>
      <c r="AF23" s="629">
        <v>10</v>
      </c>
      <c r="AG23" s="629">
        <v>10</v>
      </c>
      <c r="AH23" s="629">
        <v>10</v>
      </c>
      <c r="AI23" s="629">
        <v>10</v>
      </c>
      <c r="AJ23" s="629">
        <v>10</v>
      </c>
      <c r="AK23" s="629">
        <v>10</v>
      </c>
      <c r="AL23" s="629">
        <v>10</v>
      </c>
      <c r="AM23" s="799">
        <v>10</v>
      </c>
      <c r="AN23" s="629">
        <v>23</v>
      </c>
    </row>
  </sheetData>
  <sheetProtection formatColumns="0" formatRows="0" autoFilter="0" sort="0" insertRows="0" insertColumns="1" deleteRows="0" deleteColumns="0"/>
  <mergeCells count="8">
    <mergeCell ref="AD21:AD22"/>
    <mergeCell ref="AD9:AD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C18">
      <formula1>900</formula1>
    </dataValidation>
    <dataValidation type="whole" allowBlank="1" showErrorMessage="1" errorTitle="Ошибка" error="Допускается ввод только неотрицательных целых чисел!" sqref="G15:AC17">
      <formula1>0</formula1>
      <formula2>9.99999999999999E+23</formula2>
    </dataValidation>
    <dataValidation type="decimal" allowBlank="1" showErrorMessage="1" errorTitle="Ошибка" error="Допускается ввод только действительных чисел!" sqref="G2:AC2 G21:AC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2D3ED8-C0C2-1DC8-7C2D-F63C834B9BDE}"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7916" width="9.140625" hidden="1" customWidth="1"/>
    <col min="2" max="2" style="7158" width="9.140625" hidden="1" customWidth="1"/>
    <col min="3" max="3" style="7183" width="3.00390625" customWidth="1"/>
    <col min="4" max="4" style="7213" width="6.00390625" customWidth="1"/>
    <col min="5" max="6" style="7213" width="64.00390625" customWidth="1"/>
    <col min="7" max="7" style="7213" width="140.00390625" customWidth="1"/>
    <col min="8" max="8" style="7213" width="10.00390625" customWidth="1"/>
    <col min="9" max="10" style="7161" width="10.00390625" customWidth="1"/>
    <col min="11" max="16" style="7213" width="10.00390625" customWidth="1"/>
    <col min="17" max="17" style="7213" width="10.57421875" hidden="1"/>
  </cols>
  <sheetData>
    <row customHeight="1" ht="22.5" hidden="1">
      <c r="M1" s="379"/>
      <c r="N1" s="379"/>
      <c r="P1" s="379"/>
      <c r="Q1" s="207" t="s">
        <v>14</v>
      </c>
    </row>
    <row customHeight="1" ht="14.25" hidden="1">
      <c r="Q2" s="207">
        <v>0</v>
      </c>
    </row>
    <row customHeight="1" ht="14.25" hidden="1">
      <c r="Q3" s="207">
        <v>0</v>
      </c>
    </row>
    <row customHeight="1" ht="3">
      <c r="C4" s="220"/>
      <c r="D4" s="208"/>
      <c r="E4" s="208"/>
      <c r="F4" s="209"/>
      <c r="G4" s="209"/>
      <c r="Q4" s="207">
        <v>3</v>
      </c>
    </row>
    <row customHeight="1" ht="29.25">
      <c r="C5" s="220"/>
      <c r="D5" s="259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92"/>
      <c r="F5" s="2592"/>
      <c r="G5" s="2593"/>
      <c r="Q5" s="207">
        <v>28</v>
      </c>
    </row>
    <row s="7213" customFormat="1" customHeight="1" ht="18.75">
      <c r="A6" s="1006"/>
      <c r="B6" s="541"/>
      <c r="C6" s="500"/>
      <c r="D6" s="2594" t="str">
        <f>IF(org=0,"Не определено",org)</f>
        <v>ООО "СамРЭК-Эксплуатация"</v>
      </c>
      <c r="E6" s="2595"/>
      <c r="F6" s="2595"/>
      <c r="G6" s="2596"/>
      <c r="I6" s="624"/>
      <c r="J6" s="624"/>
      <c r="Q6" s="882">
        <v>18</v>
      </c>
    </row>
    <row customHeight="1" ht="14.699999999999998">
      <c r="C7" s="220"/>
      <c r="D7" s="208"/>
      <c r="E7" s="219"/>
      <c r="F7" s="876"/>
      <c r="G7" s="317"/>
      <c r="Q7" s="207">
        <v>14</v>
      </c>
    </row>
    <row s="7213" customFormat="1" customHeight="1" ht="1.05">
      <c r="A8" s="1792"/>
      <c r="B8" s="1284"/>
      <c r="C8" s="500"/>
      <c r="D8" s="487"/>
      <c r="E8" s="513"/>
      <c r="F8" s="876"/>
      <c r="G8" s="317"/>
      <c r="I8" s="1748"/>
      <c r="J8" s="1748"/>
      <c r="Q8" s="1755">
        <v>1</v>
      </c>
    </row>
    <row customHeight="1" ht="14.699999999999998">
      <c r="C9" s="220"/>
      <c r="D9" s="2346" t="s">
        <v>412</v>
      </c>
      <c r="E9" s="2346"/>
      <c r="F9" s="2346"/>
      <c r="G9" s="2526" t="s">
        <v>413</v>
      </c>
      <c r="Q9" s="207">
        <v>14</v>
      </c>
    </row>
    <row customHeight="1" ht="24">
      <c r="C10" s="220"/>
      <c r="D10" s="229" t="s">
        <v>88</v>
      </c>
      <c r="E10" s="232" t="s">
        <v>414</v>
      </c>
      <c r="F10" s="232" t="s">
        <v>502</v>
      </c>
      <c r="G10" s="2526"/>
      <c r="Q10" s="207">
        <v>23</v>
      </c>
    </row>
    <row customHeight="1" ht="12" hidden="1">
      <c r="C11" s="220"/>
      <c r="D11" s="211"/>
      <c r="E11" s="211"/>
      <c r="F11" s="211"/>
      <c r="G11" s="211"/>
      <c r="Q11" s="207">
        <v>0</v>
      </c>
    </row>
    <row customHeight="1" ht="65.25">
      <c r="A12" s="316"/>
      <c r="C12" s="220"/>
      <c r="D12" s="271">
        <v>1</v>
      </c>
      <c r="E12" s="32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22" t="s">
        <v>418</v>
      </c>
      <c r="G12" s="275"/>
      <c r="Q12" s="207">
        <v>62</v>
      </c>
    </row>
    <row customHeight="1" ht="24">
      <c r="A13" s="316"/>
      <c r="C13" s="220"/>
      <c r="D13" s="271" t="s">
        <v>1447</v>
      </c>
      <c r="E13" s="31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22" t="s">
        <v>418</v>
      </c>
      <c r="G13" s="275"/>
      <c r="Q13" s="207">
        <v>23</v>
      </c>
    </row>
    <row customHeight="1" ht="14.699999999999998">
      <c r="A14" s="316"/>
      <c r="C14" s="220"/>
      <c r="D14" s="271" t="s">
        <v>1483</v>
      </c>
      <c r="E14" s="319"/>
      <c r="F14" s="337"/>
      <c r="G14" s="230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07">
        <v>14</v>
      </c>
    </row>
    <row customHeight="1" ht="15.75">
      <c r="A15" s="316"/>
      <c r="C15" s="220"/>
      <c r="D15" s="233"/>
      <c r="E15" s="473" t="s">
        <v>1545</v>
      </c>
      <c r="F15" s="325"/>
      <c r="G15" s="2308"/>
      <c r="Q15" s="207">
        <v>15</v>
      </c>
    </row>
    <row customHeight="1" ht="14.699999999999998">
      <c r="A16" s="316"/>
      <c r="C16" s="220"/>
      <c r="D16" s="271" t="s">
        <v>1449</v>
      </c>
      <c r="E16" s="31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22" t="s">
        <v>418</v>
      </c>
      <c r="G16" s="461"/>
      <c r="Q16" s="207">
        <v>14</v>
      </c>
    </row>
    <row customHeight="1" ht="14.699999999999998">
      <c r="A17" s="316"/>
      <c r="C17" s="220"/>
      <c r="D17" s="271" t="s">
        <v>1491</v>
      </c>
      <c r="E17" s="319"/>
      <c r="F17" s="509"/>
      <c r="G17" s="230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07">
        <v>14</v>
      </c>
    </row>
    <row s="7213" customFormat="1" customHeight="1" ht="22.049999999999997">
      <c r="A18" s="467"/>
      <c r="B18" s="270"/>
      <c r="C18" s="431"/>
      <c r="D18" s="471"/>
      <c r="E18" s="473" t="s">
        <v>1546</v>
      </c>
      <c r="F18" s="462"/>
      <c r="G18" s="2308"/>
      <c r="I18" s="474"/>
      <c r="J18" s="474"/>
      <c r="Q18" s="466">
        <v>21</v>
      </c>
    </row>
    <row s="7213" customFormat="1" customHeight="1" ht="256.5" hidden="1">
      <c r="A19" s="467"/>
      <c r="B19" s="541"/>
      <c r="C19" s="500"/>
      <c r="D19" s="1008" t="s">
        <v>1451</v>
      </c>
      <c r="E19" s="1007" t="s">
        <v>1547</v>
      </c>
      <c r="F19" s="509"/>
      <c r="G19" s="461" t="s">
        <v>1548</v>
      </c>
      <c r="I19" s="624"/>
      <c r="J19" s="624"/>
      <c r="Q19" s="882">
        <v>0</v>
      </c>
    </row>
    <row s="7213" customFormat="1" customHeight="1" ht="14.699999999999998">
      <c r="A20" s="467"/>
      <c r="B20" s="270"/>
      <c r="C20" s="431"/>
      <c r="D20" s="1009">
        <v>2</v>
      </c>
      <c r="E20" s="454" t="s">
        <v>1549</v>
      </c>
      <c r="F20" s="322" t="s">
        <v>418</v>
      </c>
      <c r="G20" s="461"/>
      <c r="I20" s="474"/>
      <c r="J20" s="474"/>
      <c r="Q20" s="466">
        <v>14</v>
      </c>
    </row>
    <row s="7213" customFormat="1" customHeight="1" ht="18.75" hidden="1">
      <c r="A21" s="467"/>
      <c r="B21" s="270"/>
      <c r="C21" s="431"/>
      <c r="D21" s="457" t="s">
        <v>793</v>
      </c>
      <c r="E21" s="456"/>
      <c r="F21" s="455"/>
      <c r="G21" s="465"/>
      <c r="H21" s="458"/>
      <c r="I21" s="474"/>
      <c r="J21" s="474"/>
      <c r="Q21" s="466">
        <v>0</v>
      </c>
    </row>
    <row customHeight="1" ht="15.75">
      <c r="A22" s="316"/>
      <c r="C22" s="220"/>
      <c r="D22" s="233"/>
      <c r="E22" s="327" t="s">
        <v>434</v>
      </c>
      <c r="F22" s="462"/>
      <c r="G22" s="463"/>
      <c r="Q22" s="207">
        <v>15</v>
      </c>
    </row>
    <row s="7213" customFormat="1" customHeight="1" ht="22.5" hidden="1">
      <c r="A23" s="467"/>
      <c r="B23" s="1284"/>
      <c r="C23" s="500"/>
      <c r="D23" s="1796" t="s">
        <v>102</v>
      </c>
      <c r="E23" s="321" t="s">
        <v>1550</v>
      </c>
      <c r="F23" s="1793" t="s">
        <v>418</v>
      </c>
      <c r="G23" s="469"/>
      <c r="I23" s="1748"/>
      <c r="J23" s="1748"/>
      <c r="Q23" s="1755">
        <v>0</v>
      </c>
    </row>
    <row s="7213" customFormat="1" customHeight="1" ht="14.25" hidden="1">
      <c r="A24" s="467"/>
      <c r="B24" s="1284"/>
      <c r="C24" s="500"/>
      <c r="D24" s="1796" t="s">
        <v>865</v>
      </c>
      <c r="E24" s="1795" t="s">
        <v>1551</v>
      </c>
      <c r="F24" s="1793" t="s">
        <v>418</v>
      </c>
      <c r="G24" s="461"/>
      <c r="I24" s="1748"/>
      <c r="J24" s="1748"/>
      <c r="Q24" s="1755">
        <v>0</v>
      </c>
    </row>
    <row s="7213" customFormat="1" customHeight="1" ht="14.25" hidden="1">
      <c r="A25" s="467"/>
      <c r="B25" s="1284"/>
      <c r="C25" s="500"/>
      <c r="D25" s="1796" t="s">
        <v>868</v>
      </c>
      <c r="E25" s="319"/>
      <c r="F25" s="509"/>
      <c r="G25" s="2306" t="s">
        <v>1552</v>
      </c>
      <c r="I25" s="1748"/>
      <c r="J25" s="1748"/>
      <c r="Q25" s="1755">
        <v>0</v>
      </c>
    </row>
    <row s="7213" customFormat="1" customHeight="1" ht="14.25" hidden="1">
      <c r="A26" s="467"/>
      <c r="B26" s="1284"/>
      <c r="C26" s="500"/>
      <c r="D26" s="471"/>
      <c r="E26" s="473" t="s">
        <v>1553</v>
      </c>
      <c r="F26" s="462"/>
      <c r="G26" s="2308"/>
      <c r="I26" s="1748"/>
      <c r="J26" s="1748"/>
      <c r="Q26" s="1755">
        <v>0</v>
      </c>
    </row>
    <row s="7213" customFormat="1" customHeight="1" ht="33.75" hidden="1">
      <c r="A27" s="467"/>
      <c r="B27" s="1490"/>
      <c r="C27" s="500"/>
      <c r="D27" s="2200" t="s">
        <v>90</v>
      </c>
      <c r="E27" s="321" t="s">
        <v>1554</v>
      </c>
      <c r="F27" s="2201" t="s">
        <v>418</v>
      </c>
      <c r="G27" s="1649"/>
      <c r="I27" s="1748"/>
      <c r="J27" s="1748"/>
      <c r="Q27" s="1755">
        <v>0</v>
      </c>
    </row>
    <row s="7213" customFormat="1" customHeight="1" ht="22.5" hidden="1">
      <c r="A28" s="467"/>
      <c r="B28" s="1490"/>
      <c r="C28" s="500"/>
      <c r="D28" s="2200" t="s">
        <v>436</v>
      </c>
      <c r="E28" s="2202" t="s">
        <v>1555</v>
      </c>
      <c r="F28" s="2201" t="s">
        <v>418</v>
      </c>
      <c r="G28" s="461"/>
      <c r="I28" s="1748"/>
      <c r="J28" s="1748"/>
      <c r="Q28" s="1755">
        <v>0</v>
      </c>
    </row>
    <row s="7213" customFormat="1" customHeight="1" ht="14.25" hidden="1">
      <c r="A29" s="467"/>
      <c r="B29" s="1490"/>
      <c r="C29" s="500"/>
      <c r="D29" s="2200" t="s">
        <v>438</v>
      </c>
      <c r="E29" s="2747"/>
      <c r="F29" s="786"/>
      <c r="G29" s="2306" t="s">
        <v>1556</v>
      </c>
      <c r="I29" s="1748"/>
      <c r="J29" s="1748"/>
      <c r="Q29" s="1755">
        <v>0</v>
      </c>
    </row>
    <row s="7213" customFormat="1" customHeight="1" ht="14.25" hidden="1">
      <c r="A30" s="467"/>
      <c r="B30" s="1490"/>
      <c r="C30" s="500"/>
      <c r="D30" s="471"/>
      <c r="E30" s="695" t="s">
        <v>1553</v>
      </c>
      <c r="F30" s="462"/>
      <c r="G30" s="2308"/>
      <c r="I30" s="1748"/>
      <c r="J30" s="1748"/>
      <c r="Q30" s="1755">
        <v>0</v>
      </c>
    </row>
    <row customHeight="1" ht="3">
      <c r="Q31" s="207">
        <v>3</v>
      </c>
    </row>
    <row customHeight="1" ht="14.699999999999998">
      <c r="D32" s="460"/>
      <c r="E32" s="459"/>
      <c r="F32" s="439"/>
      <c r="G32" s="439"/>
      <c r="H32" s="439"/>
      <c r="I32" s="439"/>
      <c r="J32" s="439"/>
      <c r="K32" s="439"/>
      <c r="L32" s="439"/>
      <c r="M32" s="439"/>
      <c r="N32" s="439"/>
      <c r="O32" s="439"/>
      <c r="P32" s="439"/>
      <c r="Q32" s="207">
        <v>14</v>
      </c>
    </row>
    <row customHeight="1" ht="14.699999999999998">
      <c r="D33" s="460"/>
      <c r="E33" s="706"/>
      <c r="Q33" s="207">
        <v>14</v>
      </c>
    </row>
    <row customHeight="1" ht="14.699999999999998">
      <c r="Q34" s="207">
        <v>14</v>
      </c>
    </row>
    <row customHeight="1" ht="14.699999999999998">
      <c r="E35" s="882"/>
      <c r="Q35" s="207">
        <v>14</v>
      </c>
    </row>
    <row customHeight="1" ht="22.5" hidden="1">
      <c r="A36" s="225" t="s">
        <v>82</v>
      </c>
      <c r="B36" s="270">
        <v>0</v>
      </c>
      <c r="C36" s="221">
        <v>3</v>
      </c>
      <c r="D36" s="207">
        <v>6</v>
      </c>
      <c r="E36" s="207">
        <v>64</v>
      </c>
      <c r="F36" s="207">
        <v>64</v>
      </c>
      <c r="G36" s="207">
        <v>140</v>
      </c>
      <c r="H36" s="207">
        <v>10</v>
      </c>
      <c r="I36" s="279">
        <v>10</v>
      </c>
      <c r="J36" s="279">
        <v>10</v>
      </c>
      <c r="K36" s="207">
        <v>10</v>
      </c>
      <c r="L36" s="207">
        <v>10</v>
      </c>
      <c r="M36" s="207">
        <v>10</v>
      </c>
      <c r="N36" s="207">
        <v>10</v>
      </c>
      <c r="O36" s="207">
        <v>10</v>
      </c>
      <c r="P36" s="207">
        <v>10</v>
      </c>
      <c r="Q36" s="207">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42D64-0378-00FF-F90D-86E3D8ACD476}"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6374" width="9.140625" hidden="1" customWidth="1"/>
    <col min="2" max="2" style="7158" width="9.140625" hidden="1" customWidth="1"/>
    <col min="3" max="3" style="7183" width="3.00390625" customWidth="1"/>
    <col min="4" max="4" style="7213" width="6.00390625" customWidth="1"/>
    <col min="5" max="5" style="7213" width="63.00390625" customWidth="1"/>
    <col min="6" max="6" style="7213" width="1.7109375" hidden="1" customWidth="1"/>
    <col min="7" max="8" style="7213" width="35.00390625" customWidth="1"/>
    <col min="9" max="9" style="7213" width="91.00390625" customWidth="1"/>
    <col min="10" max="10" style="7213" width="68.00390625" customWidth="1"/>
    <col min="11" max="12" style="7161" width="10.00390625" customWidth="1"/>
    <col min="13" max="13" style="7213" width="10.57421875" hidden="1"/>
  </cols>
  <sheetData>
    <row customHeight="1" ht="22.5" hidden="1">
      <c r="M1" s="207" t="s">
        <v>14</v>
      </c>
    </row>
    <row s="7213" customFormat="1" customHeight="1" ht="18.75" hidden="1">
      <c r="A2" s="1806"/>
      <c r="B2" s="1284"/>
      <c r="C2" s="1853" t="s">
        <v>103</v>
      </c>
      <c r="D2" s="1796"/>
      <c r="E2" s="323"/>
      <c r="F2" s="1793"/>
      <c r="G2" s="1793" t="s">
        <v>418</v>
      </c>
      <c r="H2" s="1285"/>
      <c r="K2" s="1748"/>
      <c r="L2" s="1748"/>
      <c r="M2" s="1755">
        <v>0</v>
      </c>
    </row>
    <row s="7213" customFormat="1" customHeight="1" ht="14.25" hidden="1">
      <c r="A3" s="1486"/>
      <c r="B3" s="1284"/>
      <c r="C3" s="468"/>
      <c r="K3" s="1748"/>
      <c r="L3" s="1748"/>
      <c r="M3" s="1755">
        <v>0</v>
      </c>
    </row>
    <row s="7213" customFormat="1" customHeight="1" ht="18.75" hidden="1">
      <c r="A4" s="1806"/>
      <c r="B4" s="1284"/>
      <c r="C4" s="1853" t="s">
        <v>103</v>
      </c>
      <c r="D4" s="1796"/>
      <c r="E4" s="329" t="s">
        <v>1557</v>
      </c>
      <c r="F4" s="1793"/>
      <c r="G4" s="381"/>
      <c r="H4" s="1793" t="s">
        <v>418</v>
      </c>
      <c r="K4" s="1748"/>
      <c r="L4" s="1748"/>
      <c r="M4" s="1755">
        <v>0</v>
      </c>
    </row>
    <row s="7213" customFormat="1" customHeight="1" ht="14.25" hidden="1">
      <c r="A5" s="1486"/>
      <c r="B5" s="1284"/>
      <c r="C5" s="468"/>
      <c r="K5" s="1748"/>
      <c r="L5" s="1748"/>
      <c r="M5" s="1755">
        <v>0</v>
      </c>
    </row>
    <row s="7213" customFormat="1" customHeight="1" ht="18.75" hidden="1">
      <c r="A6" s="1806"/>
      <c r="B6" s="1284"/>
      <c r="C6" s="1853" t="s">
        <v>103</v>
      </c>
      <c r="D6" s="1796"/>
      <c r="E6" s="330" t="s">
        <v>1558</v>
      </c>
      <c r="F6" s="1793"/>
      <c r="G6" s="381"/>
      <c r="H6" s="1793" t="s">
        <v>418</v>
      </c>
      <c r="K6" s="1748"/>
      <c r="L6" s="1748"/>
      <c r="M6" s="1755">
        <v>0</v>
      </c>
    </row>
    <row s="7213" customFormat="1" customHeight="1" ht="14.25" hidden="1">
      <c r="A7" s="1486"/>
      <c r="B7" s="1284"/>
      <c r="C7" s="468"/>
      <c r="K7" s="1748"/>
      <c r="L7" s="1748"/>
      <c r="M7" s="1755">
        <v>0</v>
      </c>
    </row>
    <row s="7213" customFormat="1" customHeight="1" ht="18.75" hidden="1">
      <c r="A8" s="1806"/>
      <c r="B8" s="1284"/>
      <c r="C8" s="1853" t="s">
        <v>103</v>
      </c>
      <c r="D8" s="1796"/>
      <c r="E8" s="330" t="s">
        <v>1559</v>
      </c>
      <c r="F8" s="1793"/>
      <c r="G8" s="381"/>
      <c r="H8" s="1793" t="s">
        <v>418</v>
      </c>
      <c r="K8" s="1748"/>
      <c r="L8" s="1748"/>
      <c r="M8" s="1755">
        <v>0</v>
      </c>
    </row>
    <row s="7213" customFormat="1" customHeight="1" ht="14.25" hidden="1">
      <c r="A9" s="1486"/>
      <c r="B9" s="1284"/>
      <c r="C9" s="468"/>
      <c r="K9" s="1748"/>
      <c r="L9" s="1748"/>
      <c r="M9" s="1755">
        <v>0</v>
      </c>
    </row>
    <row s="7213" customFormat="1" customHeight="1" ht="18.75" hidden="1">
      <c r="A10" s="1806"/>
      <c r="B10" s="1284"/>
      <c r="C10" s="1853" t="s">
        <v>103</v>
      </c>
      <c r="D10" s="1796"/>
      <c r="E10" s="330" t="s">
        <v>1560</v>
      </c>
      <c r="F10" s="1793"/>
      <c r="G10" s="1797"/>
      <c r="H10" s="1793" t="s">
        <v>418</v>
      </c>
      <c r="K10" s="1748"/>
      <c r="L10" s="1748" t="s">
        <v>1561</v>
      </c>
      <c r="M10" s="1755">
        <v>0</v>
      </c>
    </row>
    <row customHeight="1" ht="14.25" hidden="1">
      <c r="M11" s="207">
        <v>0</v>
      </c>
    </row>
    <row customHeight="1" ht="14.25" hidden="1">
      <c r="M12" s="207">
        <v>0</v>
      </c>
    </row>
    <row customHeight="1" ht="14.699999999999998">
      <c r="C13" s="220"/>
      <c r="D13" s="208"/>
      <c r="E13" s="208"/>
      <c r="F13" s="208"/>
      <c r="G13" s="208"/>
      <c r="H13" s="209"/>
      <c r="I13" s="209"/>
      <c r="M13" s="207">
        <v>14</v>
      </c>
    </row>
    <row customHeight="1" ht="29.25">
      <c r="C14" s="220"/>
      <c r="D14" s="259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92"/>
      <c r="F14" s="2592"/>
      <c r="G14" s="2592"/>
      <c r="H14" s="2593"/>
      <c r="J14" s="1755"/>
      <c r="M14" s="207">
        <v>28</v>
      </c>
    </row>
    <row s="7213" customFormat="1" customHeight="1" ht="14.699999999999998">
      <c r="A15" s="1486"/>
      <c r="B15" s="1284"/>
      <c r="C15" s="500"/>
      <c r="D15" s="2594" t="str">
        <f>IF(org=0,"Не определено",org)</f>
        <v>ООО "СамРЭК-Эксплуатация"</v>
      </c>
      <c r="E15" s="2595"/>
      <c r="F15" s="2595"/>
      <c r="G15" s="2595"/>
      <c r="H15" s="2596"/>
      <c r="J15" s="976"/>
      <c r="K15" s="1748"/>
      <c r="L15" s="1748"/>
      <c r="M15" s="1755">
        <v>14</v>
      </c>
    </row>
    <row customHeight="1" ht="14.699999999999998">
      <c r="C16" s="220"/>
      <c r="D16" s="208"/>
      <c r="E16" s="219"/>
      <c r="F16" s="219"/>
      <c r="G16" s="219"/>
      <c r="H16" s="876"/>
      <c r="I16" s="317"/>
      <c r="M16" s="207">
        <v>14</v>
      </c>
    </row>
    <row s="7213" customFormat="1" customHeight="1" ht="14.25" hidden="1">
      <c r="A17" s="1486"/>
      <c r="B17" s="1284"/>
      <c r="C17" s="500"/>
      <c r="D17" s="487"/>
      <c r="E17" s="513"/>
      <c r="F17" s="513"/>
      <c r="G17" s="513"/>
      <c r="H17" s="876"/>
      <c r="I17" s="317"/>
      <c r="K17" s="1748"/>
      <c r="L17" s="1748"/>
      <c r="M17" s="1755">
        <v>0</v>
      </c>
    </row>
    <row customHeight="1" ht="22.049999999999997">
      <c r="C18" s="220"/>
      <c r="D18" s="2346" t="s">
        <v>412</v>
      </c>
      <c r="E18" s="2346"/>
      <c r="F18" s="2346"/>
      <c r="G18" s="2346"/>
      <c r="H18" s="2346"/>
      <c r="I18" s="2526" t="s">
        <v>413</v>
      </c>
      <c r="M18" s="207">
        <v>21</v>
      </c>
    </row>
    <row customHeight="1" ht="22.049999999999997">
      <c r="C19" s="220"/>
      <c r="D19" s="229" t="s">
        <v>88</v>
      </c>
      <c r="E19" s="232" t="s">
        <v>414</v>
      </c>
      <c r="F19" s="232"/>
      <c r="G19" s="232" t="s">
        <v>415</v>
      </c>
      <c r="H19" s="232" t="s">
        <v>502</v>
      </c>
      <c r="I19" s="2526"/>
      <c r="M19" s="207">
        <v>21</v>
      </c>
    </row>
    <row customHeight="1" ht="12" hidden="1">
      <c r="C20" s="220"/>
      <c r="D20" s="211"/>
      <c r="E20" s="211"/>
      <c r="F20" s="211"/>
      <c r="G20" s="211"/>
      <c r="H20" s="211"/>
      <c r="I20" s="211"/>
      <c r="M20" s="207">
        <v>0</v>
      </c>
    </row>
    <row customHeight="1" ht="14.699999999999998">
      <c r="A21" s="1806"/>
      <c r="C21" s="220"/>
      <c r="D21" s="271">
        <v>1</v>
      </c>
      <c r="E21" s="2598" t="s">
        <v>1562</v>
      </c>
      <c r="F21" s="2598"/>
      <c r="G21" s="2598"/>
      <c r="H21" s="2598"/>
      <c r="I21" s="332"/>
      <c r="M21" s="207">
        <v>14</v>
      </c>
    </row>
    <row customHeight="1" ht="21">
      <c r="A22" s="1806"/>
      <c r="C22" s="220"/>
      <c r="D22" s="271" t="s">
        <v>1447</v>
      </c>
      <c r="E22" s="318" t="s">
        <v>1563</v>
      </c>
      <c r="F22" s="322"/>
      <c r="G22" s="1860"/>
      <c r="H22" s="322" t="s">
        <v>418</v>
      </c>
      <c r="I22" s="275" t="s">
        <v>1564</v>
      </c>
      <c r="M22" s="207">
        <v>20</v>
      </c>
    </row>
    <row customHeight="1" ht="60">
      <c r="A23" s="1806"/>
      <c r="C23" s="220"/>
      <c r="D23" s="271" t="s">
        <v>1449</v>
      </c>
      <c r="E23" s="318" t="s">
        <v>1565</v>
      </c>
      <c r="F23" s="322"/>
      <c r="G23" s="381"/>
      <c r="H23" s="337"/>
      <c r="I23" s="382" t="s">
        <v>1566</v>
      </c>
      <c r="M23" s="207">
        <v>57</v>
      </c>
    </row>
    <row customHeight="1" ht="14.699999999999998">
      <c r="A24" s="1806"/>
      <c r="B24" s="270">
        <v>3</v>
      </c>
      <c r="C24" s="220"/>
      <c r="D24" s="271">
        <v>2</v>
      </c>
      <c r="E24" s="34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22"/>
      <c r="G24" s="322" t="s">
        <v>418</v>
      </c>
      <c r="H24" s="337"/>
      <c r="I24" s="383" t="s">
        <v>788</v>
      </c>
      <c r="M24" s="207">
        <v>14</v>
      </c>
    </row>
    <row customHeight="1" ht="48.29999999999999">
      <c r="A25" s="1806"/>
      <c r="C25" s="220"/>
      <c r="D25" s="271">
        <v>3</v>
      </c>
      <c r="E25" s="25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97"/>
      <c r="G25" s="2597"/>
      <c r="H25" s="2597"/>
      <c r="I25" s="380"/>
      <c r="M25" s="207">
        <v>46</v>
      </c>
    </row>
    <row customHeight="1" ht="14.699999999999998">
      <c r="A26" s="1806"/>
      <c r="C26" s="220"/>
      <c r="D26" s="271" t="s">
        <v>436</v>
      </c>
      <c r="E26" s="323"/>
      <c r="F26" s="322"/>
      <c r="G26" s="322" t="s">
        <v>418</v>
      </c>
      <c r="H26" s="337"/>
      <c r="I26" s="2306" t="s">
        <v>1567</v>
      </c>
      <c r="M26" s="207">
        <v>14</v>
      </c>
    </row>
    <row customHeight="1" ht="15.75">
      <c r="A27" s="1806" t="s">
        <v>210</v>
      </c>
      <c r="C27" s="220"/>
      <c r="D27" s="233"/>
      <c r="E27" s="327" t="s">
        <v>434</v>
      </c>
      <c r="F27" s="328"/>
      <c r="G27" s="328"/>
      <c r="H27" s="325"/>
      <c r="I27" s="2308"/>
      <c r="M27" s="207">
        <v>15</v>
      </c>
    </row>
    <row customHeight="1" ht="39.75">
      <c r="A28" s="1806"/>
      <c r="B28" s="270">
        <v>3</v>
      </c>
      <c r="C28" s="220"/>
      <c r="D28" s="271">
        <v>4</v>
      </c>
      <c r="E28" s="25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97"/>
      <c r="G28" s="2597"/>
      <c r="H28" s="2597"/>
      <c r="I28" s="380"/>
      <c r="M28" s="207">
        <v>38</v>
      </c>
    </row>
    <row customHeight="1" ht="21">
      <c r="A29" s="1806"/>
      <c r="C29" s="220"/>
      <c r="D29" s="271" t="s">
        <v>916</v>
      </c>
      <c r="E29" s="329" t="s">
        <v>1557</v>
      </c>
      <c r="F29" s="322"/>
      <c r="G29" s="381"/>
      <c r="H29" s="322" t="s">
        <v>418</v>
      </c>
      <c r="I29" s="2306" t="s">
        <v>1568</v>
      </c>
      <c r="M29" s="207">
        <v>20</v>
      </c>
    </row>
    <row customHeight="1" ht="15.75">
      <c r="A30" s="1806" t="s">
        <v>102</v>
      </c>
      <c r="C30" s="220"/>
      <c r="D30" s="233"/>
      <c r="E30" s="327" t="s">
        <v>434</v>
      </c>
      <c r="F30" s="328"/>
      <c r="G30" s="328"/>
      <c r="H30" s="325"/>
      <c r="I30" s="2308"/>
      <c r="M30" s="207">
        <v>15</v>
      </c>
    </row>
    <row customHeight="1" ht="31.5">
      <c r="A31" s="1806"/>
      <c r="B31" s="270">
        <v>3</v>
      </c>
      <c r="C31" s="220"/>
      <c r="D31" s="271">
        <v>5</v>
      </c>
      <c r="E31" s="25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97"/>
      <c r="G31" s="2597"/>
      <c r="H31" s="2597"/>
      <c r="I31" s="380"/>
      <c r="M31" s="207">
        <v>30</v>
      </c>
    </row>
    <row customHeight="1" ht="27.299999999999997">
      <c r="A32" s="1806"/>
      <c r="C32" s="220"/>
      <c r="D32" s="271" t="s">
        <v>425</v>
      </c>
      <c r="E32" s="254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40"/>
      <c r="G32" s="2540"/>
      <c r="H32" s="2540"/>
      <c r="I32" s="380"/>
      <c r="M32" s="207">
        <v>26</v>
      </c>
    </row>
    <row customHeight="1" ht="14.699999999999998">
      <c r="A33" s="1806"/>
      <c r="C33" s="220"/>
      <c r="D33" s="271" t="s">
        <v>1569</v>
      </c>
      <c r="E33" s="330" t="s">
        <v>1558</v>
      </c>
      <c r="F33" s="322"/>
      <c r="G33" s="381"/>
      <c r="H33" s="322" t="s">
        <v>418</v>
      </c>
      <c r="I33" s="2306" t="s">
        <v>1570</v>
      </c>
      <c r="M33" s="207">
        <v>14</v>
      </c>
    </row>
    <row customHeight="1" ht="15.75">
      <c r="A34" s="1806" t="s">
        <v>90</v>
      </c>
      <c r="C34" s="220"/>
      <c r="D34" s="233"/>
      <c r="E34" s="328" t="s">
        <v>434</v>
      </c>
      <c r="F34" s="324"/>
      <c r="G34" s="324"/>
      <c r="H34" s="325"/>
      <c r="I34" s="2308"/>
      <c r="M34" s="207">
        <v>15</v>
      </c>
    </row>
    <row customHeight="1" ht="25.2">
      <c r="A35" s="1806"/>
      <c r="C35" s="220"/>
      <c r="D35" s="271" t="s">
        <v>1057</v>
      </c>
      <c r="E35" s="254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40"/>
      <c r="G35" s="2540"/>
      <c r="H35" s="2540"/>
      <c r="I35" s="380"/>
      <c r="M35" s="207">
        <v>24</v>
      </c>
    </row>
    <row customHeight="1" ht="14.699999999999998">
      <c r="A36" s="1806"/>
      <c r="C36" s="220"/>
      <c r="D36" s="271" t="s">
        <v>1571</v>
      </c>
      <c r="E36" s="330" t="s">
        <v>1559</v>
      </c>
      <c r="F36" s="322"/>
      <c r="G36" s="381"/>
      <c r="H36" s="322" t="s">
        <v>418</v>
      </c>
      <c r="I36" s="2280" t="s">
        <v>1572</v>
      </c>
      <c r="M36" s="207">
        <v>14</v>
      </c>
    </row>
    <row customHeight="1" ht="15.75">
      <c r="A37" s="1806" t="s">
        <v>91</v>
      </c>
      <c r="C37" s="220"/>
      <c r="D37" s="233"/>
      <c r="E37" s="328" t="s">
        <v>434</v>
      </c>
      <c r="F37" s="324"/>
      <c r="G37" s="324"/>
      <c r="H37" s="325"/>
      <c r="I37" s="2280"/>
      <c r="M37" s="207">
        <v>15</v>
      </c>
    </row>
    <row customHeight="1" ht="27.299999999999997">
      <c r="A38" s="1806"/>
      <c r="C38" s="220"/>
      <c r="D38" s="271" t="s">
        <v>1058</v>
      </c>
      <c r="E38" s="254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40"/>
      <c r="G38" s="2540"/>
      <c r="H38" s="2540"/>
      <c r="I38" s="380"/>
      <c r="M38" s="207">
        <v>26</v>
      </c>
    </row>
    <row customHeight="1" ht="14.699999999999998">
      <c r="A39" s="1806"/>
      <c r="C39" s="220"/>
      <c r="D39" s="271" t="s">
        <v>1059</v>
      </c>
      <c r="E39" s="330" t="s">
        <v>1560</v>
      </c>
      <c r="F39" s="322"/>
      <c r="G39" s="331"/>
      <c r="H39" s="322" t="s">
        <v>418</v>
      </c>
      <c r="I39" s="2306" t="s">
        <v>1573</v>
      </c>
      <c r="L39" s="279" t="s">
        <v>1561</v>
      </c>
      <c r="M39" s="207">
        <v>14</v>
      </c>
    </row>
    <row customHeight="1" ht="15.75">
      <c r="A40" s="1806" t="s">
        <v>116</v>
      </c>
      <c r="C40" s="220"/>
      <c r="D40" s="233"/>
      <c r="E40" s="328" t="s">
        <v>434</v>
      </c>
      <c r="F40" s="324"/>
      <c r="G40" s="324"/>
      <c r="H40" s="325"/>
      <c r="I40" s="2308"/>
      <c r="M40" s="207">
        <v>15</v>
      </c>
    </row>
    <row s="7689" customFormat="1" customHeight="1" ht="3">
      <c r="A41" s="1806"/>
      <c r="K41" s="320"/>
      <c r="L41" s="320"/>
      <c r="M41" s="264">
        <v>3</v>
      </c>
    </row>
    <row customHeight="1" ht="26.25">
      <c r="D42" s="1804" t="s">
        <v>978</v>
      </c>
      <c r="E42" s="24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22"/>
      <c r="G42" s="2422"/>
      <c r="H42" s="2422"/>
      <c r="I42" s="2422"/>
      <c r="M42" s="207">
        <v>25</v>
      </c>
    </row>
    <row customHeight="1" ht="22.5" hidden="1">
      <c r="A43" s="1486" t="s">
        <v>82</v>
      </c>
      <c r="B43" s="270">
        <v>0</v>
      </c>
      <c r="C43" s="221">
        <v>3</v>
      </c>
      <c r="D43" s="207">
        <v>6</v>
      </c>
      <c r="E43" s="207">
        <v>63</v>
      </c>
      <c r="F43" s="207">
        <v>0</v>
      </c>
      <c r="G43" s="207">
        <v>35</v>
      </c>
      <c r="H43" s="207">
        <v>35</v>
      </c>
      <c r="I43" s="207">
        <v>91</v>
      </c>
      <c r="J43" s="207">
        <v>68</v>
      </c>
      <c r="K43" s="279">
        <v>10</v>
      </c>
      <c r="L43" s="279">
        <v>10</v>
      </c>
      <c r="M43" s="20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1FC2F-BED8-455F-53E8-55047087487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7240" width="25.140625" hidden="1" customWidth="1"/>
    <col min="3" max="3" style="7241" width="9.140625" hidden="1" customWidth="1"/>
    <col min="4" max="4" style="7183" width="3.00390625" customWidth="1"/>
    <col min="5" max="5" style="7213" width="6.00390625" customWidth="1"/>
    <col min="6" max="6" style="7213" width="46.7109375" customWidth="1"/>
    <col min="7" max="7" style="7213" width="35.00390625" customWidth="1"/>
    <col min="8" max="8" style="7213" width="3.00390625" customWidth="1"/>
    <col min="9" max="10" style="7213" width="11.00390625" customWidth="1"/>
    <col min="11" max="12" style="7213" width="35.00390625" customWidth="1"/>
    <col min="13" max="13" style="7213" width="84.00390625" customWidth="1"/>
    <col min="14" max="14" style="7213" width="10.00390625" customWidth="1"/>
    <col min="15" max="16" style="7161" width="10.00390625" customWidth="1"/>
    <col min="17" max="33" style="7213" width="10.00390625" customWidth="1"/>
    <col min="34" max="34" style="7213" width="10.57421875" hidden="1"/>
  </cols>
  <sheetData>
    <row s="7213" customFormat="1" customHeight="1" ht="22.5" hidden="1">
      <c r="A1" s="1902"/>
      <c r="B1" s="1902"/>
      <c r="C1" s="493"/>
      <c r="D1" s="468"/>
      <c r="N1" s="1760">
        <f>_xlfn.IFERROR(MATCH("метод экономически обоснованных расходов (затрат)",OFFER_METHOD,0),0)</f>
        <v>0</v>
      </c>
      <c r="O1" s="1748"/>
      <c r="P1" s="1748"/>
      <c r="T1" s="955"/>
      <c r="AG1" s="379"/>
      <c r="AH1" s="1755" t="s">
        <v>14</v>
      </c>
    </row>
    <row s="7213" customFormat="1" customHeight="1" ht="18.75" hidden="1">
      <c r="A2" s="1903" t="s">
        <v>269</v>
      </c>
      <c r="B2" s="1903" t="s">
        <v>270</v>
      </c>
      <c r="C2" s="493"/>
      <c r="D2" s="468"/>
      <c r="E2" s="1155"/>
      <c r="F2" s="1155"/>
      <c r="G2" s="2564" t="str">
        <f>INDEX(PT_DIFFERENTIATION_NTAR,MATCH(B2,PT_DIFFERENTIATION_NTAR_ID,0))</f>
        <v/>
      </c>
      <c r="H2" s="1985"/>
      <c r="I2" s="1862"/>
      <c r="J2" s="1896"/>
      <c r="K2" s="1986"/>
      <c r="L2" s="1985" t="s">
        <v>418</v>
      </c>
      <c r="M2" s="1996"/>
      <c r="N2" s="458"/>
      <c r="O2" s="1748"/>
      <c r="P2" s="1748"/>
      <c r="AH2" s="1755">
        <v>0</v>
      </c>
    </row>
    <row s="7213" customFormat="1" customHeight="1" ht="18.75" hidden="1">
      <c r="A3" s="1903"/>
      <c r="B3" s="1903"/>
      <c r="C3" s="493" t="s">
        <v>1574</v>
      </c>
      <c r="D3" s="468"/>
      <c r="E3" s="1155"/>
      <c r="F3" s="1155"/>
      <c r="G3" s="2564"/>
      <c r="H3" s="1624"/>
      <c r="I3" s="775" t="s">
        <v>1575</v>
      </c>
      <c r="J3" s="695"/>
      <c r="K3" s="1624"/>
      <c r="L3" s="338"/>
      <c r="M3" s="1996"/>
      <c r="N3" s="458"/>
      <c r="O3" s="1748"/>
      <c r="P3" s="1748"/>
      <c r="AH3" s="1755">
        <v>0</v>
      </c>
    </row>
    <row s="7213" customFormat="1" customHeight="1" ht="14.25" hidden="1">
      <c r="A4" s="1902"/>
      <c r="B4" s="1902"/>
      <c r="C4" s="493"/>
      <c r="D4" s="468"/>
      <c r="N4" s="1760">
        <f>_xlfn.IFERROR(MATCH("метод экономически обоснованных расходов (затрат)",OFFER_METHOD,0),0)</f>
        <v>0</v>
      </c>
      <c r="O4" s="1748"/>
      <c r="P4" s="1748"/>
      <c r="T4" s="955"/>
      <c r="AG4" s="379"/>
      <c r="AH4" s="1755">
        <v>0</v>
      </c>
    </row>
    <row s="7213" customFormat="1" customHeight="1" ht="18.75" hidden="1">
      <c r="A5" s="1903" t="s">
        <v>269</v>
      </c>
      <c r="B5" s="1903" t="s">
        <v>270</v>
      </c>
      <c r="C5" s="493"/>
      <c r="D5" s="468"/>
      <c r="E5" s="1155"/>
      <c r="F5" s="1155"/>
      <c r="G5" s="2564" t="str">
        <f>INDEX(PT_DIFFERENTIATION_NTAR,MATCH(B5,PT_DIFFERENTIATION_NTAR_ID,0))</f>
        <v/>
      </c>
      <c r="H5" s="1985"/>
      <c r="I5" s="1862"/>
      <c r="J5" s="1896"/>
      <c r="K5" s="1901"/>
      <c r="L5" s="1985" t="s">
        <v>418</v>
      </c>
      <c r="M5" s="1996"/>
      <c r="N5" s="458"/>
      <c r="O5" s="1748"/>
      <c r="P5" s="1748"/>
      <c r="AH5" s="1755">
        <v>0</v>
      </c>
    </row>
    <row s="7213" customFormat="1" customHeight="1" ht="18.75" hidden="1">
      <c r="A6" s="1903"/>
      <c r="B6" s="1903"/>
      <c r="C6" s="493" t="s">
        <v>1576</v>
      </c>
      <c r="D6" s="468"/>
      <c r="E6" s="1155"/>
      <c r="F6" s="1155"/>
      <c r="G6" s="2564"/>
      <c r="H6" s="1624"/>
      <c r="I6" s="775" t="s">
        <v>1575</v>
      </c>
      <c r="J6" s="695"/>
      <c r="K6" s="1624"/>
      <c r="L6" s="338"/>
      <c r="M6" s="1996"/>
      <c r="N6" s="458"/>
      <c r="O6" s="1748"/>
      <c r="P6" s="1748"/>
      <c r="AH6" s="1755">
        <v>0</v>
      </c>
    </row>
    <row s="7213" customFormat="1" customHeight="1" ht="14.25" hidden="1">
      <c r="A7" s="1902"/>
      <c r="B7" s="1902"/>
      <c r="C7" s="493"/>
      <c r="D7" s="468"/>
      <c r="N7" s="1760">
        <f>_xlfn.IFERROR(MATCH("метод экономически обоснованных расходов (затрат)",OFFER_METHOD,0),0)</f>
        <v>0</v>
      </c>
      <c r="O7" s="1748"/>
      <c r="P7" s="1748"/>
      <c r="T7" s="955"/>
      <c r="AG7" s="379"/>
      <c r="AH7" s="1755">
        <v>0</v>
      </c>
    </row>
    <row s="7213" customFormat="1" customHeight="1" ht="56.25" hidden="1">
      <c r="A8" s="1903"/>
      <c r="B8" s="1903"/>
      <c r="C8" s="493"/>
      <c r="D8" s="468"/>
      <c r="E8" s="1155"/>
      <c r="F8" s="1155"/>
      <c r="G8" s="1155"/>
      <c r="H8" s="1894"/>
      <c r="I8" s="1862"/>
      <c r="J8" s="1896"/>
      <c r="K8" s="1986"/>
      <c r="L8" s="1894" t="s">
        <v>418</v>
      </c>
      <c r="M8" s="1996"/>
      <c r="N8" s="458"/>
      <c r="O8" s="1748"/>
      <c r="P8" s="1748"/>
      <c r="AH8" s="1755">
        <v>0</v>
      </c>
    </row>
    <row customHeight="1" ht="14.25" hidden="1">
      <c r="T9" s="521"/>
      <c r="AG9" s="379"/>
      <c r="AH9" s="498">
        <v>0</v>
      </c>
    </row>
    <row s="7213" customFormat="1" customHeight="1" ht="56.25" hidden="1">
      <c r="A10" s="1903"/>
      <c r="B10" s="1903"/>
      <c r="C10" s="493"/>
      <c r="D10" s="468"/>
      <c r="E10" s="1155"/>
      <c r="F10" s="1155"/>
      <c r="G10" s="1155"/>
      <c r="H10" s="1893"/>
      <c r="I10" s="1862"/>
      <c r="J10" s="1896"/>
      <c r="K10" s="1901"/>
      <c r="L10" s="1894" t="s">
        <v>418</v>
      </c>
      <c r="M10" s="1996"/>
      <c r="N10" s="458"/>
      <c r="O10" s="1748"/>
      <c r="P10" s="1748"/>
      <c r="AH10" s="1755">
        <v>0</v>
      </c>
    </row>
    <row customHeight="1" ht="14.25" hidden="1">
      <c r="AH11" s="498">
        <v>0</v>
      </c>
    </row>
    <row customHeight="1" ht="14.25" hidden="1">
      <c r="AH12" s="498">
        <v>0</v>
      </c>
    </row>
    <row customHeight="1" ht="6.3">
      <c r="D13" s="500"/>
      <c r="E13" s="487"/>
      <c r="F13" s="487"/>
      <c r="G13" s="487"/>
      <c r="H13" s="487"/>
      <c r="I13" s="487"/>
      <c r="J13" s="487"/>
      <c r="K13" s="487"/>
      <c r="L13" s="209"/>
      <c r="M13" s="209"/>
      <c r="AH13" s="498">
        <v>6</v>
      </c>
    </row>
    <row customHeight="1" ht="14.699999999999998">
      <c r="D14" s="500"/>
      <c r="E14" s="26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02"/>
      <c r="G14" s="2602"/>
      <c r="H14" s="2602"/>
      <c r="I14" s="2602"/>
      <c r="J14" s="2602"/>
      <c r="K14" s="2602"/>
      <c r="L14" s="2602"/>
      <c r="M14" s="344"/>
      <c r="AH14" s="498">
        <v>14</v>
      </c>
    </row>
    <row customHeight="1" ht="6.3">
      <c r="D15" s="500"/>
      <c r="E15" s="487"/>
      <c r="F15" s="513"/>
      <c r="G15" s="513"/>
      <c r="H15" s="513"/>
      <c r="I15" s="513"/>
      <c r="J15" s="513"/>
      <c r="K15" s="513"/>
      <c r="L15" s="446"/>
      <c r="M15" s="317"/>
      <c r="AH15" s="498">
        <v>6</v>
      </c>
    </row>
    <row customHeight="1" ht="24">
      <c r="D16" s="500"/>
      <c r="E16" s="487"/>
      <c r="F16" s="429" t="str">
        <f>"Дата подачи заявления об "&amp;IF(TITLE_DATE_PR_CHANGE="","утверждении","изменении")&amp;" тарифов"</f>
        <v>Дата подачи заявления об утверждении тарифов</v>
      </c>
      <c r="G16" s="2401" t="str">
        <f>IF(TITLE_DATE_PR_CHANGE="",IF(TITLE_DATE_PR="","",TITLE_DATE_PR),TITLE_DATE_PR_CHANGE)</f>
        <v/>
      </c>
      <c r="H16" s="2401"/>
      <c r="I16" s="2401"/>
      <c r="J16" s="2401"/>
      <c r="K16" s="2401"/>
      <c r="L16" s="2401"/>
      <c r="M16" s="522"/>
      <c r="N16" s="450"/>
      <c r="AH16" s="498">
        <v>23</v>
      </c>
    </row>
    <row customHeight="1" ht="24">
      <c r="D17" s="500"/>
      <c r="E17" s="487"/>
      <c r="F17" s="429" t="str">
        <f>"Номер подачи заявления об "&amp;IF(TITLE_DATE_PR_CHANGE="","утверждении","изменении")&amp;" тарифов"</f>
        <v>Номер подачи заявления об утверждении тарифов</v>
      </c>
      <c r="G17" s="2388" t="str">
        <f>IF(TITLE_NUMBER_PR_CHANGE="",IF(TITLE_NUMBER_PR="","",TITLE_NUMBER_PR),TITLE_NUMBER_PR_CHANGE)</f>
        <v/>
      </c>
      <c r="H17" s="2388"/>
      <c r="I17" s="2388"/>
      <c r="J17" s="2388"/>
      <c r="K17" s="2388"/>
      <c r="L17" s="2388"/>
      <c r="M17" s="522"/>
      <c r="N17" s="450"/>
      <c r="AH17" s="498">
        <v>23</v>
      </c>
    </row>
    <row customHeight="1" ht="14.699999999999998">
      <c r="D18" s="500"/>
      <c r="E18" s="487"/>
      <c r="F18" s="513"/>
      <c r="G18" s="513"/>
      <c r="H18" s="513"/>
      <c r="I18" s="513"/>
      <c r="J18" s="513"/>
      <c r="K18" s="513"/>
      <c r="L18" s="876"/>
      <c r="M18" s="317"/>
      <c r="AH18" s="498">
        <v>14</v>
      </c>
    </row>
    <row customHeight="1" ht="22.049999999999997">
      <c r="D19" s="500"/>
      <c r="E19" s="2346" t="s">
        <v>412</v>
      </c>
      <c r="F19" s="2346"/>
      <c r="G19" s="2346"/>
      <c r="H19" s="2346"/>
      <c r="I19" s="2346"/>
      <c r="J19" s="2346"/>
      <c r="K19" s="2346"/>
      <c r="L19" s="2346"/>
      <c r="M19" s="2526" t="s">
        <v>413</v>
      </c>
      <c r="AH19" s="498">
        <v>21</v>
      </c>
    </row>
    <row customHeight="1" ht="22.049999999999997">
      <c r="D20" s="500"/>
      <c r="E20" s="2414" t="s">
        <v>88</v>
      </c>
      <c r="F20" s="2361" t="s">
        <v>242</v>
      </c>
      <c r="G20" s="2361" t="s">
        <v>243</v>
      </c>
      <c r="H20" s="2523" t="s">
        <v>1577</v>
      </c>
      <c r="I20" s="2524"/>
      <c r="J20" s="2570"/>
      <c r="K20" s="2361" t="s">
        <v>415</v>
      </c>
      <c r="L20" s="2361" t="s">
        <v>502</v>
      </c>
      <c r="M20" s="2526"/>
      <c r="AH20" s="498">
        <v>21</v>
      </c>
    </row>
    <row customHeight="1" ht="22.049999999999997">
      <c r="D21" s="500"/>
      <c r="E21" s="2416"/>
      <c r="F21" s="2362"/>
      <c r="G21" s="2362"/>
      <c r="H21" s="2355" t="s">
        <v>1578</v>
      </c>
      <c r="I21" s="2357"/>
      <c r="J21" s="232" t="s">
        <v>1579</v>
      </c>
      <c r="K21" s="2362"/>
      <c r="L21" s="2362"/>
      <c r="M21" s="2526"/>
      <c r="AH21" s="498">
        <v>21</v>
      </c>
    </row>
    <row customHeight="1" ht="12.75">
      <c r="D22" s="500"/>
      <c r="E22" s="405"/>
      <c r="F22" s="405"/>
      <c r="G22" s="405"/>
      <c r="H22" s="2604"/>
      <c r="I22" s="2604"/>
      <c r="J22" s="405"/>
      <c r="K22" s="405"/>
      <c r="L22" s="405"/>
      <c r="M22" s="405"/>
      <c r="AH22" s="498">
        <v>12</v>
      </c>
    </row>
    <row customHeight="1" ht="19.95">
      <c r="A23" s="1903"/>
      <c r="B23" s="1903"/>
      <c r="D23" s="500"/>
      <c r="E23" s="1987" t="s">
        <v>210</v>
      </c>
      <c r="F23" s="2605" t="str">
        <f>"Предлагаемый метод регулирования"&amp;IF(TEMPLATE_SPHERE="HEAT"," в сфере "&amp;TEMPLATE_SPHERE_RUS,"")</f>
        <v>Предлагаемый метод регулирования в сфере теплоснабжения</v>
      </c>
      <c r="G23" s="2606"/>
      <c r="H23" s="2598"/>
      <c r="I23" s="2598"/>
      <c r="J23" s="2598"/>
      <c r="K23" s="2606" t="s">
        <v>418</v>
      </c>
      <c r="L23" s="2598"/>
      <c r="M23" s="1892"/>
      <c r="N23" s="458"/>
      <c r="AH23" s="498">
        <v>19</v>
      </c>
    </row>
    <row customHeight="1" ht="60.75" hidden="1">
      <c r="A24" s="1903" t="s">
        <v>269</v>
      </c>
      <c r="B24" s="1903" t="s">
        <v>270</v>
      </c>
      <c r="D24" s="2603"/>
      <c r="E24" s="2341"/>
      <c r="F24" s="260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4" t="str">
        <f>INDEX(PT_DIFFERENTIATION_NTAR,MATCH(B24,PT_DIFFERENTIATION_NTAR_ID,0))</f>
        <v/>
      </c>
      <c r="H24" s="1983"/>
      <c r="I24" s="1862"/>
      <c r="J24" s="1896"/>
      <c r="K24" s="1986"/>
      <c r="L24" s="1891" t="s">
        <v>418</v>
      </c>
      <c r="M24" s="23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58"/>
      <c r="AH24" s="498">
        <v>0</v>
      </c>
    </row>
    <row s="7213" customFormat="1" customHeight="1" ht="18.75" hidden="1">
      <c r="A25" s="1903"/>
      <c r="B25" s="1903"/>
      <c r="C25" s="493" t="s">
        <v>1574</v>
      </c>
      <c r="D25" s="2603"/>
      <c r="E25" s="2341"/>
      <c r="F25" s="2607"/>
      <c r="G25" s="2564"/>
      <c r="H25" s="1624"/>
      <c r="I25" s="775" t="s">
        <v>1575</v>
      </c>
      <c r="J25" s="695"/>
      <c r="K25" s="1624"/>
      <c r="L25" s="338"/>
      <c r="M25" s="2307"/>
      <c r="N25" s="458"/>
      <c r="O25" s="1748"/>
      <c r="P25" s="1748"/>
      <c r="AH25" s="1755">
        <v>0</v>
      </c>
    </row>
    <row customHeight="1" ht="0.75" hidden="1">
      <c r="A26" s="1903"/>
      <c r="B26" s="1903"/>
      <c r="C26" s="493" t="s">
        <v>1580</v>
      </c>
      <c r="D26" s="2603"/>
      <c r="E26" s="2341"/>
      <c r="F26" s="2520"/>
      <c r="G26" s="524"/>
      <c r="H26" s="1624"/>
      <c r="I26" s="519"/>
      <c r="J26" s="473"/>
      <c r="K26" s="1624"/>
      <c r="L26" s="325"/>
      <c r="M26" s="2307"/>
      <c r="N26" s="458"/>
      <c r="AH26" s="498">
        <v>0</v>
      </c>
    </row>
    <row s="7213" customFormat="1" customHeight="1" ht="45" hidden="1">
      <c r="A27" s="1903" t="s">
        <v>274</v>
      </c>
      <c r="B27" s="1903" t="s">
        <v>275</v>
      </c>
      <c r="C27" s="493"/>
      <c r="D27" s="2599"/>
      <c r="E27" s="2600"/>
      <c r="F27" s="2601" t="str">
        <f>INDEX(PT_DIFFERENTIATION_VTAR,MATCH(A27,PT_DIFFERENTIATION_VTAR_ID,0))</f>
        <v/>
      </c>
      <c r="G27" s="2564" t="str">
        <f>INDEX(PT_DIFFERENTIATION_NTAR,MATCH(B27,PT_DIFFERENTIATION_NTAR_ID,0))</f>
        <v/>
      </c>
      <c r="H27" s="1983"/>
      <c r="I27" s="1862"/>
      <c r="J27" s="1896"/>
      <c r="K27" s="1986"/>
      <c r="L27" s="1983" t="s">
        <v>418</v>
      </c>
      <c r="M27" s="2307"/>
      <c r="N27" s="458"/>
      <c r="O27" s="1748"/>
      <c r="P27" s="1748"/>
      <c r="AH27" s="1755">
        <v>0</v>
      </c>
    </row>
    <row s="7213" customFormat="1" customHeight="1" ht="18.75" hidden="1">
      <c r="A28" s="1903"/>
      <c r="B28" s="1903"/>
      <c r="C28" s="493" t="s">
        <v>1574</v>
      </c>
      <c r="D28" s="2599"/>
      <c r="E28" s="2600"/>
      <c r="F28" s="2601"/>
      <c r="G28" s="2564"/>
      <c r="H28" s="1624"/>
      <c r="I28" s="775" t="s">
        <v>1575</v>
      </c>
      <c r="J28" s="695"/>
      <c r="K28" s="1624"/>
      <c r="L28" s="338"/>
      <c r="M28" s="2307"/>
      <c r="N28" s="458"/>
      <c r="O28" s="1748"/>
      <c r="P28" s="1748"/>
      <c r="AH28" s="1755">
        <v>0</v>
      </c>
    </row>
    <row s="7213" customFormat="1" customHeight="1" ht="0.75" hidden="1">
      <c r="A29" s="1903"/>
      <c r="B29" s="1903"/>
      <c r="C29" s="493" t="s">
        <v>1580</v>
      </c>
      <c r="D29" s="2599"/>
      <c r="E29" s="2341"/>
      <c r="F29" s="2520"/>
      <c r="G29" s="524"/>
      <c r="H29" s="1624"/>
      <c r="I29" s="775"/>
      <c r="J29" s="695"/>
      <c r="K29" s="1624"/>
      <c r="L29" s="338"/>
      <c r="M29" s="2307"/>
      <c r="N29" s="458"/>
      <c r="O29" s="1748"/>
      <c r="P29" s="1748"/>
      <c r="AH29" s="1755">
        <v>0</v>
      </c>
    </row>
    <row s="7213" customFormat="1" customHeight="1" ht="45" hidden="1">
      <c r="A30" s="1903" t="s">
        <v>281</v>
      </c>
      <c r="B30" s="1903" t="s">
        <v>282</v>
      </c>
      <c r="C30" s="493"/>
      <c r="D30" s="2599"/>
      <c r="E30" s="2341"/>
      <c r="F30" s="25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4" t="str">
        <f>INDEX(PT_DIFFERENTIATION_NTAR,MATCH(B30,PT_DIFFERENTIATION_NTAR_ID,0))</f>
        <v/>
      </c>
      <c r="H30" s="1983"/>
      <c r="I30" s="1862"/>
      <c r="J30" s="1896"/>
      <c r="K30" s="1986"/>
      <c r="L30" s="1983" t="s">
        <v>418</v>
      </c>
      <c r="M30" s="2307"/>
      <c r="N30" s="458"/>
      <c r="O30" s="1748"/>
      <c r="P30" s="1748"/>
      <c r="AH30" s="1755">
        <v>0</v>
      </c>
    </row>
    <row s="7213" customFormat="1" customHeight="1" ht="18.75" hidden="1">
      <c r="A31" s="1903"/>
      <c r="B31" s="1903"/>
      <c r="C31" s="493" t="s">
        <v>1574</v>
      </c>
      <c r="D31" s="2599"/>
      <c r="E31" s="2341"/>
      <c r="F31" s="2520"/>
      <c r="G31" s="2564"/>
      <c r="H31" s="1624"/>
      <c r="I31" s="775" t="s">
        <v>1575</v>
      </c>
      <c r="J31" s="695"/>
      <c r="K31" s="1624"/>
      <c r="L31" s="338"/>
      <c r="M31" s="2307"/>
      <c r="N31" s="458"/>
      <c r="O31" s="1748"/>
      <c r="P31" s="1748"/>
      <c r="AH31" s="1755">
        <v>0</v>
      </c>
    </row>
    <row s="7213" customFormat="1" customHeight="1" ht="0.75" hidden="1">
      <c r="A32" s="1903"/>
      <c r="B32" s="1903"/>
      <c r="C32" s="493" t="s">
        <v>1580</v>
      </c>
      <c r="D32" s="2599"/>
      <c r="E32" s="2341"/>
      <c r="F32" s="2520"/>
      <c r="G32" s="524"/>
      <c r="H32" s="1624"/>
      <c r="I32" s="775"/>
      <c r="J32" s="695"/>
      <c r="K32" s="1624"/>
      <c r="L32" s="338"/>
      <c r="M32" s="2307"/>
      <c r="N32" s="458"/>
      <c r="O32" s="1748"/>
      <c r="P32" s="1748"/>
      <c r="AH32" s="1755">
        <v>0</v>
      </c>
    </row>
    <row s="7213" customFormat="1" customHeight="1" ht="45" hidden="1">
      <c r="A33" s="1903" t="s">
        <v>287</v>
      </c>
      <c r="B33" s="1903" t="s">
        <v>288</v>
      </c>
      <c r="C33" s="493"/>
      <c r="D33" s="2599"/>
      <c r="E33" s="2341"/>
      <c r="F33" s="25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4" t="str">
        <f>INDEX(PT_DIFFERENTIATION_NTAR,MATCH(B33,PT_DIFFERENTIATION_NTAR_ID,0))</f>
        <v/>
      </c>
      <c r="H33" s="1983"/>
      <c r="I33" s="1862"/>
      <c r="J33" s="1896"/>
      <c r="K33" s="1986"/>
      <c r="L33" s="1983" t="s">
        <v>418</v>
      </c>
      <c r="M33" s="2307"/>
      <c r="N33" s="458"/>
      <c r="O33" s="1748"/>
      <c r="P33" s="1748"/>
      <c r="AH33" s="1755">
        <v>0</v>
      </c>
    </row>
    <row s="7213" customFormat="1" customHeight="1" ht="18.75" hidden="1">
      <c r="A34" s="1903"/>
      <c r="B34" s="1903"/>
      <c r="C34" s="493" t="s">
        <v>1574</v>
      </c>
      <c r="D34" s="2599"/>
      <c r="E34" s="2341"/>
      <c r="F34" s="2520"/>
      <c r="G34" s="2564"/>
      <c r="H34" s="1624"/>
      <c r="I34" s="775" t="s">
        <v>1575</v>
      </c>
      <c r="J34" s="695"/>
      <c r="K34" s="1624"/>
      <c r="L34" s="338"/>
      <c r="M34" s="2307"/>
      <c r="N34" s="458"/>
      <c r="O34" s="1748"/>
      <c r="P34" s="1748"/>
      <c r="AH34" s="1755">
        <v>0</v>
      </c>
    </row>
    <row s="7213" customFormat="1" customHeight="1" ht="0.75" hidden="1">
      <c r="A35" s="1903"/>
      <c r="B35" s="1903"/>
      <c r="C35" s="493" t="s">
        <v>1580</v>
      </c>
      <c r="D35" s="2599"/>
      <c r="E35" s="2341"/>
      <c r="F35" s="2520"/>
      <c r="G35" s="524"/>
      <c r="H35" s="1624"/>
      <c r="I35" s="775"/>
      <c r="J35" s="695"/>
      <c r="K35" s="1624"/>
      <c r="L35" s="338"/>
      <c r="M35" s="2307"/>
      <c r="N35" s="458"/>
      <c r="O35" s="1748"/>
      <c r="P35" s="1748"/>
      <c r="AH35" s="1755">
        <v>0</v>
      </c>
    </row>
    <row s="7213" customFormat="1" customHeight="1" ht="18.75" hidden="1">
      <c r="A36" s="1903" t="s">
        <v>293</v>
      </c>
      <c r="B36" s="1903" t="s">
        <v>294</v>
      </c>
      <c r="C36" s="493"/>
      <c r="D36" s="2599"/>
      <c r="E36" s="2341"/>
      <c r="F36" s="2520" t="str">
        <f>INDEX(PT_DIFFERENTIATION_VTAR,MATCH(A36,PT_DIFFERENTIATION_VTAR_ID,0))</f>
        <v>Тарифы на услуги по передаче тепловой энергии</v>
      </c>
      <c r="G36" s="2564" t="str">
        <f>INDEX(PT_DIFFERENTIATION_NTAR,MATCH(B36,PT_DIFFERENTIATION_NTAR_ID,0))</f>
        <v/>
      </c>
      <c r="H36" s="1983"/>
      <c r="I36" s="1862"/>
      <c r="J36" s="1896"/>
      <c r="K36" s="1986"/>
      <c r="L36" s="1983" t="s">
        <v>418</v>
      </c>
      <c r="M36" s="2307"/>
      <c r="N36" s="458"/>
      <c r="O36" s="1748"/>
      <c r="P36" s="1748"/>
      <c r="AH36" s="1755">
        <v>0</v>
      </c>
    </row>
    <row s="7213" customFormat="1" customHeight="1" ht="18.75" hidden="1">
      <c r="A37" s="1903"/>
      <c r="B37" s="1903"/>
      <c r="C37" s="493" t="s">
        <v>1574</v>
      </c>
      <c r="D37" s="2599"/>
      <c r="E37" s="2341"/>
      <c r="F37" s="2520"/>
      <c r="G37" s="2564"/>
      <c r="H37" s="1624"/>
      <c r="I37" s="775" t="s">
        <v>1575</v>
      </c>
      <c r="J37" s="695"/>
      <c r="K37" s="1624"/>
      <c r="L37" s="338"/>
      <c r="M37" s="2307"/>
      <c r="N37" s="458"/>
      <c r="O37" s="1748"/>
      <c r="P37" s="1748"/>
      <c r="AH37" s="1755">
        <v>0</v>
      </c>
    </row>
    <row s="7213" customFormat="1" customHeight="1" ht="0.75" hidden="1">
      <c r="A38" s="1903"/>
      <c r="B38" s="1903"/>
      <c r="C38" s="493" t="s">
        <v>1580</v>
      </c>
      <c r="D38" s="2599"/>
      <c r="E38" s="2341"/>
      <c r="F38" s="2520"/>
      <c r="G38" s="524"/>
      <c r="H38" s="1624"/>
      <c r="I38" s="775"/>
      <c r="J38" s="695"/>
      <c r="K38" s="1624"/>
      <c r="L38" s="338"/>
      <c r="M38" s="2307"/>
      <c r="N38" s="458"/>
      <c r="O38" s="1748"/>
      <c r="P38" s="1748"/>
      <c r="AH38" s="1755">
        <v>0</v>
      </c>
    </row>
    <row s="7213" customFormat="1" customHeight="1" ht="18.75" hidden="1">
      <c r="A39" s="1903" t="s">
        <v>299</v>
      </c>
      <c r="B39" s="1903" t="s">
        <v>300</v>
      </c>
      <c r="C39" s="493"/>
      <c r="D39" s="2599"/>
      <c r="E39" s="2341"/>
      <c r="F39" s="2520" t="str">
        <f>INDEX(PT_DIFFERENTIATION_VTAR,MATCH(A39,PT_DIFFERENTIATION_VTAR_ID,0))</f>
        <v>Тарифы на услуги по передаче теплоносителя</v>
      </c>
      <c r="G39" s="2564" t="str">
        <f>INDEX(PT_DIFFERENTIATION_NTAR,MATCH(B39,PT_DIFFERENTIATION_NTAR_ID,0))</f>
        <v/>
      </c>
      <c r="H39" s="1983"/>
      <c r="I39" s="1862"/>
      <c r="J39" s="1896"/>
      <c r="K39" s="1986"/>
      <c r="L39" s="1983" t="s">
        <v>418</v>
      </c>
      <c r="M39" s="2307"/>
      <c r="N39" s="458"/>
      <c r="O39" s="1748"/>
      <c r="P39" s="1748"/>
      <c r="AH39" s="1755">
        <v>0</v>
      </c>
    </row>
    <row s="7213" customFormat="1" customHeight="1" ht="18.75" hidden="1">
      <c r="A40" s="1903"/>
      <c r="B40" s="1903"/>
      <c r="C40" s="493" t="s">
        <v>1574</v>
      </c>
      <c r="D40" s="2599"/>
      <c r="E40" s="2341"/>
      <c r="F40" s="2520"/>
      <c r="G40" s="2564"/>
      <c r="H40" s="1624"/>
      <c r="I40" s="775" t="s">
        <v>1575</v>
      </c>
      <c r="J40" s="695"/>
      <c r="K40" s="1624"/>
      <c r="L40" s="338"/>
      <c r="M40" s="2307"/>
      <c r="N40" s="458"/>
      <c r="O40" s="1748"/>
      <c r="P40" s="1748"/>
      <c r="AH40" s="1755">
        <v>0</v>
      </c>
    </row>
    <row s="7213" customFormat="1" customHeight="1" ht="0.75" hidden="1">
      <c r="A41" s="1903"/>
      <c r="B41" s="1903"/>
      <c r="C41" s="493" t="s">
        <v>1580</v>
      </c>
      <c r="D41" s="2599"/>
      <c r="E41" s="2341"/>
      <c r="F41" s="2520"/>
      <c r="G41" s="524"/>
      <c r="H41" s="1624"/>
      <c r="I41" s="775"/>
      <c r="J41" s="695"/>
      <c r="K41" s="1624"/>
      <c r="L41" s="338"/>
      <c r="M41" s="2307"/>
      <c r="N41" s="458"/>
      <c r="O41" s="1748"/>
      <c r="P41" s="1748"/>
      <c r="AH41" s="1755">
        <v>0</v>
      </c>
    </row>
    <row s="7213" customFormat="1" customHeight="1" ht="18.75" hidden="1">
      <c r="A42" s="1903" t="s">
        <v>305</v>
      </c>
      <c r="B42" s="1903" t="s">
        <v>306</v>
      </c>
      <c r="C42" s="493"/>
      <c r="D42" s="2599"/>
      <c r="E42" s="2341"/>
      <c r="F42" s="25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4" t="str">
        <f>INDEX(PT_DIFFERENTIATION_NTAR,MATCH(B42,PT_DIFFERENTIATION_NTAR_ID,0))</f>
        <v/>
      </c>
      <c r="H42" s="1983"/>
      <c r="I42" s="1862"/>
      <c r="J42" s="1896"/>
      <c r="K42" s="1986"/>
      <c r="L42" s="1983" t="s">
        <v>418</v>
      </c>
      <c r="M42" s="2307"/>
      <c r="N42" s="458"/>
      <c r="O42" s="1748"/>
      <c r="P42" s="1748"/>
      <c r="AH42" s="1755">
        <v>0</v>
      </c>
    </row>
    <row s="7213" customFormat="1" customHeight="1" ht="18.75" hidden="1">
      <c r="A43" s="1903"/>
      <c r="B43" s="1903"/>
      <c r="C43" s="493" t="s">
        <v>1574</v>
      </c>
      <c r="D43" s="2599"/>
      <c r="E43" s="2341"/>
      <c r="F43" s="2520"/>
      <c r="G43" s="2564"/>
      <c r="H43" s="1624"/>
      <c r="I43" s="775" t="s">
        <v>1575</v>
      </c>
      <c r="J43" s="695"/>
      <c r="K43" s="1624"/>
      <c r="L43" s="338"/>
      <c r="M43" s="2307"/>
      <c r="N43" s="458"/>
      <c r="O43" s="1748"/>
      <c r="P43" s="1748"/>
      <c r="AH43" s="1755">
        <v>0</v>
      </c>
    </row>
    <row s="7213" customFormat="1" customHeight="1" ht="0.75" hidden="1">
      <c r="A44" s="1903"/>
      <c r="B44" s="1903"/>
      <c r="C44" s="493" t="s">
        <v>1580</v>
      </c>
      <c r="D44" s="2599"/>
      <c r="E44" s="2341"/>
      <c r="F44" s="2520"/>
      <c r="G44" s="524"/>
      <c r="H44" s="1624"/>
      <c r="I44" s="775"/>
      <c r="J44" s="695"/>
      <c r="K44" s="1624"/>
      <c r="L44" s="338"/>
      <c r="M44" s="2307"/>
      <c r="N44" s="458"/>
      <c r="O44" s="1748"/>
      <c r="P44" s="1748"/>
      <c r="AH44" s="1755">
        <v>0</v>
      </c>
    </row>
    <row s="7213" customFormat="1" customHeight="1" ht="18.75" hidden="1">
      <c r="A45" s="1903" t="s">
        <v>311</v>
      </c>
      <c r="B45" s="1903" t="s">
        <v>312</v>
      </c>
      <c r="C45" s="493"/>
      <c r="D45" s="2599"/>
      <c r="E45" s="2341"/>
      <c r="F45" s="2520" t="str">
        <f>INDEX(PT_DIFFERENTIATION_VTAR,MATCH(A45,PT_DIFFERENTIATION_VTAR_ID,0))</f>
        <v>Плата за подключение (технологическое присоединение) к системе теплоснабжения</v>
      </c>
      <c r="G45" s="2564" t="str">
        <f>INDEX(PT_DIFFERENTIATION_NTAR,MATCH(B45,PT_DIFFERENTIATION_NTAR_ID,0))</f>
        <v/>
      </c>
      <c r="H45" s="1983"/>
      <c r="I45" s="1862"/>
      <c r="J45" s="1896"/>
      <c r="K45" s="1986"/>
      <c r="L45" s="1983" t="s">
        <v>418</v>
      </c>
      <c r="M45" s="2307"/>
      <c r="N45" s="458"/>
      <c r="O45" s="1748"/>
      <c r="P45" s="1748"/>
      <c r="AH45" s="1755">
        <v>0</v>
      </c>
    </row>
    <row s="7213" customFormat="1" customHeight="1" ht="18.75" hidden="1">
      <c r="A46" s="1903"/>
      <c r="B46" s="1903"/>
      <c r="C46" s="493" t="s">
        <v>1574</v>
      </c>
      <c r="D46" s="2599"/>
      <c r="E46" s="2341"/>
      <c r="F46" s="2520"/>
      <c r="G46" s="2564"/>
      <c r="H46" s="1624"/>
      <c r="I46" s="775" t="s">
        <v>1575</v>
      </c>
      <c r="J46" s="695"/>
      <c r="K46" s="1624"/>
      <c r="L46" s="338"/>
      <c r="M46" s="2307"/>
      <c r="N46" s="458"/>
      <c r="O46" s="1748"/>
      <c r="P46" s="1748"/>
      <c r="AH46" s="1755">
        <v>0</v>
      </c>
    </row>
    <row s="7213" customFormat="1" customHeight="1" ht="0.75" hidden="1">
      <c r="A47" s="1903"/>
      <c r="B47" s="1903"/>
      <c r="C47" s="493" t="s">
        <v>1580</v>
      </c>
      <c r="D47" s="2599"/>
      <c r="E47" s="2341"/>
      <c r="F47" s="2520"/>
      <c r="G47" s="524"/>
      <c r="H47" s="1624"/>
      <c r="I47" s="775"/>
      <c r="J47" s="695"/>
      <c r="K47" s="1624"/>
      <c r="L47" s="338"/>
      <c r="M47" s="2307"/>
      <c r="N47" s="458"/>
      <c r="O47" s="1748"/>
      <c r="P47" s="1748"/>
      <c r="AH47" s="1755">
        <v>0</v>
      </c>
    </row>
    <row s="7213" customFormat="1" customHeight="1" ht="18.75" hidden="1">
      <c r="A48" s="1903" t="s">
        <v>317</v>
      </c>
      <c r="B48" s="1903" t="s">
        <v>318</v>
      </c>
      <c r="C48" s="493"/>
      <c r="D48" s="2599"/>
      <c r="E48" s="2341"/>
      <c r="F48" s="2520" t="str">
        <f>INDEX(PT_DIFFERENTIATION_VTAR,MATCH(A48,PT_DIFFERENTIATION_VTAR_ID,0))</f>
        <v>Плата за подключение (технологическое присоединение) к системе теплоснабжения (индивидуальная)</v>
      </c>
      <c r="G48" s="2564" t="str">
        <f>INDEX(PT_DIFFERENTIATION_NTAR,MATCH(B48,PT_DIFFERENTIATION_NTAR_ID,0))</f>
        <v/>
      </c>
      <c r="H48" s="2110"/>
      <c r="I48" s="1862"/>
      <c r="J48" s="1896"/>
      <c r="K48" s="1986"/>
      <c r="L48" s="2110" t="s">
        <v>418</v>
      </c>
      <c r="M48" s="2307"/>
      <c r="N48" s="458"/>
      <c r="O48" s="1748"/>
      <c r="P48" s="1748"/>
      <c r="AH48" s="1755">
        <v>0</v>
      </c>
    </row>
    <row s="7213" customFormat="1" customHeight="1" ht="18.75" hidden="1">
      <c r="A49" s="1903"/>
      <c r="B49" s="1903"/>
      <c r="C49" s="493" t="s">
        <v>1574</v>
      </c>
      <c r="D49" s="2599"/>
      <c r="E49" s="2341"/>
      <c r="F49" s="2520"/>
      <c r="G49" s="2564"/>
      <c r="H49" s="1624"/>
      <c r="I49" s="775" t="s">
        <v>1575</v>
      </c>
      <c r="J49" s="695"/>
      <c r="K49" s="1624"/>
      <c r="L49" s="338"/>
      <c r="M49" s="2307"/>
      <c r="N49" s="458"/>
      <c r="O49" s="1748"/>
      <c r="P49" s="1748"/>
      <c r="AH49" s="1755">
        <v>0</v>
      </c>
    </row>
    <row s="7213" customFormat="1" customHeight="1" ht="0.75" hidden="1">
      <c r="A50" s="1903"/>
      <c r="B50" s="1903"/>
      <c r="C50" s="493" t="s">
        <v>1580</v>
      </c>
      <c r="D50" s="2599"/>
      <c r="E50" s="2341"/>
      <c r="F50" s="2520"/>
      <c r="G50" s="524"/>
      <c r="H50" s="1624"/>
      <c r="I50" s="775"/>
      <c r="J50" s="695"/>
      <c r="K50" s="1624"/>
      <c r="L50" s="338"/>
      <c r="M50" s="2307"/>
      <c r="N50" s="458"/>
      <c r="O50" s="1748"/>
      <c r="P50" s="1748"/>
      <c r="AH50" s="1755">
        <v>0</v>
      </c>
    </row>
    <row s="7213" customFormat="1" customHeight="1" ht="18.75" hidden="1">
      <c r="A51" s="1903" t="s">
        <v>337</v>
      </c>
      <c r="B51" s="1903" t="s">
        <v>338</v>
      </c>
      <c r="C51" s="493"/>
      <c r="D51" s="2599"/>
      <c r="E51" s="2341"/>
      <c r="F51" s="2520" t="str">
        <f>INDEX(PT_DIFFERENTIATION_VTAR,MATCH(A51,PT_DIFFERENTIATION_VTAR_ID,0))</f>
        <v>Тариф на питьевую воду (питьевое водоснабжение)</v>
      </c>
      <c r="G51" s="2564" t="str">
        <f>INDEX(PT_DIFFERENTIATION_NTAR,MATCH(B51,PT_DIFFERENTIATION_NTAR_ID,0))</f>
        <v/>
      </c>
      <c r="H51" s="1983"/>
      <c r="I51" s="1862"/>
      <c r="J51" s="1896"/>
      <c r="K51" s="1986"/>
      <c r="L51" s="1983" t="s">
        <v>418</v>
      </c>
      <c r="M51" s="2307"/>
      <c r="N51" s="458"/>
      <c r="O51" s="1748"/>
      <c r="P51" s="1748"/>
      <c r="AH51" s="1755">
        <v>0</v>
      </c>
    </row>
    <row s="7213" customFormat="1" customHeight="1" ht="18.75" hidden="1">
      <c r="A52" s="1903"/>
      <c r="B52" s="1903"/>
      <c r="C52" s="493" t="s">
        <v>1574</v>
      </c>
      <c r="D52" s="2599"/>
      <c r="E52" s="2341"/>
      <c r="F52" s="2520"/>
      <c r="G52" s="2564"/>
      <c r="H52" s="1624"/>
      <c r="I52" s="775" t="s">
        <v>1575</v>
      </c>
      <c r="J52" s="695"/>
      <c r="K52" s="1624"/>
      <c r="L52" s="338"/>
      <c r="M52" s="2307"/>
      <c r="N52" s="458"/>
      <c r="O52" s="1748"/>
      <c r="P52" s="1748"/>
      <c r="AH52" s="1755">
        <v>0</v>
      </c>
    </row>
    <row s="7213" customFormat="1" customHeight="1" ht="0.75" hidden="1">
      <c r="A53" s="1903"/>
      <c r="B53" s="1903"/>
      <c r="C53" s="493" t="s">
        <v>1580</v>
      </c>
      <c r="D53" s="2599"/>
      <c r="E53" s="2341"/>
      <c r="F53" s="2520"/>
      <c r="G53" s="524"/>
      <c r="H53" s="1624"/>
      <c r="I53" s="775"/>
      <c r="J53" s="695"/>
      <c r="K53" s="1624"/>
      <c r="L53" s="338"/>
      <c r="M53" s="2307"/>
      <c r="N53" s="458"/>
      <c r="O53" s="1748"/>
      <c r="P53" s="1748"/>
      <c r="AH53" s="1755">
        <v>0</v>
      </c>
    </row>
    <row s="7213" customFormat="1" customHeight="1" ht="18.75" hidden="1">
      <c r="A54" s="1903" t="s">
        <v>342</v>
      </c>
      <c r="B54" s="1903" t="s">
        <v>343</v>
      </c>
      <c r="C54" s="493"/>
      <c r="D54" s="2599"/>
      <c r="E54" s="2341"/>
      <c r="F54" s="2520" t="str">
        <f>INDEX(PT_DIFFERENTIATION_VTAR,MATCH(A54,PT_DIFFERENTIATION_VTAR_ID,0))</f>
        <v>Тариф на техническую воду</v>
      </c>
      <c r="G54" s="2564" t="str">
        <f>INDEX(PT_DIFFERENTIATION_NTAR,MATCH(B54,PT_DIFFERENTIATION_NTAR_ID,0))</f>
        <v/>
      </c>
      <c r="H54" s="1983"/>
      <c r="I54" s="1862"/>
      <c r="J54" s="1896"/>
      <c r="K54" s="1986"/>
      <c r="L54" s="1983" t="s">
        <v>418</v>
      </c>
      <c r="M54" s="2307"/>
      <c r="N54" s="458"/>
      <c r="O54" s="1748"/>
      <c r="P54" s="1748"/>
      <c r="AH54" s="1755">
        <v>0</v>
      </c>
    </row>
    <row s="7213" customFormat="1" customHeight="1" ht="18.75" hidden="1">
      <c r="A55" s="1903"/>
      <c r="B55" s="1903"/>
      <c r="C55" s="493" t="s">
        <v>1574</v>
      </c>
      <c r="D55" s="2599"/>
      <c r="E55" s="2341"/>
      <c r="F55" s="2520"/>
      <c r="G55" s="2564"/>
      <c r="H55" s="1624"/>
      <c r="I55" s="775" t="s">
        <v>1575</v>
      </c>
      <c r="J55" s="695"/>
      <c r="K55" s="1624"/>
      <c r="L55" s="338"/>
      <c r="M55" s="2307"/>
      <c r="N55" s="458"/>
      <c r="O55" s="1748"/>
      <c r="P55" s="1748"/>
      <c r="AH55" s="1755">
        <v>0</v>
      </c>
    </row>
    <row s="7213" customFormat="1" customHeight="1" ht="0.75" hidden="1">
      <c r="A56" s="1903"/>
      <c r="B56" s="1903"/>
      <c r="C56" s="493" t="s">
        <v>1580</v>
      </c>
      <c r="D56" s="2599"/>
      <c r="E56" s="2341"/>
      <c r="F56" s="2520"/>
      <c r="G56" s="524"/>
      <c r="H56" s="1624"/>
      <c r="I56" s="775"/>
      <c r="J56" s="695"/>
      <c r="K56" s="1624"/>
      <c r="L56" s="338"/>
      <c r="M56" s="2307"/>
      <c r="N56" s="458"/>
      <c r="O56" s="1748"/>
      <c r="P56" s="1748"/>
      <c r="AH56" s="1755">
        <v>0</v>
      </c>
    </row>
    <row s="7213" customFormat="1" customHeight="1" ht="18.75" hidden="1">
      <c r="A57" s="1903" t="s">
        <v>347</v>
      </c>
      <c r="B57" s="1903" t="s">
        <v>348</v>
      </c>
      <c r="C57" s="493"/>
      <c r="D57" s="2599"/>
      <c r="E57" s="2341"/>
      <c r="F57" s="2520" t="str">
        <f>INDEX(PT_DIFFERENTIATION_VTAR,MATCH(A57,PT_DIFFERENTIATION_VTAR_ID,0))</f>
        <v>Тариф на транспортировку воды</v>
      </c>
      <c r="G57" s="2564" t="str">
        <f>INDEX(PT_DIFFERENTIATION_NTAR,MATCH(B57,PT_DIFFERENTIATION_NTAR_ID,0))</f>
        <v/>
      </c>
      <c r="H57" s="1983"/>
      <c r="I57" s="1862"/>
      <c r="J57" s="1896"/>
      <c r="K57" s="1986"/>
      <c r="L57" s="1983" t="s">
        <v>418</v>
      </c>
      <c r="M57" s="2307"/>
      <c r="N57" s="458"/>
      <c r="O57" s="1748"/>
      <c r="P57" s="1748"/>
      <c r="AH57" s="1755">
        <v>0</v>
      </c>
    </row>
    <row s="7213" customFormat="1" customHeight="1" ht="18.75" hidden="1">
      <c r="A58" s="1903"/>
      <c r="B58" s="1903"/>
      <c r="C58" s="493" t="s">
        <v>1574</v>
      </c>
      <c r="D58" s="2599"/>
      <c r="E58" s="2341"/>
      <c r="F58" s="2520"/>
      <c r="G58" s="2564"/>
      <c r="H58" s="1624"/>
      <c r="I58" s="775" t="s">
        <v>1575</v>
      </c>
      <c r="J58" s="695"/>
      <c r="K58" s="1624"/>
      <c r="L58" s="338"/>
      <c r="M58" s="2307"/>
      <c r="N58" s="458"/>
      <c r="O58" s="1748"/>
      <c r="P58" s="1748"/>
      <c r="AH58" s="1755">
        <v>0</v>
      </c>
    </row>
    <row s="7213" customFormat="1" customHeight="1" ht="0.75" hidden="1">
      <c r="A59" s="1903"/>
      <c r="B59" s="1903"/>
      <c r="C59" s="493" t="s">
        <v>1580</v>
      </c>
      <c r="D59" s="2599"/>
      <c r="E59" s="2341"/>
      <c r="F59" s="2520"/>
      <c r="G59" s="524"/>
      <c r="H59" s="1624"/>
      <c r="I59" s="775"/>
      <c r="J59" s="695"/>
      <c r="K59" s="1624"/>
      <c r="L59" s="338"/>
      <c r="M59" s="2307"/>
      <c r="N59" s="458"/>
      <c r="O59" s="1748"/>
      <c r="P59" s="1748"/>
      <c r="AH59" s="1755">
        <v>0</v>
      </c>
    </row>
    <row s="7213" customFormat="1" customHeight="1" ht="18.75" hidden="1">
      <c r="A60" s="1903" t="s">
        <v>352</v>
      </c>
      <c r="B60" s="1903" t="s">
        <v>353</v>
      </c>
      <c r="C60" s="493"/>
      <c r="D60" s="2599"/>
      <c r="E60" s="2341"/>
      <c r="F60" s="2520" t="str">
        <f>INDEX(PT_DIFFERENTIATION_VTAR,MATCH(A60,PT_DIFFERENTIATION_VTAR_ID,0))</f>
        <v>Тариф на подвоз воды</v>
      </c>
      <c r="G60" s="2564" t="str">
        <f>INDEX(PT_DIFFERENTIATION_NTAR,MATCH(B60,PT_DIFFERENTIATION_NTAR_ID,0))</f>
        <v/>
      </c>
      <c r="H60" s="1983"/>
      <c r="I60" s="1862"/>
      <c r="J60" s="1896"/>
      <c r="K60" s="1986"/>
      <c r="L60" s="1983" t="s">
        <v>418</v>
      </c>
      <c r="M60" s="2307"/>
      <c r="N60" s="458"/>
      <c r="O60" s="1748"/>
      <c r="P60" s="1748"/>
      <c r="AH60" s="1755">
        <v>0</v>
      </c>
    </row>
    <row s="7213" customFormat="1" customHeight="1" ht="18.75" hidden="1">
      <c r="A61" s="1903"/>
      <c r="B61" s="1903"/>
      <c r="C61" s="493" t="s">
        <v>1574</v>
      </c>
      <c r="D61" s="2599"/>
      <c r="E61" s="2341"/>
      <c r="F61" s="2520"/>
      <c r="G61" s="2564"/>
      <c r="H61" s="1624"/>
      <c r="I61" s="775" t="s">
        <v>1575</v>
      </c>
      <c r="J61" s="695"/>
      <c r="K61" s="1624"/>
      <c r="L61" s="338"/>
      <c r="M61" s="2307"/>
      <c r="N61" s="458"/>
      <c r="O61" s="1748"/>
      <c r="P61" s="1748"/>
      <c r="AH61" s="1755">
        <v>0</v>
      </c>
    </row>
    <row s="7213" customFormat="1" customHeight="1" ht="0.75" hidden="1">
      <c r="A62" s="1903"/>
      <c r="B62" s="1903"/>
      <c r="C62" s="493" t="s">
        <v>1580</v>
      </c>
      <c r="D62" s="2599"/>
      <c r="E62" s="2341"/>
      <c r="F62" s="2520"/>
      <c r="G62" s="524"/>
      <c r="H62" s="1624"/>
      <c r="I62" s="775"/>
      <c r="J62" s="695"/>
      <c r="K62" s="1624"/>
      <c r="L62" s="338"/>
      <c r="M62" s="2307"/>
      <c r="N62" s="458"/>
      <c r="O62" s="1748"/>
      <c r="P62" s="1748"/>
      <c r="AH62" s="1755">
        <v>0</v>
      </c>
    </row>
    <row s="7213" customFormat="1" customHeight="1" ht="18.75" hidden="1">
      <c r="A63" s="1903" t="s">
        <v>357</v>
      </c>
      <c r="B63" s="1903" t="s">
        <v>358</v>
      </c>
      <c r="C63" s="493"/>
      <c r="D63" s="2599"/>
      <c r="E63" s="2341"/>
      <c r="F63" s="25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4" t="str">
        <f>INDEX(PT_DIFFERENTIATION_NTAR,MATCH(B63,PT_DIFFERENTIATION_NTAR_ID,0))</f>
        <v/>
      </c>
      <c r="H63" s="1983"/>
      <c r="I63" s="1862"/>
      <c r="J63" s="1896"/>
      <c r="K63" s="1986"/>
      <c r="L63" s="1983" t="s">
        <v>418</v>
      </c>
      <c r="M63" s="2307"/>
      <c r="N63" s="458"/>
      <c r="O63" s="1748"/>
      <c r="P63" s="1748"/>
      <c r="AH63" s="1755">
        <v>0</v>
      </c>
    </row>
    <row s="7213" customFormat="1" customHeight="1" ht="18.75" hidden="1">
      <c r="A64" s="1903"/>
      <c r="B64" s="1903"/>
      <c r="C64" s="493" t="s">
        <v>1574</v>
      </c>
      <c r="D64" s="2599"/>
      <c r="E64" s="2341"/>
      <c r="F64" s="2520"/>
      <c r="G64" s="2564"/>
      <c r="H64" s="1624"/>
      <c r="I64" s="775" t="s">
        <v>1575</v>
      </c>
      <c r="J64" s="695"/>
      <c r="K64" s="1624"/>
      <c r="L64" s="338"/>
      <c r="M64" s="2307"/>
      <c r="N64" s="458"/>
      <c r="O64" s="1748"/>
      <c r="P64" s="1748"/>
      <c r="AH64" s="1755">
        <v>0</v>
      </c>
    </row>
    <row s="7213" customFormat="1" customHeight="1" ht="0.75" hidden="1">
      <c r="A65" s="1903"/>
      <c r="B65" s="1903"/>
      <c r="C65" s="493" t="s">
        <v>1580</v>
      </c>
      <c r="D65" s="2599"/>
      <c r="E65" s="2341"/>
      <c r="F65" s="2520"/>
      <c r="G65" s="524"/>
      <c r="H65" s="1624"/>
      <c r="I65" s="775"/>
      <c r="J65" s="695"/>
      <c r="K65" s="1624"/>
      <c r="L65" s="338"/>
      <c r="M65" s="2307"/>
      <c r="N65" s="458"/>
      <c r="O65" s="1748"/>
      <c r="P65" s="1748"/>
      <c r="AH65" s="1755">
        <v>0</v>
      </c>
    </row>
    <row s="7213" customFormat="1" customHeight="1" ht="18.75" hidden="1">
      <c r="A66" s="1903" t="s">
        <v>362</v>
      </c>
      <c r="B66" s="1903" t="s">
        <v>363</v>
      </c>
      <c r="C66" s="493"/>
      <c r="D66" s="2599"/>
      <c r="E66" s="2341"/>
      <c r="F66" s="2520" t="str">
        <f>INDEX(PT_DIFFERENTIATION_VTAR,MATCH(A66,PT_DIFFERENTIATION_VTAR_ID,0))</f>
        <v>Тариф на горячую воду (горячее водоснабжение)</v>
      </c>
      <c r="G66" s="2564" t="str">
        <f>INDEX(PT_DIFFERENTIATION_NTAR,MATCH(B66,PT_DIFFERENTIATION_NTAR_ID,0))</f>
        <v/>
      </c>
      <c r="H66" s="1983"/>
      <c r="I66" s="1862"/>
      <c r="J66" s="1896"/>
      <c r="K66" s="1986"/>
      <c r="L66" s="1983" t="s">
        <v>418</v>
      </c>
      <c r="M66" s="2307"/>
      <c r="N66" s="458"/>
      <c r="O66" s="1748"/>
      <c r="P66" s="1748"/>
      <c r="AH66" s="1755">
        <v>0</v>
      </c>
    </row>
    <row s="7213" customFormat="1" customHeight="1" ht="18.75" hidden="1">
      <c r="A67" s="1903"/>
      <c r="B67" s="1903"/>
      <c r="C67" s="493" t="s">
        <v>1574</v>
      </c>
      <c r="D67" s="2599"/>
      <c r="E67" s="2341"/>
      <c r="F67" s="2520"/>
      <c r="G67" s="2564"/>
      <c r="H67" s="1624"/>
      <c r="I67" s="775" t="s">
        <v>1575</v>
      </c>
      <c r="J67" s="695"/>
      <c r="K67" s="1624"/>
      <c r="L67" s="338"/>
      <c r="M67" s="2307"/>
      <c r="N67" s="458"/>
      <c r="O67" s="1748"/>
      <c r="P67" s="1748"/>
      <c r="AH67" s="1755">
        <v>0</v>
      </c>
    </row>
    <row s="7213" customFormat="1" customHeight="1" ht="0.75" hidden="1">
      <c r="A68" s="1903"/>
      <c r="B68" s="1903"/>
      <c r="C68" s="493" t="s">
        <v>1580</v>
      </c>
      <c r="D68" s="2599"/>
      <c r="E68" s="2341"/>
      <c r="F68" s="2520"/>
      <c r="G68" s="524"/>
      <c r="H68" s="1624"/>
      <c r="I68" s="775"/>
      <c r="J68" s="695"/>
      <c r="K68" s="1624"/>
      <c r="L68" s="338"/>
      <c r="M68" s="2307"/>
      <c r="N68" s="458"/>
      <c r="O68" s="1748"/>
      <c r="P68" s="1748"/>
      <c r="AH68" s="1755">
        <v>0</v>
      </c>
    </row>
    <row s="7213" customFormat="1" customHeight="1" ht="18.75" hidden="1">
      <c r="A69" s="1903" t="s">
        <v>367</v>
      </c>
      <c r="B69" s="1903" t="s">
        <v>368</v>
      </c>
      <c r="C69" s="493"/>
      <c r="D69" s="2599"/>
      <c r="E69" s="2341"/>
      <c r="F69" s="2520" t="str">
        <f>INDEX(PT_DIFFERENTIATION_VTAR,MATCH(A69,PT_DIFFERENTIATION_VTAR_ID,0))</f>
        <v>Тариф на транспортировку горячей воды</v>
      </c>
      <c r="G69" s="2564" t="str">
        <f>INDEX(PT_DIFFERENTIATION_NTAR,MATCH(B69,PT_DIFFERENTIATION_NTAR_ID,0))</f>
        <v/>
      </c>
      <c r="H69" s="1983"/>
      <c r="I69" s="1862"/>
      <c r="J69" s="1896"/>
      <c r="K69" s="1986"/>
      <c r="L69" s="1983" t="s">
        <v>418</v>
      </c>
      <c r="M69" s="2307"/>
      <c r="N69" s="458"/>
      <c r="O69" s="1748"/>
      <c r="P69" s="1748"/>
      <c r="AH69" s="1755">
        <v>0</v>
      </c>
    </row>
    <row s="7213" customFormat="1" customHeight="1" ht="18.75" hidden="1">
      <c r="A70" s="1903"/>
      <c r="B70" s="1903"/>
      <c r="C70" s="493" t="s">
        <v>1574</v>
      </c>
      <c r="D70" s="2599"/>
      <c r="E70" s="2341"/>
      <c r="F70" s="2520"/>
      <c r="G70" s="2564"/>
      <c r="H70" s="1624"/>
      <c r="I70" s="775" t="s">
        <v>1575</v>
      </c>
      <c r="J70" s="695"/>
      <c r="K70" s="1624"/>
      <c r="L70" s="338"/>
      <c r="M70" s="2307"/>
      <c r="N70" s="458"/>
      <c r="O70" s="1748"/>
      <c r="P70" s="1748"/>
      <c r="AH70" s="1755">
        <v>0</v>
      </c>
    </row>
    <row s="7213" customFormat="1" customHeight="1" ht="0.75" hidden="1">
      <c r="A71" s="1903"/>
      <c r="B71" s="1903"/>
      <c r="C71" s="493" t="s">
        <v>1580</v>
      </c>
      <c r="D71" s="2599"/>
      <c r="E71" s="2341"/>
      <c r="F71" s="2520"/>
      <c r="G71" s="524"/>
      <c r="H71" s="1624"/>
      <c r="I71" s="775"/>
      <c r="J71" s="695"/>
      <c r="K71" s="1624"/>
      <c r="L71" s="338"/>
      <c r="M71" s="2307"/>
      <c r="N71" s="458"/>
      <c r="O71" s="1748"/>
      <c r="P71" s="1748"/>
      <c r="AH71" s="1755">
        <v>0</v>
      </c>
    </row>
    <row s="7213" customFormat="1" customHeight="1" ht="18.75" hidden="1">
      <c r="A72" s="1903" t="s">
        <v>372</v>
      </c>
      <c r="B72" s="1903" t="s">
        <v>373</v>
      </c>
      <c r="C72" s="493"/>
      <c r="D72" s="2599"/>
      <c r="E72" s="2341"/>
      <c r="F72" s="2520" t="str">
        <f>INDEX(PT_DIFFERENTIATION_VTAR,MATCH(A72,PT_DIFFERENTIATION_VTAR_ID,0))</f>
        <v>Тариф на подключение (технологическое присоединение) к централизованной системе горячего водоснабжения</v>
      </c>
      <c r="G72" s="2564" t="str">
        <f>INDEX(PT_DIFFERENTIATION_NTAR,MATCH(B72,PT_DIFFERENTIATION_NTAR_ID,0))</f>
        <v/>
      </c>
      <c r="H72" s="1983"/>
      <c r="I72" s="1862"/>
      <c r="J72" s="1896"/>
      <c r="K72" s="1986"/>
      <c r="L72" s="1983" t="s">
        <v>418</v>
      </c>
      <c r="M72" s="2307"/>
      <c r="N72" s="458"/>
      <c r="O72" s="1748"/>
      <c r="P72" s="1748"/>
      <c r="AH72" s="1755">
        <v>0</v>
      </c>
    </row>
    <row s="7213" customFormat="1" customHeight="1" ht="18.75" hidden="1">
      <c r="A73" s="1903"/>
      <c r="B73" s="1903"/>
      <c r="C73" s="493" t="s">
        <v>1574</v>
      </c>
      <c r="D73" s="2599"/>
      <c r="E73" s="2341"/>
      <c r="F73" s="2520"/>
      <c r="G73" s="2564"/>
      <c r="H73" s="1624"/>
      <c r="I73" s="775" t="s">
        <v>1575</v>
      </c>
      <c r="J73" s="695"/>
      <c r="K73" s="1624"/>
      <c r="L73" s="338"/>
      <c r="M73" s="2307"/>
      <c r="N73" s="458"/>
      <c r="O73" s="1748"/>
      <c r="P73" s="1748"/>
      <c r="AH73" s="1755">
        <v>0</v>
      </c>
    </row>
    <row s="7213" customFormat="1" customHeight="1" ht="0.75" hidden="1">
      <c r="A74" s="1903"/>
      <c r="B74" s="1903"/>
      <c r="C74" s="493" t="s">
        <v>1580</v>
      </c>
      <c r="D74" s="2599"/>
      <c r="E74" s="2341"/>
      <c r="F74" s="2520"/>
      <c r="G74" s="524"/>
      <c r="H74" s="1624"/>
      <c r="I74" s="775"/>
      <c r="J74" s="695"/>
      <c r="K74" s="1624"/>
      <c r="L74" s="338"/>
      <c r="M74" s="2307"/>
      <c r="N74" s="458"/>
      <c r="O74" s="1748"/>
      <c r="P74" s="1748"/>
      <c r="AH74" s="1755">
        <v>0</v>
      </c>
    </row>
    <row s="7213" customFormat="1" customHeight="1" ht="18.75" hidden="1">
      <c r="A75" s="1903" t="s">
        <v>377</v>
      </c>
      <c r="B75" s="1903" t="s">
        <v>378</v>
      </c>
      <c r="C75" s="493"/>
      <c r="D75" s="2599"/>
      <c r="E75" s="2341"/>
      <c r="F75" s="2520" t="str">
        <f>INDEX(PT_DIFFERENTIATION_VTAR,MATCH(A75,PT_DIFFERENTIATION_VTAR_ID,0))</f>
        <v>Тариф на водоотведение</v>
      </c>
      <c r="G75" s="2564" t="str">
        <f>INDEX(PT_DIFFERENTIATION_NTAR,MATCH(B75,PT_DIFFERENTIATION_NTAR_ID,0))</f>
        <v/>
      </c>
      <c r="H75" s="1983"/>
      <c r="I75" s="1862"/>
      <c r="J75" s="1896"/>
      <c r="K75" s="1986"/>
      <c r="L75" s="1983" t="s">
        <v>418</v>
      </c>
      <c r="M75" s="2307"/>
      <c r="N75" s="458"/>
      <c r="O75" s="1748"/>
      <c r="P75" s="1748"/>
      <c r="AH75" s="1755">
        <v>0</v>
      </c>
    </row>
    <row s="7213" customFormat="1" customHeight="1" ht="18.75" hidden="1">
      <c r="A76" s="1903"/>
      <c r="B76" s="1903"/>
      <c r="C76" s="493" t="s">
        <v>1574</v>
      </c>
      <c r="D76" s="2599"/>
      <c r="E76" s="2341"/>
      <c r="F76" s="2520"/>
      <c r="G76" s="2564"/>
      <c r="H76" s="1624"/>
      <c r="I76" s="775" t="s">
        <v>1575</v>
      </c>
      <c r="J76" s="695"/>
      <c r="K76" s="1624"/>
      <c r="L76" s="338"/>
      <c r="M76" s="2307"/>
      <c r="N76" s="458"/>
      <c r="O76" s="1748"/>
      <c r="P76" s="1748"/>
      <c r="AH76" s="1755">
        <v>0</v>
      </c>
    </row>
    <row s="7213" customFormat="1" customHeight="1" ht="0.75" hidden="1">
      <c r="A77" s="1903"/>
      <c r="B77" s="1903"/>
      <c r="C77" s="493" t="s">
        <v>1580</v>
      </c>
      <c r="D77" s="2599"/>
      <c r="E77" s="2341"/>
      <c r="F77" s="2520"/>
      <c r="G77" s="524"/>
      <c r="H77" s="1624"/>
      <c r="I77" s="775"/>
      <c r="J77" s="695"/>
      <c r="K77" s="1624"/>
      <c r="L77" s="338"/>
      <c r="M77" s="2307"/>
      <c r="N77" s="458"/>
      <c r="O77" s="1748"/>
      <c r="P77" s="1748"/>
      <c r="AH77" s="1755">
        <v>0</v>
      </c>
    </row>
    <row s="7213" customFormat="1" customHeight="1" ht="18.75" hidden="1">
      <c r="A78" s="1903" t="s">
        <v>382</v>
      </c>
      <c r="B78" s="1903" t="s">
        <v>383</v>
      </c>
      <c r="C78" s="493"/>
      <c r="D78" s="2599"/>
      <c r="E78" s="2341"/>
      <c r="F78" s="2520" t="str">
        <f>INDEX(PT_DIFFERENTIATION_VTAR,MATCH(A78,PT_DIFFERENTIATION_VTAR_ID,0))</f>
        <v>Тариф на транспортировку сточных вод</v>
      </c>
      <c r="G78" s="2564" t="str">
        <f>INDEX(PT_DIFFERENTIATION_NTAR,MATCH(B78,PT_DIFFERENTIATION_NTAR_ID,0))</f>
        <v/>
      </c>
      <c r="H78" s="1983"/>
      <c r="I78" s="1862"/>
      <c r="J78" s="1896"/>
      <c r="K78" s="1986"/>
      <c r="L78" s="1983" t="s">
        <v>418</v>
      </c>
      <c r="M78" s="2307"/>
      <c r="N78" s="458"/>
      <c r="O78" s="1748"/>
      <c r="P78" s="1748"/>
      <c r="AH78" s="1755">
        <v>0</v>
      </c>
    </row>
    <row s="7213" customFormat="1" customHeight="1" ht="18.75" hidden="1">
      <c r="A79" s="1903"/>
      <c r="B79" s="1903"/>
      <c r="C79" s="493" t="s">
        <v>1574</v>
      </c>
      <c r="D79" s="2599"/>
      <c r="E79" s="2341"/>
      <c r="F79" s="2520"/>
      <c r="G79" s="2564"/>
      <c r="H79" s="1624"/>
      <c r="I79" s="775" t="s">
        <v>1575</v>
      </c>
      <c r="J79" s="695"/>
      <c r="K79" s="1624"/>
      <c r="L79" s="338"/>
      <c r="M79" s="2307"/>
      <c r="N79" s="458"/>
      <c r="O79" s="1748"/>
      <c r="P79" s="1748"/>
      <c r="AH79" s="1755">
        <v>0</v>
      </c>
    </row>
    <row s="7213" customFormat="1" customHeight="1" ht="0.75" hidden="1">
      <c r="A80" s="1903"/>
      <c r="B80" s="1903"/>
      <c r="C80" s="493" t="s">
        <v>1580</v>
      </c>
      <c r="D80" s="2599"/>
      <c r="E80" s="2341"/>
      <c r="F80" s="2520"/>
      <c r="G80" s="524"/>
      <c r="H80" s="1624"/>
      <c r="I80" s="775"/>
      <c r="J80" s="695"/>
      <c r="K80" s="1624"/>
      <c r="L80" s="338"/>
      <c r="M80" s="2307"/>
      <c r="N80" s="458"/>
      <c r="O80" s="1748"/>
      <c r="P80" s="1748"/>
      <c r="AH80" s="1755">
        <v>0</v>
      </c>
    </row>
    <row s="7213" customFormat="1" customHeight="1" ht="18.75" hidden="1">
      <c r="A81" s="1903" t="s">
        <v>387</v>
      </c>
      <c r="B81" s="1903" t="s">
        <v>388</v>
      </c>
      <c r="C81" s="493"/>
      <c r="D81" s="2599"/>
      <c r="E81" s="2341"/>
      <c r="F81" s="2520" t="str">
        <f>INDEX(PT_DIFFERENTIATION_VTAR,MATCH(A81,PT_DIFFERENTIATION_VTAR_ID,0))</f>
        <v>Тариф на подключение (технологическое присоединение) к централизованной системе водоотведения</v>
      </c>
      <c r="G81" s="2564" t="str">
        <f>INDEX(PT_DIFFERENTIATION_NTAR,MATCH(B81,PT_DIFFERENTIATION_NTAR_ID,0))</f>
        <v/>
      </c>
      <c r="H81" s="1983"/>
      <c r="I81" s="1862"/>
      <c r="J81" s="1896"/>
      <c r="K81" s="1986"/>
      <c r="L81" s="1983" t="s">
        <v>418</v>
      </c>
      <c r="M81" s="2307"/>
      <c r="N81" s="458"/>
      <c r="O81" s="1748"/>
      <c r="P81" s="1748"/>
      <c r="AH81" s="1755">
        <v>0</v>
      </c>
    </row>
    <row s="7213" customFormat="1" customHeight="1" ht="18.75" hidden="1">
      <c r="A82" s="1903"/>
      <c r="B82" s="1903"/>
      <c r="C82" s="493" t="s">
        <v>1574</v>
      </c>
      <c r="D82" s="2599"/>
      <c r="E82" s="2341"/>
      <c r="F82" s="2520"/>
      <c r="G82" s="2564"/>
      <c r="H82" s="1624"/>
      <c r="I82" s="775" t="s">
        <v>1575</v>
      </c>
      <c r="J82" s="695"/>
      <c r="K82" s="1624"/>
      <c r="L82" s="338"/>
      <c r="M82" s="2307"/>
      <c r="N82" s="458"/>
      <c r="O82" s="1748"/>
      <c r="P82" s="1748"/>
      <c r="AH82" s="1755">
        <v>0</v>
      </c>
    </row>
    <row s="7213" customFormat="1" customHeight="1" ht="1.05">
      <c r="A83" s="1903"/>
      <c r="B83" s="1903"/>
      <c r="C83" s="493" t="s">
        <v>1580</v>
      </c>
      <c r="D83" s="2599"/>
      <c r="E83" s="2341"/>
      <c r="F83" s="2520"/>
      <c r="G83" s="524"/>
      <c r="H83" s="1624"/>
      <c r="I83" s="775"/>
      <c r="J83" s="695"/>
      <c r="K83" s="1624"/>
      <c r="L83" s="338"/>
      <c r="M83" s="2307"/>
      <c r="N83" s="458"/>
      <c r="O83" s="1748"/>
      <c r="P83" s="1748"/>
      <c r="AH83" s="1755">
        <v>1</v>
      </c>
    </row>
    <row customHeight="1" ht="19.95">
      <c r="A84" s="1903"/>
      <c r="B84" s="1903"/>
      <c r="D84" s="500"/>
      <c r="E84" s="271" t="s">
        <v>102</v>
      </c>
      <c r="F84" s="25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97"/>
      <c r="H84" s="2597"/>
      <c r="I84" s="2597"/>
      <c r="J84" s="2597"/>
      <c r="K84" s="2597"/>
      <c r="L84" s="2597"/>
      <c r="M84" s="421"/>
      <c r="N84" s="458"/>
      <c r="AH84" s="498">
        <v>19</v>
      </c>
    </row>
    <row customHeight="1" ht="35.699999999999996">
      <c r="A85" s="1903"/>
      <c r="B85" s="1903"/>
      <c r="D85" s="500"/>
      <c r="E85" s="523"/>
      <c r="F85" s="322" t="s">
        <v>418</v>
      </c>
      <c r="G85" s="322" t="s">
        <v>418</v>
      </c>
      <c r="H85" s="2355" t="s">
        <v>418</v>
      </c>
      <c r="I85" s="2357"/>
      <c r="J85" s="322" t="s">
        <v>418</v>
      </c>
      <c r="K85" s="322" t="s">
        <v>418</v>
      </c>
      <c r="L85" s="525"/>
      <c r="M85" s="469" t="s">
        <v>1581</v>
      </c>
      <c r="N85" s="458"/>
      <c r="AH85" s="498">
        <v>34</v>
      </c>
    </row>
    <row customHeight="1" ht="19.95">
      <c r="A86" s="1903"/>
      <c r="B86" s="1903"/>
      <c r="D86" s="500"/>
      <c r="E86" s="271" t="s">
        <v>90</v>
      </c>
      <c r="F86" s="2597" t="s">
        <v>1582</v>
      </c>
      <c r="G86" s="2597"/>
      <c r="H86" s="2597"/>
      <c r="I86" s="2597"/>
      <c r="J86" s="2597"/>
      <c r="K86" s="2597"/>
      <c r="L86" s="2597"/>
      <c r="M86" s="421"/>
      <c r="N86" s="458"/>
      <c r="AH86" s="498">
        <v>19</v>
      </c>
    </row>
    <row s="7213" customFormat="1" customHeight="1" ht="60.75" hidden="1">
      <c r="A87" s="1903" t="s">
        <v>269</v>
      </c>
      <c r="B87" s="1903" t="s">
        <v>270</v>
      </c>
      <c r="C87" s="493"/>
      <c r="D87" s="2599"/>
      <c r="E87" s="2341"/>
      <c r="F87" s="25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4" t="str">
        <f>INDEX(PT_DIFFERENTIATION_NTAR,MATCH(B87,PT_DIFFERENTIATION_NTAR_ID,0))</f>
        <v/>
      </c>
      <c r="H87" s="1983"/>
      <c r="I87" s="1862"/>
      <c r="J87" s="1896"/>
      <c r="K87" s="1901"/>
      <c r="L87" s="1983" t="s">
        <v>418</v>
      </c>
      <c r="M87" s="23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458"/>
      <c r="O87" s="1748"/>
      <c r="P87" s="1748"/>
      <c r="AH87" s="1755">
        <v>0</v>
      </c>
    </row>
    <row s="7213" customFormat="1" customHeight="1" ht="18.75" hidden="1">
      <c r="A88" s="1903"/>
      <c r="B88" s="1903"/>
      <c r="C88" s="493" t="s">
        <v>1576</v>
      </c>
      <c r="D88" s="2599"/>
      <c r="E88" s="2341"/>
      <c r="F88" s="2520"/>
      <c r="G88" s="2564"/>
      <c r="H88" s="1624"/>
      <c r="I88" s="775" t="s">
        <v>1575</v>
      </c>
      <c r="J88" s="695"/>
      <c r="K88" s="1624"/>
      <c r="L88" s="338"/>
      <c r="M88" s="2307"/>
      <c r="N88" s="458"/>
      <c r="O88" s="1748"/>
      <c r="P88" s="1748"/>
      <c r="AH88" s="1755">
        <v>0</v>
      </c>
    </row>
    <row s="7213" customFormat="1" customHeight="1" ht="0.75" hidden="1">
      <c r="A89" s="1903"/>
      <c r="B89" s="1903"/>
      <c r="C89" s="493" t="s">
        <v>1583</v>
      </c>
      <c r="D89" s="2599"/>
      <c r="E89" s="2341"/>
      <c r="F89" s="2520"/>
      <c r="G89" s="524"/>
      <c r="H89" s="1624"/>
      <c r="I89" s="775"/>
      <c r="J89" s="695"/>
      <c r="K89" s="1624"/>
      <c r="L89" s="338"/>
      <c r="M89" s="2307"/>
      <c r="N89" s="458"/>
      <c r="O89" s="1748"/>
      <c r="P89" s="1748"/>
      <c r="AH89" s="1755">
        <v>0</v>
      </c>
    </row>
    <row s="7213" customFormat="1" customHeight="1" ht="45" hidden="1">
      <c r="A90" s="1903" t="s">
        <v>274</v>
      </c>
      <c r="B90" s="1903" t="s">
        <v>275</v>
      </c>
      <c r="C90" s="493"/>
      <c r="D90" s="2599"/>
      <c r="E90" s="2341"/>
      <c r="F90" s="2520" t="str">
        <f>INDEX(PT_DIFFERENTIATION_VTAR,MATCH(A90,PT_DIFFERENTIATION_VTAR_ID,0))</f>
        <v/>
      </c>
      <c r="G90" s="2564" t="str">
        <f>INDEX(PT_DIFFERENTIATION_NTAR,MATCH(B90,PT_DIFFERENTIATION_NTAR_ID,0))</f>
        <v/>
      </c>
      <c r="H90" s="1983"/>
      <c r="I90" s="1862"/>
      <c r="J90" s="1896"/>
      <c r="K90" s="1901"/>
      <c r="L90" s="1983" t="s">
        <v>418</v>
      </c>
      <c r="M90" s="2308"/>
      <c r="N90" s="458"/>
      <c r="O90" s="1748"/>
      <c r="P90" s="1748"/>
      <c r="AH90" s="1755">
        <v>0</v>
      </c>
    </row>
    <row s="7213" customFormat="1" customHeight="1" ht="18.75" hidden="1">
      <c r="A91" s="1903"/>
      <c r="B91" s="1903"/>
      <c r="C91" s="493" t="s">
        <v>1576</v>
      </c>
      <c r="D91" s="2599"/>
      <c r="E91" s="2341"/>
      <c r="F91" s="2520"/>
      <c r="G91" s="2564"/>
      <c r="H91" s="1624"/>
      <c r="I91" s="775" t="s">
        <v>1575</v>
      </c>
      <c r="J91" s="695"/>
      <c r="K91" s="1624"/>
      <c r="L91" s="338"/>
      <c r="M91" s="1982"/>
      <c r="N91" s="458"/>
      <c r="O91" s="1748"/>
      <c r="P91" s="1748"/>
      <c r="AH91" s="1755">
        <v>0</v>
      </c>
    </row>
    <row s="7213" customFormat="1" customHeight="1" ht="0.75" hidden="1">
      <c r="A92" s="1903"/>
      <c r="B92" s="1903"/>
      <c r="C92" s="493" t="s">
        <v>1583</v>
      </c>
      <c r="D92" s="2599"/>
      <c r="E92" s="2341"/>
      <c r="F92" s="2520"/>
      <c r="G92" s="524"/>
      <c r="H92" s="1624"/>
      <c r="I92" s="775"/>
      <c r="J92" s="695"/>
      <c r="K92" s="1624"/>
      <c r="L92" s="338"/>
      <c r="M92" s="465"/>
      <c r="N92" s="458"/>
      <c r="O92" s="1748"/>
      <c r="P92" s="1748"/>
      <c r="AH92" s="1755">
        <v>0</v>
      </c>
    </row>
    <row s="7213" customFormat="1" customHeight="1" ht="45" hidden="1">
      <c r="A93" s="1903" t="s">
        <v>281</v>
      </c>
      <c r="B93" s="1903" t="s">
        <v>282</v>
      </c>
      <c r="C93" s="493"/>
      <c r="D93" s="2599"/>
      <c r="E93" s="2341"/>
      <c r="F93" s="25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4" t="str">
        <f>INDEX(PT_DIFFERENTIATION_NTAR,MATCH(B93,PT_DIFFERENTIATION_NTAR_ID,0))</f>
        <v/>
      </c>
      <c r="H93" s="1983"/>
      <c r="I93" s="1862"/>
      <c r="J93" s="1896"/>
      <c r="K93" s="1901"/>
      <c r="L93" s="1983" t="s">
        <v>418</v>
      </c>
      <c r="M93" s="465"/>
      <c r="N93" s="458"/>
      <c r="O93" s="1748"/>
      <c r="P93" s="1748"/>
      <c r="AH93" s="1755">
        <v>0</v>
      </c>
    </row>
    <row s="7213" customFormat="1" customHeight="1" ht="18.75" hidden="1">
      <c r="A94" s="1903"/>
      <c r="B94" s="1903"/>
      <c r="C94" s="493" t="s">
        <v>1576</v>
      </c>
      <c r="D94" s="2599"/>
      <c r="E94" s="2341"/>
      <c r="F94" s="2520"/>
      <c r="G94" s="2564"/>
      <c r="H94" s="1624"/>
      <c r="I94" s="775" t="s">
        <v>1575</v>
      </c>
      <c r="J94" s="695"/>
      <c r="K94" s="1624"/>
      <c r="L94" s="338"/>
      <c r="M94" s="465"/>
      <c r="N94" s="458"/>
      <c r="O94" s="1748"/>
      <c r="P94" s="1748"/>
      <c r="AH94" s="1755">
        <v>0</v>
      </c>
    </row>
    <row s="7213" customFormat="1" customHeight="1" ht="0.75" hidden="1">
      <c r="A95" s="1903"/>
      <c r="B95" s="1903"/>
      <c r="C95" s="493" t="s">
        <v>1583</v>
      </c>
      <c r="D95" s="2599"/>
      <c r="E95" s="2341"/>
      <c r="F95" s="2520"/>
      <c r="G95" s="524"/>
      <c r="H95" s="1624"/>
      <c r="I95" s="775"/>
      <c r="J95" s="695"/>
      <c r="K95" s="1624"/>
      <c r="L95" s="338"/>
      <c r="M95" s="465"/>
      <c r="N95" s="458"/>
      <c r="O95" s="1748"/>
      <c r="P95" s="1748"/>
      <c r="AH95" s="1755">
        <v>0</v>
      </c>
    </row>
    <row s="7213" customFormat="1" customHeight="1" ht="45" hidden="1">
      <c r="A96" s="1903" t="s">
        <v>287</v>
      </c>
      <c r="B96" s="1903" t="s">
        <v>288</v>
      </c>
      <c r="C96" s="493"/>
      <c r="D96" s="2599"/>
      <c r="E96" s="2341"/>
      <c r="F96" s="25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4" t="str">
        <f>INDEX(PT_DIFFERENTIATION_NTAR,MATCH(B96,PT_DIFFERENTIATION_NTAR_ID,0))</f>
        <v/>
      </c>
      <c r="H96" s="1983"/>
      <c r="I96" s="1862"/>
      <c r="J96" s="1896"/>
      <c r="K96" s="1901"/>
      <c r="L96" s="1983" t="s">
        <v>418</v>
      </c>
      <c r="M96" s="465"/>
      <c r="N96" s="458"/>
      <c r="O96" s="1748"/>
      <c r="P96" s="1748"/>
      <c r="AH96" s="1755">
        <v>0</v>
      </c>
    </row>
    <row s="7213" customFormat="1" customHeight="1" ht="18.75" hidden="1">
      <c r="A97" s="1903"/>
      <c r="B97" s="1903"/>
      <c r="C97" s="493" t="s">
        <v>1576</v>
      </c>
      <c r="D97" s="2599"/>
      <c r="E97" s="2341"/>
      <c r="F97" s="2520"/>
      <c r="G97" s="2564"/>
      <c r="H97" s="1624"/>
      <c r="I97" s="775" t="s">
        <v>1575</v>
      </c>
      <c r="J97" s="695"/>
      <c r="K97" s="1624"/>
      <c r="L97" s="338"/>
      <c r="M97" s="465"/>
      <c r="N97" s="458"/>
      <c r="O97" s="1748"/>
      <c r="P97" s="1748"/>
      <c r="AH97" s="1755">
        <v>0</v>
      </c>
    </row>
    <row s="7213" customFormat="1" customHeight="1" ht="0.75" hidden="1">
      <c r="A98" s="1903"/>
      <c r="B98" s="1903"/>
      <c r="C98" s="493" t="s">
        <v>1583</v>
      </c>
      <c r="D98" s="2599"/>
      <c r="E98" s="2341"/>
      <c r="F98" s="2520"/>
      <c r="G98" s="524"/>
      <c r="H98" s="1624"/>
      <c r="I98" s="775"/>
      <c r="J98" s="695"/>
      <c r="K98" s="1624"/>
      <c r="L98" s="338"/>
      <c r="M98" s="465"/>
      <c r="N98" s="458"/>
      <c r="O98" s="1748"/>
      <c r="P98" s="1748"/>
      <c r="AH98" s="1755">
        <v>0</v>
      </c>
    </row>
    <row s="7213" customFormat="1" customHeight="1" ht="18.75" hidden="1">
      <c r="A99" s="1903" t="s">
        <v>293</v>
      </c>
      <c r="B99" s="1903" t="s">
        <v>294</v>
      </c>
      <c r="C99" s="493"/>
      <c r="D99" s="2599"/>
      <c r="E99" s="2341"/>
      <c r="F99" s="2520" t="str">
        <f>INDEX(PT_DIFFERENTIATION_VTAR,MATCH(A99,PT_DIFFERENTIATION_VTAR_ID,0))</f>
        <v>Тарифы на услуги по передаче тепловой энергии</v>
      </c>
      <c r="G99" s="2564" t="str">
        <f>INDEX(PT_DIFFERENTIATION_NTAR,MATCH(B99,PT_DIFFERENTIATION_NTAR_ID,0))</f>
        <v/>
      </c>
      <c r="H99" s="1983"/>
      <c r="I99" s="1862"/>
      <c r="J99" s="1896"/>
      <c r="K99" s="1901"/>
      <c r="L99" s="1983" t="s">
        <v>418</v>
      </c>
      <c r="M99" s="465"/>
      <c r="N99" s="458"/>
      <c r="O99" s="1748"/>
      <c r="P99" s="1748"/>
      <c r="AH99" s="1755">
        <v>0</v>
      </c>
    </row>
    <row s="7213" customFormat="1" customHeight="1" ht="18.75" hidden="1">
      <c r="A100" s="1903"/>
      <c r="B100" s="1903"/>
      <c r="C100" s="493" t="s">
        <v>1576</v>
      </c>
      <c r="D100" s="2599"/>
      <c r="E100" s="2341"/>
      <c r="F100" s="2520"/>
      <c r="G100" s="2564"/>
      <c r="H100" s="1624"/>
      <c r="I100" s="775" t="s">
        <v>1575</v>
      </c>
      <c r="J100" s="695"/>
      <c r="K100" s="1624"/>
      <c r="L100" s="338"/>
      <c r="M100" s="465"/>
      <c r="N100" s="458"/>
      <c r="O100" s="1748"/>
      <c r="P100" s="1748"/>
      <c r="AH100" s="1755">
        <v>0</v>
      </c>
    </row>
    <row s="7213" customFormat="1" customHeight="1" ht="0.75" hidden="1">
      <c r="A101" s="1903"/>
      <c r="B101" s="1903"/>
      <c r="C101" s="493" t="s">
        <v>1583</v>
      </c>
      <c r="D101" s="2599"/>
      <c r="E101" s="2341"/>
      <c r="F101" s="2520"/>
      <c r="G101" s="524"/>
      <c r="H101" s="1624"/>
      <c r="I101" s="775"/>
      <c r="J101" s="695"/>
      <c r="K101" s="1624"/>
      <c r="L101" s="338"/>
      <c r="M101" s="465"/>
      <c r="N101" s="458"/>
      <c r="O101" s="1748"/>
      <c r="P101" s="1748"/>
      <c r="AH101" s="1755">
        <v>0</v>
      </c>
    </row>
    <row s="7213" customFormat="1" customHeight="1" ht="18.75" hidden="1">
      <c r="A102" s="1903" t="s">
        <v>299</v>
      </c>
      <c r="B102" s="1903" t="s">
        <v>300</v>
      </c>
      <c r="C102" s="493"/>
      <c r="D102" s="2599"/>
      <c r="E102" s="2341"/>
      <c r="F102" s="2520" t="str">
        <f>INDEX(PT_DIFFERENTIATION_VTAR,MATCH(A102,PT_DIFFERENTIATION_VTAR_ID,0))</f>
        <v>Тарифы на услуги по передаче теплоносителя</v>
      </c>
      <c r="G102" s="2564" t="str">
        <f>INDEX(PT_DIFFERENTIATION_NTAR,MATCH(B102,PT_DIFFERENTIATION_NTAR_ID,0))</f>
        <v/>
      </c>
      <c r="H102" s="1983"/>
      <c r="I102" s="1862"/>
      <c r="J102" s="1896"/>
      <c r="K102" s="1901"/>
      <c r="L102" s="1983" t="s">
        <v>418</v>
      </c>
      <c r="M102" s="465"/>
      <c r="N102" s="458"/>
      <c r="O102" s="1748"/>
      <c r="P102" s="1748"/>
      <c r="AH102" s="1755">
        <v>0</v>
      </c>
    </row>
    <row s="7213" customFormat="1" customHeight="1" ht="18.75" hidden="1">
      <c r="A103" s="1903"/>
      <c r="B103" s="1903"/>
      <c r="C103" s="493" t="s">
        <v>1576</v>
      </c>
      <c r="D103" s="2599"/>
      <c r="E103" s="2341"/>
      <c r="F103" s="2520"/>
      <c r="G103" s="2564"/>
      <c r="H103" s="1624"/>
      <c r="I103" s="775" t="s">
        <v>1575</v>
      </c>
      <c r="J103" s="695"/>
      <c r="K103" s="1624"/>
      <c r="L103" s="338"/>
      <c r="M103" s="465"/>
      <c r="N103" s="458"/>
      <c r="O103" s="1748"/>
      <c r="P103" s="1748"/>
      <c r="AH103" s="1755">
        <v>0</v>
      </c>
    </row>
    <row s="7213" customFormat="1" customHeight="1" ht="0.75" hidden="1">
      <c r="A104" s="1903"/>
      <c r="B104" s="1903"/>
      <c r="C104" s="493" t="s">
        <v>1583</v>
      </c>
      <c r="D104" s="2599"/>
      <c r="E104" s="2341"/>
      <c r="F104" s="2520"/>
      <c r="G104" s="524"/>
      <c r="H104" s="1624"/>
      <c r="I104" s="775"/>
      <c r="J104" s="695"/>
      <c r="K104" s="1624"/>
      <c r="L104" s="338"/>
      <c r="M104" s="465"/>
      <c r="N104" s="458"/>
      <c r="O104" s="1748"/>
      <c r="P104" s="1748"/>
      <c r="AH104" s="1755">
        <v>0</v>
      </c>
    </row>
    <row s="7213" customFormat="1" customHeight="1" ht="18.75" hidden="1">
      <c r="A105" s="1903" t="s">
        <v>305</v>
      </c>
      <c r="B105" s="1903" t="s">
        <v>306</v>
      </c>
      <c r="C105" s="493"/>
      <c r="D105" s="2599"/>
      <c r="E105" s="2341"/>
      <c r="F105" s="25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4" t="str">
        <f>INDEX(PT_DIFFERENTIATION_NTAR,MATCH(B105,PT_DIFFERENTIATION_NTAR_ID,0))</f>
        <v/>
      </c>
      <c r="H105" s="1983"/>
      <c r="I105" s="1862"/>
      <c r="J105" s="1896"/>
      <c r="K105" s="1901"/>
      <c r="L105" s="1983" t="s">
        <v>418</v>
      </c>
      <c r="M105" s="465"/>
      <c r="N105" s="458"/>
      <c r="O105" s="1748"/>
      <c r="P105" s="1748"/>
      <c r="AH105" s="1755">
        <v>0</v>
      </c>
    </row>
    <row s="7213" customFormat="1" customHeight="1" ht="18.75" hidden="1">
      <c r="A106" s="1903"/>
      <c r="B106" s="1903"/>
      <c r="C106" s="493" t="s">
        <v>1576</v>
      </c>
      <c r="D106" s="2599"/>
      <c r="E106" s="2341"/>
      <c r="F106" s="2520"/>
      <c r="G106" s="2564"/>
      <c r="H106" s="1624"/>
      <c r="I106" s="775" t="s">
        <v>1575</v>
      </c>
      <c r="J106" s="695"/>
      <c r="K106" s="1624"/>
      <c r="L106" s="338"/>
      <c r="M106" s="465"/>
      <c r="N106" s="458"/>
      <c r="O106" s="1748"/>
      <c r="P106" s="1748"/>
      <c r="AH106" s="1755">
        <v>0</v>
      </c>
    </row>
    <row s="7213" customFormat="1" customHeight="1" ht="0.75" hidden="1">
      <c r="A107" s="1903"/>
      <c r="B107" s="1903"/>
      <c r="C107" s="493" t="s">
        <v>1583</v>
      </c>
      <c r="D107" s="2599"/>
      <c r="E107" s="2341"/>
      <c r="F107" s="2520"/>
      <c r="G107" s="524"/>
      <c r="H107" s="1624"/>
      <c r="I107" s="775"/>
      <c r="J107" s="695"/>
      <c r="K107" s="1624"/>
      <c r="L107" s="338"/>
      <c r="M107" s="465"/>
      <c r="N107" s="458"/>
      <c r="O107" s="1748"/>
      <c r="P107" s="1748"/>
      <c r="AH107" s="1755">
        <v>0</v>
      </c>
    </row>
    <row s="7213" customFormat="1" customHeight="1" ht="18.75" hidden="1">
      <c r="A108" s="1903" t="s">
        <v>311</v>
      </c>
      <c r="B108" s="1903" t="s">
        <v>312</v>
      </c>
      <c r="C108" s="493"/>
      <c r="D108" s="2599"/>
      <c r="E108" s="2341"/>
      <c r="F108" s="2520" t="str">
        <f>INDEX(PT_DIFFERENTIATION_VTAR,MATCH(A108,PT_DIFFERENTIATION_VTAR_ID,0))</f>
        <v>Плата за подключение (технологическое присоединение) к системе теплоснабжения</v>
      </c>
      <c r="G108" s="2564" t="str">
        <f>INDEX(PT_DIFFERENTIATION_NTAR,MATCH(B108,PT_DIFFERENTIATION_NTAR_ID,0))</f>
        <v/>
      </c>
      <c r="H108" s="1983"/>
      <c r="I108" s="1862"/>
      <c r="J108" s="1896"/>
      <c r="K108" s="1901"/>
      <c r="L108" s="1983" t="s">
        <v>418</v>
      </c>
      <c r="M108" s="465"/>
      <c r="N108" s="458"/>
      <c r="O108" s="1748"/>
      <c r="P108" s="1748"/>
      <c r="AH108" s="1755">
        <v>0</v>
      </c>
    </row>
    <row s="7213" customFormat="1" customHeight="1" ht="18.75" hidden="1">
      <c r="A109" s="1903"/>
      <c r="B109" s="1903"/>
      <c r="C109" s="493" t="s">
        <v>1576</v>
      </c>
      <c r="D109" s="2599"/>
      <c r="E109" s="2341"/>
      <c r="F109" s="2520"/>
      <c r="G109" s="2564"/>
      <c r="H109" s="1624"/>
      <c r="I109" s="775" t="s">
        <v>1575</v>
      </c>
      <c r="J109" s="695"/>
      <c r="K109" s="1624"/>
      <c r="L109" s="338"/>
      <c r="M109" s="465"/>
      <c r="N109" s="458"/>
      <c r="O109" s="1748"/>
      <c r="P109" s="1748"/>
      <c r="AH109" s="1755">
        <v>0</v>
      </c>
    </row>
    <row s="7213" customFormat="1" customHeight="1" ht="0.75" hidden="1">
      <c r="A110" s="1903"/>
      <c r="B110" s="1903"/>
      <c r="C110" s="493" t="s">
        <v>1583</v>
      </c>
      <c r="D110" s="2599"/>
      <c r="E110" s="2341"/>
      <c r="F110" s="2520"/>
      <c r="G110" s="524"/>
      <c r="H110" s="1624"/>
      <c r="I110" s="775"/>
      <c r="J110" s="695"/>
      <c r="K110" s="1624"/>
      <c r="L110" s="338"/>
      <c r="M110" s="465"/>
      <c r="N110" s="458"/>
      <c r="O110" s="1748"/>
      <c r="P110" s="1748"/>
      <c r="AH110" s="1755">
        <v>0</v>
      </c>
    </row>
    <row s="7213" customFormat="1" customHeight="1" ht="18.75" hidden="1">
      <c r="A111" s="1903" t="s">
        <v>317</v>
      </c>
      <c r="B111" s="1903" t="s">
        <v>318</v>
      </c>
      <c r="C111" s="493"/>
      <c r="D111" s="2599"/>
      <c r="E111" s="2341"/>
      <c r="F111" s="2520" t="str">
        <f>INDEX(PT_DIFFERENTIATION_VTAR,MATCH(A111,PT_DIFFERENTIATION_VTAR_ID,0))</f>
        <v>Плата за подключение (технологическое присоединение) к системе теплоснабжения (индивидуальная)</v>
      </c>
      <c r="G111" s="2564" t="str">
        <f>INDEX(PT_DIFFERENTIATION_NTAR,MATCH(B111,PT_DIFFERENTIATION_NTAR_ID,0))</f>
        <v/>
      </c>
      <c r="H111" s="2110"/>
      <c r="I111" s="1862"/>
      <c r="J111" s="1896"/>
      <c r="K111" s="1901"/>
      <c r="L111" s="2110" t="s">
        <v>418</v>
      </c>
      <c r="M111" s="465"/>
      <c r="N111" s="458"/>
      <c r="O111" s="1748"/>
      <c r="P111" s="1748"/>
      <c r="AH111" s="1755">
        <v>0</v>
      </c>
    </row>
    <row s="7213" customFormat="1" customHeight="1" ht="18.75" hidden="1">
      <c r="A112" s="1903"/>
      <c r="B112" s="1903"/>
      <c r="C112" s="493" t="s">
        <v>1576</v>
      </c>
      <c r="D112" s="2599"/>
      <c r="E112" s="2341"/>
      <c r="F112" s="2520"/>
      <c r="G112" s="2564"/>
      <c r="H112" s="1624"/>
      <c r="I112" s="775" t="s">
        <v>1575</v>
      </c>
      <c r="J112" s="695"/>
      <c r="K112" s="1624"/>
      <c r="L112" s="338"/>
      <c r="M112" s="465"/>
      <c r="N112" s="458"/>
      <c r="O112" s="1748"/>
      <c r="P112" s="1748"/>
      <c r="AH112" s="1755">
        <v>0</v>
      </c>
    </row>
    <row s="7213" customFormat="1" customHeight="1" ht="0.75" hidden="1">
      <c r="A113" s="1903"/>
      <c r="B113" s="1903"/>
      <c r="C113" s="493" t="s">
        <v>1583</v>
      </c>
      <c r="D113" s="2599"/>
      <c r="E113" s="2341"/>
      <c r="F113" s="2520"/>
      <c r="G113" s="524"/>
      <c r="H113" s="1624"/>
      <c r="I113" s="775"/>
      <c r="J113" s="695"/>
      <c r="K113" s="1624"/>
      <c r="L113" s="338"/>
      <c r="M113" s="465"/>
      <c r="N113" s="458"/>
      <c r="O113" s="1748"/>
      <c r="P113" s="1748"/>
      <c r="AH113" s="1755">
        <v>0</v>
      </c>
    </row>
    <row s="7213" customFormat="1" customHeight="1" ht="18.75" hidden="1">
      <c r="A114" s="1903" t="s">
        <v>337</v>
      </c>
      <c r="B114" s="1903" t="s">
        <v>338</v>
      </c>
      <c r="C114" s="493"/>
      <c r="D114" s="2599"/>
      <c r="E114" s="2341"/>
      <c r="F114" s="2520" t="str">
        <f>INDEX(PT_DIFFERENTIATION_VTAR,MATCH(A114,PT_DIFFERENTIATION_VTAR_ID,0))</f>
        <v>Тариф на питьевую воду (питьевое водоснабжение)</v>
      </c>
      <c r="G114" s="2564" t="str">
        <f>INDEX(PT_DIFFERENTIATION_NTAR,MATCH(B114,PT_DIFFERENTIATION_NTAR_ID,0))</f>
        <v/>
      </c>
      <c r="H114" s="1983"/>
      <c r="I114" s="1862"/>
      <c r="J114" s="1896"/>
      <c r="K114" s="1901"/>
      <c r="L114" s="1983" t="s">
        <v>418</v>
      </c>
      <c r="M114" s="465"/>
      <c r="N114" s="458"/>
      <c r="O114" s="1748"/>
      <c r="P114" s="1748"/>
      <c r="AH114" s="1755">
        <v>0</v>
      </c>
    </row>
    <row s="7213" customFormat="1" customHeight="1" ht="18.75" hidden="1">
      <c r="A115" s="1903"/>
      <c r="B115" s="1903"/>
      <c r="C115" s="493" t="s">
        <v>1576</v>
      </c>
      <c r="D115" s="2599"/>
      <c r="E115" s="2341"/>
      <c r="F115" s="2520"/>
      <c r="G115" s="2564"/>
      <c r="H115" s="1624"/>
      <c r="I115" s="775" t="s">
        <v>1575</v>
      </c>
      <c r="J115" s="695"/>
      <c r="K115" s="1624"/>
      <c r="L115" s="338"/>
      <c r="M115" s="465"/>
      <c r="N115" s="458"/>
      <c r="O115" s="1748"/>
      <c r="P115" s="1748"/>
      <c r="AH115" s="1755">
        <v>0</v>
      </c>
    </row>
    <row s="7213" customFormat="1" customHeight="1" ht="0.75" hidden="1">
      <c r="A116" s="1903"/>
      <c r="B116" s="1903"/>
      <c r="C116" s="493" t="s">
        <v>1583</v>
      </c>
      <c r="D116" s="2599"/>
      <c r="E116" s="2341"/>
      <c r="F116" s="2520"/>
      <c r="G116" s="524"/>
      <c r="H116" s="1624"/>
      <c r="I116" s="775"/>
      <c r="J116" s="695"/>
      <c r="K116" s="1624"/>
      <c r="L116" s="338"/>
      <c r="M116" s="465"/>
      <c r="N116" s="458"/>
      <c r="O116" s="1748"/>
      <c r="P116" s="1748"/>
      <c r="AH116" s="1755">
        <v>0</v>
      </c>
    </row>
    <row s="7213" customFormat="1" customHeight="1" ht="18.75" hidden="1">
      <c r="A117" s="1903" t="s">
        <v>342</v>
      </c>
      <c r="B117" s="1903" t="s">
        <v>343</v>
      </c>
      <c r="C117" s="493"/>
      <c r="D117" s="2599"/>
      <c r="E117" s="2341"/>
      <c r="F117" s="2520" t="str">
        <f>INDEX(PT_DIFFERENTIATION_VTAR,MATCH(A117,PT_DIFFERENTIATION_VTAR_ID,0))</f>
        <v>Тариф на техническую воду</v>
      </c>
      <c r="G117" s="2564" t="str">
        <f>INDEX(PT_DIFFERENTIATION_NTAR,MATCH(B117,PT_DIFFERENTIATION_NTAR_ID,0))</f>
        <v/>
      </c>
      <c r="H117" s="1983"/>
      <c r="I117" s="1862"/>
      <c r="J117" s="1896"/>
      <c r="K117" s="1901"/>
      <c r="L117" s="1983" t="s">
        <v>418</v>
      </c>
      <c r="M117" s="465"/>
      <c r="N117" s="458"/>
      <c r="O117" s="1748"/>
      <c r="P117" s="1748"/>
      <c r="AH117" s="1755">
        <v>0</v>
      </c>
    </row>
    <row s="7213" customFormat="1" customHeight="1" ht="18.75" hidden="1">
      <c r="A118" s="1903"/>
      <c r="B118" s="1903"/>
      <c r="C118" s="493" t="s">
        <v>1576</v>
      </c>
      <c r="D118" s="2599"/>
      <c r="E118" s="2341"/>
      <c r="F118" s="2520"/>
      <c r="G118" s="2564"/>
      <c r="H118" s="1624"/>
      <c r="I118" s="775" t="s">
        <v>1575</v>
      </c>
      <c r="J118" s="695"/>
      <c r="K118" s="1624"/>
      <c r="L118" s="338"/>
      <c r="M118" s="465"/>
      <c r="N118" s="458"/>
      <c r="O118" s="1748"/>
      <c r="P118" s="1748"/>
      <c r="AH118" s="1755">
        <v>0</v>
      </c>
    </row>
    <row s="7213" customFormat="1" customHeight="1" ht="0.75" hidden="1">
      <c r="A119" s="1903"/>
      <c r="B119" s="1903"/>
      <c r="C119" s="493" t="s">
        <v>1583</v>
      </c>
      <c r="D119" s="2599"/>
      <c r="E119" s="2341"/>
      <c r="F119" s="2520"/>
      <c r="G119" s="524"/>
      <c r="H119" s="1624"/>
      <c r="I119" s="775"/>
      <c r="J119" s="695"/>
      <c r="K119" s="1624"/>
      <c r="L119" s="338"/>
      <c r="M119" s="465"/>
      <c r="N119" s="458"/>
      <c r="O119" s="1748"/>
      <c r="P119" s="1748"/>
      <c r="AH119" s="1755">
        <v>0</v>
      </c>
    </row>
    <row s="7213" customFormat="1" customHeight="1" ht="18.75" hidden="1">
      <c r="A120" s="1903" t="s">
        <v>347</v>
      </c>
      <c r="B120" s="1903" t="s">
        <v>348</v>
      </c>
      <c r="C120" s="493"/>
      <c r="D120" s="2599"/>
      <c r="E120" s="2341"/>
      <c r="F120" s="2520" t="str">
        <f>INDEX(PT_DIFFERENTIATION_VTAR,MATCH(A120,PT_DIFFERENTIATION_VTAR_ID,0))</f>
        <v>Тариф на транспортировку воды</v>
      </c>
      <c r="G120" s="2564" t="str">
        <f>INDEX(PT_DIFFERENTIATION_NTAR,MATCH(B120,PT_DIFFERENTIATION_NTAR_ID,0))</f>
        <v/>
      </c>
      <c r="H120" s="1983"/>
      <c r="I120" s="1862"/>
      <c r="J120" s="1896"/>
      <c r="K120" s="1901"/>
      <c r="L120" s="1983" t="s">
        <v>418</v>
      </c>
      <c r="M120" s="465"/>
      <c r="N120" s="458"/>
      <c r="O120" s="1748"/>
      <c r="P120" s="1748"/>
      <c r="AH120" s="1755">
        <v>0</v>
      </c>
    </row>
    <row s="7213" customFormat="1" customHeight="1" ht="18.75" hidden="1">
      <c r="A121" s="1903"/>
      <c r="B121" s="1903"/>
      <c r="C121" s="493" t="s">
        <v>1576</v>
      </c>
      <c r="D121" s="2599"/>
      <c r="E121" s="2341"/>
      <c r="F121" s="2520"/>
      <c r="G121" s="2564"/>
      <c r="H121" s="1624"/>
      <c r="I121" s="775" t="s">
        <v>1575</v>
      </c>
      <c r="J121" s="695"/>
      <c r="K121" s="1624"/>
      <c r="L121" s="338"/>
      <c r="M121" s="465"/>
      <c r="N121" s="458"/>
      <c r="O121" s="1748"/>
      <c r="P121" s="1748"/>
      <c r="AH121" s="1755">
        <v>0</v>
      </c>
    </row>
    <row s="7213" customFormat="1" customHeight="1" ht="0.75" hidden="1">
      <c r="A122" s="1903"/>
      <c r="B122" s="1903"/>
      <c r="C122" s="493" t="s">
        <v>1583</v>
      </c>
      <c r="D122" s="2599"/>
      <c r="E122" s="2341"/>
      <c r="F122" s="2520"/>
      <c r="G122" s="524"/>
      <c r="H122" s="1624"/>
      <c r="I122" s="775"/>
      <c r="J122" s="695"/>
      <c r="K122" s="1624"/>
      <c r="L122" s="338"/>
      <c r="M122" s="465"/>
      <c r="N122" s="458"/>
      <c r="O122" s="1748"/>
      <c r="P122" s="1748"/>
      <c r="AH122" s="1755">
        <v>0</v>
      </c>
    </row>
    <row s="7213" customFormat="1" customHeight="1" ht="18.75" hidden="1">
      <c r="A123" s="1903" t="s">
        <v>352</v>
      </c>
      <c r="B123" s="1903" t="s">
        <v>353</v>
      </c>
      <c r="C123" s="493"/>
      <c r="D123" s="2599"/>
      <c r="E123" s="2341"/>
      <c r="F123" s="2520" t="str">
        <f>INDEX(PT_DIFFERENTIATION_VTAR,MATCH(A123,PT_DIFFERENTIATION_VTAR_ID,0))</f>
        <v>Тариф на подвоз воды</v>
      </c>
      <c r="G123" s="2564" t="str">
        <f>INDEX(PT_DIFFERENTIATION_NTAR,MATCH(B123,PT_DIFFERENTIATION_NTAR_ID,0))</f>
        <v/>
      </c>
      <c r="H123" s="1983"/>
      <c r="I123" s="1862"/>
      <c r="J123" s="1896"/>
      <c r="K123" s="1901"/>
      <c r="L123" s="1983" t="s">
        <v>418</v>
      </c>
      <c r="M123" s="465"/>
      <c r="N123" s="458"/>
      <c r="O123" s="1748"/>
      <c r="P123" s="1748"/>
      <c r="AH123" s="1755">
        <v>0</v>
      </c>
    </row>
    <row s="7213" customFormat="1" customHeight="1" ht="18.75" hidden="1">
      <c r="A124" s="1903"/>
      <c r="B124" s="1903"/>
      <c r="C124" s="493" t="s">
        <v>1576</v>
      </c>
      <c r="D124" s="2599"/>
      <c r="E124" s="2341"/>
      <c r="F124" s="2520"/>
      <c r="G124" s="2564"/>
      <c r="H124" s="1624"/>
      <c r="I124" s="775" t="s">
        <v>1575</v>
      </c>
      <c r="J124" s="695"/>
      <c r="K124" s="1624"/>
      <c r="L124" s="338"/>
      <c r="M124" s="465"/>
      <c r="N124" s="458"/>
      <c r="O124" s="1748"/>
      <c r="P124" s="1748"/>
      <c r="AH124" s="1755">
        <v>0</v>
      </c>
    </row>
    <row s="7213" customFormat="1" customHeight="1" ht="0.75" hidden="1">
      <c r="A125" s="1903"/>
      <c r="B125" s="1903"/>
      <c r="C125" s="493" t="s">
        <v>1583</v>
      </c>
      <c r="D125" s="2599"/>
      <c r="E125" s="2341"/>
      <c r="F125" s="2520"/>
      <c r="G125" s="524"/>
      <c r="H125" s="1624"/>
      <c r="I125" s="775"/>
      <c r="J125" s="695"/>
      <c r="K125" s="1624"/>
      <c r="L125" s="338"/>
      <c r="M125" s="465"/>
      <c r="N125" s="458"/>
      <c r="O125" s="1748"/>
      <c r="P125" s="1748"/>
      <c r="AH125" s="1755">
        <v>0</v>
      </c>
    </row>
    <row s="7213" customFormat="1" customHeight="1" ht="18.75" hidden="1">
      <c r="A126" s="1903" t="s">
        <v>357</v>
      </c>
      <c r="B126" s="1903" t="s">
        <v>358</v>
      </c>
      <c r="C126" s="493"/>
      <c r="D126" s="2599"/>
      <c r="E126" s="2341"/>
      <c r="F126" s="25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4" t="str">
        <f>INDEX(PT_DIFFERENTIATION_NTAR,MATCH(B126,PT_DIFFERENTIATION_NTAR_ID,0))</f>
        <v/>
      </c>
      <c r="H126" s="1983"/>
      <c r="I126" s="1862"/>
      <c r="J126" s="1896"/>
      <c r="K126" s="1901"/>
      <c r="L126" s="1983" t="s">
        <v>418</v>
      </c>
      <c r="M126" s="465"/>
      <c r="N126" s="458"/>
      <c r="O126" s="1748"/>
      <c r="P126" s="1748"/>
      <c r="AH126" s="1755">
        <v>0</v>
      </c>
    </row>
    <row s="7213" customFormat="1" customHeight="1" ht="18.75" hidden="1">
      <c r="A127" s="1903"/>
      <c r="B127" s="1903"/>
      <c r="C127" s="493" t="s">
        <v>1576</v>
      </c>
      <c r="D127" s="2599"/>
      <c r="E127" s="2341"/>
      <c r="F127" s="2520"/>
      <c r="G127" s="2564"/>
      <c r="H127" s="1624"/>
      <c r="I127" s="775" t="s">
        <v>1575</v>
      </c>
      <c r="J127" s="695"/>
      <c r="K127" s="1624"/>
      <c r="L127" s="338"/>
      <c r="M127" s="465"/>
      <c r="N127" s="458"/>
      <c r="O127" s="1748"/>
      <c r="P127" s="1748"/>
      <c r="AH127" s="1755">
        <v>0</v>
      </c>
    </row>
    <row s="7213" customFormat="1" customHeight="1" ht="0.75" hidden="1">
      <c r="A128" s="1903"/>
      <c r="B128" s="1903"/>
      <c r="C128" s="493" t="s">
        <v>1583</v>
      </c>
      <c r="D128" s="2599"/>
      <c r="E128" s="2341"/>
      <c r="F128" s="2520"/>
      <c r="G128" s="524"/>
      <c r="H128" s="1624"/>
      <c r="I128" s="775"/>
      <c r="J128" s="695"/>
      <c r="K128" s="1624"/>
      <c r="L128" s="338"/>
      <c r="M128" s="465"/>
      <c r="N128" s="458"/>
      <c r="O128" s="1748"/>
      <c r="P128" s="1748"/>
      <c r="AH128" s="1755">
        <v>0</v>
      </c>
    </row>
    <row s="7213" customFormat="1" customHeight="1" ht="18.75" hidden="1">
      <c r="A129" s="1903" t="s">
        <v>362</v>
      </c>
      <c r="B129" s="1903" t="s">
        <v>363</v>
      </c>
      <c r="C129" s="493"/>
      <c r="D129" s="2599"/>
      <c r="E129" s="2341"/>
      <c r="F129" s="2520" t="str">
        <f>INDEX(PT_DIFFERENTIATION_VTAR,MATCH(A129,PT_DIFFERENTIATION_VTAR_ID,0))</f>
        <v>Тариф на горячую воду (горячее водоснабжение)</v>
      </c>
      <c r="G129" s="2564" t="str">
        <f>INDEX(PT_DIFFERENTIATION_NTAR,MATCH(B129,PT_DIFFERENTIATION_NTAR_ID,0))</f>
        <v/>
      </c>
      <c r="H129" s="1983"/>
      <c r="I129" s="1862"/>
      <c r="J129" s="1896"/>
      <c r="K129" s="1901"/>
      <c r="L129" s="1983" t="s">
        <v>418</v>
      </c>
      <c r="M129" s="465"/>
      <c r="N129" s="458"/>
      <c r="O129" s="1748"/>
      <c r="P129" s="1748"/>
      <c r="AH129" s="1755">
        <v>0</v>
      </c>
    </row>
    <row s="7213" customFormat="1" customHeight="1" ht="18.75" hidden="1">
      <c r="A130" s="1903"/>
      <c r="B130" s="1903"/>
      <c r="C130" s="493" t="s">
        <v>1576</v>
      </c>
      <c r="D130" s="2599"/>
      <c r="E130" s="2341"/>
      <c r="F130" s="2520"/>
      <c r="G130" s="2564"/>
      <c r="H130" s="1624"/>
      <c r="I130" s="775" t="s">
        <v>1575</v>
      </c>
      <c r="J130" s="695"/>
      <c r="K130" s="1624"/>
      <c r="L130" s="338"/>
      <c r="M130" s="465"/>
      <c r="N130" s="458"/>
      <c r="O130" s="1748"/>
      <c r="P130" s="1748"/>
      <c r="AH130" s="1755">
        <v>0</v>
      </c>
    </row>
    <row s="7213" customFormat="1" customHeight="1" ht="0.75" hidden="1">
      <c r="A131" s="1903"/>
      <c r="B131" s="1903"/>
      <c r="C131" s="493" t="s">
        <v>1583</v>
      </c>
      <c r="D131" s="2599"/>
      <c r="E131" s="2341"/>
      <c r="F131" s="2520"/>
      <c r="G131" s="524"/>
      <c r="H131" s="1624"/>
      <c r="I131" s="775"/>
      <c r="J131" s="695"/>
      <c r="K131" s="1624"/>
      <c r="L131" s="338"/>
      <c r="M131" s="465"/>
      <c r="N131" s="458"/>
      <c r="O131" s="1748"/>
      <c r="P131" s="1748"/>
      <c r="AH131" s="1755">
        <v>0</v>
      </c>
    </row>
    <row s="7213" customFormat="1" customHeight="1" ht="18.75" hidden="1">
      <c r="A132" s="1903" t="s">
        <v>367</v>
      </c>
      <c r="B132" s="1903" t="s">
        <v>368</v>
      </c>
      <c r="C132" s="493"/>
      <c r="D132" s="2599"/>
      <c r="E132" s="2341"/>
      <c r="F132" s="2520" t="str">
        <f>INDEX(PT_DIFFERENTIATION_VTAR,MATCH(A132,PT_DIFFERENTIATION_VTAR_ID,0))</f>
        <v>Тариф на транспортировку горячей воды</v>
      </c>
      <c r="G132" s="2564" t="str">
        <f>INDEX(PT_DIFFERENTIATION_NTAR,MATCH(B132,PT_DIFFERENTIATION_NTAR_ID,0))</f>
        <v/>
      </c>
      <c r="H132" s="1983"/>
      <c r="I132" s="1862"/>
      <c r="J132" s="1896"/>
      <c r="K132" s="1901"/>
      <c r="L132" s="1983" t="s">
        <v>418</v>
      </c>
      <c r="M132" s="465"/>
      <c r="N132" s="458"/>
      <c r="O132" s="1748"/>
      <c r="P132" s="1748"/>
      <c r="AH132" s="1755">
        <v>0</v>
      </c>
    </row>
    <row s="7213" customFormat="1" customHeight="1" ht="18.75" hidden="1">
      <c r="A133" s="1903"/>
      <c r="B133" s="1903"/>
      <c r="C133" s="493" t="s">
        <v>1576</v>
      </c>
      <c r="D133" s="2599"/>
      <c r="E133" s="2341"/>
      <c r="F133" s="2520"/>
      <c r="G133" s="2564"/>
      <c r="H133" s="1624"/>
      <c r="I133" s="775" t="s">
        <v>1575</v>
      </c>
      <c r="J133" s="695"/>
      <c r="K133" s="1624"/>
      <c r="L133" s="338"/>
      <c r="M133" s="465"/>
      <c r="N133" s="458"/>
      <c r="O133" s="1748"/>
      <c r="P133" s="1748"/>
      <c r="AH133" s="1755">
        <v>0</v>
      </c>
    </row>
    <row s="7213" customFormat="1" customHeight="1" ht="0.75" hidden="1">
      <c r="A134" s="1903"/>
      <c r="B134" s="1903"/>
      <c r="C134" s="493" t="s">
        <v>1583</v>
      </c>
      <c r="D134" s="2599"/>
      <c r="E134" s="2341"/>
      <c r="F134" s="2520"/>
      <c r="G134" s="524"/>
      <c r="H134" s="1624"/>
      <c r="I134" s="775"/>
      <c r="J134" s="695"/>
      <c r="K134" s="1624"/>
      <c r="L134" s="338"/>
      <c r="M134" s="465"/>
      <c r="N134" s="458"/>
      <c r="O134" s="1748"/>
      <c r="P134" s="1748"/>
      <c r="AH134" s="1755">
        <v>0</v>
      </c>
    </row>
    <row s="7213" customFormat="1" customHeight="1" ht="18.75" hidden="1">
      <c r="A135" s="1903" t="s">
        <v>372</v>
      </c>
      <c r="B135" s="1903" t="s">
        <v>373</v>
      </c>
      <c r="C135" s="493"/>
      <c r="D135" s="2599"/>
      <c r="E135" s="2341"/>
      <c r="F135" s="25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4" t="str">
        <f>INDEX(PT_DIFFERENTIATION_NTAR,MATCH(B135,PT_DIFFERENTIATION_NTAR_ID,0))</f>
        <v/>
      </c>
      <c r="H135" s="1983"/>
      <c r="I135" s="1862"/>
      <c r="J135" s="1896"/>
      <c r="K135" s="1901"/>
      <c r="L135" s="1983" t="s">
        <v>418</v>
      </c>
      <c r="M135" s="465"/>
      <c r="N135" s="458"/>
      <c r="O135" s="1748"/>
      <c r="P135" s="1748"/>
      <c r="AH135" s="1755">
        <v>0</v>
      </c>
    </row>
    <row s="7213" customFormat="1" customHeight="1" ht="18.75" hidden="1">
      <c r="A136" s="1903"/>
      <c r="B136" s="1903"/>
      <c r="C136" s="493" t="s">
        <v>1576</v>
      </c>
      <c r="D136" s="2599"/>
      <c r="E136" s="2341"/>
      <c r="F136" s="2520"/>
      <c r="G136" s="2564"/>
      <c r="H136" s="1624"/>
      <c r="I136" s="775" t="s">
        <v>1575</v>
      </c>
      <c r="J136" s="695"/>
      <c r="K136" s="1624"/>
      <c r="L136" s="338"/>
      <c r="M136" s="465"/>
      <c r="N136" s="458"/>
      <c r="O136" s="1748"/>
      <c r="P136" s="1748"/>
      <c r="AH136" s="1755">
        <v>0</v>
      </c>
    </row>
    <row s="7213" customFormat="1" customHeight="1" ht="0.75" hidden="1">
      <c r="A137" s="1903"/>
      <c r="B137" s="1903"/>
      <c r="C137" s="493" t="s">
        <v>1583</v>
      </c>
      <c r="D137" s="2599"/>
      <c r="E137" s="2341"/>
      <c r="F137" s="2520"/>
      <c r="G137" s="524"/>
      <c r="H137" s="1624"/>
      <c r="I137" s="775"/>
      <c r="J137" s="695"/>
      <c r="K137" s="1624"/>
      <c r="L137" s="338"/>
      <c r="M137" s="465"/>
      <c r="N137" s="458"/>
      <c r="O137" s="1748"/>
      <c r="P137" s="1748"/>
      <c r="AH137" s="1755">
        <v>0</v>
      </c>
    </row>
    <row s="7213" customFormat="1" customHeight="1" ht="18.75" hidden="1">
      <c r="A138" s="1903" t="s">
        <v>377</v>
      </c>
      <c r="B138" s="1903" t="s">
        <v>378</v>
      </c>
      <c r="C138" s="493"/>
      <c r="D138" s="2599"/>
      <c r="E138" s="2341"/>
      <c r="F138" s="2520" t="str">
        <f>INDEX(PT_DIFFERENTIATION_VTAR,MATCH(A138,PT_DIFFERENTIATION_VTAR_ID,0))</f>
        <v>Тариф на водоотведение</v>
      </c>
      <c r="G138" s="2564" t="str">
        <f>INDEX(PT_DIFFERENTIATION_NTAR,MATCH(B138,PT_DIFFERENTIATION_NTAR_ID,0))</f>
        <v/>
      </c>
      <c r="H138" s="1983"/>
      <c r="I138" s="1862"/>
      <c r="J138" s="1896"/>
      <c r="K138" s="1901"/>
      <c r="L138" s="1983" t="s">
        <v>418</v>
      </c>
      <c r="M138" s="465"/>
      <c r="N138" s="458"/>
      <c r="O138" s="1748"/>
      <c r="P138" s="1748"/>
      <c r="AH138" s="1755">
        <v>0</v>
      </c>
    </row>
    <row s="7213" customFormat="1" customHeight="1" ht="18.75" hidden="1">
      <c r="A139" s="1903"/>
      <c r="B139" s="1903"/>
      <c r="C139" s="493" t="s">
        <v>1576</v>
      </c>
      <c r="D139" s="2599"/>
      <c r="E139" s="2341"/>
      <c r="F139" s="2520"/>
      <c r="G139" s="2564"/>
      <c r="H139" s="1624"/>
      <c r="I139" s="775" t="s">
        <v>1575</v>
      </c>
      <c r="J139" s="695"/>
      <c r="K139" s="1624"/>
      <c r="L139" s="338"/>
      <c r="M139" s="465"/>
      <c r="N139" s="458"/>
      <c r="O139" s="1748"/>
      <c r="P139" s="1748"/>
      <c r="AH139" s="1755">
        <v>0</v>
      </c>
    </row>
    <row s="7213" customFormat="1" customHeight="1" ht="0.75" hidden="1">
      <c r="A140" s="1903"/>
      <c r="B140" s="1903"/>
      <c r="C140" s="493" t="s">
        <v>1583</v>
      </c>
      <c r="D140" s="2599"/>
      <c r="E140" s="2341"/>
      <c r="F140" s="2520"/>
      <c r="G140" s="524"/>
      <c r="H140" s="1624"/>
      <c r="I140" s="775"/>
      <c r="J140" s="695"/>
      <c r="K140" s="1624"/>
      <c r="L140" s="338"/>
      <c r="M140" s="465"/>
      <c r="N140" s="458"/>
      <c r="O140" s="1748"/>
      <c r="P140" s="1748"/>
      <c r="AH140" s="1755">
        <v>0</v>
      </c>
    </row>
    <row s="7213" customFormat="1" customHeight="1" ht="18.75" hidden="1">
      <c r="A141" s="1903" t="s">
        <v>382</v>
      </c>
      <c r="B141" s="1903" t="s">
        <v>383</v>
      </c>
      <c r="C141" s="493"/>
      <c r="D141" s="2599"/>
      <c r="E141" s="2341"/>
      <c r="F141" s="2520" t="str">
        <f>INDEX(PT_DIFFERENTIATION_VTAR,MATCH(A141,PT_DIFFERENTIATION_VTAR_ID,0))</f>
        <v>Тариф на транспортировку сточных вод</v>
      </c>
      <c r="G141" s="2564" t="str">
        <f>INDEX(PT_DIFFERENTIATION_NTAR,MATCH(B141,PT_DIFFERENTIATION_NTAR_ID,0))</f>
        <v/>
      </c>
      <c r="H141" s="1983"/>
      <c r="I141" s="1862"/>
      <c r="J141" s="1896"/>
      <c r="K141" s="1901"/>
      <c r="L141" s="1983" t="s">
        <v>418</v>
      </c>
      <c r="M141" s="465"/>
      <c r="N141" s="458"/>
      <c r="O141" s="1748"/>
      <c r="P141" s="1748"/>
      <c r="AH141" s="1755">
        <v>0</v>
      </c>
    </row>
    <row s="7213" customFormat="1" customHeight="1" ht="18.75" hidden="1">
      <c r="A142" s="1903"/>
      <c r="B142" s="1903"/>
      <c r="C142" s="493" t="s">
        <v>1576</v>
      </c>
      <c r="D142" s="2599"/>
      <c r="E142" s="2341"/>
      <c r="F142" s="2520"/>
      <c r="G142" s="2564"/>
      <c r="H142" s="1624"/>
      <c r="I142" s="775" t="s">
        <v>1575</v>
      </c>
      <c r="J142" s="695"/>
      <c r="K142" s="1624"/>
      <c r="L142" s="338"/>
      <c r="M142" s="465"/>
      <c r="N142" s="458"/>
      <c r="O142" s="1748"/>
      <c r="P142" s="1748"/>
      <c r="AH142" s="1755">
        <v>0</v>
      </c>
    </row>
    <row s="7213" customFormat="1" customHeight="1" ht="0.75" hidden="1">
      <c r="A143" s="1903"/>
      <c r="B143" s="1903"/>
      <c r="C143" s="493" t="s">
        <v>1583</v>
      </c>
      <c r="D143" s="2599"/>
      <c r="E143" s="2341"/>
      <c r="F143" s="2520"/>
      <c r="G143" s="524"/>
      <c r="H143" s="1624"/>
      <c r="I143" s="775"/>
      <c r="J143" s="695"/>
      <c r="K143" s="1624"/>
      <c r="L143" s="338"/>
      <c r="M143" s="465"/>
      <c r="N143" s="458"/>
      <c r="O143" s="1748"/>
      <c r="P143" s="1748"/>
      <c r="AH143" s="1755">
        <v>0</v>
      </c>
    </row>
    <row s="7213" customFormat="1" customHeight="1" ht="18.75" hidden="1">
      <c r="A144" s="1903" t="s">
        <v>387</v>
      </c>
      <c r="B144" s="1903" t="s">
        <v>388</v>
      </c>
      <c r="C144" s="493"/>
      <c r="D144" s="2599"/>
      <c r="E144" s="2341"/>
      <c r="F144" s="2520" t="str">
        <f>INDEX(PT_DIFFERENTIATION_VTAR,MATCH(A144,PT_DIFFERENTIATION_VTAR_ID,0))</f>
        <v>Тариф на подключение (технологическое присоединение) к централизованной системе водоотведения</v>
      </c>
      <c r="G144" s="2564" t="str">
        <f>INDEX(PT_DIFFERENTIATION_NTAR,MATCH(B144,PT_DIFFERENTIATION_NTAR_ID,0))</f>
        <v/>
      </c>
      <c r="H144" s="1983"/>
      <c r="I144" s="1862"/>
      <c r="J144" s="1896"/>
      <c r="K144" s="1901"/>
      <c r="L144" s="1983" t="s">
        <v>418</v>
      </c>
      <c r="M144" s="465"/>
      <c r="N144" s="458"/>
      <c r="O144" s="1748"/>
      <c r="P144" s="1748"/>
      <c r="AH144" s="1755">
        <v>0</v>
      </c>
    </row>
    <row s="7213" customFormat="1" customHeight="1" ht="18.75" hidden="1">
      <c r="A145" s="1903"/>
      <c r="B145" s="1903"/>
      <c r="C145" s="493" t="s">
        <v>1576</v>
      </c>
      <c r="D145" s="2599"/>
      <c r="E145" s="2341"/>
      <c r="F145" s="2520"/>
      <c r="G145" s="2564"/>
      <c r="H145" s="1624"/>
      <c r="I145" s="775" t="s">
        <v>1575</v>
      </c>
      <c r="J145" s="695"/>
      <c r="K145" s="1624"/>
      <c r="L145" s="338"/>
      <c r="M145" s="465"/>
      <c r="N145" s="458"/>
      <c r="O145" s="1748"/>
      <c r="P145" s="1748"/>
      <c r="AH145" s="1755">
        <v>0</v>
      </c>
    </row>
    <row s="7213" customFormat="1" customHeight="1" ht="1.05">
      <c r="A146" s="1903"/>
      <c r="B146" s="1903"/>
      <c r="C146" s="493" t="s">
        <v>1583</v>
      </c>
      <c r="D146" s="2599"/>
      <c r="E146" s="2341"/>
      <c r="F146" s="2520"/>
      <c r="G146" s="524"/>
      <c r="H146" s="1624"/>
      <c r="I146" s="775"/>
      <c r="J146" s="695"/>
      <c r="K146" s="1624"/>
      <c r="L146" s="338"/>
      <c r="M146" s="465"/>
      <c r="N146" s="458"/>
      <c r="O146" s="1748"/>
      <c r="P146" s="1748"/>
      <c r="AH146" s="1755">
        <v>1</v>
      </c>
    </row>
    <row customHeight="1" ht="19.95">
      <c r="A147" s="1903"/>
      <c r="B147" s="1903"/>
      <c r="D147" s="500"/>
      <c r="E147" s="271" t="s">
        <v>91</v>
      </c>
      <c r="F147" s="25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97"/>
      <c r="H147" s="2597"/>
      <c r="I147" s="2597"/>
      <c r="J147" s="2597"/>
      <c r="K147" s="2597"/>
      <c r="L147" s="2597"/>
      <c r="M147" s="421"/>
      <c r="N147" s="458"/>
      <c r="AH147" s="498">
        <v>19</v>
      </c>
    </row>
    <row s="7213" customFormat="1" customHeight="1" ht="60.75" hidden="1">
      <c r="A148" s="1903" t="s">
        <v>269</v>
      </c>
      <c r="B148" s="1903" t="s">
        <v>270</v>
      </c>
      <c r="C148" s="493"/>
      <c r="D148" s="2599"/>
      <c r="E148" s="2341"/>
      <c r="F148" s="25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4" t="str">
        <f>INDEX(PT_DIFFERENTIATION_NTAR,MATCH(B148,PT_DIFFERENTIATION_NTAR_ID,0))</f>
        <v/>
      </c>
      <c r="H148" s="1983"/>
      <c r="I148" s="1862"/>
      <c r="J148" s="1896"/>
      <c r="K148" s="1901"/>
      <c r="L148" s="1983" t="s">
        <v>418</v>
      </c>
      <c r="M148" s="23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458"/>
      <c r="O148" s="1748"/>
      <c r="P148" s="1748"/>
      <c r="AH148" s="1755">
        <v>0</v>
      </c>
    </row>
    <row s="7213" customFormat="1" customHeight="1" ht="18.75" hidden="1">
      <c r="A149" s="1903"/>
      <c r="B149" s="1903"/>
      <c r="C149" s="493" t="s">
        <v>1576</v>
      </c>
      <c r="D149" s="2599"/>
      <c r="E149" s="2341"/>
      <c r="F149" s="2520"/>
      <c r="G149" s="2564"/>
      <c r="H149" s="1624"/>
      <c r="I149" s="775" t="s">
        <v>1575</v>
      </c>
      <c r="J149" s="695"/>
      <c r="K149" s="1624"/>
      <c r="L149" s="338"/>
      <c r="M149" s="2307"/>
      <c r="N149" s="458"/>
      <c r="O149" s="1748"/>
      <c r="P149" s="1748"/>
      <c r="AH149" s="1755">
        <v>0</v>
      </c>
    </row>
    <row s="7213" customFormat="1" customHeight="1" ht="0.75" hidden="1">
      <c r="A150" s="1903"/>
      <c r="B150" s="1903"/>
      <c r="C150" s="493" t="s">
        <v>1583</v>
      </c>
      <c r="D150" s="2599"/>
      <c r="E150" s="2341"/>
      <c r="F150" s="2520"/>
      <c r="G150" s="524"/>
      <c r="H150" s="1624"/>
      <c r="I150" s="775"/>
      <c r="J150" s="695"/>
      <c r="K150" s="1624"/>
      <c r="L150" s="338"/>
      <c r="M150" s="2307"/>
      <c r="N150" s="458"/>
      <c r="O150" s="1748"/>
      <c r="P150" s="1748"/>
      <c r="AH150" s="1755">
        <v>0</v>
      </c>
    </row>
    <row s="7213" customFormat="1" customHeight="1" ht="45" hidden="1">
      <c r="A151" s="1903" t="s">
        <v>274</v>
      </c>
      <c r="B151" s="1903" t="s">
        <v>275</v>
      </c>
      <c r="C151" s="493"/>
      <c r="D151" s="2599"/>
      <c r="E151" s="2341"/>
      <c r="F151" s="2520" t="str">
        <f>INDEX(PT_DIFFERENTIATION_VTAR,MATCH(A151,PT_DIFFERENTIATION_VTAR_ID,0))</f>
        <v/>
      </c>
      <c r="G151" s="2564" t="str">
        <f>INDEX(PT_DIFFERENTIATION_NTAR,MATCH(B151,PT_DIFFERENTIATION_NTAR_ID,0))</f>
        <v/>
      </c>
      <c r="H151" s="1983"/>
      <c r="I151" s="1862"/>
      <c r="J151" s="1896"/>
      <c r="K151" s="1901"/>
      <c r="L151" s="1983" t="s">
        <v>418</v>
      </c>
      <c r="M151" s="2308"/>
      <c r="N151" s="458"/>
      <c r="O151" s="1748"/>
      <c r="P151" s="1748"/>
      <c r="AH151" s="1755">
        <v>0</v>
      </c>
    </row>
    <row s="7213" customFormat="1" customHeight="1" ht="18.75" hidden="1">
      <c r="A152" s="1903"/>
      <c r="B152" s="1903"/>
      <c r="C152" s="493" t="s">
        <v>1576</v>
      </c>
      <c r="D152" s="2599"/>
      <c r="E152" s="2341"/>
      <c r="F152" s="2520"/>
      <c r="G152" s="2564"/>
      <c r="H152" s="1624"/>
      <c r="I152" s="775" t="s">
        <v>1575</v>
      </c>
      <c r="J152" s="695"/>
      <c r="K152" s="1624"/>
      <c r="L152" s="338"/>
      <c r="M152" s="1982"/>
      <c r="N152" s="458"/>
      <c r="O152" s="1748"/>
      <c r="P152" s="1748"/>
      <c r="AH152" s="1755">
        <v>0</v>
      </c>
    </row>
    <row s="7213" customFormat="1" customHeight="1" ht="0.75" hidden="1">
      <c r="A153" s="1903"/>
      <c r="B153" s="1903"/>
      <c r="C153" s="493" t="s">
        <v>1583</v>
      </c>
      <c r="D153" s="2599"/>
      <c r="E153" s="2341"/>
      <c r="F153" s="2520"/>
      <c r="G153" s="524"/>
      <c r="H153" s="1624"/>
      <c r="I153" s="775"/>
      <c r="J153" s="695"/>
      <c r="K153" s="1624"/>
      <c r="L153" s="338"/>
      <c r="M153" s="465"/>
      <c r="N153" s="458"/>
      <c r="O153" s="1748"/>
      <c r="P153" s="1748"/>
      <c r="AH153" s="1755">
        <v>0</v>
      </c>
    </row>
    <row s="7213" customFormat="1" customHeight="1" ht="45" hidden="1">
      <c r="A154" s="1903" t="s">
        <v>281</v>
      </c>
      <c r="B154" s="1903" t="s">
        <v>282</v>
      </c>
      <c r="C154" s="493"/>
      <c r="D154" s="2599"/>
      <c r="E154" s="2341"/>
      <c r="F154" s="25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4" t="str">
        <f>INDEX(PT_DIFFERENTIATION_NTAR,MATCH(B154,PT_DIFFERENTIATION_NTAR_ID,0))</f>
        <v/>
      </c>
      <c r="H154" s="1983"/>
      <c r="I154" s="1862"/>
      <c r="J154" s="1896"/>
      <c r="K154" s="1901"/>
      <c r="L154" s="1983" t="s">
        <v>418</v>
      </c>
      <c r="M154" s="465"/>
      <c r="N154" s="458"/>
      <c r="O154" s="1748"/>
      <c r="P154" s="1748"/>
      <c r="AH154" s="1755">
        <v>0</v>
      </c>
    </row>
    <row s="7213" customFormat="1" customHeight="1" ht="18.75" hidden="1">
      <c r="A155" s="1903"/>
      <c r="B155" s="1903"/>
      <c r="C155" s="493" t="s">
        <v>1576</v>
      </c>
      <c r="D155" s="2599"/>
      <c r="E155" s="2341"/>
      <c r="F155" s="2520"/>
      <c r="G155" s="2564"/>
      <c r="H155" s="1624"/>
      <c r="I155" s="775" t="s">
        <v>1575</v>
      </c>
      <c r="J155" s="695"/>
      <c r="K155" s="1624"/>
      <c r="L155" s="338"/>
      <c r="M155" s="465"/>
      <c r="N155" s="458"/>
      <c r="O155" s="1748"/>
      <c r="P155" s="1748"/>
      <c r="AH155" s="1755">
        <v>0</v>
      </c>
    </row>
    <row s="7213" customFormat="1" customHeight="1" ht="0.75" hidden="1">
      <c r="A156" s="1903"/>
      <c r="B156" s="1903"/>
      <c r="C156" s="493" t="s">
        <v>1583</v>
      </c>
      <c r="D156" s="2599"/>
      <c r="E156" s="2341"/>
      <c r="F156" s="2520"/>
      <c r="G156" s="524"/>
      <c r="H156" s="1624"/>
      <c r="I156" s="775"/>
      <c r="J156" s="695"/>
      <c r="K156" s="1624"/>
      <c r="L156" s="338"/>
      <c r="M156" s="465"/>
      <c r="N156" s="458"/>
      <c r="O156" s="1748"/>
      <c r="P156" s="1748"/>
      <c r="AH156" s="1755">
        <v>0</v>
      </c>
    </row>
    <row s="7213" customFormat="1" customHeight="1" ht="45" hidden="1">
      <c r="A157" s="1903" t="s">
        <v>287</v>
      </c>
      <c r="B157" s="1903" t="s">
        <v>288</v>
      </c>
      <c r="C157" s="493"/>
      <c r="D157" s="2599"/>
      <c r="E157" s="2341"/>
      <c r="F157" s="25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4" t="str">
        <f>INDEX(PT_DIFFERENTIATION_NTAR,MATCH(B157,PT_DIFFERENTIATION_NTAR_ID,0))</f>
        <v/>
      </c>
      <c r="H157" s="1983"/>
      <c r="I157" s="1862"/>
      <c r="J157" s="1896"/>
      <c r="K157" s="1901"/>
      <c r="L157" s="1983" t="s">
        <v>418</v>
      </c>
      <c r="M157" s="465"/>
      <c r="N157" s="458"/>
      <c r="O157" s="1748"/>
      <c r="P157" s="1748"/>
      <c r="AH157" s="1755">
        <v>0</v>
      </c>
    </row>
    <row s="7213" customFormat="1" customHeight="1" ht="18.75" hidden="1">
      <c r="A158" s="1903"/>
      <c r="B158" s="1903"/>
      <c r="C158" s="493" t="s">
        <v>1576</v>
      </c>
      <c r="D158" s="2599"/>
      <c r="E158" s="2341"/>
      <c r="F158" s="2520"/>
      <c r="G158" s="2564"/>
      <c r="H158" s="1624"/>
      <c r="I158" s="775" t="s">
        <v>1575</v>
      </c>
      <c r="J158" s="695"/>
      <c r="K158" s="1624"/>
      <c r="L158" s="338"/>
      <c r="M158" s="465"/>
      <c r="N158" s="458"/>
      <c r="O158" s="1748"/>
      <c r="P158" s="1748"/>
      <c r="AH158" s="1755">
        <v>0</v>
      </c>
    </row>
    <row s="7213" customFormat="1" customHeight="1" ht="0.75" hidden="1">
      <c r="A159" s="1903"/>
      <c r="B159" s="1903"/>
      <c r="C159" s="493" t="s">
        <v>1583</v>
      </c>
      <c r="D159" s="2599"/>
      <c r="E159" s="2341"/>
      <c r="F159" s="2520"/>
      <c r="G159" s="524"/>
      <c r="H159" s="1624"/>
      <c r="I159" s="775"/>
      <c r="J159" s="695"/>
      <c r="K159" s="1624"/>
      <c r="L159" s="338"/>
      <c r="M159" s="465"/>
      <c r="N159" s="458"/>
      <c r="O159" s="1748"/>
      <c r="P159" s="1748"/>
      <c r="AH159" s="1755">
        <v>0</v>
      </c>
    </row>
    <row s="7213" customFormat="1" customHeight="1" ht="18.75" hidden="1">
      <c r="A160" s="1903" t="s">
        <v>293</v>
      </c>
      <c r="B160" s="1903" t="s">
        <v>294</v>
      </c>
      <c r="C160" s="493"/>
      <c r="D160" s="2599"/>
      <c r="E160" s="2341"/>
      <c r="F160" s="2520" t="str">
        <f>INDEX(PT_DIFFERENTIATION_VTAR,MATCH(A160,PT_DIFFERENTIATION_VTAR_ID,0))</f>
        <v>Тарифы на услуги по передаче тепловой энергии</v>
      </c>
      <c r="G160" s="2564" t="str">
        <f>INDEX(PT_DIFFERENTIATION_NTAR,MATCH(B160,PT_DIFFERENTIATION_NTAR_ID,0))</f>
        <v/>
      </c>
      <c r="H160" s="1983"/>
      <c r="I160" s="1862"/>
      <c r="J160" s="1896"/>
      <c r="K160" s="1901"/>
      <c r="L160" s="1983" t="s">
        <v>418</v>
      </c>
      <c r="M160" s="465"/>
      <c r="N160" s="458"/>
      <c r="O160" s="1748"/>
      <c r="P160" s="1748"/>
      <c r="AH160" s="1755">
        <v>0</v>
      </c>
    </row>
    <row s="7213" customFormat="1" customHeight="1" ht="18.75" hidden="1">
      <c r="A161" s="1903"/>
      <c r="B161" s="1903"/>
      <c r="C161" s="493" t="s">
        <v>1576</v>
      </c>
      <c r="D161" s="2599"/>
      <c r="E161" s="2341"/>
      <c r="F161" s="2520"/>
      <c r="G161" s="2564"/>
      <c r="H161" s="1624"/>
      <c r="I161" s="775" t="s">
        <v>1575</v>
      </c>
      <c r="J161" s="695"/>
      <c r="K161" s="1624"/>
      <c r="L161" s="338"/>
      <c r="M161" s="465"/>
      <c r="N161" s="458"/>
      <c r="O161" s="1748"/>
      <c r="P161" s="1748"/>
      <c r="AH161" s="1755">
        <v>0</v>
      </c>
    </row>
    <row s="7213" customFormat="1" customHeight="1" ht="0.75" hidden="1">
      <c r="A162" s="1903"/>
      <c r="B162" s="1903"/>
      <c r="C162" s="493" t="s">
        <v>1583</v>
      </c>
      <c r="D162" s="2599"/>
      <c r="E162" s="2341"/>
      <c r="F162" s="2520"/>
      <c r="G162" s="524"/>
      <c r="H162" s="1624"/>
      <c r="I162" s="775"/>
      <c r="J162" s="695"/>
      <c r="K162" s="1624"/>
      <c r="L162" s="338"/>
      <c r="M162" s="465"/>
      <c r="N162" s="458"/>
      <c r="O162" s="1748"/>
      <c r="P162" s="1748"/>
      <c r="AH162" s="1755">
        <v>0</v>
      </c>
    </row>
    <row s="7213" customFormat="1" customHeight="1" ht="18.75" hidden="1">
      <c r="A163" s="1903" t="s">
        <v>299</v>
      </c>
      <c r="B163" s="1903" t="s">
        <v>300</v>
      </c>
      <c r="C163" s="493"/>
      <c r="D163" s="2599"/>
      <c r="E163" s="2341"/>
      <c r="F163" s="2520" t="str">
        <f>INDEX(PT_DIFFERENTIATION_VTAR,MATCH(A163,PT_DIFFERENTIATION_VTAR_ID,0))</f>
        <v>Тарифы на услуги по передаче теплоносителя</v>
      </c>
      <c r="G163" s="2564" t="str">
        <f>INDEX(PT_DIFFERENTIATION_NTAR,MATCH(B163,PT_DIFFERENTIATION_NTAR_ID,0))</f>
        <v/>
      </c>
      <c r="H163" s="1983"/>
      <c r="I163" s="1862"/>
      <c r="J163" s="1896"/>
      <c r="K163" s="1901"/>
      <c r="L163" s="1983" t="s">
        <v>418</v>
      </c>
      <c r="M163" s="465"/>
      <c r="N163" s="458"/>
      <c r="O163" s="1748"/>
      <c r="P163" s="1748"/>
      <c r="AH163" s="1755">
        <v>0</v>
      </c>
    </row>
    <row s="7213" customFormat="1" customHeight="1" ht="18.75" hidden="1">
      <c r="A164" s="1903"/>
      <c r="B164" s="1903"/>
      <c r="C164" s="493" t="s">
        <v>1576</v>
      </c>
      <c r="D164" s="2599"/>
      <c r="E164" s="2341"/>
      <c r="F164" s="2520"/>
      <c r="G164" s="2564"/>
      <c r="H164" s="1624"/>
      <c r="I164" s="775" t="s">
        <v>1575</v>
      </c>
      <c r="J164" s="695"/>
      <c r="K164" s="1624"/>
      <c r="L164" s="338"/>
      <c r="M164" s="465"/>
      <c r="N164" s="458"/>
      <c r="O164" s="1748"/>
      <c r="P164" s="1748"/>
      <c r="AH164" s="1755">
        <v>0</v>
      </c>
    </row>
    <row s="7213" customFormat="1" customHeight="1" ht="0.75" hidden="1">
      <c r="A165" s="1903"/>
      <c r="B165" s="1903"/>
      <c r="C165" s="493" t="s">
        <v>1583</v>
      </c>
      <c r="D165" s="2599"/>
      <c r="E165" s="2341"/>
      <c r="F165" s="2520"/>
      <c r="G165" s="524"/>
      <c r="H165" s="1624"/>
      <c r="I165" s="775"/>
      <c r="J165" s="695"/>
      <c r="K165" s="1624"/>
      <c r="L165" s="338"/>
      <c r="M165" s="465"/>
      <c r="N165" s="458"/>
      <c r="O165" s="1748"/>
      <c r="P165" s="1748"/>
      <c r="AH165" s="1755">
        <v>0</v>
      </c>
    </row>
    <row s="7213" customFormat="1" customHeight="1" ht="18.75" hidden="1">
      <c r="A166" s="1903" t="s">
        <v>305</v>
      </c>
      <c r="B166" s="1903" t="s">
        <v>306</v>
      </c>
      <c r="C166" s="493"/>
      <c r="D166" s="2599"/>
      <c r="E166" s="2341"/>
      <c r="F166" s="25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4" t="str">
        <f>INDEX(PT_DIFFERENTIATION_NTAR,MATCH(B166,PT_DIFFERENTIATION_NTAR_ID,0))</f>
        <v/>
      </c>
      <c r="H166" s="1983"/>
      <c r="I166" s="1862"/>
      <c r="J166" s="1896"/>
      <c r="K166" s="1901"/>
      <c r="L166" s="1983" t="s">
        <v>418</v>
      </c>
      <c r="M166" s="465"/>
      <c r="N166" s="458"/>
      <c r="O166" s="1748"/>
      <c r="P166" s="1748"/>
      <c r="AH166" s="1755">
        <v>0</v>
      </c>
    </row>
    <row s="7213" customFormat="1" customHeight="1" ht="18.75" hidden="1">
      <c r="A167" s="1903"/>
      <c r="B167" s="1903"/>
      <c r="C167" s="493" t="s">
        <v>1576</v>
      </c>
      <c r="D167" s="2599"/>
      <c r="E167" s="2341"/>
      <c r="F167" s="2520"/>
      <c r="G167" s="2564"/>
      <c r="H167" s="1624"/>
      <c r="I167" s="775" t="s">
        <v>1575</v>
      </c>
      <c r="J167" s="695"/>
      <c r="K167" s="1624"/>
      <c r="L167" s="338"/>
      <c r="M167" s="465"/>
      <c r="N167" s="458"/>
      <c r="O167" s="1748"/>
      <c r="P167" s="1748"/>
      <c r="AH167" s="1755">
        <v>0</v>
      </c>
    </row>
    <row s="7213" customFormat="1" customHeight="1" ht="0.75" hidden="1">
      <c r="A168" s="1903"/>
      <c r="B168" s="1903"/>
      <c r="C168" s="493" t="s">
        <v>1583</v>
      </c>
      <c r="D168" s="2599"/>
      <c r="E168" s="2341"/>
      <c r="F168" s="2520"/>
      <c r="G168" s="524"/>
      <c r="H168" s="1624"/>
      <c r="I168" s="775"/>
      <c r="J168" s="695"/>
      <c r="K168" s="1624"/>
      <c r="L168" s="338"/>
      <c r="M168" s="465"/>
      <c r="N168" s="458"/>
      <c r="O168" s="1748"/>
      <c r="P168" s="1748"/>
      <c r="AH168" s="1755">
        <v>0</v>
      </c>
    </row>
    <row s="7213" customFormat="1" customHeight="1" ht="18.75" hidden="1">
      <c r="A169" s="1903" t="s">
        <v>311</v>
      </c>
      <c r="B169" s="1903" t="s">
        <v>312</v>
      </c>
      <c r="C169" s="493"/>
      <c r="D169" s="2599"/>
      <c r="E169" s="2341"/>
      <c r="F169" s="2520" t="str">
        <f>INDEX(PT_DIFFERENTIATION_VTAR,MATCH(A169,PT_DIFFERENTIATION_VTAR_ID,0))</f>
        <v>Плата за подключение (технологическое присоединение) к системе теплоснабжения</v>
      </c>
      <c r="G169" s="2564" t="str">
        <f>INDEX(PT_DIFFERENTIATION_NTAR,MATCH(B169,PT_DIFFERENTIATION_NTAR_ID,0))</f>
        <v/>
      </c>
      <c r="H169" s="1983"/>
      <c r="I169" s="1862"/>
      <c r="J169" s="1896"/>
      <c r="K169" s="1901"/>
      <c r="L169" s="1983" t="s">
        <v>418</v>
      </c>
      <c r="M169" s="465"/>
      <c r="N169" s="458"/>
      <c r="O169" s="1748"/>
      <c r="P169" s="1748"/>
      <c r="AH169" s="1755">
        <v>0</v>
      </c>
    </row>
    <row s="7213" customFormat="1" customHeight="1" ht="18.75" hidden="1">
      <c r="A170" s="1903"/>
      <c r="B170" s="1903"/>
      <c r="C170" s="493" t="s">
        <v>1576</v>
      </c>
      <c r="D170" s="2599"/>
      <c r="E170" s="2341"/>
      <c r="F170" s="2520"/>
      <c r="G170" s="2564"/>
      <c r="H170" s="1624"/>
      <c r="I170" s="775" t="s">
        <v>1575</v>
      </c>
      <c r="J170" s="695"/>
      <c r="K170" s="1624"/>
      <c r="L170" s="338"/>
      <c r="M170" s="465"/>
      <c r="N170" s="458"/>
      <c r="O170" s="1748"/>
      <c r="P170" s="1748"/>
      <c r="AH170" s="1755">
        <v>0</v>
      </c>
    </row>
    <row s="7213" customFormat="1" customHeight="1" ht="0.75" hidden="1">
      <c r="A171" s="1903"/>
      <c r="B171" s="1903"/>
      <c r="C171" s="493" t="s">
        <v>1583</v>
      </c>
      <c r="D171" s="2599"/>
      <c r="E171" s="2341"/>
      <c r="F171" s="2520"/>
      <c r="G171" s="524"/>
      <c r="H171" s="1624"/>
      <c r="I171" s="775"/>
      <c r="J171" s="695"/>
      <c r="K171" s="1624"/>
      <c r="L171" s="338"/>
      <c r="M171" s="465"/>
      <c r="N171" s="458"/>
      <c r="O171" s="1748"/>
      <c r="P171" s="1748"/>
      <c r="AH171" s="1755">
        <v>0</v>
      </c>
    </row>
    <row s="7213" customFormat="1" customHeight="1" ht="18.75" hidden="1">
      <c r="A172" s="1903" t="s">
        <v>317</v>
      </c>
      <c r="B172" s="1903" t="s">
        <v>318</v>
      </c>
      <c r="C172" s="493"/>
      <c r="D172" s="2599"/>
      <c r="E172" s="2341"/>
      <c r="F172" s="2520" t="str">
        <f>INDEX(PT_DIFFERENTIATION_VTAR,MATCH(A172,PT_DIFFERENTIATION_VTAR_ID,0))</f>
        <v>Плата за подключение (технологическое присоединение) к системе теплоснабжения (индивидуальная)</v>
      </c>
      <c r="G172" s="2564" t="str">
        <f>INDEX(PT_DIFFERENTIATION_NTAR,MATCH(B172,PT_DIFFERENTIATION_NTAR_ID,0))</f>
        <v/>
      </c>
      <c r="H172" s="2110"/>
      <c r="I172" s="1862"/>
      <c r="J172" s="1896"/>
      <c r="K172" s="1901"/>
      <c r="L172" s="2110" t="s">
        <v>418</v>
      </c>
      <c r="M172" s="465"/>
      <c r="N172" s="458"/>
      <c r="O172" s="1748"/>
      <c r="P172" s="1748"/>
      <c r="AH172" s="1755">
        <v>0</v>
      </c>
    </row>
    <row s="7213" customFormat="1" customHeight="1" ht="18.75" hidden="1">
      <c r="A173" s="1903"/>
      <c r="B173" s="1903"/>
      <c r="C173" s="493" t="s">
        <v>1576</v>
      </c>
      <c r="D173" s="2599"/>
      <c r="E173" s="2341"/>
      <c r="F173" s="2520"/>
      <c r="G173" s="2564"/>
      <c r="H173" s="1624"/>
      <c r="I173" s="775" t="s">
        <v>1575</v>
      </c>
      <c r="J173" s="695"/>
      <c r="K173" s="1624"/>
      <c r="L173" s="338"/>
      <c r="M173" s="465"/>
      <c r="N173" s="458"/>
      <c r="O173" s="1748"/>
      <c r="P173" s="1748"/>
      <c r="AH173" s="1755">
        <v>0</v>
      </c>
    </row>
    <row s="7213" customFormat="1" customHeight="1" ht="0.75" hidden="1">
      <c r="A174" s="1903"/>
      <c r="B174" s="1903"/>
      <c r="C174" s="493" t="s">
        <v>1583</v>
      </c>
      <c r="D174" s="2599"/>
      <c r="E174" s="2341"/>
      <c r="F174" s="2520"/>
      <c r="G174" s="524"/>
      <c r="H174" s="1624"/>
      <c r="I174" s="775"/>
      <c r="J174" s="695"/>
      <c r="K174" s="1624"/>
      <c r="L174" s="338"/>
      <c r="M174" s="465"/>
      <c r="N174" s="458"/>
      <c r="O174" s="1748"/>
      <c r="P174" s="1748"/>
      <c r="AH174" s="1755">
        <v>0</v>
      </c>
    </row>
    <row s="7213" customFormat="1" customHeight="1" ht="18.75" hidden="1">
      <c r="A175" s="1903" t="s">
        <v>337</v>
      </c>
      <c r="B175" s="1903" t="s">
        <v>338</v>
      </c>
      <c r="C175" s="493"/>
      <c r="D175" s="2599"/>
      <c r="E175" s="2341"/>
      <c r="F175" s="2520" t="str">
        <f>INDEX(PT_DIFFERENTIATION_VTAR,MATCH(A175,PT_DIFFERENTIATION_VTAR_ID,0))</f>
        <v>Тариф на питьевую воду (питьевое водоснабжение)</v>
      </c>
      <c r="G175" s="2564" t="str">
        <f>INDEX(PT_DIFFERENTIATION_NTAR,MATCH(B175,PT_DIFFERENTIATION_NTAR_ID,0))</f>
        <v/>
      </c>
      <c r="H175" s="1983"/>
      <c r="I175" s="1862"/>
      <c r="J175" s="1896"/>
      <c r="K175" s="1901"/>
      <c r="L175" s="1983" t="s">
        <v>418</v>
      </c>
      <c r="M175" s="465"/>
      <c r="N175" s="458"/>
      <c r="O175" s="1748"/>
      <c r="P175" s="1748"/>
      <c r="AH175" s="1755">
        <v>0</v>
      </c>
    </row>
    <row s="7213" customFormat="1" customHeight="1" ht="18.75" hidden="1">
      <c r="A176" s="1903"/>
      <c r="B176" s="1903"/>
      <c r="C176" s="493" t="s">
        <v>1576</v>
      </c>
      <c r="D176" s="2599"/>
      <c r="E176" s="2341"/>
      <c r="F176" s="2520"/>
      <c r="G176" s="2564"/>
      <c r="H176" s="1624"/>
      <c r="I176" s="775" t="s">
        <v>1575</v>
      </c>
      <c r="J176" s="695"/>
      <c r="K176" s="1624"/>
      <c r="L176" s="338"/>
      <c r="M176" s="465"/>
      <c r="N176" s="458"/>
      <c r="O176" s="1748"/>
      <c r="P176" s="1748"/>
      <c r="AH176" s="1755">
        <v>0</v>
      </c>
    </row>
    <row s="7213" customFormat="1" customHeight="1" ht="0.75" hidden="1">
      <c r="A177" s="1903"/>
      <c r="B177" s="1903"/>
      <c r="C177" s="493" t="s">
        <v>1583</v>
      </c>
      <c r="D177" s="2599"/>
      <c r="E177" s="2341"/>
      <c r="F177" s="2520"/>
      <c r="G177" s="524"/>
      <c r="H177" s="1624"/>
      <c r="I177" s="775"/>
      <c r="J177" s="695"/>
      <c r="K177" s="1624"/>
      <c r="L177" s="338"/>
      <c r="M177" s="465"/>
      <c r="N177" s="458"/>
      <c r="O177" s="1748"/>
      <c r="P177" s="1748"/>
      <c r="AH177" s="1755">
        <v>0</v>
      </c>
    </row>
    <row s="7213" customFormat="1" customHeight="1" ht="18.75" hidden="1">
      <c r="A178" s="1903" t="s">
        <v>342</v>
      </c>
      <c r="B178" s="1903" t="s">
        <v>343</v>
      </c>
      <c r="C178" s="493"/>
      <c r="D178" s="2599"/>
      <c r="E178" s="2341"/>
      <c r="F178" s="2520" t="str">
        <f>INDEX(PT_DIFFERENTIATION_VTAR,MATCH(A178,PT_DIFFERENTIATION_VTAR_ID,0))</f>
        <v>Тариф на техническую воду</v>
      </c>
      <c r="G178" s="2564" t="str">
        <f>INDEX(PT_DIFFERENTIATION_NTAR,MATCH(B178,PT_DIFFERENTIATION_NTAR_ID,0))</f>
        <v/>
      </c>
      <c r="H178" s="1983"/>
      <c r="I178" s="1862"/>
      <c r="J178" s="1896"/>
      <c r="K178" s="1901"/>
      <c r="L178" s="1983" t="s">
        <v>418</v>
      </c>
      <c r="M178" s="465"/>
      <c r="N178" s="458"/>
      <c r="O178" s="1748"/>
      <c r="P178" s="1748"/>
      <c r="AH178" s="1755">
        <v>0</v>
      </c>
    </row>
    <row s="7213" customFormat="1" customHeight="1" ht="18.75" hidden="1">
      <c r="A179" s="1903"/>
      <c r="B179" s="1903"/>
      <c r="C179" s="493" t="s">
        <v>1576</v>
      </c>
      <c r="D179" s="2599"/>
      <c r="E179" s="2341"/>
      <c r="F179" s="2520"/>
      <c r="G179" s="2564"/>
      <c r="H179" s="1624"/>
      <c r="I179" s="775" t="s">
        <v>1575</v>
      </c>
      <c r="J179" s="695"/>
      <c r="K179" s="1624"/>
      <c r="L179" s="338"/>
      <c r="M179" s="465"/>
      <c r="N179" s="458"/>
      <c r="O179" s="1748"/>
      <c r="P179" s="1748"/>
      <c r="AH179" s="1755">
        <v>0</v>
      </c>
    </row>
    <row s="7213" customFormat="1" customHeight="1" ht="0.75" hidden="1">
      <c r="A180" s="1903"/>
      <c r="B180" s="1903"/>
      <c r="C180" s="493" t="s">
        <v>1583</v>
      </c>
      <c r="D180" s="2599"/>
      <c r="E180" s="2341"/>
      <c r="F180" s="2520"/>
      <c r="G180" s="524"/>
      <c r="H180" s="1624"/>
      <c r="I180" s="775"/>
      <c r="J180" s="695"/>
      <c r="K180" s="1624"/>
      <c r="L180" s="338"/>
      <c r="M180" s="465"/>
      <c r="N180" s="458"/>
      <c r="O180" s="1748"/>
      <c r="P180" s="1748"/>
      <c r="AH180" s="1755">
        <v>0</v>
      </c>
    </row>
    <row s="7213" customFormat="1" customHeight="1" ht="18.75" hidden="1">
      <c r="A181" s="1903" t="s">
        <v>347</v>
      </c>
      <c r="B181" s="1903" t="s">
        <v>348</v>
      </c>
      <c r="C181" s="493"/>
      <c r="D181" s="2599"/>
      <c r="E181" s="2341"/>
      <c r="F181" s="2520" t="str">
        <f>INDEX(PT_DIFFERENTIATION_VTAR,MATCH(A181,PT_DIFFERENTIATION_VTAR_ID,0))</f>
        <v>Тариф на транспортировку воды</v>
      </c>
      <c r="G181" s="2564" t="str">
        <f>INDEX(PT_DIFFERENTIATION_NTAR,MATCH(B181,PT_DIFFERENTIATION_NTAR_ID,0))</f>
        <v/>
      </c>
      <c r="H181" s="1983"/>
      <c r="I181" s="1862"/>
      <c r="J181" s="1896"/>
      <c r="K181" s="1901"/>
      <c r="L181" s="1983" t="s">
        <v>418</v>
      </c>
      <c r="M181" s="465"/>
      <c r="N181" s="458"/>
      <c r="O181" s="1748"/>
      <c r="P181" s="1748"/>
      <c r="AH181" s="1755">
        <v>0</v>
      </c>
    </row>
    <row s="7213" customFormat="1" customHeight="1" ht="18.75" hidden="1">
      <c r="A182" s="1903"/>
      <c r="B182" s="1903"/>
      <c r="C182" s="493" t="s">
        <v>1576</v>
      </c>
      <c r="D182" s="2599"/>
      <c r="E182" s="2341"/>
      <c r="F182" s="2520"/>
      <c r="G182" s="2564"/>
      <c r="H182" s="1624"/>
      <c r="I182" s="775" t="s">
        <v>1575</v>
      </c>
      <c r="J182" s="695"/>
      <c r="K182" s="1624"/>
      <c r="L182" s="338"/>
      <c r="M182" s="465"/>
      <c r="N182" s="458"/>
      <c r="O182" s="1748"/>
      <c r="P182" s="1748"/>
      <c r="AH182" s="1755">
        <v>0</v>
      </c>
    </row>
    <row s="7213" customFormat="1" customHeight="1" ht="0.75" hidden="1">
      <c r="A183" s="1903"/>
      <c r="B183" s="1903"/>
      <c r="C183" s="493" t="s">
        <v>1583</v>
      </c>
      <c r="D183" s="2599"/>
      <c r="E183" s="2341"/>
      <c r="F183" s="2520"/>
      <c r="G183" s="524"/>
      <c r="H183" s="1624"/>
      <c r="I183" s="775"/>
      <c r="J183" s="695"/>
      <c r="K183" s="1624"/>
      <c r="L183" s="338"/>
      <c r="M183" s="465"/>
      <c r="N183" s="458"/>
      <c r="O183" s="1748"/>
      <c r="P183" s="1748"/>
      <c r="AH183" s="1755">
        <v>0</v>
      </c>
    </row>
    <row s="7213" customFormat="1" customHeight="1" ht="18.75" hidden="1">
      <c r="A184" s="1903" t="s">
        <v>352</v>
      </c>
      <c r="B184" s="1903" t="s">
        <v>353</v>
      </c>
      <c r="C184" s="493"/>
      <c r="D184" s="2599"/>
      <c r="E184" s="2341"/>
      <c r="F184" s="2520" t="str">
        <f>INDEX(PT_DIFFERENTIATION_VTAR,MATCH(A184,PT_DIFFERENTIATION_VTAR_ID,0))</f>
        <v>Тариф на подвоз воды</v>
      </c>
      <c r="G184" s="2564" t="str">
        <f>INDEX(PT_DIFFERENTIATION_NTAR,MATCH(B184,PT_DIFFERENTIATION_NTAR_ID,0))</f>
        <v/>
      </c>
      <c r="H184" s="1983"/>
      <c r="I184" s="1862"/>
      <c r="J184" s="1896"/>
      <c r="K184" s="1901"/>
      <c r="L184" s="1983" t="s">
        <v>418</v>
      </c>
      <c r="M184" s="465"/>
      <c r="N184" s="458"/>
      <c r="O184" s="1748"/>
      <c r="P184" s="1748"/>
      <c r="AH184" s="1755">
        <v>0</v>
      </c>
    </row>
    <row s="7213" customFormat="1" customHeight="1" ht="18.75" hidden="1">
      <c r="A185" s="1903"/>
      <c r="B185" s="1903"/>
      <c r="C185" s="493" t="s">
        <v>1576</v>
      </c>
      <c r="D185" s="2599"/>
      <c r="E185" s="2341"/>
      <c r="F185" s="2520"/>
      <c r="G185" s="2564"/>
      <c r="H185" s="1624"/>
      <c r="I185" s="775" t="s">
        <v>1575</v>
      </c>
      <c r="J185" s="695"/>
      <c r="K185" s="1624"/>
      <c r="L185" s="338"/>
      <c r="M185" s="465"/>
      <c r="N185" s="458"/>
      <c r="O185" s="1748"/>
      <c r="P185" s="1748"/>
      <c r="AH185" s="1755">
        <v>0</v>
      </c>
    </row>
    <row s="7213" customFormat="1" customHeight="1" ht="0.75" hidden="1">
      <c r="A186" s="1903"/>
      <c r="B186" s="1903"/>
      <c r="C186" s="493" t="s">
        <v>1583</v>
      </c>
      <c r="D186" s="2599"/>
      <c r="E186" s="2341"/>
      <c r="F186" s="2520"/>
      <c r="G186" s="524"/>
      <c r="H186" s="1624"/>
      <c r="I186" s="775"/>
      <c r="J186" s="695"/>
      <c r="K186" s="1624"/>
      <c r="L186" s="338"/>
      <c r="M186" s="465"/>
      <c r="N186" s="458"/>
      <c r="O186" s="1748"/>
      <c r="P186" s="1748"/>
      <c r="AH186" s="1755">
        <v>0</v>
      </c>
    </row>
    <row s="7213" customFormat="1" customHeight="1" ht="18.75" hidden="1">
      <c r="A187" s="1903" t="s">
        <v>357</v>
      </c>
      <c r="B187" s="1903" t="s">
        <v>358</v>
      </c>
      <c r="C187" s="493"/>
      <c r="D187" s="2599"/>
      <c r="E187" s="2341"/>
      <c r="F187" s="25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4" t="str">
        <f>INDEX(PT_DIFFERENTIATION_NTAR,MATCH(B187,PT_DIFFERENTIATION_NTAR_ID,0))</f>
        <v/>
      </c>
      <c r="H187" s="1983"/>
      <c r="I187" s="1862"/>
      <c r="J187" s="1896"/>
      <c r="K187" s="1901"/>
      <c r="L187" s="1983" t="s">
        <v>418</v>
      </c>
      <c r="M187" s="465"/>
      <c r="N187" s="458"/>
      <c r="O187" s="1748"/>
      <c r="P187" s="1748"/>
      <c r="AH187" s="1755">
        <v>0</v>
      </c>
    </row>
    <row s="7213" customFormat="1" customHeight="1" ht="18.75" hidden="1">
      <c r="A188" s="1903"/>
      <c r="B188" s="1903"/>
      <c r="C188" s="493" t="s">
        <v>1576</v>
      </c>
      <c r="D188" s="2599"/>
      <c r="E188" s="2341"/>
      <c r="F188" s="2520"/>
      <c r="G188" s="2564"/>
      <c r="H188" s="1624"/>
      <c r="I188" s="775" t="s">
        <v>1575</v>
      </c>
      <c r="J188" s="695"/>
      <c r="K188" s="1624"/>
      <c r="L188" s="338"/>
      <c r="M188" s="465"/>
      <c r="N188" s="458"/>
      <c r="O188" s="1748"/>
      <c r="P188" s="1748"/>
      <c r="AH188" s="1755">
        <v>0</v>
      </c>
    </row>
    <row s="7213" customFormat="1" customHeight="1" ht="0.75" hidden="1">
      <c r="A189" s="1903"/>
      <c r="B189" s="1903"/>
      <c r="C189" s="493" t="s">
        <v>1583</v>
      </c>
      <c r="D189" s="2599"/>
      <c r="E189" s="2341"/>
      <c r="F189" s="2520"/>
      <c r="G189" s="524"/>
      <c r="H189" s="1624"/>
      <c r="I189" s="775"/>
      <c r="J189" s="695"/>
      <c r="K189" s="1624"/>
      <c r="L189" s="338"/>
      <c r="M189" s="465"/>
      <c r="N189" s="458"/>
      <c r="O189" s="1748"/>
      <c r="P189" s="1748"/>
      <c r="AH189" s="1755">
        <v>0</v>
      </c>
    </row>
    <row s="7213" customFormat="1" customHeight="1" ht="18.75" hidden="1">
      <c r="A190" s="1903" t="s">
        <v>362</v>
      </c>
      <c r="B190" s="1903" t="s">
        <v>363</v>
      </c>
      <c r="C190" s="493"/>
      <c r="D190" s="2599"/>
      <c r="E190" s="2341"/>
      <c r="F190" s="2520" t="str">
        <f>INDEX(PT_DIFFERENTIATION_VTAR,MATCH(A190,PT_DIFFERENTIATION_VTAR_ID,0))</f>
        <v>Тариф на горячую воду (горячее водоснабжение)</v>
      </c>
      <c r="G190" s="2564" t="str">
        <f>INDEX(PT_DIFFERENTIATION_NTAR,MATCH(B190,PT_DIFFERENTIATION_NTAR_ID,0))</f>
        <v/>
      </c>
      <c r="H190" s="1983"/>
      <c r="I190" s="1862"/>
      <c r="J190" s="1896"/>
      <c r="K190" s="1901"/>
      <c r="L190" s="1983" t="s">
        <v>418</v>
      </c>
      <c r="M190" s="465"/>
      <c r="N190" s="458"/>
      <c r="O190" s="1748"/>
      <c r="P190" s="1748"/>
      <c r="AH190" s="1755">
        <v>0</v>
      </c>
    </row>
    <row s="7213" customFormat="1" customHeight="1" ht="18.75" hidden="1">
      <c r="A191" s="1903"/>
      <c r="B191" s="1903"/>
      <c r="C191" s="493" t="s">
        <v>1576</v>
      </c>
      <c r="D191" s="2599"/>
      <c r="E191" s="2341"/>
      <c r="F191" s="2520"/>
      <c r="G191" s="2564"/>
      <c r="H191" s="1624"/>
      <c r="I191" s="775" t="s">
        <v>1575</v>
      </c>
      <c r="J191" s="695"/>
      <c r="K191" s="1624"/>
      <c r="L191" s="338"/>
      <c r="M191" s="465"/>
      <c r="N191" s="458"/>
      <c r="O191" s="1748"/>
      <c r="P191" s="1748"/>
      <c r="AH191" s="1755">
        <v>0</v>
      </c>
    </row>
    <row s="7213" customFormat="1" customHeight="1" ht="0.75" hidden="1">
      <c r="A192" s="1903"/>
      <c r="B192" s="1903"/>
      <c r="C192" s="493" t="s">
        <v>1583</v>
      </c>
      <c r="D192" s="2599"/>
      <c r="E192" s="2341"/>
      <c r="F192" s="2520"/>
      <c r="G192" s="524"/>
      <c r="H192" s="1624"/>
      <c r="I192" s="775"/>
      <c r="J192" s="695"/>
      <c r="K192" s="1624"/>
      <c r="L192" s="338"/>
      <c r="M192" s="465"/>
      <c r="N192" s="458"/>
      <c r="O192" s="1748"/>
      <c r="P192" s="1748"/>
      <c r="AH192" s="1755">
        <v>0</v>
      </c>
    </row>
    <row s="7213" customFormat="1" customHeight="1" ht="18.75" hidden="1">
      <c r="A193" s="1903" t="s">
        <v>367</v>
      </c>
      <c r="B193" s="1903" t="s">
        <v>368</v>
      </c>
      <c r="C193" s="493"/>
      <c r="D193" s="2599"/>
      <c r="E193" s="2341"/>
      <c r="F193" s="2520" t="str">
        <f>INDEX(PT_DIFFERENTIATION_VTAR,MATCH(A193,PT_DIFFERENTIATION_VTAR_ID,0))</f>
        <v>Тариф на транспортировку горячей воды</v>
      </c>
      <c r="G193" s="2564" t="str">
        <f>INDEX(PT_DIFFERENTIATION_NTAR,MATCH(B193,PT_DIFFERENTIATION_NTAR_ID,0))</f>
        <v/>
      </c>
      <c r="H193" s="1983"/>
      <c r="I193" s="1862"/>
      <c r="J193" s="1896"/>
      <c r="K193" s="1901"/>
      <c r="L193" s="1983" t="s">
        <v>418</v>
      </c>
      <c r="M193" s="465"/>
      <c r="N193" s="458"/>
      <c r="O193" s="1748"/>
      <c r="P193" s="1748"/>
      <c r="AH193" s="1755">
        <v>0</v>
      </c>
    </row>
    <row s="7213" customFormat="1" customHeight="1" ht="18.75" hidden="1">
      <c r="A194" s="1903"/>
      <c r="B194" s="1903"/>
      <c r="C194" s="493" t="s">
        <v>1576</v>
      </c>
      <c r="D194" s="2599"/>
      <c r="E194" s="2341"/>
      <c r="F194" s="2520"/>
      <c r="G194" s="2564"/>
      <c r="H194" s="1624"/>
      <c r="I194" s="775" t="s">
        <v>1575</v>
      </c>
      <c r="J194" s="695"/>
      <c r="K194" s="1624"/>
      <c r="L194" s="338"/>
      <c r="M194" s="465"/>
      <c r="N194" s="458"/>
      <c r="O194" s="1748"/>
      <c r="P194" s="1748"/>
      <c r="AH194" s="1755">
        <v>0</v>
      </c>
    </row>
    <row s="7213" customFormat="1" customHeight="1" ht="0.75" hidden="1">
      <c r="A195" s="1903"/>
      <c r="B195" s="1903"/>
      <c r="C195" s="493" t="s">
        <v>1583</v>
      </c>
      <c r="D195" s="2599"/>
      <c r="E195" s="2341"/>
      <c r="F195" s="2520"/>
      <c r="G195" s="524"/>
      <c r="H195" s="1624"/>
      <c r="I195" s="775"/>
      <c r="J195" s="695"/>
      <c r="K195" s="1624"/>
      <c r="L195" s="338"/>
      <c r="M195" s="465"/>
      <c r="N195" s="458"/>
      <c r="O195" s="1748"/>
      <c r="P195" s="1748"/>
      <c r="AH195" s="1755">
        <v>0</v>
      </c>
    </row>
    <row s="7213" customFormat="1" customHeight="1" ht="18.75" hidden="1">
      <c r="A196" s="1903" t="s">
        <v>372</v>
      </c>
      <c r="B196" s="1903" t="s">
        <v>373</v>
      </c>
      <c r="C196" s="493"/>
      <c r="D196" s="2599"/>
      <c r="E196" s="2341"/>
      <c r="F196" s="25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4" t="str">
        <f>INDEX(PT_DIFFERENTIATION_NTAR,MATCH(B196,PT_DIFFERENTIATION_NTAR_ID,0))</f>
        <v/>
      </c>
      <c r="H196" s="1983"/>
      <c r="I196" s="1862"/>
      <c r="J196" s="1896"/>
      <c r="K196" s="1901"/>
      <c r="L196" s="1983" t="s">
        <v>418</v>
      </c>
      <c r="M196" s="465"/>
      <c r="N196" s="458"/>
      <c r="O196" s="1748"/>
      <c r="P196" s="1748"/>
      <c r="AH196" s="1755">
        <v>0</v>
      </c>
    </row>
    <row s="7213" customFormat="1" customHeight="1" ht="18.75" hidden="1">
      <c r="A197" s="1903"/>
      <c r="B197" s="1903"/>
      <c r="C197" s="493" t="s">
        <v>1576</v>
      </c>
      <c r="D197" s="2599"/>
      <c r="E197" s="2341"/>
      <c r="F197" s="2520"/>
      <c r="G197" s="2564"/>
      <c r="H197" s="1624"/>
      <c r="I197" s="775" t="s">
        <v>1575</v>
      </c>
      <c r="J197" s="695"/>
      <c r="K197" s="1624"/>
      <c r="L197" s="338"/>
      <c r="M197" s="465"/>
      <c r="N197" s="458"/>
      <c r="O197" s="1748"/>
      <c r="P197" s="1748"/>
      <c r="AH197" s="1755">
        <v>0</v>
      </c>
    </row>
    <row s="7213" customFormat="1" customHeight="1" ht="0.75" hidden="1">
      <c r="A198" s="1903"/>
      <c r="B198" s="1903"/>
      <c r="C198" s="493" t="s">
        <v>1583</v>
      </c>
      <c r="D198" s="2599"/>
      <c r="E198" s="2341"/>
      <c r="F198" s="2520"/>
      <c r="G198" s="524"/>
      <c r="H198" s="1624"/>
      <c r="I198" s="775"/>
      <c r="J198" s="695"/>
      <c r="K198" s="1624"/>
      <c r="L198" s="338"/>
      <c r="M198" s="465"/>
      <c r="N198" s="458"/>
      <c r="O198" s="1748"/>
      <c r="P198" s="1748"/>
      <c r="AH198" s="1755">
        <v>0</v>
      </c>
    </row>
    <row s="7213" customFormat="1" customHeight="1" ht="18.75" hidden="1">
      <c r="A199" s="1903" t="s">
        <v>377</v>
      </c>
      <c r="B199" s="1903" t="s">
        <v>378</v>
      </c>
      <c r="C199" s="493"/>
      <c r="D199" s="2599"/>
      <c r="E199" s="2341"/>
      <c r="F199" s="2520" t="str">
        <f>INDEX(PT_DIFFERENTIATION_VTAR,MATCH(A199,PT_DIFFERENTIATION_VTAR_ID,0))</f>
        <v>Тариф на водоотведение</v>
      </c>
      <c r="G199" s="2564" t="str">
        <f>INDEX(PT_DIFFERENTIATION_NTAR,MATCH(B199,PT_DIFFERENTIATION_NTAR_ID,0))</f>
        <v/>
      </c>
      <c r="H199" s="1983"/>
      <c r="I199" s="1862"/>
      <c r="J199" s="1896"/>
      <c r="K199" s="1901"/>
      <c r="L199" s="1983" t="s">
        <v>418</v>
      </c>
      <c r="M199" s="465"/>
      <c r="N199" s="458"/>
      <c r="O199" s="1748"/>
      <c r="P199" s="1748"/>
      <c r="AH199" s="1755">
        <v>0</v>
      </c>
    </row>
    <row s="7213" customFormat="1" customHeight="1" ht="18.75" hidden="1">
      <c r="A200" s="1903"/>
      <c r="B200" s="1903"/>
      <c r="C200" s="493" t="s">
        <v>1576</v>
      </c>
      <c r="D200" s="2599"/>
      <c r="E200" s="2341"/>
      <c r="F200" s="2520"/>
      <c r="G200" s="2564"/>
      <c r="H200" s="1624"/>
      <c r="I200" s="775" t="s">
        <v>1575</v>
      </c>
      <c r="J200" s="695"/>
      <c r="K200" s="1624"/>
      <c r="L200" s="338"/>
      <c r="M200" s="465"/>
      <c r="N200" s="458"/>
      <c r="O200" s="1748"/>
      <c r="P200" s="1748"/>
      <c r="AH200" s="1755">
        <v>0</v>
      </c>
    </row>
    <row s="7213" customFormat="1" customHeight="1" ht="0.75" hidden="1">
      <c r="A201" s="1903"/>
      <c r="B201" s="1903"/>
      <c r="C201" s="493" t="s">
        <v>1583</v>
      </c>
      <c r="D201" s="2599"/>
      <c r="E201" s="2341"/>
      <c r="F201" s="2520"/>
      <c r="G201" s="524"/>
      <c r="H201" s="1624"/>
      <c r="I201" s="775"/>
      <c r="J201" s="695"/>
      <c r="K201" s="1624"/>
      <c r="L201" s="338"/>
      <c r="M201" s="465"/>
      <c r="N201" s="458"/>
      <c r="O201" s="1748"/>
      <c r="P201" s="1748"/>
      <c r="AH201" s="1755">
        <v>0</v>
      </c>
    </row>
    <row s="7213" customFormat="1" customHeight="1" ht="18.75" hidden="1">
      <c r="A202" s="1903" t="s">
        <v>382</v>
      </c>
      <c r="B202" s="1903" t="s">
        <v>383</v>
      </c>
      <c r="C202" s="493"/>
      <c r="D202" s="2599"/>
      <c r="E202" s="2341"/>
      <c r="F202" s="2520" t="str">
        <f>INDEX(PT_DIFFERENTIATION_VTAR,MATCH(A202,PT_DIFFERENTIATION_VTAR_ID,0))</f>
        <v>Тариф на транспортировку сточных вод</v>
      </c>
      <c r="G202" s="2564" t="str">
        <f>INDEX(PT_DIFFERENTIATION_NTAR,MATCH(B202,PT_DIFFERENTIATION_NTAR_ID,0))</f>
        <v/>
      </c>
      <c r="H202" s="1983"/>
      <c r="I202" s="1862"/>
      <c r="J202" s="1896"/>
      <c r="K202" s="1901"/>
      <c r="L202" s="1983" t="s">
        <v>418</v>
      </c>
      <c r="M202" s="465"/>
      <c r="N202" s="458"/>
      <c r="O202" s="1748"/>
      <c r="P202" s="1748"/>
      <c r="AH202" s="1755">
        <v>0</v>
      </c>
    </row>
    <row s="7213" customFormat="1" customHeight="1" ht="18.75" hidden="1">
      <c r="A203" s="1903"/>
      <c r="B203" s="1903"/>
      <c r="C203" s="493" t="s">
        <v>1576</v>
      </c>
      <c r="D203" s="2599"/>
      <c r="E203" s="2341"/>
      <c r="F203" s="2520"/>
      <c r="G203" s="2564"/>
      <c r="H203" s="1624"/>
      <c r="I203" s="775" t="s">
        <v>1575</v>
      </c>
      <c r="J203" s="695"/>
      <c r="K203" s="1624"/>
      <c r="L203" s="338"/>
      <c r="M203" s="465"/>
      <c r="N203" s="458"/>
      <c r="O203" s="1748"/>
      <c r="P203" s="1748"/>
      <c r="AH203" s="1755">
        <v>0</v>
      </c>
    </row>
    <row s="7213" customFormat="1" customHeight="1" ht="0.75" hidden="1">
      <c r="A204" s="1903"/>
      <c r="B204" s="1903"/>
      <c r="C204" s="493" t="s">
        <v>1583</v>
      </c>
      <c r="D204" s="2599"/>
      <c r="E204" s="2341"/>
      <c r="F204" s="2520"/>
      <c r="G204" s="524"/>
      <c r="H204" s="1624"/>
      <c r="I204" s="775"/>
      <c r="J204" s="695"/>
      <c r="K204" s="1624"/>
      <c r="L204" s="338"/>
      <c r="M204" s="465"/>
      <c r="N204" s="458"/>
      <c r="O204" s="1748"/>
      <c r="P204" s="1748"/>
      <c r="AH204" s="1755">
        <v>0</v>
      </c>
    </row>
    <row s="7213" customFormat="1" customHeight="1" ht="18.75" hidden="1">
      <c r="A205" s="1903" t="s">
        <v>387</v>
      </c>
      <c r="B205" s="1903" t="s">
        <v>388</v>
      </c>
      <c r="C205" s="493"/>
      <c r="D205" s="2599"/>
      <c r="E205" s="2341"/>
      <c r="F205" s="2520" t="str">
        <f>INDEX(PT_DIFFERENTIATION_VTAR,MATCH(A205,PT_DIFFERENTIATION_VTAR_ID,0))</f>
        <v>Тариф на подключение (технологическое присоединение) к централизованной системе водоотведения</v>
      </c>
      <c r="G205" s="2564" t="str">
        <f>INDEX(PT_DIFFERENTIATION_NTAR,MATCH(B205,PT_DIFFERENTIATION_NTAR_ID,0))</f>
        <v/>
      </c>
      <c r="H205" s="1983"/>
      <c r="I205" s="1862"/>
      <c r="J205" s="1896"/>
      <c r="K205" s="1901"/>
      <c r="L205" s="1983" t="s">
        <v>418</v>
      </c>
      <c r="M205" s="465"/>
      <c r="N205" s="458"/>
      <c r="O205" s="1748"/>
      <c r="P205" s="1748"/>
      <c r="AH205" s="1755">
        <v>0</v>
      </c>
    </row>
    <row s="7213" customFormat="1" customHeight="1" ht="18.75" hidden="1">
      <c r="A206" s="1903"/>
      <c r="B206" s="1903"/>
      <c r="C206" s="493" t="s">
        <v>1576</v>
      </c>
      <c r="D206" s="2599"/>
      <c r="E206" s="2341"/>
      <c r="F206" s="2520"/>
      <c r="G206" s="2564"/>
      <c r="H206" s="1624"/>
      <c r="I206" s="775" t="s">
        <v>1575</v>
      </c>
      <c r="J206" s="695"/>
      <c r="K206" s="1624"/>
      <c r="L206" s="338"/>
      <c r="M206" s="465"/>
      <c r="N206" s="458"/>
      <c r="O206" s="1748"/>
      <c r="P206" s="1748"/>
      <c r="AH206" s="1755">
        <v>0</v>
      </c>
    </row>
    <row s="7213" customFormat="1" customHeight="1" ht="1.05">
      <c r="A207" s="1903"/>
      <c r="B207" s="1903"/>
      <c r="C207" s="493" t="s">
        <v>1583</v>
      </c>
      <c r="D207" s="2599"/>
      <c r="E207" s="2341"/>
      <c r="F207" s="2520"/>
      <c r="G207" s="524"/>
      <c r="H207" s="1624"/>
      <c r="I207" s="775"/>
      <c r="J207" s="695"/>
      <c r="K207" s="1624"/>
      <c r="L207" s="338"/>
      <c r="M207" s="465"/>
      <c r="N207" s="458"/>
      <c r="O207" s="1748"/>
      <c r="P207" s="1748"/>
      <c r="AH207" s="1755">
        <v>1</v>
      </c>
    </row>
    <row customHeight="1" ht="27.299999999999997">
      <c r="A208" s="1903"/>
      <c r="B208" s="1903"/>
      <c r="D208" s="500"/>
      <c r="E208" s="271" t="s">
        <v>116</v>
      </c>
      <c r="F208" s="25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97"/>
      <c r="H208" s="2597"/>
      <c r="I208" s="2597"/>
      <c r="J208" s="2597"/>
      <c r="K208" s="2597"/>
      <c r="L208" s="2597"/>
      <c r="M208" s="421"/>
      <c r="N208" s="458"/>
      <c r="AH208" s="498">
        <v>26</v>
      </c>
    </row>
    <row s="7213" customFormat="1" customHeight="1" ht="60.75" hidden="1">
      <c r="A209" s="1903" t="s">
        <v>269</v>
      </c>
      <c r="B209" s="1903" t="s">
        <v>270</v>
      </c>
      <c r="C209" s="493"/>
      <c r="D209" s="2599"/>
      <c r="E209" s="2341"/>
      <c r="F209" s="25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4" t="str">
        <f>INDEX(PT_DIFFERENTIATION_NTAR,MATCH(B209,PT_DIFFERENTIATION_NTAR_ID,0))</f>
        <v/>
      </c>
      <c r="H209" s="1983"/>
      <c r="I209" s="1862"/>
      <c r="J209" s="1896"/>
      <c r="K209" s="1901"/>
      <c r="L209" s="1983" t="s">
        <v>418</v>
      </c>
      <c r="M209" s="23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458"/>
      <c r="O209" s="1748"/>
      <c r="P209" s="1748"/>
      <c r="AH209" s="1755">
        <v>0</v>
      </c>
    </row>
    <row s="7213" customFormat="1" customHeight="1" ht="18.75" hidden="1">
      <c r="A210" s="1903"/>
      <c r="B210" s="1903"/>
      <c r="C210" s="493" t="s">
        <v>1576</v>
      </c>
      <c r="D210" s="2599"/>
      <c r="E210" s="2341"/>
      <c r="F210" s="2520"/>
      <c r="G210" s="2564"/>
      <c r="H210" s="1624"/>
      <c r="I210" s="775" t="s">
        <v>1575</v>
      </c>
      <c r="J210" s="695"/>
      <c r="K210" s="1624"/>
      <c r="L210" s="338"/>
      <c r="M210" s="2307"/>
      <c r="N210" s="458"/>
      <c r="O210" s="1748"/>
      <c r="P210" s="1748"/>
      <c r="AH210" s="1755">
        <v>0</v>
      </c>
    </row>
    <row s="7213" customFormat="1" customHeight="1" ht="0.75" hidden="1">
      <c r="A211" s="1903"/>
      <c r="B211" s="1903"/>
      <c r="C211" s="493" t="s">
        <v>1583</v>
      </c>
      <c r="D211" s="2599"/>
      <c r="E211" s="2341"/>
      <c r="F211" s="2520"/>
      <c r="G211" s="524"/>
      <c r="H211" s="1624"/>
      <c r="I211" s="775"/>
      <c r="J211" s="695"/>
      <c r="K211" s="1624"/>
      <c r="L211" s="338"/>
      <c r="M211" s="2307"/>
      <c r="N211" s="458"/>
      <c r="O211" s="1748"/>
      <c r="P211" s="1748"/>
      <c r="AH211" s="1755">
        <v>0</v>
      </c>
    </row>
    <row s="7213" customFormat="1" customHeight="1" ht="45" hidden="1">
      <c r="A212" s="1903" t="s">
        <v>274</v>
      </c>
      <c r="B212" s="1903" t="s">
        <v>275</v>
      </c>
      <c r="C212" s="493"/>
      <c r="D212" s="2599"/>
      <c r="E212" s="2341"/>
      <c r="F212" s="2520" t="str">
        <f>INDEX(PT_DIFFERENTIATION_VTAR,MATCH(A212,PT_DIFFERENTIATION_VTAR_ID,0))</f>
        <v/>
      </c>
      <c r="G212" s="2564" t="str">
        <f>INDEX(PT_DIFFERENTIATION_NTAR,MATCH(B212,PT_DIFFERENTIATION_NTAR_ID,0))</f>
        <v/>
      </c>
      <c r="H212" s="1983"/>
      <c r="I212" s="1862"/>
      <c r="J212" s="1896"/>
      <c r="K212" s="1901"/>
      <c r="L212" s="1983" t="s">
        <v>418</v>
      </c>
      <c r="M212" s="2308"/>
      <c r="N212" s="458"/>
      <c r="O212" s="1748"/>
      <c r="P212" s="1748"/>
      <c r="AH212" s="1755">
        <v>0</v>
      </c>
    </row>
    <row s="7213" customFormat="1" customHeight="1" ht="18.75" hidden="1">
      <c r="A213" s="1903"/>
      <c r="B213" s="1903"/>
      <c r="C213" s="493" t="s">
        <v>1576</v>
      </c>
      <c r="D213" s="2599"/>
      <c r="E213" s="2341"/>
      <c r="F213" s="2520"/>
      <c r="G213" s="2564"/>
      <c r="H213" s="1624"/>
      <c r="I213" s="775" t="s">
        <v>1575</v>
      </c>
      <c r="J213" s="695"/>
      <c r="K213" s="1624"/>
      <c r="L213" s="338"/>
      <c r="M213" s="1982"/>
      <c r="N213" s="458"/>
      <c r="O213" s="1748"/>
      <c r="P213" s="1748"/>
      <c r="AH213" s="1755">
        <v>0</v>
      </c>
    </row>
    <row s="7213" customFormat="1" customHeight="1" ht="0.75" hidden="1">
      <c r="A214" s="1903"/>
      <c r="B214" s="1903"/>
      <c r="C214" s="493" t="s">
        <v>1583</v>
      </c>
      <c r="D214" s="2599"/>
      <c r="E214" s="2341"/>
      <c r="F214" s="2520"/>
      <c r="G214" s="524"/>
      <c r="H214" s="1624"/>
      <c r="I214" s="775"/>
      <c r="J214" s="695"/>
      <c r="K214" s="1624"/>
      <c r="L214" s="338"/>
      <c r="M214" s="465"/>
      <c r="N214" s="458"/>
      <c r="O214" s="1748"/>
      <c r="P214" s="1748"/>
      <c r="AH214" s="1755">
        <v>0</v>
      </c>
    </row>
    <row s="7213" customFormat="1" customHeight="1" ht="45" hidden="1">
      <c r="A215" s="1903" t="s">
        <v>281</v>
      </c>
      <c r="B215" s="1903" t="s">
        <v>282</v>
      </c>
      <c r="C215" s="493"/>
      <c r="D215" s="2599"/>
      <c r="E215" s="2341"/>
      <c r="F215" s="25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4" t="str">
        <f>INDEX(PT_DIFFERENTIATION_NTAR,MATCH(B215,PT_DIFFERENTIATION_NTAR_ID,0))</f>
        <v/>
      </c>
      <c r="H215" s="1983"/>
      <c r="I215" s="1862"/>
      <c r="J215" s="1896"/>
      <c r="K215" s="1901"/>
      <c r="L215" s="1983" t="s">
        <v>418</v>
      </c>
      <c r="M215" s="465"/>
      <c r="N215" s="458"/>
      <c r="O215" s="1748"/>
      <c r="P215" s="1748"/>
      <c r="AH215" s="1755">
        <v>0</v>
      </c>
    </row>
    <row s="7213" customFormat="1" customHeight="1" ht="18.75" hidden="1">
      <c r="A216" s="1903"/>
      <c r="B216" s="1903"/>
      <c r="C216" s="493" t="s">
        <v>1576</v>
      </c>
      <c r="D216" s="2599"/>
      <c r="E216" s="2341"/>
      <c r="F216" s="2520"/>
      <c r="G216" s="2564"/>
      <c r="H216" s="1624"/>
      <c r="I216" s="775" t="s">
        <v>1575</v>
      </c>
      <c r="J216" s="695"/>
      <c r="K216" s="1624"/>
      <c r="L216" s="338"/>
      <c r="M216" s="465"/>
      <c r="N216" s="458"/>
      <c r="O216" s="1748"/>
      <c r="P216" s="1748"/>
      <c r="AH216" s="1755">
        <v>0</v>
      </c>
    </row>
    <row s="7213" customFormat="1" customHeight="1" ht="0.75" hidden="1">
      <c r="A217" s="1903"/>
      <c r="B217" s="1903"/>
      <c r="C217" s="493" t="s">
        <v>1583</v>
      </c>
      <c r="D217" s="2599"/>
      <c r="E217" s="2341"/>
      <c r="F217" s="2520"/>
      <c r="G217" s="524"/>
      <c r="H217" s="1624"/>
      <c r="I217" s="775"/>
      <c r="J217" s="695"/>
      <c r="K217" s="1624"/>
      <c r="L217" s="338"/>
      <c r="M217" s="465"/>
      <c r="N217" s="458"/>
      <c r="O217" s="1748"/>
      <c r="P217" s="1748"/>
      <c r="AH217" s="1755">
        <v>0</v>
      </c>
    </row>
    <row s="7213" customFormat="1" customHeight="1" ht="45" hidden="1">
      <c r="A218" s="1903" t="s">
        <v>287</v>
      </c>
      <c r="B218" s="1903" t="s">
        <v>288</v>
      </c>
      <c r="C218" s="493"/>
      <c r="D218" s="2599"/>
      <c r="E218" s="2341"/>
      <c r="F218" s="25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4" t="str">
        <f>INDEX(PT_DIFFERENTIATION_NTAR,MATCH(B218,PT_DIFFERENTIATION_NTAR_ID,0))</f>
        <v/>
      </c>
      <c r="H218" s="1983"/>
      <c r="I218" s="1862"/>
      <c r="J218" s="1896"/>
      <c r="K218" s="1901"/>
      <c r="L218" s="1983" t="s">
        <v>418</v>
      </c>
      <c r="M218" s="465"/>
      <c r="N218" s="458"/>
      <c r="O218" s="1748"/>
      <c r="P218" s="1748"/>
      <c r="AH218" s="1755">
        <v>0</v>
      </c>
    </row>
    <row s="7213" customFormat="1" customHeight="1" ht="18.75" hidden="1">
      <c r="A219" s="1903"/>
      <c r="B219" s="1903"/>
      <c r="C219" s="493" t="s">
        <v>1576</v>
      </c>
      <c r="D219" s="2599"/>
      <c r="E219" s="2341"/>
      <c r="F219" s="2520"/>
      <c r="G219" s="2564"/>
      <c r="H219" s="1624"/>
      <c r="I219" s="775" t="s">
        <v>1575</v>
      </c>
      <c r="J219" s="695"/>
      <c r="K219" s="1624"/>
      <c r="L219" s="338"/>
      <c r="M219" s="465"/>
      <c r="N219" s="458"/>
      <c r="O219" s="1748"/>
      <c r="P219" s="1748"/>
      <c r="AH219" s="1755">
        <v>0</v>
      </c>
    </row>
    <row s="7213" customFormat="1" customHeight="1" ht="0.75" hidden="1">
      <c r="A220" s="1903"/>
      <c r="B220" s="1903"/>
      <c r="C220" s="493" t="s">
        <v>1583</v>
      </c>
      <c r="D220" s="2599"/>
      <c r="E220" s="2341"/>
      <c r="F220" s="2520"/>
      <c r="G220" s="524"/>
      <c r="H220" s="1624"/>
      <c r="I220" s="775"/>
      <c r="J220" s="695"/>
      <c r="K220" s="1624"/>
      <c r="L220" s="338"/>
      <c r="M220" s="465"/>
      <c r="N220" s="458"/>
      <c r="O220" s="1748"/>
      <c r="P220" s="1748"/>
      <c r="AH220" s="1755">
        <v>0</v>
      </c>
    </row>
    <row s="7213" customFormat="1" customHeight="1" ht="18.75" hidden="1">
      <c r="A221" s="1903" t="s">
        <v>293</v>
      </c>
      <c r="B221" s="1903" t="s">
        <v>294</v>
      </c>
      <c r="C221" s="493"/>
      <c r="D221" s="2599"/>
      <c r="E221" s="2341"/>
      <c r="F221" s="2520" t="str">
        <f>INDEX(PT_DIFFERENTIATION_VTAR,MATCH(A221,PT_DIFFERENTIATION_VTAR_ID,0))</f>
        <v>Тарифы на услуги по передаче тепловой энергии</v>
      </c>
      <c r="G221" s="2564" t="str">
        <f>INDEX(PT_DIFFERENTIATION_NTAR,MATCH(B221,PT_DIFFERENTIATION_NTAR_ID,0))</f>
        <v/>
      </c>
      <c r="H221" s="1983"/>
      <c r="I221" s="1862"/>
      <c r="J221" s="1896"/>
      <c r="K221" s="1901"/>
      <c r="L221" s="1983" t="s">
        <v>418</v>
      </c>
      <c r="M221" s="465"/>
      <c r="N221" s="458"/>
      <c r="O221" s="1748"/>
      <c r="P221" s="1748"/>
      <c r="AH221" s="1755">
        <v>0</v>
      </c>
    </row>
    <row s="7213" customFormat="1" customHeight="1" ht="18.75" hidden="1">
      <c r="A222" s="1903"/>
      <c r="B222" s="1903"/>
      <c r="C222" s="493" t="s">
        <v>1576</v>
      </c>
      <c r="D222" s="2599"/>
      <c r="E222" s="2341"/>
      <c r="F222" s="2520"/>
      <c r="G222" s="2564"/>
      <c r="H222" s="1624"/>
      <c r="I222" s="775" t="s">
        <v>1575</v>
      </c>
      <c r="J222" s="695"/>
      <c r="K222" s="1624"/>
      <c r="L222" s="338"/>
      <c r="M222" s="465"/>
      <c r="N222" s="458"/>
      <c r="O222" s="1748"/>
      <c r="P222" s="1748"/>
      <c r="AH222" s="1755">
        <v>0</v>
      </c>
    </row>
    <row s="7213" customFormat="1" customHeight="1" ht="0.75" hidden="1">
      <c r="A223" s="1903"/>
      <c r="B223" s="1903"/>
      <c r="C223" s="493" t="s">
        <v>1583</v>
      </c>
      <c r="D223" s="2599"/>
      <c r="E223" s="2341"/>
      <c r="F223" s="2520"/>
      <c r="G223" s="524"/>
      <c r="H223" s="1624"/>
      <c r="I223" s="775"/>
      <c r="J223" s="695"/>
      <c r="K223" s="1624"/>
      <c r="L223" s="338"/>
      <c r="M223" s="465"/>
      <c r="N223" s="458"/>
      <c r="O223" s="1748"/>
      <c r="P223" s="1748"/>
      <c r="AH223" s="1755">
        <v>0</v>
      </c>
    </row>
    <row s="7213" customFormat="1" customHeight="1" ht="18.75" hidden="1">
      <c r="A224" s="1903" t="s">
        <v>299</v>
      </c>
      <c r="B224" s="1903" t="s">
        <v>300</v>
      </c>
      <c r="C224" s="493"/>
      <c r="D224" s="2599"/>
      <c r="E224" s="2341"/>
      <c r="F224" s="2520" t="str">
        <f>INDEX(PT_DIFFERENTIATION_VTAR,MATCH(A224,PT_DIFFERENTIATION_VTAR_ID,0))</f>
        <v>Тарифы на услуги по передаче теплоносителя</v>
      </c>
      <c r="G224" s="2564" t="str">
        <f>INDEX(PT_DIFFERENTIATION_NTAR,MATCH(B224,PT_DIFFERENTIATION_NTAR_ID,0))</f>
        <v/>
      </c>
      <c r="H224" s="1983"/>
      <c r="I224" s="1862"/>
      <c r="J224" s="1896"/>
      <c r="K224" s="1901"/>
      <c r="L224" s="1983" t="s">
        <v>418</v>
      </c>
      <c r="M224" s="465"/>
      <c r="N224" s="458"/>
      <c r="O224" s="1748"/>
      <c r="P224" s="1748"/>
      <c r="AH224" s="1755">
        <v>0</v>
      </c>
    </row>
    <row s="7213" customFormat="1" customHeight="1" ht="18.75" hidden="1">
      <c r="A225" s="1903"/>
      <c r="B225" s="1903"/>
      <c r="C225" s="493" t="s">
        <v>1576</v>
      </c>
      <c r="D225" s="2599"/>
      <c r="E225" s="2341"/>
      <c r="F225" s="2520"/>
      <c r="G225" s="2564"/>
      <c r="H225" s="1624"/>
      <c r="I225" s="775" t="s">
        <v>1575</v>
      </c>
      <c r="J225" s="695"/>
      <c r="K225" s="1624"/>
      <c r="L225" s="338"/>
      <c r="M225" s="465"/>
      <c r="N225" s="458"/>
      <c r="O225" s="1748"/>
      <c r="P225" s="1748"/>
      <c r="AH225" s="1755">
        <v>0</v>
      </c>
    </row>
    <row s="7213" customFormat="1" customHeight="1" ht="0.75" hidden="1">
      <c r="A226" s="1903"/>
      <c r="B226" s="1903"/>
      <c r="C226" s="493" t="s">
        <v>1583</v>
      </c>
      <c r="D226" s="2599"/>
      <c r="E226" s="2341"/>
      <c r="F226" s="2520"/>
      <c r="G226" s="524"/>
      <c r="H226" s="1624"/>
      <c r="I226" s="775"/>
      <c r="J226" s="695"/>
      <c r="K226" s="1624"/>
      <c r="L226" s="338"/>
      <c r="M226" s="465"/>
      <c r="N226" s="458"/>
      <c r="O226" s="1748"/>
      <c r="P226" s="1748"/>
      <c r="AH226" s="1755">
        <v>0</v>
      </c>
    </row>
    <row s="7213" customFormat="1" customHeight="1" ht="18.75" hidden="1">
      <c r="A227" s="1903" t="s">
        <v>305</v>
      </c>
      <c r="B227" s="1903" t="s">
        <v>306</v>
      </c>
      <c r="C227" s="493"/>
      <c r="D227" s="2599"/>
      <c r="E227" s="2341"/>
      <c r="F227" s="25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4" t="str">
        <f>INDEX(PT_DIFFERENTIATION_NTAR,MATCH(B227,PT_DIFFERENTIATION_NTAR_ID,0))</f>
        <v/>
      </c>
      <c r="H227" s="1983"/>
      <c r="I227" s="1862"/>
      <c r="J227" s="1896"/>
      <c r="K227" s="1901"/>
      <c r="L227" s="1983" t="s">
        <v>418</v>
      </c>
      <c r="M227" s="465"/>
      <c r="N227" s="458"/>
      <c r="O227" s="1748"/>
      <c r="P227" s="1748"/>
      <c r="AH227" s="1755">
        <v>0</v>
      </c>
    </row>
    <row s="7213" customFormat="1" customHeight="1" ht="18.75" hidden="1">
      <c r="A228" s="1903"/>
      <c r="B228" s="1903"/>
      <c r="C228" s="493" t="s">
        <v>1576</v>
      </c>
      <c r="D228" s="2599"/>
      <c r="E228" s="2341"/>
      <c r="F228" s="2520"/>
      <c r="G228" s="2564"/>
      <c r="H228" s="1624"/>
      <c r="I228" s="775" t="s">
        <v>1575</v>
      </c>
      <c r="J228" s="695"/>
      <c r="K228" s="1624"/>
      <c r="L228" s="338"/>
      <c r="M228" s="465"/>
      <c r="N228" s="458"/>
      <c r="O228" s="1748"/>
      <c r="P228" s="1748"/>
      <c r="AH228" s="1755">
        <v>0</v>
      </c>
    </row>
    <row s="7213" customFormat="1" customHeight="1" ht="0.75" hidden="1">
      <c r="A229" s="1903"/>
      <c r="B229" s="1903"/>
      <c r="C229" s="493" t="s">
        <v>1583</v>
      </c>
      <c r="D229" s="2599"/>
      <c r="E229" s="2341"/>
      <c r="F229" s="2520"/>
      <c r="G229" s="524"/>
      <c r="H229" s="1624"/>
      <c r="I229" s="775"/>
      <c r="J229" s="695"/>
      <c r="K229" s="1624"/>
      <c r="L229" s="338"/>
      <c r="M229" s="465"/>
      <c r="N229" s="458"/>
      <c r="O229" s="1748"/>
      <c r="P229" s="1748"/>
      <c r="AH229" s="1755">
        <v>0</v>
      </c>
    </row>
    <row s="7213" customFormat="1" customHeight="1" ht="18.75" hidden="1">
      <c r="A230" s="1903" t="s">
        <v>311</v>
      </c>
      <c r="B230" s="1903" t="s">
        <v>312</v>
      </c>
      <c r="C230" s="493"/>
      <c r="D230" s="2599"/>
      <c r="E230" s="2341"/>
      <c r="F230" s="2520" t="str">
        <f>INDEX(PT_DIFFERENTIATION_VTAR,MATCH(A230,PT_DIFFERENTIATION_VTAR_ID,0))</f>
        <v>Плата за подключение (технологическое присоединение) к системе теплоснабжения</v>
      </c>
      <c r="G230" s="2564" t="str">
        <f>INDEX(PT_DIFFERENTIATION_NTAR,MATCH(B230,PT_DIFFERENTIATION_NTAR_ID,0))</f>
        <v/>
      </c>
      <c r="H230" s="1983"/>
      <c r="I230" s="1862"/>
      <c r="J230" s="1896"/>
      <c r="K230" s="1901"/>
      <c r="L230" s="1983" t="s">
        <v>418</v>
      </c>
      <c r="M230" s="465"/>
      <c r="N230" s="458"/>
      <c r="O230" s="1748"/>
      <c r="P230" s="1748"/>
      <c r="AH230" s="1755">
        <v>0</v>
      </c>
    </row>
    <row s="7213" customFormat="1" customHeight="1" ht="18.75" hidden="1">
      <c r="A231" s="1903"/>
      <c r="B231" s="1903"/>
      <c r="C231" s="493" t="s">
        <v>1576</v>
      </c>
      <c r="D231" s="2599"/>
      <c r="E231" s="2341"/>
      <c r="F231" s="2520"/>
      <c r="G231" s="2564"/>
      <c r="H231" s="1624"/>
      <c r="I231" s="775" t="s">
        <v>1575</v>
      </c>
      <c r="J231" s="695"/>
      <c r="K231" s="1624"/>
      <c r="L231" s="338"/>
      <c r="M231" s="465"/>
      <c r="N231" s="458"/>
      <c r="O231" s="1748"/>
      <c r="P231" s="1748"/>
      <c r="AH231" s="1755">
        <v>0</v>
      </c>
    </row>
    <row s="7213" customFormat="1" customHeight="1" ht="0.75" hidden="1">
      <c r="A232" s="1903"/>
      <c r="B232" s="1903"/>
      <c r="C232" s="493" t="s">
        <v>1583</v>
      </c>
      <c r="D232" s="2599"/>
      <c r="E232" s="2341"/>
      <c r="F232" s="2520"/>
      <c r="G232" s="524"/>
      <c r="H232" s="1624"/>
      <c r="I232" s="775"/>
      <c r="J232" s="695"/>
      <c r="K232" s="1624"/>
      <c r="L232" s="338"/>
      <c r="M232" s="465"/>
      <c r="N232" s="458"/>
      <c r="O232" s="1748"/>
      <c r="P232" s="1748"/>
      <c r="AH232" s="1755">
        <v>0</v>
      </c>
    </row>
    <row s="7213" customFormat="1" customHeight="1" ht="18.75" hidden="1">
      <c r="A233" s="1903" t="s">
        <v>317</v>
      </c>
      <c r="B233" s="1903" t="s">
        <v>318</v>
      </c>
      <c r="C233" s="493"/>
      <c r="D233" s="2599"/>
      <c r="E233" s="2341"/>
      <c r="F233" s="2520" t="str">
        <f>INDEX(PT_DIFFERENTIATION_VTAR,MATCH(A233,PT_DIFFERENTIATION_VTAR_ID,0))</f>
        <v>Плата за подключение (технологическое присоединение) к системе теплоснабжения (индивидуальная)</v>
      </c>
      <c r="G233" s="2564" t="str">
        <f>INDEX(PT_DIFFERENTIATION_NTAR,MATCH(B233,PT_DIFFERENTIATION_NTAR_ID,0))</f>
        <v/>
      </c>
      <c r="H233" s="2110"/>
      <c r="I233" s="1862"/>
      <c r="J233" s="1896"/>
      <c r="K233" s="1901"/>
      <c r="L233" s="2110" t="s">
        <v>418</v>
      </c>
      <c r="M233" s="465"/>
      <c r="N233" s="458"/>
      <c r="O233" s="1748"/>
      <c r="P233" s="1748"/>
      <c r="AH233" s="1755">
        <v>0</v>
      </c>
    </row>
    <row s="7213" customFormat="1" customHeight="1" ht="18.75" hidden="1">
      <c r="A234" s="1903"/>
      <c r="B234" s="1903"/>
      <c r="C234" s="493" t="s">
        <v>1576</v>
      </c>
      <c r="D234" s="2599"/>
      <c r="E234" s="2341"/>
      <c r="F234" s="2520"/>
      <c r="G234" s="2564"/>
      <c r="H234" s="1624"/>
      <c r="I234" s="775" t="s">
        <v>1575</v>
      </c>
      <c r="J234" s="695"/>
      <c r="K234" s="1624"/>
      <c r="L234" s="338"/>
      <c r="M234" s="465"/>
      <c r="N234" s="458"/>
      <c r="O234" s="1748"/>
      <c r="P234" s="1748"/>
      <c r="AH234" s="1755">
        <v>0</v>
      </c>
    </row>
    <row s="7213" customFormat="1" customHeight="1" ht="0.75" hidden="1">
      <c r="A235" s="1903"/>
      <c r="B235" s="1903"/>
      <c r="C235" s="493" t="s">
        <v>1583</v>
      </c>
      <c r="D235" s="2599"/>
      <c r="E235" s="2341"/>
      <c r="F235" s="2520"/>
      <c r="G235" s="524"/>
      <c r="H235" s="1624"/>
      <c r="I235" s="775"/>
      <c r="J235" s="695"/>
      <c r="K235" s="1624"/>
      <c r="L235" s="338"/>
      <c r="M235" s="465"/>
      <c r="N235" s="458"/>
      <c r="O235" s="1748"/>
      <c r="P235" s="1748"/>
      <c r="AH235" s="1755">
        <v>0</v>
      </c>
    </row>
    <row s="7213" customFormat="1" customHeight="1" ht="18.75" hidden="1">
      <c r="A236" s="1903" t="s">
        <v>337</v>
      </c>
      <c r="B236" s="1903" t="s">
        <v>338</v>
      </c>
      <c r="C236" s="493"/>
      <c r="D236" s="2599"/>
      <c r="E236" s="2341"/>
      <c r="F236" s="2520" t="str">
        <f>INDEX(PT_DIFFERENTIATION_VTAR,MATCH(A236,PT_DIFFERENTIATION_VTAR_ID,0))</f>
        <v>Тариф на питьевую воду (питьевое водоснабжение)</v>
      </c>
      <c r="G236" s="2564" t="str">
        <f>INDEX(PT_DIFFERENTIATION_NTAR,MATCH(B236,PT_DIFFERENTIATION_NTAR_ID,0))</f>
        <v/>
      </c>
      <c r="H236" s="1983"/>
      <c r="I236" s="1862"/>
      <c r="J236" s="1896"/>
      <c r="K236" s="1901"/>
      <c r="L236" s="1983" t="s">
        <v>418</v>
      </c>
      <c r="M236" s="465"/>
      <c r="N236" s="458"/>
      <c r="O236" s="1748"/>
      <c r="P236" s="1748"/>
      <c r="AH236" s="1755">
        <v>0</v>
      </c>
    </row>
    <row s="7213" customFormat="1" customHeight="1" ht="18.75" hidden="1">
      <c r="A237" s="1903"/>
      <c r="B237" s="1903"/>
      <c r="C237" s="493" t="s">
        <v>1576</v>
      </c>
      <c r="D237" s="2599"/>
      <c r="E237" s="2341"/>
      <c r="F237" s="2520"/>
      <c r="G237" s="2564"/>
      <c r="H237" s="1624"/>
      <c r="I237" s="775" t="s">
        <v>1575</v>
      </c>
      <c r="J237" s="695"/>
      <c r="K237" s="1624"/>
      <c r="L237" s="338"/>
      <c r="M237" s="465"/>
      <c r="N237" s="458"/>
      <c r="O237" s="1748"/>
      <c r="P237" s="1748"/>
      <c r="AH237" s="1755">
        <v>0</v>
      </c>
    </row>
    <row s="7213" customFormat="1" customHeight="1" ht="0.75" hidden="1">
      <c r="A238" s="1903"/>
      <c r="B238" s="1903"/>
      <c r="C238" s="493" t="s">
        <v>1583</v>
      </c>
      <c r="D238" s="2599"/>
      <c r="E238" s="2341"/>
      <c r="F238" s="2520"/>
      <c r="G238" s="524"/>
      <c r="H238" s="1624"/>
      <c r="I238" s="775"/>
      <c r="J238" s="695"/>
      <c r="K238" s="1624"/>
      <c r="L238" s="338"/>
      <c r="M238" s="465"/>
      <c r="N238" s="458"/>
      <c r="O238" s="1748"/>
      <c r="P238" s="1748"/>
      <c r="AH238" s="1755">
        <v>0</v>
      </c>
    </row>
    <row s="7213" customFormat="1" customHeight="1" ht="18.75" hidden="1">
      <c r="A239" s="1903" t="s">
        <v>342</v>
      </c>
      <c r="B239" s="1903" t="s">
        <v>343</v>
      </c>
      <c r="C239" s="493"/>
      <c r="D239" s="2599"/>
      <c r="E239" s="2341"/>
      <c r="F239" s="2520" t="str">
        <f>INDEX(PT_DIFFERENTIATION_VTAR,MATCH(A239,PT_DIFFERENTIATION_VTAR_ID,0))</f>
        <v>Тариф на техническую воду</v>
      </c>
      <c r="G239" s="2564" t="str">
        <f>INDEX(PT_DIFFERENTIATION_NTAR,MATCH(B239,PT_DIFFERENTIATION_NTAR_ID,0))</f>
        <v/>
      </c>
      <c r="H239" s="1983"/>
      <c r="I239" s="1862"/>
      <c r="J239" s="1896"/>
      <c r="K239" s="1901"/>
      <c r="L239" s="1983" t="s">
        <v>418</v>
      </c>
      <c r="M239" s="465"/>
      <c r="N239" s="458"/>
      <c r="O239" s="1748"/>
      <c r="P239" s="1748"/>
      <c r="AH239" s="1755">
        <v>0</v>
      </c>
    </row>
    <row s="7213" customFormat="1" customHeight="1" ht="18.75" hidden="1">
      <c r="A240" s="1903"/>
      <c r="B240" s="1903"/>
      <c r="C240" s="493" t="s">
        <v>1576</v>
      </c>
      <c r="D240" s="2599"/>
      <c r="E240" s="2341"/>
      <c r="F240" s="2520"/>
      <c r="G240" s="2564"/>
      <c r="H240" s="1624"/>
      <c r="I240" s="775" t="s">
        <v>1575</v>
      </c>
      <c r="J240" s="695"/>
      <c r="K240" s="1624"/>
      <c r="L240" s="338"/>
      <c r="M240" s="465"/>
      <c r="N240" s="458"/>
      <c r="O240" s="1748"/>
      <c r="P240" s="1748"/>
      <c r="AH240" s="1755">
        <v>0</v>
      </c>
    </row>
    <row s="7213" customFormat="1" customHeight="1" ht="0.75" hidden="1">
      <c r="A241" s="1903"/>
      <c r="B241" s="1903"/>
      <c r="C241" s="493" t="s">
        <v>1583</v>
      </c>
      <c r="D241" s="2599"/>
      <c r="E241" s="2341"/>
      <c r="F241" s="2520"/>
      <c r="G241" s="524"/>
      <c r="H241" s="1624"/>
      <c r="I241" s="775"/>
      <c r="J241" s="695"/>
      <c r="K241" s="1624"/>
      <c r="L241" s="338"/>
      <c r="M241" s="465"/>
      <c r="N241" s="458"/>
      <c r="O241" s="1748"/>
      <c r="P241" s="1748"/>
      <c r="AH241" s="1755">
        <v>0</v>
      </c>
    </row>
    <row s="7213" customFormat="1" customHeight="1" ht="18.75" hidden="1">
      <c r="A242" s="1903" t="s">
        <v>347</v>
      </c>
      <c r="B242" s="1903" t="s">
        <v>348</v>
      </c>
      <c r="C242" s="493"/>
      <c r="D242" s="2599"/>
      <c r="E242" s="2341"/>
      <c r="F242" s="2520" t="str">
        <f>INDEX(PT_DIFFERENTIATION_VTAR,MATCH(A242,PT_DIFFERENTIATION_VTAR_ID,0))</f>
        <v>Тариф на транспортировку воды</v>
      </c>
      <c r="G242" s="2564" t="str">
        <f>INDEX(PT_DIFFERENTIATION_NTAR,MATCH(B242,PT_DIFFERENTIATION_NTAR_ID,0))</f>
        <v/>
      </c>
      <c r="H242" s="1983"/>
      <c r="I242" s="1862"/>
      <c r="J242" s="1896"/>
      <c r="K242" s="1901"/>
      <c r="L242" s="1983" t="s">
        <v>418</v>
      </c>
      <c r="M242" s="465"/>
      <c r="N242" s="458"/>
      <c r="O242" s="1748"/>
      <c r="P242" s="1748"/>
      <c r="AH242" s="1755">
        <v>0</v>
      </c>
    </row>
    <row s="7213" customFormat="1" customHeight="1" ht="18.75" hidden="1">
      <c r="A243" s="1903"/>
      <c r="B243" s="1903"/>
      <c r="C243" s="493" t="s">
        <v>1576</v>
      </c>
      <c r="D243" s="2599"/>
      <c r="E243" s="2341"/>
      <c r="F243" s="2520"/>
      <c r="G243" s="2564"/>
      <c r="H243" s="1624"/>
      <c r="I243" s="775" t="s">
        <v>1575</v>
      </c>
      <c r="J243" s="695"/>
      <c r="K243" s="1624"/>
      <c r="L243" s="338"/>
      <c r="M243" s="465"/>
      <c r="N243" s="458"/>
      <c r="O243" s="1748"/>
      <c r="P243" s="1748"/>
      <c r="AH243" s="1755">
        <v>0</v>
      </c>
    </row>
    <row s="7213" customFormat="1" customHeight="1" ht="0.75" hidden="1">
      <c r="A244" s="1903"/>
      <c r="B244" s="1903"/>
      <c r="C244" s="493" t="s">
        <v>1583</v>
      </c>
      <c r="D244" s="2599"/>
      <c r="E244" s="2341"/>
      <c r="F244" s="2520"/>
      <c r="G244" s="524"/>
      <c r="H244" s="1624"/>
      <c r="I244" s="775"/>
      <c r="J244" s="695"/>
      <c r="K244" s="1624"/>
      <c r="L244" s="338"/>
      <c r="M244" s="465"/>
      <c r="N244" s="458"/>
      <c r="O244" s="1748"/>
      <c r="P244" s="1748"/>
      <c r="AH244" s="1755">
        <v>0</v>
      </c>
    </row>
    <row s="7213" customFormat="1" customHeight="1" ht="18.75" hidden="1">
      <c r="A245" s="1903" t="s">
        <v>352</v>
      </c>
      <c r="B245" s="1903" t="s">
        <v>353</v>
      </c>
      <c r="C245" s="493"/>
      <c r="D245" s="2599"/>
      <c r="E245" s="2341"/>
      <c r="F245" s="2520" t="str">
        <f>INDEX(PT_DIFFERENTIATION_VTAR,MATCH(A245,PT_DIFFERENTIATION_VTAR_ID,0))</f>
        <v>Тариф на подвоз воды</v>
      </c>
      <c r="G245" s="2564" t="str">
        <f>INDEX(PT_DIFFERENTIATION_NTAR,MATCH(B245,PT_DIFFERENTIATION_NTAR_ID,0))</f>
        <v/>
      </c>
      <c r="H245" s="1983"/>
      <c r="I245" s="1862"/>
      <c r="J245" s="1896"/>
      <c r="K245" s="1901"/>
      <c r="L245" s="1983" t="s">
        <v>418</v>
      </c>
      <c r="M245" s="465"/>
      <c r="N245" s="458"/>
      <c r="O245" s="1748"/>
      <c r="P245" s="1748"/>
      <c r="AH245" s="1755">
        <v>0</v>
      </c>
    </row>
    <row s="7213" customFormat="1" customHeight="1" ht="18.75" hidden="1">
      <c r="A246" s="1903"/>
      <c r="B246" s="1903"/>
      <c r="C246" s="493" t="s">
        <v>1576</v>
      </c>
      <c r="D246" s="2599"/>
      <c r="E246" s="2341"/>
      <c r="F246" s="2520"/>
      <c r="G246" s="2564"/>
      <c r="H246" s="1624"/>
      <c r="I246" s="775" t="s">
        <v>1575</v>
      </c>
      <c r="J246" s="695"/>
      <c r="K246" s="1624"/>
      <c r="L246" s="338"/>
      <c r="M246" s="465"/>
      <c r="N246" s="458"/>
      <c r="O246" s="1748"/>
      <c r="P246" s="1748"/>
      <c r="AH246" s="1755">
        <v>0</v>
      </c>
    </row>
    <row s="7213" customFormat="1" customHeight="1" ht="0.75" hidden="1">
      <c r="A247" s="1903"/>
      <c r="B247" s="1903"/>
      <c r="C247" s="493" t="s">
        <v>1583</v>
      </c>
      <c r="D247" s="2599"/>
      <c r="E247" s="2341"/>
      <c r="F247" s="2520"/>
      <c r="G247" s="524"/>
      <c r="H247" s="1624"/>
      <c r="I247" s="775"/>
      <c r="J247" s="695"/>
      <c r="K247" s="1624"/>
      <c r="L247" s="338"/>
      <c r="M247" s="465"/>
      <c r="N247" s="458"/>
      <c r="O247" s="1748"/>
      <c r="P247" s="1748"/>
      <c r="AH247" s="1755">
        <v>0</v>
      </c>
    </row>
    <row s="7213" customFormat="1" customHeight="1" ht="18.75" hidden="1">
      <c r="A248" s="1903" t="s">
        <v>357</v>
      </c>
      <c r="B248" s="1903" t="s">
        <v>358</v>
      </c>
      <c r="C248" s="493"/>
      <c r="D248" s="2599"/>
      <c r="E248" s="2341"/>
      <c r="F248" s="25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4" t="str">
        <f>INDEX(PT_DIFFERENTIATION_NTAR,MATCH(B248,PT_DIFFERENTIATION_NTAR_ID,0))</f>
        <v/>
      </c>
      <c r="H248" s="1983"/>
      <c r="I248" s="1862"/>
      <c r="J248" s="1896"/>
      <c r="K248" s="1901"/>
      <c r="L248" s="1983" t="s">
        <v>418</v>
      </c>
      <c r="M248" s="465"/>
      <c r="N248" s="458"/>
      <c r="O248" s="1748"/>
      <c r="P248" s="1748"/>
      <c r="AH248" s="1755">
        <v>0</v>
      </c>
    </row>
    <row s="7213" customFormat="1" customHeight="1" ht="18.75" hidden="1">
      <c r="A249" s="1903"/>
      <c r="B249" s="1903"/>
      <c r="C249" s="493" t="s">
        <v>1576</v>
      </c>
      <c r="D249" s="2599"/>
      <c r="E249" s="2341"/>
      <c r="F249" s="2520"/>
      <c r="G249" s="2564"/>
      <c r="H249" s="1624"/>
      <c r="I249" s="775" t="s">
        <v>1575</v>
      </c>
      <c r="J249" s="695"/>
      <c r="K249" s="1624"/>
      <c r="L249" s="338"/>
      <c r="M249" s="465"/>
      <c r="N249" s="458"/>
      <c r="O249" s="1748"/>
      <c r="P249" s="1748"/>
      <c r="AH249" s="1755">
        <v>0</v>
      </c>
    </row>
    <row s="7213" customFormat="1" customHeight="1" ht="0.75" hidden="1">
      <c r="A250" s="1903"/>
      <c r="B250" s="1903"/>
      <c r="C250" s="493" t="s">
        <v>1583</v>
      </c>
      <c r="D250" s="2599"/>
      <c r="E250" s="2341"/>
      <c r="F250" s="2520"/>
      <c r="G250" s="524"/>
      <c r="H250" s="1624"/>
      <c r="I250" s="775"/>
      <c r="J250" s="695"/>
      <c r="K250" s="1624"/>
      <c r="L250" s="338"/>
      <c r="M250" s="465"/>
      <c r="N250" s="458"/>
      <c r="O250" s="1748"/>
      <c r="P250" s="1748"/>
      <c r="AH250" s="1755">
        <v>0</v>
      </c>
    </row>
    <row s="7213" customFormat="1" customHeight="1" ht="18.75" hidden="1">
      <c r="A251" s="1903" t="s">
        <v>362</v>
      </c>
      <c r="B251" s="1903" t="s">
        <v>363</v>
      </c>
      <c r="C251" s="493"/>
      <c r="D251" s="2599"/>
      <c r="E251" s="2341"/>
      <c r="F251" s="2520" t="str">
        <f>INDEX(PT_DIFFERENTIATION_VTAR,MATCH(A251,PT_DIFFERENTIATION_VTAR_ID,0))</f>
        <v>Тариф на горячую воду (горячее водоснабжение)</v>
      </c>
      <c r="G251" s="2564" t="str">
        <f>INDEX(PT_DIFFERENTIATION_NTAR,MATCH(B251,PT_DIFFERENTIATION_NTAR_ID,0))</f>
        <v/>
      </c>
      <c r="H251" s="1983"/>
      <c r="I251" s="1862"/>
      <c r="J251" s="1896"/>
      <c r="K251" s="1901"/>
      <c r="L251" s="1983" t="s">
        <v>418</v>
      </c>
      <c r="M251" s="465"/>
      <c r="N251" s="458"/>
      <c r="O251" s="1748"/>
      <c r="P251" s="1748"/>
      <c r="AH251" s="1755">
        <v>0</v>
      </c>
    </row>
    <row s="7213" customFormat="1" customHeight="1" ht="18.75" hidden="1">
      <c r="A252" s="1903"/>
      <c r="B252" s="1903"/>
      <c r="C252" s="493" t="s">
        <v>1576</v>
      </c>
      <c r="D252" s="2599"/>
      <c r="E252" s="2341"/>
      <c r="F252" s="2520"/>
      <c r="G252" s="2564"/>
      <c r="H252" s="1624"/>
      <c r="I252" s="775" t="s">
        <v>1575</v>
      </c>
      <c r="J252" s="695"/>
      <c r="K252" s="1624"/>
      <c r="L252" s="338"/>
      <c r="M252" s="465"/>
      <c r="N252" s="458"/>
      <c r="O252" s="1748"/>
      <c r="P252" s="1748"/>
      <c r="AH252" s="1755">
        <v>0</v>
      </c>
    </row>
    <row s="7213" customFormat="1" customHeight="1" ht="0.75" hidden="1">
      <c r="A253" s="1903"/>
      <c r="B253" s="1903"/>
      <c r="C253" s="493" t="s">
        <v>1583</v>
      </c>
      <c r="D253" s="2599"/>
      <c r="E253" s="2341"/>
      <c r="F253" s="2520"/>
      <c r="G253" s="524"/>
      <c r="H253" s="1624"/>
      <c r="I253" s="775"/>
      <c r="J253" s="695"/>
      <c r="K253" s="1624"/>
      <c r="L253" s="338"/>
      <c r="M253" s="465"/>
      <c r="N253" s="458"/>
      <c r="O253" s="1748"/>
      <c r="P253" s="1748"/>
      <c r="AH253" s="1755">
        <v>0</v>
      </c>
    </row>
    <row s="7213" customFormat="1" customHeight="1" ht="18.75" hidden="1">
      <c r="A254" s="1903" t="s">
        <v>367</v>
      </c>
      <c r="B254" s="1903" t="s">
        <v>368</v>
      </c>
      <c r="C254" s="493"/>
      <c r="D254" s="2599"/>
      <c r="E254" s="2341"/>
      <c r="F254" s="2520" t="str">
        <f>INDEX(PT_DIFFERENTIATION_VTAR,MATCH(A254,PT_DIFFERENTIATION_VTAR_ID,0))</f>
        <v>Тариф на транспортировку горячей воды</v>
      </c>
      <c r="G254" s="2564" t="str">
        <f>INDEX(PT_DIFFERENTIATION_NTAR,MATCH(B254,PT_DIFFERENTIATION_NTAR_ID,0))</f>
        <v/>
      </c>
      <c r="H254" s="1983"/>
      <c r="I254" s="1862"/>
      <c r="J254" s="1896"/>
      <c r="K254" s="1901"/>
      <c r="L254" s="1983" t="s">
        <v>418</v>
      </c>
      <c r="M254" s="465"/>
      <c r="N254" s="458"/>
      <c r="O254" s="1748"/>
      <c r="P254" s="1748"/>
      <c r="AH254" s="1755">
        <v>0</v>
      </c>
    </row>
    <row s="7213" customFormat="1" customHeight="1" ht="18.75" hidden="1">
      <c r="A255" s="1903"/>
      <c r="B255" s="1903"/>
      <c r="C255" s="493" t="s">
        <v>1576</v>
      </c>
      <c r="D255" s="2599"/>
      <c r="E255" s="2341"/>
      <c r="F255" s="2520"/>
      <c r="G255" s="2564"/>
      <c r="H255" s="1624"/>
      <c r="I255" s="775" t="s">
        <v>1575</v>
      </c>
      <c r="J255" s="695"/>
      <c r="K255" s="1624"/>
      <c r="L255" s="338"/>
      <c r="M255" s="465"/>
      <c r="N255" s="458"/>
      <c r="O255" s="1748"/>
      <c r="P255" s="1748"/>
      <c r="AH255" s="1755">
        <v>0</v>
      </c>
    </row>
    <row s="7213" customFormat="1" customHeight="1" ht="0.75" hidden="1">
      <c r="A256" s="1903"/>
      <c r="B256" s="1903"/>
      <c r="C256" s="493" t="s">
        <v>1583</v>
      </c>
      <c r="D256" s="2599"/>
      <c r="E256" s="2341"/>
      <c r="F256" s="2520"/>
      <c r="G256" s="524"/>
      <c r="H256" s="1624"/>
      <c r="I256" s="775"/>
      <c r="J256" s="695"/>
      <c r="K256" s="1624"/>
      <c r="L256" s="338"/>
      <c r="M256" s="465"/>
      <c r="N256" s="458"/>
      <c r="O256" s="1748"/>
      <c r="P256" s="1748"/>
      <c r="AH256" s="1755">
        <v>0</v>
      </c>
    </row>
    <row s="7213" customFormat="1" customHeight="1" ht="18.75" hidden="1">
      <c r="A257" s="1903" t="s">
        <v>372</v>
      </c>
      <c r="B257" s="1903" t="s">
        <v>373</v>
      </c>
      <c r="C257" s="493"/>
      <c r="D257" s="2599"/>
      <c r="E257" s="2341"/>
      <c r="F257" s="25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4" t="str">
        <f>INDEX(PT_DIFFERENTIATION_NTAR,MATCH(B257,PT_DIFFERENTIATION_NTAR_ID,0))</f>
        <v/>
      </c>
      <c r="H257" s="1983"/>
      <c r="I257" s="1862"/>
      <c r="J257" s="1896"/>
      <c r="K257" s="1901"/>
      <c r="L257" s="1983" t="s">
        <v>418</v>
      </c>
      <c r="M257" s="465"/>
      <c r="N257" s="458"/>
      <c r="O257" s="1748"/>
      <c r="P257" s="1748"/>
      <c r="AH257" s="1755">
        <v>0</v>
      </c>
    </row>
    <row s="7213" customFormat="1" customHeight="1" ht="18.75" hidden="1">
      <c r="A258" s="1903"/>
      <c r="B258" s="1903"/>
      <c r="C258" s="493" t="s">
        <v>1576</v>
      </c>
      <c r="D258" s="2599"/>
      <c r="E258" s="2341"/>
      <c r="F258" s="2520"/>
      <c r="G258" s="2564"/>
      <c r="H258" s="1624"/>
      <c r="I258" s="775" t="s">
        <v>1575</v>
      </c>
      <c r="J258" s="695"/>
      <c r="K258" s="1624"/>
      <c r="L258" s="338"/>
      <c r="M258" s="465"/>
      <c r="N258" s="458"/>
      <c r="O258" s="1748"/>
      <c r="P258" s="1748"/>
      <c r="AH258" s="1755">
        <v>0</v>
      </c>
    </row>
    <row s="7213" customFormat="1" customHeight="1" ht="0.75" hidden="1">
      <c r="A259" s="1903"/>
      <c r="B259" s="1903"/>
      <c r="C259" s="493" t="s">
        <v>1583</v>
      </c>
      <c r="D259" s="2599"/>
      <c r="E259" s="2341"/>
      <c r="F259" s="2520"/>
      <c r="G259" s="524"/>
      <c r="H259" s="1624"/>
      <c r="I259" s="775"/>
      <c r="J259" s="695"/>
      <c r="K259" s="1624"/>
      <c r="L259" s="338"/>
      <c r="M259" s="465"/>
      <c r="N259" s="458"/>
      <c r="O259" s="1748"/>
      <c r="P259" s="1748"/>
      <c r="AH259" s="1755">
        <v>0</v>
      </c>
    </row>
    <row s="7213" customFormat="1" customHeight="1" ht="18.75" hidden="1">
      <c r="A260" s="1903" t="s">
        <v>377</v>
      </c>
      <c r="B260" s="1903" t="s">
        <v>378</v>
      </c>
      <c r="C260" s="493"/>
      <c r="D260" s="2599"/>
      <c r="E260" s="2341"/>
      <c r="F260" s="2520" t="str">
        <f>INDEX(PT_DIFFERENTIATION_VTAR,MATCH(A260,PT_DIFFERENTIATION_VTAR_ID,0))</f>
        <v>Тариф на водоотведение</v>
      </c>
      <c r="G260" s="2564" t="str">
        <f>INDEX(PT_DIFFERENTIATION_NTAR,MATCH(B260,PT_DIFFERENTIATION_NTAR_ID,0))</f>
        <v/>
      </c>
      <c r="H260" s="1983"/>
      <c r="I260" s="1862"/>
      <c r="J260" s="1896"/>
      <c r="K260" s="1901"/>
      <c r="L260" s="1983" t="s">
        <v>418</v>
      </c>
      <c r="M260" s="465"/>
      <c r="N260" s="458"/>
      <c r="O260" s="1748"/>
      <c r="P260" s="1748"/>
      <c r="AH260" s="1755">
        <v>0</v>
      </c>
    </row>
    <row s="7213" customFormat="1" customHeight="1" ht="18.75" hidden="1">
      <c r="A261" s="1903"/>
      <c r="B261" s="1903"/>
      <c r="C261" s="493" t="s">
        <v>1576</v>
      </c>
      <c r="D261" s="2599"/>
      <c r="E261" s="2341"/>
      <c r="F261" s="2520"/>
      <c r="G261" s="2564"/>
      <c r="H261" s="1624"/>
      <c r="I261" s="775" t="s">
        <v>1575</v>
      </c>
      <c r="J261" s="695"/>
      <c r="K261" s="1624"/>
      <c r="L261" s="338"/>
      <c r="M261" s="465"/>
      <c r="N261" s="458"/>
      <c r="O261" s="1748"/>
      <c r="P261" s="1748"/>
      <c r="AH261" s="1755">
        <v>0</v>
      </c>
    </row>
    <row s="7213" customFormat="1" customHeight="1" ht="0.75" hidden="1">
      <c r="A262" s="1903"/>
      <c r="B262" s="1903"/>
      <c r="C262" s="493" t="s">
        <v>1583</v>
      </c>
      <c r="D262" s="2599"/>
      <c r="E262" s="2341"/>
      <c r="F262" s="2520"/>
      <c r="G262" s="524"/>
      <c r="H262" s="1624"/>
      <c r="I262" s="775"/>
      <c r="J262" s="695"/>
      <c r="K262" s="1624"/>
      <c r="L262" s="338"/>
      <c r="M262" s="465"/>
      <c r="N262" s="458"/>
      <c r="O262" s="1748"/>
      <c r="P262" s="1748"/>
      <c r="AH262" s="1755">
        <v>0</v>
      </c>
    </row>
    <row s="7213" customFormat="1" customHeight="1" ht="18.75" hidden="1">
      <c r="A263" s="1903" t="s">
        <v>382</v>
      </c>
      <c r="B263" s="1903" t="s">
        <v>383</v>
      </c>
      <c r="C263" s="493"/>
      <c r="D263" s="2599"/>
      <c r="E263" s="2341"/>
      <c r="F263" s="2520" t="str">
        <f>INDEX(PT_DIFFERENTIATION_VTAR,MATCH(A263,PT_DIFFERENTIATION_VTAR_ID,0))</f>
        <v>Тариф на транспортировку сточных вод</v>
      </c>
      <c r="G263" s="2564" t="str">
        <f>INDEX(PT_DIFFERENTIATION_NTAR,MATCH(B263,PT_DIFFERENTIATION_NTAR_ID,0))</f>
        <v/>
      </c>
      <c r="H263" s="1983"/>
      <c r="I263" s="1862"/>
      <c r="J263" s="1896"/>
      <c r="K263" s="1901"/>
      <c r="L263" s="1983" t="s">
        <v>418</v>
      </c>
      <c r="M263" s="465"/>
      <c r="N263" s="458"/>
      <c r="O263" s="1748"/>
      <c r="P263" s="1748"/>
      <c r="AH263" s="1755">
        <v>0</v>
      </c>
    </row>
    <row s="7213" customFormat="1" customHeight="1" ht="18.75" hidden="1">
      <c r="A264" s="1903"/>
      <c r="B264" s="1903"/>
      <c r="C264" s="493" t="s">
        <v>1576</v>
      </c>
      <c r="D264" s="2599"/>
      <c r="E264" s="2341"/>
      <c r="F264" s="2520"/>
      <c r="G264" s="2564"/>
      <c r="H264" s="1624"/>
      <c r="I264" s="775" t="s">
        <v>1575</v>
      </c>
      <c r="J264" s="695"/>
      <c r="K264" s="1624"/>
      <c r="L264" s="338"/>
      <c r="M264" s="465"/>
      <c r="N264" s="458"/>
      <c r="O264" s="1748"/>
      <c r="P264" s="1748"/>
      <c r="AH264" s="1755">
        <v>0</v>
      </c>
    </row>
    <row s="7213" customFormat="1" customHeight="1" ht="0.75" hidden="1">
      <c r="A265" s="1903"/>
      <c r="B265" s="1903"/>
      <c r="C265" s="493" t="s">
        <v>1583</v>
      </c>
      <c r="D265" s="2599"/>
      <c r="E265" s="2341"/>
      <c r="F265" s="2520"/>
      <c r="G265" s="524"/>
      <c r="H265" s="1624"/>
      <c r="I265" s="775"/>
      <c r="J265" s="695"/>
      <c r="K265" s="1624"/>
      <c r="L265" s="338"/>
      <c r="M265" s="465"/>
      <c r="N265" s="458"/>
      <c r="O265" s="1748"/>
      <c r="P265" s="1748"/>
      <c r="AH265" s="1755">
        <v>0</v>
      </c>
    </row>
    <row s="7213" customFormat="1" customHeight="1" ht="18.75" hidden="1">
      <c r="A266" s="1903" t="s">
        <v>387</v>
      </c>
      <c r="B266" s="1903" t="s">
        <v>388</v>
      </c>
      <c r="C266" s="493"/>
      <c r="D266" s="2599"/>
      <c r="E266" s="2341"/>
      <c r="F266" s="2520" t="str">
        <f>INDEX(PT_DIFFERENTIATION_VTAR,MATCH(A266,PT_DIFFERENTIATION_VTAR_ID,0))</f>
        <v>Тариф на подключение (технологическое присоединение) к централизованной системе водоотведения</v>
      </c>
      <c r="G266" s="2564" t="str">
        <f>INDEX(PT_DIFFERENTIATION_NTAR,MATCH(B266,PT_DIFFERENTIATION_NTAR_ID,0))</f>
        <v/>
      </c>
      <c r="H266" s="1983"/>
      <c r="I266" s="1862"/>
      <c r="J266" s="1896"/>
      <c r="K266" s="1901"/>
      <c r="L266" s="1983" t="s">
        <v>418</v>
      </c>
      <c r="M266" s="465"/>
      <c r="N266" s="458"/>
      <c r="O266" s="1748"/>
      <c r="P266" s="1748"/>
      <c r="AH266" s="1755">
        <v>0</v>
      </c>
    </row>
    <row s="7213" customFormat="1" customHeight="1" ht="18.75" hidden="1">
      <c r="A267" s="1903"/>
      <c r="B267" s="1903"/>
      <c r="C267" s="493" t="s">
        <v>1576</v>
      </c>
      <c r="D267" s="2599"/>
      <c r="E267" s="2341"/>
      <c r="F267" s="2520"/>
      <c r="G267" s="2564"/>
      <c r="H267" s="1624"/>
      <c r="I267" s="775" t="s">
        <v>1575</v>
      </c>
      <c r="J267" s="695"/>
      <c r="K267" s="1624"/>
      <c r="L267" s="338"/>
      <c r="M267" s="465"/>
      <c r="N267" s="458"/>
      <c r="O267" s="1748"/>
      <c r="P267" s="1748"/>
      <c r="AH267" s="1755">
        <v>0</v>
      </c>
    </row>
    <row s="7213" customFormat="1" customHeight="1" ht="1.05">
      <c r="A268" s="1903"/>
      <c r="B268" s="1903"/>
      <c r="C268" s="493" t="s">
        <v>1583</v>
      </c>
      <c r="D268" s="2599"/>
      <c r="E268" s="2341"/>
      <c r="F268" s="2520"/>
      <c r="G268" s="524"/>
      <c r="H268" s="1624"/>
      <c r="I268" s="775"/>
      <c r="J268" s="695"/>
      <c r="K268" s="1624"/>
      <c r="L268" s="338"/>
      <c r="M268" s="465"/>
      <c r="N268" s="458"/>
      <c r="O268" s="1748"/>
      <c r="P268" s="1748"/>
      <c r="AH268" s="1755">
        <v>1</v>
      </c>
    </row>
    <row customHeight="1" ht="27.299999999999997">
      <c r="A269" s="1903"/>
      <c r="B269" s="1903"/>
      <c r="D269" s="500"/>
      <c r="E269" s="271" t="s">
        <v>92</v>
      </c>
      <c r="F269" s="25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97"/>
      <c r="H269" s="2597"/>
      <c r="I269" s="2597"/>
      <c r="J269" s="2597"/>
      <c r="K269" s="2597"/>
      <c r="L269" s="2597"/>
      <c r="M269" s="421"/>
      <c r="N269" s="458"/>
      <c r="AH269" s="498">
        <v>26</v>
      </c>
    </row>
    <row s="7213" customFormat="1" customHeight="1" ht="60.75" hidden="1">
      <c r="A270" s="1903" t="s">
        <v>269</v>
      </c>
      <c r="B270" s="1903" t="s">
        <v>270</v>
      </c>
      <c r="C270" s="493"/>
      <c r="D270" s="2599"/>
      <c r="E270" s="2341"/>
      <c r="F270" s="25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4" t="str">
        <f>INDEX(PT_DIFFERENTIATION_NTAR,MATCH(B270,PT_DIFFERENTIATION_NTAR_ID,0))</f>
        <v/>
      </c>
      <c r="H270" s="1983"/>
      <c r="I270" s="1862"/>
      <c r="J270" s="1896"/>
      <c r="K270" s="1901"/>
      <c r="L270" s="1983" t="s">
        <v>418</v>
      </c>
      <c r="M270" s="230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458"/>
      <c r="O270" s="1748"/>
      <c r="P270" s="1748"/>
      <c r="AH270" s="1755">
        <v>0</v>
      </c>
    </row>
    <row s="7213" customFormat="1" customHeight="1" ht="18.75" hidden="1">
      <c r="A271" s="1903"/>
      <c r="B271" s="1903"/>
      <c r="C271" s="493" t="s">
        <v>1576</v>
      </c>
      <c r="D271" s="2599"/>
      <c r="E271" s="2341"/>
      <c r="F271" s="2520"/>
      <c r="G271" s="2564"/>
      <c r="H271" s="1624"/>
      <c r="I271" s="775" t="s">
        <v>1575</v>
      </c>
      <c r="J271" s="695"/>
      <c r="K271" s="1624"/>
      <c r="L271" s="338"/>
      <c r="M271" s="2307"/>
      <c r="N271" s="458"/>
      <c r="O271" s="1748"/>
      <c r="P271" s="1748"/>
      <c r="AH271" s="1755">
        <v>0</v>
      </c>
    </row>
    <row s="7213" customFormat="1" customHeight="1" ht="0.75" hidden="1">
      <c r="A272" s="1903"/>
      <c r="B272" s="1903"/>
      <c r="C272" s="493" t="s">
        <v>1583</v>
      </c>
      <c r="D272" s="2599"/>
      <c r="E272" s="2341"/>
      <c r="F272" s="2520"/>
      <c r="G272" s="524"/>
      <c r="H272" s="1624"/>
      <c r="I272" s="775"/>
      <c r="J272" s="695"/>
      <c r="K272" s="1624"/>
      <c r="L272" s="338"/>
      <c r="M272" s="2307"/>
      <c r="N272" s="458"/>
      <c r="O272" s="1748"/>
      <c r="P272" s="1748"/>
      <c r="AH272" s="1755">
        <v>0</v>
      </c>
    </row>
    <row s="7213" customFormat="1" customHeight="1" ht="45" hidden="1">
      <c r="A273" s="1903" t="s">
        <v>274</v>
      </c>
      <c r="B273" s="1903" t="s">
        <v>275</v>
      </c>
      <c r="C273" s="493"/>
      <c r="D273" s="2599"/>
      <c r="E273" s="2341"/>
      <c r="F273" s="2520" t="str">
        <f>INDEX(PT_DIFFERENTIATION_VTAR,MATCH(A273,PT_DIFFERENTIATION_VTAR_ID,0))</f>
        <v/>
      </c>
      <c r="G273" s="2564" t="str">
        <f>INDEX(PT_DIFFERENTIATION_NTAR,MATCH(B273,PT_DIFFERENTIATION_NTAR_ID,0))</f>
        <v/>
      </c>
      <c r="H273" s="1983"/>
      <c r="I273" s="1862"/>
      <c r="J273" s="1896"/>
      <c r="K273" s="1901"/>
      <c r="L273" s="1983" t="s">
        <v>418</v>
      </c>
      <c r="M273" s="2308"/>
      <c r="N273" s="458"/>
      <c r="O273" s="1748"/>
      <c r="P273" s="1748"/>
      <c r="AH273" s="1755">
        <v>0</v>
      </c>
    </row>
    <row s="7213" customFormat="1" customHeight="1" ht="18.75" hidden="1">
      <c r="A274" s="1903"/>
      <c r="B274" s="1903"/>
      <c r="C274" s="493" t="s">
        <v>1576</v>
      </c>
      <c r="D274" s="2599"/>
      <c r="E274" s="2341"/>
      <c r="F274" s="2520"/>
      <c r="G274" s="2564"/>
      <c r="H274" s="1624"/>
      <c r="I274" s="775" t="s">
        <v>1575</v>
      </c>
      <c r="J274" s="695"/>
      <c r="K274" s="1624"/>
      <c r="L274" s="338"/>
      <c r="M274" s="1982"/>
      <c r="N274" s="458"/>
      <c r="O274" s="1748"/>
      <c r="P274" s="1748"/>
      <c r="AH274" s="1755">
        <v>0</v>
      </c>
    </row>
    <row s="7213" customFormat="1" customHeight="1" ht="0.75" hidden="1">
      <c r="A275" s="1903"/>
      <c r="B275" s="1903"/>
      <c r="C275" s="493" t="s">
        <v>1583</v>
      </c>
      <c r="D275" s="2599"/>
      <c r="E275" s="2341"/>
      <c r="F275" s="2520"/>
      <c r="G275" s="524"/>
      <c r="H275" s="1624"/>
      <c r="I275" s="775"/>
      <c r="J275" s="695"/>
      <c r="K275" s="1624"/>
      <c r="L275" s="338"/>
      <c r="M275" s="465"/>
      <c r="N275" s="458"/>
      <c r="O275" s="1748"/>
      <c r="P275" s="1748"/>
      <c r="AH275" s="1755">
        <v>0</v>
      </c>
    </row>
    <row s="7213" customFormat="1" customHeight="1" ht="45" hidden="1">
      <c r="A276" s="1903" t="s">
        <v>281</v>
      </c>
      <c r="B276" s="1903" t="s">
        <v>282</v>
      </c>
      <c r="C276" s="493"/>
      <c r="D276" s="2599"/>
      <c r="E276" s="2341"/>
      <c r="F276" s="25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4" t="str">
        <f>INDEX(PT_DIFFERENTIATION_NTAR,MATCH(B276,PT_DIFFERENTIATION_NTAR_ID,0))</f>
        <v/>
      </c>
      <c r="H276" s="1983"/>
      <c r="I276" s="1862"/>
      <c r="J276" s="1896"/>
      <c r="K276" s="1901"/>
      <c r="L276" s="1983" t="s">
        <v>418</v>
      </c>
      <c r="M276" s="465"/>
      <c r="N276" s="458"/>
      <c r="O276" s="1748"/>
      <c r="P276" s="1748"/>
      <c r="AH276" s="1755">
        <v>0</v>
      </c>
    </row>
    <row s="7213" customFormat="1" customHeight="1" ht="18.75" hidden="1">
      <c r="A277" s="1903"/>
      <c r="B277" s="1903"/>
      <c r="C277" s="493" t="s">
        <v>1576</v>
      </c>
      <c r="D277" s="2599"/>
      <c r="E277" s="2341"/>
      <c r="F277" s="2520"/>
      <c r="G277" s="2564"/>
      <c r="H277" s="1624"/>
      <c r="I277" s="775" t="s">
        <v>1575</v>
      </c>
      <c r="J277" s="695"/>
      <c r="K277" s="1624"/>
      <c r="L277" s="338"/>
      <c r="M277" s="465"/>
      <c r="N277" s="458"/>
      <c r="O277" s="1748"/>
      <c r="P277" s="1748"/>
      <c r="AH277" s="1755">
        <v>0</v>
      </c>
    </row>
    <row s="7213" customFormat="1" customHeight="1" ht="0.75" hidden="1">
      <c r="A278" s="1903"/>
      <c r="B278" s="1903"/>
      <c r="C278" s="493" t="s">
        <v>1583</v>
      </c>
      <c r="D278" s="2599"/>
      <c r="E278" s="2341"/>
      <c r="F278" s="2520"/>
      <c r="G278" s="524"/>
      <c r="H278" s="1624"/>
      <c r="I278" s="775"/>
      <c r="J278" s="695"/>
      <c r="K278" s="1624"/>
      <c r="L278" s="338"/>
      <c r="M278" s="465"/>
      <c r="N278" s="458"/>
      <c r="O278" s="1748"/>
      <c r="P278" s="1748"/>
      <c r="AH278" s="1755">
        <v>0</v>
      </c>
    </row>
    <row s="7213" customFormat="1" customHeight="1" ht="45" hidden="1">
      <c r="A279" s="1903" t="s">
        <v>287</v>
      </c>
      <c r="B279" s="1903" t="s">
        <v>288</v>
      </c>
      <c r="C279" s="493"/>
      <c r="D279" s="2599"/>
      <c r="E279" s="2341"/>
      <c r="F279" s="25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4" t="str">
        <f>INDEX(PT_DIFFERENTIATION_NTAR,MATCH(B279,PT_DIFFERENTIATION_NTAR_ID,0))</f>
        <v/>
      </c>
      <c r="H279" s="1983"/>
      <c r="I279" s="1862"/>
      <c r="J279" s="1896"/>
      <c r="K279" s="1901"/>
      <c r="L279" s="1983" t="s">
        <v>418</v>
      </c>
      <c r="M279" s="465"/>
      <c r="N279" s="458"/>
      <c r="O279" s="1748"/>
      <c r="P279" s="1748"/>
      <c r="AH279" s="1755">
        <v>0</v>
      </c>
    </row>
    <row s="7213" customFormat="1" customHeight="1" ht="18.75" hidden="1">
      <c r="A280" s="1903"/>
      <c r="B280" s="1903"/>
      <c r="C280" s="493" t="s">
        <v>1576</v>
      </c>
      <c r="D280" s="2599"/>
      <c r="E280" s="2341"/>
      <c r="F280" s="2520"/>
      <c r="G280" s="2564"/>
      <c r="H280" s="1624"/>
      <c r="I280" s="775" t="s">
        <v>1575</v>
      </c>
      <c r="J280" s="695"/>
      <c r="K280" s="1624"/>
      <c r="L280" s="338"/>
      <c r="M280" s="465"/>
      <c r="N280" s="458"/>
      <c r="O280" s="1748"/>
      <c r="P280" s="1748"/>
      <c r="AH280" s="1755">
        <v>0</v>
      </c>
    </row>
    <row s="7213" customFormat="1" customHeight="1" ht="0.75" hidden="1">
      <c r="A281" s="1903"/>
      <c r="B281" s="1903"/>
      <c r="C281" s="493" t="s">
        <v>1583</v>
      </c>
      <c r="D281" s="2599"/>
      <c r="E281" s="2341"/>
      <c r="F281" s="2520"/>
      <c r="G281" s="524"/>
      <c r="H281" s="1624"/>
      <c r="I281" s="775"/>
      <c r="J281" s="695"/>
      <c r="K281" s="1624"/>
      <c r="L281" s="338"/>
      <c r="M281" s="465"/>
      <c r="N281" s="458"/>
      <c r="O281" s="1748"/>
      <c r="P281" s="1748"/>
      <c r="AH281" s="1755">
        <v>0</v>
      </c>
    </row>
    <row s="7213" customFormat="1" customHeight="1" ht="18.75" hidden="1">
      <c r="A282" s="1903" t="s">
        <v>293</v>
      </c>
      <c r="B282" s="1903" t="s">
        <v>294</v>
      </c>
      <c r="C282" s="493"/>
      <c r="D282" s="2599"/>
      <c r="E282" s="2341"/>
      <c r="F282" s="2520" t="str">
        <f>INDEX(PT_DIFFERENTIATION_VTAR,MATCH(A282,PT_DIFFERENTIATION_VTAR_ID,0))</f>
        <v>Тарифы на услуги по передаче тепловой энергии</v>
      </c>
      <c r="G282" s="2564" t="str">
        <f>INDEX(PT_DIFFERENTIATION_NTAR,MATCH(B282,PT_DIFFERENTIATION_NTAR_ID,0))</f>
        <v/>
      </c>
      <c r="H282" s="1983"/>
      <c r="I282" s="1862"/>
      <c r="J282" s="1896"/>
      <c r="K282" s="1901"/>
      <c r="L282" s="1983" t="s">
        <v>418</v>
      </c>
      <c r="M282" s="465"/>
      <c r="N282" s="458"/>
      <c r="O282" s="1748"/>
      <c r="P282" s="1748"/>
      <c r="AH282" s="1755">
        <v>0</v>
      </c>
    </row>
    <row s="7213" customFormat="1" customHeight="1" ht="18.75" hidden="1">
      <c r="A283" s="1903"/>
      <c r="B283" s="1903"/>
      <c r="C283" s="493" t="s">
        <v>1576</v>
      </c>
      <c r="D283" s="2599"/>
      <c r="E283" s="2341"/>
      <c r="F283" s="2520"/>
      <c r="G283" s="2564"/>
      <c r="H283" s="1624"/>
      <c r="I283" s="775" t="s">
        <v>1575</v>
      </c>
      <c r="J283" s="695"/>
      <c r="K283" s="1624"/>
      <c r="L283" s="338"/>
      <c r="M283" s="465"/>
      <c r="N283" s="458"/>
      <c r="O283" s="1748"/>
      <c r="P283" s="1748"/>
      <c r="AH283" s="1755">
        <v>0</v>
      </c>
    </row>
    <row s="7213" customFormat="1" customHeight="1" ht="0.75" hidden="1">
      <c r="A284" s="1903"/>
      <c r="B284" s="1903"/>
      <c r="C284" s="493" t="s">
        <v>1583</v>
      </c>
      <c r="D284" s="2599"/>
      <c r="E284" s="2341"/>
      <c r="F284" s="2520"/>
      <c r="G284" s="524"/>
      <c r="H284" s="1624"/>
      <c r="I284" s="775"/>
      <c r="J284" s="695"/>
      <c r="K284" s="1624"/>
      <c r="L284" s="338"/>
      <c r="M284" s="465"/>
      <c r="N284" s="458"/>
      <c r="O284" s="1748"/>
      <c r="P284" s="1748"/>
      <c r="AH284" s="1755">
        <v>0</v>
      </c>
    </row>
    <row s="7213" customFormat="1" customHeight="1" ht="18.75" hidden="1">
      <c r="A285" s="1903" t="s">
        <v>299</v>
      </c>
      <c r="B285" s="1903" t="s">
        <v>300</v>
      </c>
      <c r="C285" s="493"/>
      <c r="D285" s="2599"/>
      <c r="E285" s="2341"/>
      <c r="F285" s="2520" t="str">
        <f>INDEX(PT_DIFFERENTIATION_VTAR,MATCH(A285,PT_DIFFERENTIATION_VTAR_ID,0))</f>
        <v>Тарифы на услуги по передаче теплоносителя</v>
      </c>
      <c r="G285" s="2564" t="str">
        <f>INDEX(PT_DIFFERENTIATION_NTAR,MATCH(B285,PT_DIFFERENTIATION_NTAR_ID,0))</f>
        <v/>
      </c>
      <c r="H285" s="1983"/>
      <c r="I285" s="1862"/>
      <c r="J285" s="1896"/>
      <c r="K285" s="1901"/>
      <c r="L285" s="1983" t="s">
        <v>418</v>
      </c>
      <c r="M285" s="465"/>
      <c r="N285" s="458"/>
      <c r="O285" s="1748"/>
      <c r="P285" s="1748"/>
      <c r="AH285" s="1755">
        <v>0</v>
      </c>
    </row>
    <row s="7213" customFormat="1" customHeight="1" ht="18.75" hidden="1">
      <c r="A286" s="1903"/>
      <c r="B286" s="1903"/>
      <c r="C286" s="493" t="s">
        <v>1576</v>
      </c>
      <c r="D286" s="2599"/>
      <c r="E286" s="2341"/>
      <c r="F286" s="2520"/>
      <c r="G286" s="2564"/>
      <c r="H286" s="1624"/>
      <c r="I286" s="775" t="s">
        <v>1575</v>
      </c>
      <c r="J286" s="695"/>
      <c r="K286" s="1624"/>
      <c r="L286" s="338"/>
      <c r="M286" s="465"/>
      <c r="N286" s="458"/>
      <c r="O286" s="1748"/>
      <c r="P286" s="1748"/>
      <c r="AH286" s="1755">
        <v>0</v>
      </c>
    </row>
    <row s="7213" customFormat="1" customHeight="1" ht="0.75" hidden="1">
      <c r="A287" s="1903"/>
      <c r="B287" s="1903"/>
      <c r="C287" s="493" t="s">
        <v>1583</v>
      </c>
      <c r="D287" s="2599"/>
      <c r="E287" s="2341"/>
      <c r="F287" s="2520"/>
      <c r="G287" s="524"/>
      <c r="H287" s="1624"/>
      <c r="I287" s="775"/>
      <c r="J287" s="695"/>
      <c r="K287" s="1624"/>
      <c r="L287" s="338"/>
      <c r="M287" s="465"/>
      <c r="N287" s="458"/>
      <c r="O287" s="1748"/>
      <c r="P287" s="1748"/>
      <c r="AH287" s="1755">
        <v>0</v>
      </c>
    </row>
    <row s="7213" customFormat="1" customHeight="1" ht="18.75" hidden="1">
      <c r="A288" s="1903" t="s">
        <v>305</v>
      </c>
      <c r="B288" s="1903" t="s">
        <v>306</v>
      </c>
      <c r="C288" s="493"/>
      <c r="D288" s="2599"/>
      <c r="E288" s="2341"/>
      <c r="F288" s="25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4" t="str">
        <f>INDEX(PT_DIFFERENTIATION_NTAR,MATCH(B288,PT_DIFFERENTIATION_NTAR_ID,0))</f>
        <v/>
      </c>
      <c r="H288" s="1983"/>
      <c r="I288" s="1862"/>
      <c r="J288" s="1896"/>
      <c r="K288" s="1901"/>
      <c r="L288" s="1983" t="s">
        <v>418</v>
      </c>
      <c r="M288" s="465"/>
      <c r="N288" s="458"/>
      <c r="O288" s="1748"/>
      <c r="P288" s="1748"/>
      <c r="AH288" s="1755">
        <v>0</v>
      </c>
    </row>
    <row s="7213" customFormat="1" customHeight="1" ht="18.75" hidden="1">
      <c r="A289" s="1903"/>
      <c r="B289" s="1903"/>
      <c r="C289" s="493" t="s">
        <v>1576</v>
      </c>
      <c r="D289" s="2599"/>
      <c r="E289" s="2341"/>
      <c r="F289" s="2520"/>
      <c r="G289" s="2564"/>
      <c r="H289" s="1624"/>
      <c r="I289" s="775" t="s">
        <v>1575</v>
      </c>
      <c r="J289" s="695"/>
      <c r="K289" s="1624"/>
      <c r="L289" s="338"/>
      <c r="M289" s="465"/>
      <c r="N289" s="458"/>
      <c r="O289" s="1748"/>
      <c r="P289" s="1748"/>
      <c r="AH289" s="1755">
        <v>0</v>
      </c>
    </row>
    <row s="7213" customFormat="1" customHeight="1" ht="0.75" hidden="1">
      <c r="A290" s="1903"/>
      <c r="B290" s="1903"/>
      <c r="C290" s="493" t="s">
        <v>1583</v>
      </c>
      <c r="D290" s="2599"/>
      <c r="E290" s="2341"/>
      <c r="F290" s="2520"/>
      <c r="G290" s="524"/>
      <c r="H290" s="1624"/>
      <c r="I290" s="775"/>
      <c r="J290" s="695"/>
      <c r="K290" s="1624"/>
      <c r="L290" s="338"/>
      <c r="M290" s="465"/>
      <c r="N290" s="458"/>
      <c r="O290" s="1748"/>
      <c r="P290" s="1748"/>
      <c r="AH290" s="1755">
        <v>0</v>
      </c>
    </row>
    <row s="7213" customFormat="1" customHeight="1" ht="18.75" hidden="1">
      <c r="A291" s="1903" t="s">
        <v>311</v>
      </c>
      <c r="B291" s="1903" t="s">
        <v>312</v>
      </c>
      <c r="C291" s="493"/>
      <c r="D291" s="2599"/>
      <c r="E291" s="2341"/>
      <c r="F291" s="2520" t="str">
        <f>INDEX(PT_DIFFERENTIATION_VTAR,MATCH(A291,PT_DIFFERENTIATION_VTAR_ID,0))</f>
        <v>Плата за подключение (технологическое присоединение) к системе теплоснабжения</v>
      </c>
      <c r="G291" s="2564" t="str">
        <f>INDEX(PT_DIFFERENTIATION_NTAR,MATCH(B291,PT_DIFFERENTIATION_NTAR_ID,0))</f>
        <v/>
      </c>
      <c r="H291" s="1983"/>
      <c r="I291" s="1862"/>
      <c r="J291" s="1896"/>
      <c r="K291" s="1901"/>
      <c r="L291" s="1983" t="s">
        <v>418</v>
      </c>
      <c r="M291" s="465"/>
      <c r="N291" s="458"/>
      <c r="O291" s="1748"/>
      <c r="P291" s="1748"/>
      <c r="AH291" s="1755">
        <v>0</v>
      </c>
    </row>
    <row s="7213" customFormat="1" customHeight="1" ht="18.75" hidden="1">
      <c r="A292" s="1903"/>
      <c r="B292" s="1903"/>
      <c r="C292" s="493" t="s">
        <v>1576</v>
      </c>
      <c r="D292" s="2599"/>
      <c r="E292" s="2341"/>
      <c r="F292" s="2520"/>
      <c r="G292" s="2564"/>
      <c r="H292" s="1624"/>
      <c r="I292" s="775" t="s">
        <v>1575</v>
      </c>
      <c r="J292" s="695"/>
      <c r="K292" s="1624"/>
      <c r="L292" s="338"/>
      <c r="M292" s="465"/>
      <c r="N292" s="458"/>
      <c r="O292" s="1748"/>
      <c r="P292" s="1748"/>
      <c r="AH292" s="1755">
        <v>0</v>
      </c>
    </row>
    <row s="7213" customFormat="1" customHeight="1" ht="0.75" hidden="1">
      <c r="A293" s="1903"/>
      <c r="B293" s="1903"/>
      <c r="C293" s="493" t="s">
        <v>1583</v>
      </c>
      <c r="D293" s="2599"/>
      <c r="E293" s="2341"/>
      <c r="F293" s="2520"/>
      <c r="G293" s="524"/>
      <c r="H293" s="1624"/>
      <c r="I293" s="775"/>
      <c r="J293" s="695"/>
      <c r="K293" s="1624"/>
      <c r="L293" s="338"/>
      <c r="M293" s="465"/>
      <c r="N293" s="458"/>
      <c r="O293" s="1748"/>
      <c r="P293" s="1748"/>
      <c r="AH293" s="1755">
        <v>0</v>
      </c>
    </row>
    <row s="7213" customFormat="1" customHeight="1" ht="18.75" hidden="1">
      <c r="A294" s="1903" t="s">
        <v>317</v>
      </c>
      <c r="B294" s="1903" t="s">
        <v>318</v>
      </c>
      <c r="C294" s="493"/>
      <c r="D294" s="2599"/>
      <c r="E294" s="2341"/>
      <c r="F294" s="2520" t="str">
        <f>INDEX(PT_DIFFERENTIATION_VTAR,MATCH(A294,PT_DIFFERENTIATION_VTAR_ID,0))</f>
        <v>Плата за подключение (технологическое присоединение) к системе теплоснабжения (индивидуальная)</v>
      </c>
      <c r="G294" s="2564" t="str">
        <f>INDEX(PT_DIFFERENTIATION_NTAR,MATCH(B294,PT_DIFFERENTIATION_NTAR_ID,0))</f>
        <v/>
      </c>
      <c r="H294" s="2110"/>
      <c r="I294" s="1862"/>
      <c r="J294" s="1896"/>
      <c r="K294" s="1901"/>
      <c r="L294" s="2110" t="s">
        <v>418</v>
      </c>
      <c r="M294" s="465"/>
      <c r="N294" s="458"/>
      <c r="O294" s="1748"/>
      <c r="P294" s="1748"/>
      <c r="AH294" s="1755">
        <v>0</v>
      </c>
    </row>
    <row s="7213" customFormat="1" customHeight="1" ht="18.75" hidden="1">
      <c r="A295" s="1903"/>
      <c r="B295" s="1903"/>
      <c r="C295" s="493" t="s">
        <v>1576</v>
      </c>
      <c r="D295" s="2599"/>
      <c r="E295" s="2341"/>
      <c r="F295" s="2520"/>
      <c r="G295" s="2564"/>
      <c r="H295" s="1624"/>
      <c r="I295" s="775" t="s">
        <v>1575</v>
      </c>
      <c r="J295" s="695"/>
      <c r="K295" s="1624"/>
      <c r="L295" s="338"/>
      <c r="M295" s="465"/>
      <c r="N295" s="458"/>
      <c r="O295" s="1748"/>
      <c r="P295" s="1748"/>
      <c r="AH295" s="1755">
        <v>0</v>
      </c>
    </row>
    <row s="7213" customFormat="1" customHeight="1" ht="0.75" hidden="1">
      <c r="A296" s="1903"/>
      <c r="B296" s="1903"/>
      <c r="C296" s="493" t="s">
        <v>1583</v>
      </c>
      <c r="D296" s="2599"/>
      <c r="E296" s="2341"/>
      <c r="F296" s="2520"/>
      <c r="G296" s="524"/>
      <c r="H296" s="1624"/>
      <c r="I296" s="775"/>
      <c r="J296" s="695"/>
      <c r="K296" s="1624"/>
      <c r="L296" s="338"/>
      <c r="M296" s="465"/>
      <c r="N296" s="458"/>
      <c r="O296" s="1748"/>
      <c r="P296" s="1748"/>
      <c r="AH296" s="1755">
        <v>0</v>
      </c>
    </row>
    <row s="7213" customFormat="1" customHeight="1" ht="18.75" hidden="1">
      <c r="A297" s="1903" t="s">
        <v>337</v>
      </c>
      <c r="B297" s="1903" t="s">
        <v>338</v>
      </c>
      <c r="C297" s="493"/>
      <c r="D297" s="2599"/>
      <c r="E297" s="2341"/>
      <c r="F297" s="2520" t="str">
        <f>INDEX(PT_DIFFERENTIATION_VTAR,MATCH(A297,PT_DIFFERENTIATION_VTAR_ID,0))</f>
        <v>Тариф на питьевую воду (питьевое водоснабжение)</v>
      </c>
      <c r="G297" s="2564" t="str">
        <f>INDEX(PT_DIFFERENTIATION_NTAR,MATCH(B297,PT_DIFFERENTIATION_NTAR_ID,0))</f>
        <v/>
      </c>
      <c r="H297" s="1983"/>
      <c r="I297" s="1862"/>
      <c r="J297" s="1896"/>
      <c r="K297" s="1901"/>
      <c r="L297" s="1983" t="s">
        <v>418</v>
      </c>
      <c r="M297" s="465"/>
      <c r="N297" s="458"/>
      <c r="O297" s="1748"/>
      <c r="P297" s="1748"/>
      <c r="AH297" s="1755">
        <v>0</v>
      </c>
    </row>
    <row s="7213" customFormat="1" customHeight="1" ht="18.75" hidden="1">
      <c r="A298" s="1903"/>
      <c r="B298" s="1903"/>
      <c r="C298" s="493" t="s">
        <v>1576</v>
      </c>
      <c r="D298" s="2599"/>
      <c r="E298" s="2341"/>
      <c r="F298" s="2520"/>
      <c r="G298" s="2564"/>
      <c r="H298" s="1624"/>
      <c r="I298" s="775" t="s">
        <v>1575</v>
      </c>
      <c r="J298" s="695"/>
      <c r="K298" s="1624"/>
      <c r="L298" s="338"/>
      <c r="M298" s="465"/>
      <c r="N298" s="458"/>
      <c r="O298" s="1748"/>
      <c r="P298" s="1748"/>
      <c r="AH298" s="1755">
        <v>0</v>
      </c>
    </row>
    <row s="7213" customFormat="1" customHeight="1" ht="0.75" hidden="1">
      <c r="A299" s="1903"/>
      <c r="B299" s="1903"/>
      <c r="C299" s="493" t="s">
        <v>1583</v>
      </c>
      <c r="D299" s="2599"/>
      <c r="E299" s="2341"/>
      <c r="F299" s="2520"/>
      <c r="G299" s="524"/>
      <c r="H299" s="1624"/>
      <c r="I299" s="775"/>
      <c r="J299" s="695"/>
      <c r="K299" s="1624"/>
      <c r="L299" s="338"/>
      <c r="M299" s="465"/>
      <c r="N299" s="458"/>
      <c r="O299" s="1748"/>
      <c r="P299" s="1748"/>
      <c r="AH299" s="1755">
        <v>0</v>
      </c>
    </row>
    <row s="7213" customFormat="1" customHeight="1" ht="18.75" hidden="1">
      <c r="A300" s="1903" t="s">
        <v>342</v>
      </c>
      <c r="B300" s="1903" t="s">
        <v>343</v>
      </c>
      <c r="C300" s="493"/>
      <c r="D300" s="2599"/>
      <c r="E300" s="2341"/>
      <c r="F300" s="2520" t="str">
        <f>INDEX(PT_DIFFERENTIATION_VTAR,MATCH(A300,PT_DIFFERENTIATION_VTAR_ID,0))</f>
        <v>Тариф на техническую воду</v>
      </c>
      <c r="G300" s="2564" t="str">
        <f>INDEX(PT_DIFFERENTIATION_NTAR,MATCH(B300,PT_DIFFERENTIATION_NTAR_ID,0))</f>
        <v/>
      </c>
      <c r="H300" s="1983"/>
      <c r="I300" s="1862"/>
      <c r="J300" s="1896"/>
      <c r="K300" s="1901"/>
      <c r="L300" s="1983" t="s">
        <v>418</v>
      </c>
      <c r="M300" s="465"/>
      <c r="N300" s="458"/>
      <c r="O300" s="1748"/>
      <c r="P300" s="1748"/>
      <c r="AH300" s="1755">
        <v>0</v>
      </c>
    </row>
    <row s="7213" customFormat="1" customHeight="1" ht="18.75" hidden="1">
      <c r="A301" s="1903"/>
      <c r="B301" s="1903"/>
      <c r="C301" s="493" t="s">
        <v>1576</v>
      </c>
      <c r="D301" s="2599"/>
      <c r="E301" s="2341"/>
      <c r="F301" s="2520"/>
      <c r="G301" s="2564"/>
      <c r="H301" s="1624"/>
      <c r="I301" s="775" t="s">
        <v>1575</v>
      </c>
      <c r="J301" s="695"/>
      <c r="K301" s="1624"/>
      <c r="L301" s="338"/>
      <c r="M301" s="465"/>
      <c r="N301" s="458"/>
      <c r="O301" s="1748"/>
      <c r="P301" s="1748"/>
      <c r="AH301" s="1755">
        <v>0</v>
      </c>
    </row>
    <row s="7213" customFormat="1" customHeight="1" ht="0.75" hidden="1">
      <c r="A302" s="1903"/>
      <c r="B302" s="1903"/>
      <c r="C302" s="493" t="s">
        <v>1583</v>
      </c>
      <c r="D302" s="2599"/>
      <c r="E302" s="2341"/>
      <c r="F302" s="2520"/>
      <c r="G302" s="524"/>
      <c r="H302" s="1624"/>
      <c r="I302" s="775"/>
      <c r="J302" s="695"/>
      <c r="K302" s="1624"/>
      <c r="L302" s="338"/>
      <c r="M302" s="465"/>
      <c r="N302" s="458"/>
      <c r="O302" s="1748"/>
      <c r="P302" s="1748"/>
      <c r="AH302" s="1755">
        <v>0</v>
      </c>
    </row>
    <row s="7213" customFormat="1" customHeight="1" ht="18.75" hidden="1">
      <c r="A303" s="1903" t="s">
        <v>347</v>
      </c>
      <c r="B303" s="1903" t="s">
        <v>348</v>
      </c>
      <c r="C303" s="493"/>
      <c r="D303" s="2599"/>
      <c r="E303" s="2341"/>
      <c r="F303" s="2520" t="str">
        <f>INDEX(PT_DIFFERENTIATION_VTAR,MATCH(A303,PT_DIFFERENTIATION_VTAR_ID,0))</f>
        <v>Тариф на транспортировку воды</v>
      </c>
      <c r="G303" s="2564" t="str">
        <f>INDEX(PT_DIFFERENTIATION_NTAR,MATCH(B303,PT_DIFFERENTIATION_NTAR_ID,0))</f>
        <v/>
      </c>
      <c r="H303" s="1983"/>
      <c r="I303" s="1862"/>
      <c r="J303" s="1896"/>
      <c r="K303" s="1901"/>
      <c r="L303" s="1983" t="s">
        <v>418</v>
      </c>
      <c r="M303" s="465"/>
      <c r="N303" s="458"/>
      <c r="O303" s="1748"/>
      <c r="P303" s="1748"/>
      <c r="AH303" s="1755">
        <v>0</v>
      </c>
    </row>
    <row s="7213" customFormat="1" customHeight="1" ht="18.75" hidden="1">
      <c r="A304" s="1903"/>
      <c r="B304" s="1903"/>
      <c r="C304" s="493" t="s">
        <v>1576</v>
      </c>
      <c r="D304" s="2599"/>
      <c r="E304" s="2341"/>
      <c r="F304" s="2520"/>
      <c r="G304" s="2564"/>
      <c r="H304" s="1624"/>
      <c r="I304" s="775" t="s">
        <v>1575</v>
      </c>
      <c r="J304" s="695"/>
      <c r="K304" s="1624"/>
      <c r="L304" s="338"/>
      <c r="M304" s="465"/>
      <c r="N304" s="458"/>
      <c r="O304" s="1748"/>
      <c r="P304" s="1748"/>
      <c r="AH304" s="1755">
        <v>0</v>
      </c>
    </row>
    <row s="7213" customFormat="1" customHeight="1" ht="0.75" hidden="1">
      <c r="A305" s="1903"/>
      <c r="B305" s="1903"/>
      <c r="C305" s="493" t="s">
        <v>1583</v>
      </c>
      <c r="D305" s="2599"/>
      <c r="E305" s="2341"/>
      <c r="F305" s="2520"/>
      <c r="G305" s="524"/>
      <c r="H305" s="1624"/>
      <c r="I305" s="775"/>
      <c r="J305" s="695"/>
      <c r="K305" s="1624"/>
      <c r="L305" s="338"/>
      <c r="M305" s="465"/>
      <c r="N305" s="458"/>
      <c r="O305" s="1748"/>
      <c r="P305" s="1748"/>
      <c r="AH305" s="1755">
        <v>0</v>
      </c>
    </row>
    <row s="7213" customFormat="1" customHeight="1" ht="18.75" hidden="1">
      <c r="A306" s="1903" t="s">
        <v>352</v>
      </c>
      <c r="B306" s="1903" t="s">
        <v>353</v>
      </c>
      <c r="C306" s="493"/>
      <c r="D306" s="2599"/>
      <c r="E306" s="2341"/>
      <c r="F306" s="2520" t="str">
        <f>INDEX(PT_DIFFERENTIATION_VTAR,MATCH(A306,PT_DIFFERENTIATION_VTAR_ID,0))</f>
        <v>Тариф на подвоз воды</v>
      </c>
      <c r="G306" s="2564" t="str">
        <f>INDEX(PT_DIFFERENTIATION_NTAR,MATCH(B306,PT_DIFFERENTIATION_NTAR_ID,0))</f>
        <v/>
      </c>
      <c r="H306" s="1983"/>
      <c r="I306" s="1862"/>
      <c r="J306" s="1896"/>
      <c r="K306" s="1901"/>
      <c r="L306" s="1983" t="s">
        <v>418</v>
      </c>
      <c r="M306" s="465"/>
      <c r="N306" s="458"/>
      <c r="O306" s="1748"/>
      <c r="P306" s="1748"/>
      <c r="AH306" s="1755">
        <v>0</v>
      </c>
    </row>
    <row s="7213" customFormat="1" customHeight="1" ht="18.75" hidden="1">
      <c r="A307" s="1903"/>
      <c r="B307" s="1903"/>
      <c r="C307" s="493" t="s">
        <v>1576</v>
      </c>
      <c r="D307" s="2599"/>
      <c r="E307" s="2341"/>
      <c r="F307" s="2520"/>
      <c r="G307" s="2564"/>
      <c r="H307" s="1624"/>
      <c r="I307" s="775" t="s">
        <v>1575</v>
      </c>
      <c r="J307" s="695"/>
      <c r="K307" s="1624"/>
      <c r="L307" s="338"/>
      <c r="M307" s="465"/>
      <c r="N307" s="458"/>
      <c r="O307" s="1748"/>
      <c r="P307" s="1748"/>
      <c r="AH307" s="1755">
        <v>0</v>
      </c>
    </row>
    <row s="7213" customFormat="1" customHeight="1" ht="0.75" hidden="1">
      <c r="A308" s="1903"/>
      <c r="B308" s="1903"/>
      <c r="C308" s="493" t="s">
        <v>1583</v>
      </c>
      <c r="D308" s="2599"/>
      <c r="E308" s="2341"/>
      <c r="F308" s="2520"/>
      <c r="G308" s="524"/>
      <c r="H308" s="1624"/>
      <c r="I308" s="775"/>
      <c r="J308" s="695"/>
      <c r="K308" s="1624"/>
      <c r="L308" s="338"/>
      <c r="M308" s="465"/>
      <c r="N308" s="458"/>
      <c r="O308" s="1748"/>
      <c r="P308" s="1748"/>
      <c r="AH308" s="1755">
        <v>0</v>
      </c>
    </row>
    <row s="7213" customFormat="1" customHeight="1" ht="18.75" hidden="1">
      <c r="A309" s="1903" t="s">
        <v>357</v>
      </c>
      <c r="B309" s="1903" t="s">
        <v>358</v>
      </c>
      <c r="C309" s="493"/>
      <c r="D309" s="2599"/>
      <c r="E309" s="2341"/>
      <c r="F309" s="25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4" t="str">
        <f>INDEX(PT_DIFFERENTIATION_NTAR,MATCH(B309,PT_DIFFERENTIATION_NTAR_ID,0))</f>
        <v/>
      </c>
      <c r="H309" s="1983"/>
      <c r="I309" s="1862"/>
      <c r="J309" s="1896"/>
      <c r="K309" s="1901"/>
      <c r="L309" s="1983" t="s">
        <v>418</v>
      </c>
      <c r="M309" s="465"/>
      <c r="N309" s="458"/>
      <c r="O309" s="1748"/>
      <c r="P309" s="1748"/>
      <c r="AH309" s="1755">
        <v>0</v>
      </c>
    </row>
    <row s="7213" customFormat="1" customHeight="1" ht="18.75" hidden="1">
      <c r="A310" s="1903"/>
      <c r="B310" s="1903"/>
      <c r="C310" s="493" t="s">
        <v>1576</v>
      </c>
      <c r="D310" s="2599"/>
      <c r="E310" s="2341"/>
      <c r="F310" s="2520"/>
      <c r="G310" s="2564"/>
      <c r="H310" s="1624"/>
      <c r="I310" s="775" t="s">
        <v>1575</v>
      </c>
      <c r="J310" s="695"/>
      <c r="K310" s="1624"/>
      <c r="L310" s="338"/>
      <c r="M310" s="465"/>
      <c r="N310" s="458"/>
      <c r="O310" s="1748"/>
      <c r="P310" s="1748"/>
      <c r="AH310" s="1755">
        <v>0</v>
      </c>
    </row>
    <row s="7213" customFormat="1" customHeight="1" ht="0.75" hidden="1">
      <c r="A311" s="1903"/>
      <c r="B311" s="1903"/>
      <c r="C311" s="493" t="s">
        <v>1583</v>
      </c>
      <c r="D311" s="2599"/>
      <c r="E311" s="2341"/>
      <c r="F311" s="2520"/>
      <c r="G311" s="524"/>
      <c r="H311" s="1624"/>
      <c r="I311" s="775"/>
      <c r="J311" s="695"/>
      <c r="K311" s="1624"/>
      <c r="L311" s="338"/>
      <c r="M311" s="465"/>
      <c r="N311" s="458"/>
      <c r="O311" s="1748"/>
      <c r="P311" s="1748"/>
      <c r="AH311" s="1755">
        <v>0</v>
      </c>
    </row>
    <row s="7213" customFormat="1" customHeight="1" ht="18.75" hidden="1">
      <c r="A312" s="1903" t="s">
        <v>362</v>
      </c>
      <c r="B312" s="1903" t="s">
        <v>363</v>
      </c>
      <c r="C312" s="493"/>
      <c r="D312" s="2599"/>
      <c r="E312" s="2341"/>
      <c r="F312" s="2520" t="str">
        <f>INDEX(PT_DIFFERENTIATION_VTAR,MATCH(A312,PT_DIFFERENTIATION_VTAR_ID,0))</f>
        <v>Тариф на горячую воду (горячее водоснабжение)</v>
      </c>
      <c r="G312" s="2564" t="str">
        <f>INDEX(PT_DIFFERENTIATION_NTAR,MATCH(B312,PT_DIFFERENTIATION_NTAR_ID,0))</f>
        <v/>
      </c>
      <c r="H312" s="1983"/>
      <c r="I312" s="1862"/>
      <c r="J312" s="1896"/>
      <c r="K312" s="1901"/>
      <c r="L312" s="1983" t="s">
        <v>418</v>
      </c>
      <c r="M312" s="465"/>
      <c r="N312" s="458"/>
      <c r="O312" s="1748"/>
      <c r="P312" s="1748"/>
      <c r="AH312" s="1755">
        <v>0</v>
      </c>
    </row>
    <row s="7213" customFormat="1" customHeight="1" ht="18.75" hidden="1">
      <c r="A313" s="1903"/>
      <c r="B313" s="1903"/>
      <c r="C313" s="493" t="s">
        <v>1576</v>
      </c>
      <c r="D313" s="2599"/>
      <c r="E313" s="2341"/>
      <c r="F313" s="2520"/>
      <c r="G313" s="2564"/>
      <c r="H313" s="1624"/>
      <c r="I313" s="775" t="s">
        <v>1575</v>
      </c>
      <c r="J313" s="695"/>
      <c r="K313" s="1624"/>
      <c r="L313" s="338"/>
      <c r="M313" s="465"/>
      <c r="N313" s="458"/>
      <c r="O313" s="1748"/>
      <c r="P313" s="1748"/>
      <c r="AH313" s="1755">
        <v>0</v>
      </c>
    </row>
    <row s="7213" customFormat="1" customHeight="1" ht="0.75" hidden="1">
      <c r="A314" s="1903"/>
      <c r="B314" s="1903"/>
      <c r="C314" s="493" t="s">
        <v>1583</v>
      </c>
      <c r="D314" s="2599"/>
      <c r="E314" s="2341"/>
      <c r="F314" s="2520"/>
      <c r="G314" s="524"/>
      <c r="H314" s="1624"/>
      <c r="I314" s="775"/>
      <c r="J314" s="695"/>
      <c r="K314" s="1624"/>
      <c r="L314" s="338"/>
      <c r="M314" s="465"/>
      <c r="N314" s="458"/>
      <c r="O314" s="1748"/>
      <c r="P314" s="1748"/>
      <c r="AH314" s="1755">
        <v>0</v>
      </c>
    </row>
    <row s="7213" customFormat="1" customHeight="1" ht="18.75" hidden="1">
      <c r="A315" s="1903" t="s">
        <v>367</v>
      </c>
      <c r="B315" s="1903" t="s">
        <v>368</v>
      </c>
      <c r="C315" s="493"/>
      <c r="D315" s="2599"/>
      <c r="E315" s="2341"/>
      <c r="F315" s="2520" t="str">
        <f>INDEX(PT_DIFFERENTIATION_VTAR,MATCH(A315,PT_DIFFERENTIATION_VTAR_ID,0))</f>
        <v>Тариф на транспортировку горячей воды</v>
      </c>
      <c r="G315" s="2564" t="str">
        <f>INDEX(PT_DIFFERENTIATION_NTAR,MATCH(B315,PT_DIFFERENTIATION_NTAR_ID,0))</f>
        <v/>
      </c>
      <c r="H315" s="1983"/>
      <c r="I315" s="1862"/>
      <c r="J315" s="1896"/>
      <c r="K315" s="1901"/>
      <c r="L315" s="1983" t="s">
        <v>418</v>
      </c>
      <c r="M315" s="465"/>
      <c r="N315" s="458"/>
      <c r="O315" s="1748"/>
      <c r="P315" s="1748"/>
      <c r="AH315" s="1755">
        <v>0</v>
      </c>
    </row>
    <row s="7213" customFormat="1" customHeight="1" ht="18.75" hidden="1">
      <c r="A316" s="1903"/>
      <c r="B316" s="1903"/>
      <c r="C316" s="493" t="s">
        <v>1576</v>
      </c>
      <c r="D316" s="2599"/>
      <c r="E316" s="2341"/>
      <c r="F316" s="2520"/>
      <c r="G316" s="2564"/>
      <c r="H316" s="1624"/>
      <c r="I316" s="775" t="s">
        <v>1575</v>
      </c>
      <c r="J316" s="695"/>
      <c r="K316" s="1624"/>
      <c r="L316" s="338"/>
      <c r="M316" s="465"/>
      <c r="N316" s="458"/>
      <c r="O316" s="1748"/>
      <c r="P316" s="1748"/>
      <c r="AH316" s="1755">
        <v>0</v>
      </c>
    </row>
    <row s="7213" customFormat="1" customHeight="1" ht="0.75" hidden="1">
      <c r="A317" s="1903"/>
      <c r="B317" s="1903"/>
      <c r="C317" s="493" t="s">
        <v>1583</v>
      </c>
      <c r="D317" s="2599"/>
      <c r="E317" s="2341"/>
      <c r="F317" s="2520"/>
      <c r="G317" s="524"/>
      <c r="H317" s="1624"/>
      <c r="I317" s="775"/>
      <c r="J317" s="695"/>
      <c r="K317" s="1624"/>
      <c r="L317" s="338"/>
      <c r="M317" s="465"/>
      <c r="N317" s="458"/>
      <c r="O317" s="1748"/>
      <c r="P317" s="1748"/>
      <c r="AH317" s="1755">
        <v>0</v>
      </c>
    </row>
    <row s="7213" customFormat="1" customHeight="1" ht="18.75" hidden="1">
      <c r="A318" s="1903" t="s">
        <v>372</v>
      </c>
      <c r="B318" s="1903" t="s">
        <v>373</v>
      </c>
      <c r="C318" s="493"/>
      <c r="D318" s="2599"/>
      <c r="E318" s="2341"/>
      <c r="F318" s="25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4" t="str">
        <f>INDEX(PT_DIFFERENTIATION_NTAR,MATCH(B318,PT_DIFFERENTIATION_NTAR_ID,0))</f>
        <v/>
      </c>
      <c r="H318" s="1983"/>
      <c r="I318" s="1862"/>
      <c r="J318" s="1896"/>
      <c r="K318" s="1901"/>
      <c r="L318" s="1983" t="s">
        <v>418</v>
      </c>
      <c r="M318" s="465"/>
      <c r="N318" s="458"/>
      <c r="O318" s="1748"/>
      <c r="P318" s="1748"/>
      <c r="AH318" s="1755">
        <v>0</v>
      </c>
    </row>
    <row s="7213" customFormat="1" customHeight="1" ht="18.75" hidden="1">
      <c r="A319" s="1903"/>
      <c r="B319" s="1903"/>
      <c r="C319" s="493" t="s">
        <v>1576</v>
      </c>
      <c r="D319" s="2599"/>
      <c r="E319" s="2341"/>
      <c r="F319" s="2520"/>
      <c r="G319" s="2564"/>
      <c r="H319" s="1624"/>
      <c r="I319" s="775" t="s">
        <v>1575</v>
      </c>
      <c r="J319" s="695"/>
      <c r="K319" s="1624"/>
      <c r="L319" s="338"/>
      <c r="M319" s="465"/>
      <c r="N319" s="458"/>
      <c r="O319" s="1748"/>
      <c r="P319" s="1748"/>
      <c r="AH319" s="1755">
        <v>0</v>
      </c>
    </row>
    <row s="7213" customFormat="1" customHeight="1" ht="0.75" hidden="1">
      <c r="A320" s="1903"/>
      <c r="B320" s="1903"/>
      <c r="C320" s="493" t="s">
        <v>1583</v>
      </c>
      <c r="D320" s="2599"/>
      <c r="E320" s="2341"/>
      <c r="F320" s="2520"/>
      <c r="G320" s="524"/>
      <c r="H320" s="1624"/>
      <c r="I320" s="775"/>
      <c r="J320" s="695"/>
      <c r="K320" s="1624"/>
      <c r="L320" s="338"/>
      <c r="M320" s="465"/>
      <c r="N320" s="458"/>
      <c r="O320" s="1748"/>
      <c r="P320" s="1748"/>
      <c r="AH320" s="1755">
        <v>0</v>
      </c>
    </row>
    <row s="7213" customFormat="1" customHeight="1" ht="18.75" hidden="1">
      <c r="A321" s="1903" t="s">
        <v>377</v>
      </c>
      <c r="B321" s="1903" t="s">
        <v>378</v>
      </c>
      <c r="C321" s="493"/>
      <c r="D321" s="2599"/>
      <c r="E321" s="2341"/>
      <c r="F321" s="2520" t="str">
        <f>INDEX(PT_DIFFERENTIATION_VTAR,MATCH(A321,PT_DIFFERENTIATION_VTAR_ID,0))</f>
        <v>Тариф на водоотведение</v>
      </c>
      <c r="G321" s="2564" t="str">
        <f>INDEX(PT_DIFFERENTIATION_NTAR,MATCH(B321,PT_DIFFERENTIATION_NTAR_ID,0))</f>
        <v/>
      </c>
      <c r="H321" s="1983"/>
      <c r="I321" s="1862"/>
      <c r="J321" s="1896"/>
      <c r="K321" s="1901"/>
      <c r="L321" s="1983" t="s">
        <v>418</v>
      </c>
      <c r="M321" s="465"/>
      <c r="N321" s="458"/>
      <c r="O321" s="1748"/>
      <c r="P321" s="1748"/>
      <c r="AH321" s="1755">
        <v>0</v>
      </c>
    </row>
    <row s="7213" customFormat="1" customHeight="1" ht="18.75" hidden="1">
      <c r="A322" s="1903"/>
      <c r="B322" s="1903"/>
      <c r="C322" s="493" t="s">
        <v>1576</v>
      </c>
      <c r="D322" s="2599"/>
      <c r="E322" s="2341"/>
      <c r="F322" s="2520"/>
      <c r="G322" s="2564"/>
      <c r="H322" s="1624"/>
      <c r="I322" s="775" t="s">
        <v>1575</v>
      </c>
      <c r="J322" s="695"/>
      <c r="K322" s="1624"/>
      <c r="L322" s="338"/>
      <c r="M322" s="465"/>
      <c r="N322" s="458"/>
      <c r="O322" s="1748"/>
      <c r="P322" s="1748"/>
      <c r="AH322" s="1755">
        <v>0</v>
      </c>
    </row>
    <row s="7213" customFormat="1" customHeight="1" ht="0.75" hidden="1">
      <c r="A323" s="1903"/>
      <c r="B323" s="1903"/>
      <c r="C323" s="493" t="s">
        <v>1583</v>
      </c>
      <c r="D323" s="2599"/>
      <c r="E323" s="2341"/>
      <c r="F323" s="2520"/>
      <c r="G323" s="524"/>
      <c r="H323" s="1624"/>
      <c r="I323" s="775"/>
      <c r="J323" s="695"/>
      <c r="K323" s="1624"/>
      <c r="L323" s="338"/>
      <c r="M323" s="465"/>
      <c r="N323" s="458"/>
      <c r="O323" s="1748"/>
      <c r="P323" s="1748"/>
      <c r="AH323" s="1755">
        <v>0</v>
      </c>
    </row>
    <row s="7213" customFormat="1" customHeight="1" ht="18.75" hidden="1">
      <c r="A324" s="1903" t="s">
        <v>382</v>
      </c>
      <c r="B324" s="1903" t="s">
        <v>383</v>
      </c>
      <c r="C324" s="493"/>
      <c r="D324" s="2599"/>
      <c r="E324" s="2341"/>
      <c r="F324" s="2520" t="str">
        <f>INDEX(PT_DIFFERENTIATION_VTAR,MATCH(A324,PT_DIFFERENTIATION_VTAR_ID,0))</f>
        <v>Тариф на транспортировку сточных вод</v>
      </c>
      <c r="G324" s="2564" t="str">
        <f>INDEX(PT_DIFFERENTIATION_NTAR,MATCH(B324,PT_DIFFERENTIATION_NTAR_ID,0))</f>
        <v/>
      </c>
      <c r="H324" s="1983"/>
      <c r="I324" s="1862"/>
      <c r="J324" s="1896"/>
      <c r="K324" s="1901"/>
      <c r="L324" s="1983" t="s">
        <v>418</v>
      </c>
      <c r="M324" s="465"/>
      <c r="N324" s="458"/>
      <c r="O324" s="1748"/>
      <c r="P324" s="1748"/>
      <c r="AH324" s="1755">
        <v>0</v>
      </c>
    </row>
    <row s="7213" customFormat="1" customHeight="1" ht="18.75" hidden="1">
      <c r="A325" s="1903"/>
      <c r="B325" s="1903"/>
      <c r="C325" s="493" t="s">
        <v>1576</v>
      </c>
      <c r="D325" s="2599"/>
      <c r="E325" s="2341"/>
      <c r="F325" s="2520"/>
      <c r="G325" s="2564"/>
      <c r="H325" s="1624"/>
      <c r="I325" s="775" t="s">
        <v>1575</v>
      </c>
      <c r="J325" s="695"/>
      <c r="K325" s="1624"/>
      <c r="L325" s="338"/>
      <c r="M325" s="465"/>
      <c r="N325" s="458"/>
      <c r="O325" s="1748"/>
      <c r="P325" s="1748"/>
      <c r="AH325" s="1755">
        <v>0</v>
      </c>
    </row>
    <row s="7213" customFormat="1" customHeight="1" ht="0.75" hidden="1">
      <c r="A326" s="1903"/>
      <c r="B326" s="1903"/>
      <c r="C326" s="493" t="s">
        <v>1583</v>
      </c>
      <c r="D326" s="2599"/>
      <c r="E326" s="2341"/>
      <c r="F326" s="2520"/>
      <c r="G326" s="524"/>
      <c r="H326" s="1624"/>
      <c r="I326" s="775"/>
      <c r="J326" s="695"/>
      <c r="K326" s="1624"/>
      <c r="L326" s="338"/>
      <c r="M326" s="465"/>
      <c r="N326" s="458"/>
      <c r="O326" s="1748"/>
      <c r="P326" s="1748"/>
      <c r="AH326" s="1755">
        <v>0</v>
      </c>
    </row>
    <row s="7213" customFormat="1" customHeight="1" ht="18.75" hidden="1">
      <c r="A327" s="1903" t="s">
        <v>387</v>
      </c>
      <c r="B327" s="1903" t="s">
        <v>388</v>
      </c>
      <c r="C327" s="493"/>
      <c r="D327" s="2599"/>
      <c r="E327" s="2341"/>
      <c r="F327" s="2520" t="str">
        <f>INDEX(PT_DIFFERENTIATION_VTAR,MATCH(A327,PT_DIFFERENTIATION_VTAR_ID,0))</f>
        <v>Тариф на подключение (технологическое присоединение) к централизованной системе водоотведения</v>
      </c>
      <c r="G327" s="2564" t="str">
        <f>INDEX(PT_DIFFERENTIATION_NTAR,MATCH(B327,PT_DIFFERENTIATION_NTAR_ID,0))</f>
        <v/>
      </c>
      <c r="H327" s="1983"/>
      <c r="I327" s="1862"/>
      <c r="J327" s="1896"/>
      <c r="K327" s="1901"/>
      <c r="L327" s="1983" t="s">
        <v>418</v>
      </c>
      <c r="M327" s="465"/>
      <c r="N327" s="458"/>
      <c r="O327" s="1748"/>
      <c r="P327" s="1748"/>
      <c r="AH327" s="1755">
        <v>0</v>
      </c>
    </row>
    <row s="7213" customFormat="1" customHeight="1" ht="18.75" hidden="1">
      <c r="A328" s="1903"/>
      <c r="B328" s="1903"/>
      <c r="C328" s="493" t="s">
        <v>1576</v>
      </c>
      <c r="D328" s="2599"/>
      <c r="E328" s="2341"/>
      <c r="F328" s="2520"/>
      <c r="G328" s="2564"/>
      <c r="H328" s="1624"/>
      <c r="I328" s="775" t="s">
        <v>1575</v>
      </c>
      <c r="J328" s="695"/>
      <c r="K328" s="1624"/>
      <c r="L328" s="338"/>
      <c r="M328" s="465"/>
      <c r="N328" s="458"/>
      <c r="O328" s="1748"/>
      <c r="P328" s="1748"/>
      <c r="AH328" s="1755">
        <v>0</v>
      </c>
    </row>
    <row s="7213" customFormat="1" customHeight="1" ht="1.05">
      <c r="A329" s="1903"/>
      <c r="B329" s="1903"/>
      <c r="C329" s="493" t="s">
        <v>1583</v>
      </c>
      <c r="D329" s="2599"/>
      <c r="E329" s="2341"/>
      <c r="F329" s="2520"/>
      <c r="G329" s="524"/>
      <c r="H329" s="1624"/>
      <c r="I329" s="775"/>
      <c r="J329" s="695"/>
      <c r="K329" s="1624"/>
      <c r="L329" s="338"/>
      <c r="M329" s="465"/>
      <c r="N329" s="458"/>
      <c r="O329" s="1748"/>
      <c r="P329" s="1748"/>
      <c r="AH329" s="1755">
        <v>1</v>
      </c>
    </row>
    <row s="7689" customFormat="1" customHeight="1" ht="3">
      <c r="A330" s="1903"/>
      <c r="B330" s="1903"/>
      <c r="C330" s="1904"/>
      <c r="E330" s="526"/>
      <c r="F330" s="526"/>
      <c r="G330" s="526"/>
      <c r="H330" s="526"/>
      <c r="I330" s="526"/>
      <c r="J330" s="526"/>
      <c r="K330" s="526"/>
      <c r="L330" s="526"/>
      <c r="M330" s="526"/>
      <c r="O330" s="320"/>
      <c r="P330" s="320"/>
      <c r="AH330" s="264">
        <v>3</v>
      </c>
    </row>
    <row customHeight="1" ht="26.25">
      <c r="E331" s="326"/>
      <c r="F331" s="2422"/>
      <c r="G331" s="2422"/>
      <c r="H331" s="2422"/>
      <c r="I331" s="2422"/>
      <c r="J331" s="2422"/>
      <c r="K331" s="2422"/>
      <c r="L331" s="2422"/>
      <c r="M331" s="2422"/>
      <c r="AH331" s="498">
        <v>25</v>
      </c>
    </row>
    <row customHeight="1" ht="14.25" hidden="1">
      <c r="A332" s="1902" t="s">
        <v>82</v>
      </c>
      <c r="B332" s="1902">
        <v>0</v>
      </c>
      <c r="C332" s="493">
        <v>0</v>
      </c>
      <c r="D332" s="468">
        <v>3</v>
      </c>
      <c r="E332" s="498">
        <v>6</v>
      </c>
      <c r="F332" s="498">
        <v>46</v>
      </c>
      <c r="G332" s="498">
        <v>35</v>
      </c>
      <c r="H332" s="498">
        <v>3</v>
      </c>
      <c r="I332" s="498">
        <v>11</v>
      </c>
      <c r="J332" s="498">
        <v>11</v>
      </c>
      <c r="K332" s="498">
        <v>35</v>
      </c>
      <c r="L332" s="498">
        <v>35</v>
      </c>
      <c r="M332" s="498">
        <v>84</v>
      </c>
      <c r="N332" s="498">
        <v>10</v>
      </c>
      <c r="O332" s="474">
        <v>10</v>
      </c>
      <c r="P332" s="474">
        <v>10</v>
      </c>
      <c r="Q332" s="498">
        <v>10</v>
      </c>
      <c r="R332" s="498">
        <v>10</v>
      </c>
      <c r="S332" s="498">
        <v>10</v>
      </c>
      <c r="T332" s="498">
        <v>10</v>
      </c>
      <c r="U332" s="498">
        <v>10</v>
      </c>
      <c r="V332" s="498">
        <v>10</v>
      </c>
      <c r="W332" s="498">
        <v>10</v>
      </c>
      <c r="X332" s="498">
        <v>10</v>
      </c>
      <c r="Y332" s="498">
        <v>10</v>
      </c>
      <c r="Z332" s="498">
        <v>10</v>
      </c>
      <c r="AA332" s="498">
        <v>10</v>
      </c>
      <c r="AB332" s="498">
        <v>10</v>
      </c>
      <c r="AC332" s="498">
        <v>10</v>
      </c>
      <c r="AD332" s="498">
        <v>10</v>
      </c>
      <c r="AE332" s="498">
        <v>10</v>
      </c>
      <c r="AF332" s="498">
        <v>10</v>
      </c>
      <c r="AG332" s="498">
        <v>10</v>
      </c>
      <c r="AH332" s="49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47DA08-7B78-DC88-94C8-4EBF4DDD5C5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7916" width="9.140625" hidden="1" customWidth="1"/>
    <col min="2" max="2" style="7158" width="9.140625" hidden="1" customWidth="1"/>
    <col min="3" max="3" style="7183" width="3.00390625" customWidth="1"/>
    <col min="4" max="4" style="7213" width="6.00390625" customWidth="1"/>
    <col min="5" max="5" style="7213" width="53.00390625" customWidth="1"/>
    <col min="6" max="7" style="7213" width="35.00390625" customWidth="1"/>
    <col min="8" max="8" style="7213" width="89.00390625" customWidth="1"/>
    <col min="9" max="9" style="7213" width="10.00390625" customWidth="1"/>
    <col min="10" max="11" style="7161" width="10.00390625" customWidth="1"/>
    <col min="12" max="17" style="7213" width="10.00390625" customWidth="1"/>
    <col min="18" max="18" style="7213" width="10.57421875" hidden="1"/>
  </cols>
  <sheetData>
    <row customHeight="1" ht="22.5" hidden="1">
      <c r="N1" s="379"/>
      <c r="O1" s="379"/>
      <c r="Q1" s="379"/>
      <c r="R1" s="498" t="s">
        <v>14</v>
      </c>
    </row>
    <row s="7213" customFormat="1" customHeight="1" ht="18.75" hidden="1">
      <c r="A2" s="226"/>
      <c r="B2" s="1284"/>
      <c r="C2" s="1853" t="s">
        <v>103</v>
      </c>
      <c r="D2" s="1796"/>
      <c r="E2" s="1805"/>
      <c r="F2" s="381"/>
      <c r="G2" s="1285"/>
      <c r="H2" s="498"/>
      <c r="I2" s="1748"/>
      <c r="J2" s="1748"/>
      <c r="R2" s="1755">
        <v>0</v>
      </c>
    </row>
    <row customHeight="1" ht="14.25" hidden="1">
      <c r="R3" s="498">
        <v>0</v>
      </c>
    </row>
    <row customHeight="1" ht="6.3">
      <c r="C4" s="500"/>
      <c r="D4" s="487"/>
      <c r="E4" s="487"/>
      <c r="F4" s="487"/>
      <c r="G4" s="209"/>
      <c r="H4" s="209"/>
      <c r="R4" s="498">
        <v>6</v>
      </c>
    </row>
    <row customHeight="1" ht="34.5">
      <c r="C5" s="500"/>
      <c r="D5" s="259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92"/>
      <c r="F5" s="2592"/>
      <c r="G5" s="2593"/>
      <c r="H5" s="390"/>
      <c r="R5" s="498">
        <v>33</v>
      </c>
    </row>
    <row s="7213" customFormat="1" customHeight="1" ht="18">
      <c r="A6" s="1792"/>
      <c r="B6" s="1284"/>
      <c r="C6" s="500"/>
      <c r="D6" s="2594" t="str">
        <f>IF(org=0,"Не определено",org)</f>
        <v>ООО "СамРЭК-Эксплуатация"</v>
      </c>
      <c r="E6" s="2595"/>
      <c r="F6" s="2595"/>
      <c r="G6" s="2596"/>
      <c r="H6" s="390"/>
      <c r="J6" s="1748"/>
      <c r="K6" s="1748"/>
      <c r="R6" s="1755">
        <v>17</v>
      </c>
    </row>
    <row customHeight="1" ht="14.699999999999998">
      <c r="C7" s="500"/>
      <c r="D7" s="487"/>
      <c r="E7" s="513"/>
      <c r="F7" s="513"/>
      <c r="G7" s="876"/>
      <c r="H7" s="317"/>
      <c r="R7" s="498">
        <v>14</v>
      </c>
    </row>
    <row customHeight="1" ht="14.699999999999998">
      <c r="C8" s="500"/>
      <c r="D8" s="2346" t="s">
        <v>412</v>
      </c>
      <c r="E8" s="2346"/>
      <c r="F8" s="2346"/>
      <c r="G8" s="2346"/>
      <c r="H8" s="2526" t="s">
        <v>413</v>
      </c>
      <c r="R8" s="498">
        <v>14</v>
      </c>
    </row>
    <row customHeight="1" ht="24">
      <c r="C9" s="500"/>
      <c r="D9" s="510" t="s">
        <v>88</v>
      </c>
      <c r="E9" s="232" t="s">
        <v>414</v>
      </c>
      <c r="F9" s="232" t="s">
        <v>415</v>
      </c>
      <c r="G9" s="232" t="s">
        <v>502</v>
      </c>
      <c r="H9" s="2526"/>
      <c r="R9" s="498">
        <v>23</v>
      </c>
    </row>
    <row customHeight="1" ht="14.699999999999998">
      <c r="A10" s="467"/>
      <c r="C10" s="500"/>
      <c r="D10" s="271" t="s">
        <v>210</v>
      </c>
      <c r="E10" s="20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381"/>
      <c r="G10" s="337"/>
      <c r="H10" s="2306" t="s">
        <v>1584</v>
      </c>
      <c r="R10" s="498">
        <v>14</v>
      </c>
    </row>
    <row customHeight="1" ht="14.699999999999998">
      <c r="A11" s="467"/>
      <c r="C11" s="500"/>
      <c r="D11" s="271" t="s">
        <v>102</v>
      </c>
      <c r="E11" s="20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381"/>
      <c r="G11" s="337"/>
      <c r="H11" s="2307"/>
      <c r="R11" s="498">
        <v>14</v>
      </c>
    </row>
    <row customHeight="1" ht="14.699999999999998">
      <c r="A12" s="226"/>
      <c r="C12" s="511"/>
      <c r="D12" s="271" t="s">
        <v>90</v>
      </c>
      <c r="E12" s="512" t="str">
        <f>"Сведения о планировании закупочных процедур"&amp;IF(TEMPLATE_SPHERE="TKO"," &lt;1&gt;","")</f>
        <v>Сведения о планировании закупочных процедур</v>
      </c>
      <c r="F12" s="381"/>
      <c r="G12" s="337"/>
      <c r="H12" s="230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474"/>
      <c r="K12" s="498"/>
      <c r="R12" s="498">
        <v>14</v>
      </c>
    </row>
    <row customHeight="1" ht="14.699999999999998">
      <c r="A13" s="226"/>
      <c r="C13" s="511"/>
      <c r="D13" s="271" t="s">
        <v>91</v>
      </c>
      <c r="E13" s="512" t="str">
        <f>"Сведения о результатах проведения закупочных процедур"&amp;IF(TEMPLATE_SPHERE="TKO"," &lt;1&gt;","")</f>
        <v>Сведения о результатах проведения закупочных процедур</v>
      </c>
      <c r="F13" s="381"/>
      <c r="G13" s="337"/>
      <c r="H13" s="2307"/>
      <c r="I13" s="474"/>
      <c r="K13" s="498"/>
      <c r="R13" s="498">
        <v>14</v>
      </c>
    </row>
    <row customHeight="1" ht="14.699999999999998">
      <c r="A14" s="467"/>
      <c r="C14" s="500"/>
      <c r="D14" s="471"/>
      <c r="E14" s="519" t="s">
        <v>434</v>
      </c>
      <c r="F14" s="473"/>
      <c r="G14" s="325"/>
      <c r="H14" s="2308"/>
      <c r="R14" s="498">
        <v>14</v>
      </c>
    </row>
    <row s="7213" customFormat="1" customHeight="1" ht="14.699999999999998">
      <c r="A15" s="467"/>
      <c r="B15" s="1284"/>
      <c r="C15" s="500"/>
      <c r="D15" s="520"/>
      <c r="E15" s="1800"/>
      <c r="F15" s="1801"/>
      <c r="G15" s="1802"/>
      <c r="H15" s="1803"/>
      <c r="J15" s="1748"/>
      <c r="K15" s="1748"/>
      <c r="R15" s="1755">
        <v>14</v>
      </c>
    </row>
    <row customHeight="1" ht="14.699999999999998">
      <c r="D16" s="1804"/>
      <c r="E16" s="2522"/>
      <c r="F16" s="2522"/>
      <c r="G16" s="2522"/>
      <c r="H16" s="2522"/>
      <c r="R16" s="498">
        <v>14</v>
      </c>
    </row>
    <row customHeight="1" ht="22.5" hidden="1">
      <c r="A17" s="488" t="s">
        <v>82</v>
      </c>
      <c r="B17" s="270">
        <v>0</v>
      </c>
      <c r="C17" s="468">
        <v>3</v>
      </c>
      <c r="D17" s="498">
        <v>6</v>
      </c>
      <c r="E17" s="498">
        <v>53</v>
      </c>
      <c r="F17" s="498">
        <v>35</v>
      </c>
      <c r="G17" s="498">
        <v>35</v>
      </c>
      <c r="H17" s="498">
        <v>89</v>
      </c>
      <c r="I17" s="498">
        <v>10</v>
      </c>
      <c r="J17" s="474">
        <v>10</v>
      </c>
      <c r="K17" s="474">
        <v>10</v>
      </c>
      <c r="L17" s="498">
        <v>10</v>
      </c>
      <c r="M17" s="498">
        <v>10</v>
      </c>
      <c r="N17" s="498">
        <v>10</v>
      </c>
      <c r="O17" s="498">
        <v>10</v>
      </c>
      <c r="P17" s="498">
        <v>10</v>
      </c>
      <c r="Q17" s="498">
        <v>10</v>
      </c>
      <c r="R17" s="49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5B9C18-1296-5478-3863-DF566629EE0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7161" width="3.7109375" hidden="1" customWidth="1"/>
    <col min="3" max="3" style="7787" width="3.00390625" customWidth="1"/>
    <col min="4" max="4" style="7787" width="6.00390625" customWidth="1"/>
    <col min="5" max="5" style="7787" width="42.00390625" customWidth="1"/>
    <col min="6" max="6" style="7787" width="15.00390625" customWidth="1"/>
    <col min="7" max="7" style="7787" width="42.00390625" customWidth="1"/>
    <col min="8" max="8" style="7787" width="3.00390625" customWidth="1"/>
    <col min="9" max="9" style="7787" width="5.00390625" customWidth="1"/>
    <col min="10" max="10" style="7787" width="47.00390625" customWidth="1"/>
    <col min="11" max="12" style="7787" width="3.00390625" customWidth="1"/>
    <col min="13" max="13" style="7787" width="5.00390625" customWidth="1"/>
    <col min="14" max="14" style="7787" width="28.00390625" customWidth="1"/>
    <col min="15" max="16" style="7787" width="3.00390625" customWidth="1"/>
    <col min="17" max="17" style="7787" width="5.00390625" customWidth="1"/>
    <col min="18" max="18" style="7787" width="34.00390625" customWidth="1"/>
    <col min="19" max="20" style="7787" width="3.7109375" customWidth="1"/>
    <col min="21" max="21" style="7787" width="5.7109375" customWidth="1"/>
    <col min="22" max="22" style="7787" width="34.421875" customWidth="1"/>
    <col min="23" max="23" style="7787" width="30.00390625" customWidth="1"/>
    <col min="24" max="24" style="7787" width="3.00390625" customWidth="1"/>
    <col min="25" max="28" style="7293" width="9.8515625" hidden="1" customWidth="1"/>
    <col min="29" max="29" style="7293" width="27.00390625" hidden="1" customWidth="1"/>
    <col min="30" max="30" style="7293" width="10.57421875" hidden="1" customWidth="1"/>
    <col min="31" max="31" style="7293" width="10.7109375" hidden="1" customWidth="1"/>
    <col min="32" max="32" style="7293" width="10.00390625" hidden="1" customWidth="1"/>
    <col min="33" max="33" style="7293" width="12.8515625" hidden="1" customWidth="1"/>
    <col min="34" max="34" style="7293" width="24.421875" hidden="1" customWidth="1"/>
    <col min="35" max="35" style="7293" width="15.8515625" hidden="1" customWidth="1"/>
    <col min="36" max="36" style="7293" width="19.421875" hidden="1" customWidth="1"/>
    <col min="37" max="37" style="7293" width="11.00390625" hidden="1" customWidth="1"/>
    <col min="38" max="38" style="7293" width="23.57421875" hidden="1" customWidth="1"/>
    <col min="39" max="39" style="7293" width="23.8515625" hidden="1" customWidth="1"/>
    <col min="40" max="40" style="7293" width="25.28125" hidden="1" customWidth="1"/>
    <col min="41" max="41" style="7293" width="16.8515625" hidden="1" customWidth="1"/>
    <col min="42" max="42" style="7293" width="29.57421875" hidden="1" customWidth="1"/>
    <col min="43" max="43" style="7293" width="29.8515625" hidden="1" customWidth="1"/>
    <col min="44" max="44" style="7787" width="9.140625" hidden="1"/>
  </cols>
  <sheetData>
    <row customHeight="1" ht="11.25" hidden="1">
      <c r="A1" s="280"/>
      <c r="AR1" s="228" t="s">
        <v>14</v>
      </c>
    </row>
    <row customHeight="1" ht="11.25" hidden="1">
      <c r="AR2" s="228">
        <v>0</v>
      </c>
    </row>
    <row customHeight="1" ht="11.25" hidden="1">
      <c r="AR3" s="228">
        <v>0</v>
      </c>
    </row>
    <row customHeight="1" ht="3">
      <c r="AR4" s="228">
        <v>3</v>
      </c>
    </row>
    <row s="5693" customFormat="1" customHeight="1" ht="30.45">
      <c r="A5" s="278"/>
      <c r="B5" s="278"/>
      <c r="D5" s="22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5"/>
      <c r="F5" s="2295"/>
      <c r="G5" s="2295"/>
      <c r="H5" s="2295"/>
      <c r="I5" s="2295"/>
      <c r="J5" s="2296"/>
      <c r="K5" s="389"/>
      <c r="L5" s="266"/>
      <c r="M5" s="266"/>
      <c r="N5" s="266"/>
      <c r="O5" s="266"/>
      <c r="P5" s="266"/>
      <c r="Q5" s="266"/>
      <c r="R5" s="266"/>
      <c r="S5" s="414"/>
      <c r="T5" s="414"/>
      <c r="U5" s="414"/>
      <c r="V5" s="414"/>
      <c r="W5" s="266"/>
      <c r="Y5" s="1384"/>
      <c r="Z5" s="1384"/>
      <c r="AA5" s="1384"/>
      <c r="AB5" s="1384"/>
      <c r="AC5" s="1384"/>
      <c r="AD5" s="1384"/>
      <c r="AE5" s="1384"/>
      <c r="AF5" s="1384"/>
      <c r="AG5" s="1384"/>
      <c r="AH5" s="1384"/>
      <c r="AI5" s="1384"/>
      <c r="AJ5" s="1384"/>
      <c r="AK5" s="1384"/>
      <c r="AL5" s="1384"/>
      <c r="AM5" s="1384"/>
      <c r="AN5" s="1384"/>
      <c r="AO5" s="1384"/>
      <c r="AP5" s="1384"/>
      <c r="AQ5" s="1384"/>
      <c r="AR5" s="235">
        <v>29</v>
      </c>
    </row>
    <row s="5693" customFormat="1" customHeight="1" ht="14.699999999999998">
      <c r="A6" s="709"/>
      <c r="B6" s="709"/>
      <c r="C6" s="709"/>
      <c r="D6" s="2300" t="str">
        <f>IF(org=0,"Не определено",org)</f>
        <v>ООО "СамРЭК-Эксплуатация"</v>
      </c>
      <c r="E6" s="2300"/>
      <c r="F6" s="2300"/>
      <c r="G6" s="2300"/>
      <c r="H6" s="2300"/>
      <c r="I6" s="2300"/>
      <c r="J6" s="2300"/>
      <c r="K6" s="710"/>
      <c r="L6" s="710"/>
      <c r="M6" s="710"/>
      <c r="N6" s="710"/>
      <c r="O6" s="994"/>
      <c r="P6" s="994"/>
      <c r="Q6" s="994"/>
      <c r="R6" s="994"/>
      <c r="S6" s="994"/>
      <c r="T6" s="994"/>
      <c r="U6" s="994"/>
      <c r="V6" s="994"/>
      <c r="W6" s="994"/>
      <c r="X6" s="710"/>
      <c r="Y6" s="1385"/>
      <c r="Z6" s="1385"/>
      <c r="AA6" s="1385"/>
      <c r="AB6" s="1385"/>
      <c r="AC6" s="1385"/>
      <c r="AD6" s="1385"/>
      <c r="AE6" s="1385"/>
      <c r="AF6" s="1385"/>
      <c r="AG6" s="1385"/>
      <c r="AH6" s="1385"/>
      <c r="AI6" s="1385"/>
      <c r="AJ6" s="1385"/>
      <c r="AK6" s="1385"/>
      <c r="AL6" s="1385"/>
      <c r="AM6" s="1385"/>
      <c r="AN6" s="1385"/>
      <c r="AO6" s="1385"/>
      <c r="AP6" s="1385"/>
      <c r="AQ6" s="1385"/>
      <c r="AR6" s="711">
        <v>14</v>
      </c>
    </row>
    <row s="5691" customFormat="1" customHeight="1" ht="11.549999999999999">
      <c r="A7" s="335"/>
      <c r="B7" s="335"/>
      <c r="D7" s="2297"/>
      <c r="E7" s="2298"/>
      <c r="F7" s="2298"/>
      <c r="G7" s="2298"/>
      <c r="H7" s="2298"/>
      <c r="I7" s="2298"/>
      <c r="J7" s="2299"/>
      <c r="S7" s="423"/>
      <c r="T7" s="423"/>
      <c r="U7" s="423"/>
      <c r="V7" s="423"/>
      <c r="Y7" s="1386"/>
      <c r="Z7" s="1386"/>
      <c r="AA7" s="1386"/>
      <c r="AB7" s="1386"/>
      <c r="AC7" s="1386"/>
      <c r="AD7" s="1386"/>
      <c r="AE7" s="1386"/>
      <c r="AF7" s="1386"/>
      <c r="AG7" s="1386"/>
      <c r="AH7" s="1386"/>
      <c r="AI7" s="1386"/>
      <c r="AJ7" s="1386"/>
      <c r="AK7" s="1386"/>
      <c r="AL7" s="1386"/>
      <c r="AM7" s="1386"/>
      <c r="AN7" s="1386"/>
      <c r="AO7" s="1386"/>
      <c r="AP7" s="1386"/>
      <c r="AQ7" s="1386"/>
      <c r="AR7" s="400">
        <v>11</v>
      </c>
    </row>
    <row s="5693" customFormat="1" customHeight="1" ht="1.05">
      <c r="A8" s="278"/>
      <c r="B8" s="278"/>
      <c r="D8" s="336"/>
      <c r="E8" s="336"/>
      <c r="F8" s="336"/>
      <c r="G8" s="336"/>
      <c r="H8" s="336"/>
      <c r="I8" s="336"/>
      <c r="J8" s="336"/>
      <c r="K8" s="336"/>
      <c r="L8" s="336"/>
      <c r="M8" s="336"/>
      <c r="N8" s="336"/>
      <c r="O8" s="336"/>
      <c r="P8" s="336"/>
      <c r="Q8" s="336"/>
      <c r="R8" s="336"/>
      <c r="S8" s="336"/>
      <c r="T8" s="336"/>
      <c r="U8" s="336"/>
      <c r="V8" s="336"/>
      <c r="W8" s="336"/>
      <c r="X8" s="256"/>
      <c r="Y8" s="1384"/>
      <c r="Z8" s="1384"/>
      <c r="AA8" s="1384"/>
      <c r="AB8" s="1384"/>
      <c r="AC8" s="1384"/>
      <c r="AD8" s="1384"/>
      <c r="AE8" s="1384"/>
      <c r="AF8" s="1384"/>
      <c r="AG8" s="1384"/>
      <c r="AH8" s="1384"/>
      <c r="AI8" s="1384"/>
      <c r="AJ8" s="1384"/>
      <c r="AK8" s="1384"/>
      <c r="AL8" s="1384"/>
      <c r="AM8" s="1384"/>
      <c r="AN8" s="1384"/>
      <c r="AO8" s="1384"/>
      <c r="AP8" s="1384"/>
      <c r="AQ8" s="1384"/>
      <c r="AR8" s="235">
        <v>1</v>
      </c>
    </row>
    <row customHeight="1" ht="28.5">
      <c r="D9" s="2264" t="s">
        <v>88</v>
      </c>
      <c r="E9" s="2238" t="s">
        <v>242</v>
      </c>
      <c r="F9" s="2240"/>
      <c r="G9" s="2264" t="s">
        <v>206</v>
      </c>
      <c r="H9" s="2264" t="s">
        <v>88</v>
      </c>
      <c r="I9" s="2264"/>
      <c r="J9" s="2264" t="s">
        <v>243</v>
      </c>
      <c r="K9" s="2292" t="s">
        <v>244</v>
      </c>
      <c r="L9" s="2292"/>
      <c r="M9" s="2292"/>
      <c r="N9" s="2292"/>
      <c r="O9" s="2292" t="s">
        <v>245</v>
      </c>
      <c r="P9" s="2292"/>
      <c r="Q9" s="2292"/>
      <c r="R9" s="2292"/>
      <c r="S9" s="2292" t="s">
        <v>246</v>
      </c>
      <c r="T9" s="2292"/>
      <c r="U9" s="2292"/>
      <c r="V9" s="2292"/>
      <c r="W9" s="2264" t="s">
        <v>247</v>
      </c>
      <c r="AR9" s="228">
        <v>27</v>
      </c>
    </row>
    <row customHeight="1" ht="31.5">
      <c r="D10" s="2264"/>
      <c r="E10" s="1408" t="s">
        <v>89</v>
      </c>
      <c r="F10" s="1408" t="s">
        <v>248</v>
      </c>
      <c r="G10" s="2264"/>
      <c r="H10" s="2264"/>
      <c r="I10" s="2264"/>
      <c r="J10" s="2264"/>
      <c r="K10" s="234" t="s">
        <v>209</v>
      </c>
      <c r="L10" s="2264" t="s">
        <v>88</v>
      </c>
      <c r="M10" s="2264"/>
      <c r="N10" s="234" t="s">
        <v>249</v>
      </c>
      <c r="O10" s="234" t="s">
        <v>209</v>
      </c>
      <c r="P10" s="2264" t="s">
        <v>88</v>
      </c>
      <c r="Q10" s="2264"/>
      <c r="R10" s="234" t="s">
        <v>249</v>
      </c>
      <c r="S10" s="407" t="s">
        <v>209</v>
      </c>
      <c r="T10" s="2264" t="s">
        <v>88</v>
      </c>
      <c r="U10" s="2264"/>
      <c r="V10" s="407" t="s">
        <v>89</v>
      </c>
      <c r="W10" s="2264"/>
      <c r="Z10" s="1383" t="s">
        <v>250</v>
      </c>
      <c r="AA10" s="1383" t="s">
        <v>251</v>
      </c>
      <c r="AB10" s="1383" t="s">
        <v>252</v>
      </c>
      <c r="AC10" s="1383" t="s">
        <v>253</v>
      </c>
      <c r="AD10" s="1383" t="s">
        <v>254</v>
      </c>
      <c r="AE10" s="1383" t="s">
        <v>255</v>
      </c>
      <c r="AF10" s="1383" t="s">
        <v>256</v>
      </c>
      <c r="AG10" s="1383" t="s">
        <v>257</v>
      </c>
      <c r="AH10" s="1383" t="s">
        <v>258</v>
      </c>
      <c r="AI10" s="1383" t="s">
        <v>259</v>
      </c>
      <c r="AJ10" s="1383" t="s">
        <v>260</v>
      </c>
      <c r="AK10" s="1383" t="s">
        <v>261</v>
      </c>
      <c r="AL10" s="1383" t="s">
        <v>262</v>
      </c>
      <c r="AM10" s="1383" t="s">
        <v>263</v>
      </c>
      <c r="AN10" s="1383" t="s">
        <v>264</v>
      </c>
      <c r="AO10" s="1383" t="s">
        <v>265</v>
      </c>
      <c r="AP10" s="1383" t="s">
        <v>266</v>
      </c>
      <c r="AQ10" s="1383" t="s">
        <v>267</v>
      </c>
      <c r="AR10" s="228">
        <v>30</v>
      </c>
    </row>
    <row s="7161" customFormat="1" customHeight="1" ht="12" hidden="1">
      <c r="D11" s="1373" t="s">
        <v>210</v>
      </c>
      <c r="E11" s="1373" t="s">
        <v>102</v>
      </c>
      <c r="F11" s="1373"/>
      <c r="G11" s="1373" t="s">
        <v>90</v>
      </c>
      <c r="H11" s="2293" t="s">
        <v>116</v>
      </c>
      <c r="I11" s="2293"/>
      <c r="J11" s="1373" t="s">
        <v>92</v>
      </c>
      <c r="K11" s="1373" t="s">
        <v>93</v>
      </c>
      <c r="L11" s="2293" t="s">
        <v>129</v>
      </c>
      <c r="M11" s="2293"/>
      <c r="N11" s="1373" t="s">
        <v>134</v>
      </c>
      <c r="O11" s="1373" t="s">
        <v>139</v>
      </c>
      <c r="P11" s="2293" t="s">
        <v>144</v>
      </c>
      <c r="Q11" s="2293"/>
      <c r="R11" s="1373" t="s">
        <v>149</v>
      </c>
      <c r="S11" s="1373" t="s">
        <v>144</v>
      </c>
      <c r="T11" s="2293" t="s">
        <v>149</v>
      </c>
      <c r="U11" s="2293"/>
      <c r="V11" s="1373" t="s">
        <v>154</v>
      </c>
      <c r="W11" s="1373" t="s">
        <v>159</v>
      </c>
      <c r="Y11" s="1383"/>
      <c r="Z11" s="1383"/>
      <c r="AA11" s="1383"/>
      <c r="AB11" s="1383"/>
      <c r="AC11" s="1383"/>
      <c r="AD11" s="1383"/>
      <c r="AE11" s="1383"/>
      <c r="AF11" s="1383"/>
      <c r="AG11" s="1383"/>
      <c r="AH11" s="1383"/>
      <c r="AI11" s="1383"/>
      <c r="AJ11" s="1383"/>
      <c r="AK11" s="1383"/>
      <c r="AL11" s="1383"/>
      <c r="AM11" s="1383"/>
      <c r="AN11" s="1383"/>
      <c r="AO11" s="1383"/>
      <c r="AP11" s="1383"/>
      <c r="AQ11" s="1383"/>
      <c r="AR11" s="401">
        <v>0</v>
      </c>
    </row>
    <row customHeight="1" ht="14.25" hidden="1">
      <c r="C12" s="333"/>
      <c r="D12" s="1406">
        <v>0</v>
      </c>
      <c r="E12" s="374"/>
      <c r="F12" s="374"/>
      <c r="G12" s="374"/>
      <c r="H12" s="375"/>
      <c r="I12" s="375"/>
      <c r="J12" s="282"/>
      <c r="K12" s="236"/>
      <c r="L12" s="282"/>
      <c r="M12" s="282"/>
      <c r="N12" s="376"/>
      <c r="O12" s="236"/>
      <c r="P12" s="282"/>
      <c r="Q12" s="282"/>
      <c r="R12" s="377"/>
      <c r="S12" s="408"/>
      <c r="T12" s="416"/>
      <c r="U12" s="416"/>
      <c r="V12" s="420"/>
      <c r="W12" s="236"/>
      <c r="X12" s="265"/>
      <c r="AR12" s="228">
        <v>0</v>
      </c>
    </row>
    <row s="7787" customFormat="1" customHeight="1" ht="17.25" hidden="1">
      <c r="A13" s="445"/>
      <c r="C13" s="333"/>
      <c r="D13" s="2272">
        <v>1</v>
      </c>
      <c r="E13" s="2280" t="s">
        <v>268</v>
      </c>
      <c r="F13" s="2282" t="s">
        <v>19</v>
      </c>
      <c r="G13" s="2280"/>
      <c r="H13" s="2285"/>
      <c r="I13" s="2287"/>
      <c r="J13" s="2289"/>
      <c r="K13" s="2274"/>
      <c r="L13" s="2274"/>
      <c r="M13" s="2274"/>
      <c r="N13" s="2276"/>
      <c r="O13" s="2274"/>
      <c r="P13" s="2274"/>
      <c r="Q13" s="2274"/>
      <c r="R13" s="2279"/>
      <c r="S13" s="2274"/>
      <c r="T13" s="1544"/>
      <c r="U13" s="1544"/>
      <c r="V13" s="1543"/>
      <c r="W13" s="1420"/>
      <c r="Y13" s="1391"/>
      <c r="Z13" s="1391"/>
      <c r="AA13" s="1391"/>
      <c r="AB13" s="1391"/>
      <c r="AC13" s="1391" t="s">
        <v>269</v>
      </c>
      <c r="AD13" s="1391" t="s">
        <v>270</v>
      </c>
      <c r="AE13" s="1391" t="s">
        <v>271</v>
      </c>
      <c r="AF13" s="1391" t="s">
        <v>272</v>
      </c>
      <c r="AG13" s="1391" t="s">
        <v>273</v>
      </c>
      <c r="AH13" s="13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391" t="str">
        <f>IF($G$13=0,"",$G$13)</f>
        <v/>
      </c>
      <c r="AJ13" s="1391" t="str">
        <f>IF($J$13=0,"",$J$13)</f>
        <v/>
      </c>
      <c r="AK13" s="1391" t="str">
        <f>IF($K$13="нет","без дифференциации",IF($N$13=0,"",$N$13))</f>
        <v/>
      </c>
      <c r="AL13" s="1391" t="str">
        <f>IF($O$13="нет","без дифференциации",IF($R$13=0,"",$R$13))</f>
        <v/>
      </c>
      <c r="AM13" s="1391" t="str">
        <f>IF($S$13="нет","без дифференциации",IF($V$13=0,"",$V$13))</f>
        <v/>
      </c>
      <c r="AN13" s="1391">
        <f>$I$13</f>
        <v>0</v>
      </c>
      <c r="AO13" s="1391" t="str">
        <f>$I$13&amp;"."&amp;$M$13</f>
        <v>.</v>
      </c>
      <c r="AP13" s="1391" t="str">
        <f>$I$13&amp;"."&amp;$M$13&amp;"."&amp;$Q$13</f>
        <v>..</v>
      </c>
      <c r="AQ13" s="1391" t="str">
        <f>$I$13&amp;"."&amp;$M$13&amp;"."&amp;$Q$13&amp;"."&amp;$U$13</f>
        <v>...</v>
      </c>
      <c r="AR13" s="874">
        <v>0</v>
      </c>
    </row>
    <row s="7787" customFormat="1" customHeight="1" ht="17.25" hidden="1">
      <c r="A14" s="445"/>
      <c r="C14" s="444"/>
      <c r="D14" s="2272"/>
      <c r="E14" s="2280"/>
      <c r="F14" s="2283"/>
      <c r="G14" s="2280"/>
      <c r="H14" s="2286"/>
      <c r="I14" s="2288"/>
      <c r="J14" s="2290"/>
      <c r="K14" s="2275"/>
      <c r="L14" s="2275"/>
      <c r="M14" s="2275"/>
      <c r="N14" s="2277"/>
      <c r="O14" s="2275"/>
      <c r="P14" s="2275"/>
      <c r="Q14" s="2275"/>
      <c r="R14" s="2278"/>
      <c r="S14" s="2275"/>
      <c r="T14" s="1421"/>
      <c r="U14" s="1421"/>
      <c r="V14" s="1421"/>
      <c r="W14" s="1422"/>
      <c r="Y14" s="1383"/>
      <c r="Z14" s="1383"/>
      <c r="AA14" s="1383"/>
      <c r="AB14" s="1383"/>
      <c r="AC14" s="1383"/>
      <c r="AD14" s="1383"/>
      <c r="AE14" s="1383"/>
      <c r="AF14" s="1383"/>
      <c r="AG14" s="1383"/>
      <c r="AH14" s="1383"/>
      <c r="AI14" s="1383"/>
      <c r="AJ14" s="1383"/>
      <c r="AK14" s="1383"/>
      <c r="AL14" s="1383"/>
      <c r="AM14" s="1383"/>
      <c r="AN14" s="1383"/>
      <c r="AO14" s="1383"/>
      <c r="AP14" s="1383"/>
      <c r="AQ14" s="1383"/>
      <c r="AR14" s="874">
        <v>0</v>
      </c>
    </row>
    <row s="7787" customFormat="1" customHeight="1" ht="17.25" hidden="1">
      <c r="A15" s="445"/>
      <c r="C15" s="333"/>
      <c r="D15" s="2272"/>
      <c r="E15" s="2280"/>
      <c r="F15" s="2283"/>
      <c r="G15" s="2280"/>
      <c r="H15" s="2286"/>
      <c r="I15" s="2288"/>
      <c r="J15" s="2291"/>
      <c r="K15" s="2275"/>
      <c r="L15" s="2275"/>
      <c r="M15" s="2275"/>
      <c r="N15" s="2278"/>
      <c r="O15" s="2275"/>
      <c r="P15" s="1542"/>
      <c r="Q15" s="1421"/>
      <c r="R15" s="1421"/>
      <c r="S15" s="453"/>
      <c r="T15" s="453"/>
      <c r="U15" s="453"/>
      <c r="V15" s="453"/>
      <c r="W15" s="1422"/>
      <c r="Y15" s="1391"/>
      <c r="Z15" s="1391"/>
      <c r="AA15" s="1391"/>
      <c r="AB15" s="1391"/>
      <c r="AC15" s="1391"/>
      <c r="AD15" s="1391"/>
      <c r="AE15" s="1391"/>
      <c r="AF15" s="1391"/>
      <c r="AG15" s="1391"/>
      <c r="AH15" s="1391"/>
      <c r="AI15" s="1391"/>
      <c r="AJ15" s="1391"/>
      <c r="AK15" s="1391"/>
      <c r="AL15" s="1391"/>
      <c r="AM15" s="1391"/>
      <c r="AN15" s="1391"/>
      <c r="AO15" s="1391"/>
      <c r="AP15" s="1391"/>
      <c r="AQ15" s="1391"/>
      <c r="AR15" s="1541">
        <v>0</v>
      </c>
    </row>
    <row s="7787" customFormat="1" customHeight="1" ht="17.25" hidden="1">
      <c r="A16" s="445"/>
      <c r="C16" s="444"/>
      <c r="D16" s="2272"/>
      <c r="E16" s="2280"/>
      <c r="F16" s="2283"/>
      <c r="G16" s="2280"/>
      <c r="H16" s="2286"/>
      <c r="I16" s="2288"/>
      <c r="J16" s="2291"/>
      <c r="K16" s="2275"/>
      <c r="L16" s="1421"/>
      <c r="M16" s="1421"/>
      <c r="N16" s="1421"/>
      <c r="O16" s="1421"/>
      <c r="P16" s="1421"/>
      <c r="Q16" s="1421"/>
      <c r="R16" s="1421"/>
      <c r="S16" s="453"/>
      <c r="T16" s="453"/>
      <c r="U16" s="453"/>
      <c r="V16" s="453"/>
      <c r="W16" s="1422"/>
      <c r="Y16" s="1383"/>
      <c r="Z16" s="1383"/>
      <c r="AA16" s="1383"/>
      <c r="AB16" s="1383"/>
      <c r="AC16" s="1383"/>
      <c r="AD16" s="1383"/>
      <c r="AE16" s="1383"/>
      <c r="AF16" s="1383"/>
      <c r="AG16" s="1383"/>
      <c r="AH16" s="1383"/>
      <c r="AI16" s="1383"/>
      <c r="AJ16" s="1383"/>
      <c r="AK16" s="1383"/>
      <c r="AL16" s="1383"/>
      <c r="AM16" s="1383"/>
      <c r="AN16" s="1383"/>
      <c r="AO16" s="1383"/>
      <c r="AP16" s="1383"/>
      <c r="AQ16" s="1383"/>
      <c r="AR16" s="1541">
        <v>0</v>
      </c>
    </row>
    <row s="7787" customFormat="1" customHeight="1" ht="17.25" hidden="1">
      <c r="A17" s="445"/>
      <c r="C17" s="444"/>
      <c r="D17" s="2273"/>
      <c r="E17" s="2281"/>
      <c r="F17" s="2284"/>
      <c r="G17" s="2281"/>
      <c r="H17" s="1423"/>
      <c r="I17" s="1424"/>
      <c r="J17" s="1424"/>
      <c r="K17" s="1424"/>
      <c r="L17" s="1424"/>
      <c r="M17" s="1424"/>
      <c r="N17" s="1424"/>
      <c r="O17" s="1424"/>
      <c r="P17" s="1424"/>
      <c r="Q17" s="1424"/>
      <c r="R17" s="1424"/>
      <c r="S17" s="1425"/>
      <c r="T17" s="1425"/>
      <c r="U17" s="1425"/>
      <c r="V17" s="1425"/>
      <c r="W17" s="1426"/>
      <c r="Y17" s="1383"/>
      <c r="Z17" s="1383"/>
      <c r="AA17" s="1383"/>
      <c r="AB17" s="1383"/>
      <c r="AC17" s="1383"/>
      <c r="AD17" s="1383"/>
      <c r="AE17" s="1383"/>
      <c r="AF17" s="1383"/>
      <c r="AG17" s="1383"/>
      <c r="AH17" s="1383"/>
      <c r="AI17" s="1383"/>
      <c r="AJ17" s="1383"/>
      <c r="AK17" s="1383"/>
      <c r="AL17" s="1383"/>
      <c r="AM17" s="1383"/>
      <c r="AN17" s="1383"/>
      <c r="AO17" s="1383"/>
      <c r="AP17" s="1383"/>
      <c r="AQ17" s="1383"/>
      <c r="AR17" s="874">
        <v>0</v>
      </c>
    </row>
    <row s="7787" customFormat="1" customHeight="1" ht="17.25" hidden="1">
      <c r="A18" s="445"/>
      <c r="C18" s="333"/>
      <c r="D18" s="2272">
        <v>2</v>
      </c>
      <c r="E18" s="2301"/>
      <c r="F18" s="2282" t="s">
        <v>19</v>
      </c>
      <c r="G18" s="2280"/>
      <c r="H18" s="2285"/>
      <c r="I18" s="2287"/>
      <c r="J18" s="2289"/>
      <c r="K18" s="2274"/>
      <c r="L18" s="2274"/>
      <c r="M18" s="2274"/>
      <c r="N18" s="2276"/>
      <c r="O18" s="2274"/>
      <c r="P18" s="2274"/>
      <c r="Q18" s="2274"/>
      <c r="R18" s="2279"/>
      <c r="S18" s="2274"/>
      <c r="T18" s="1544"/>
      <c r="U18" s="1544"/>
      <c r="V18" s="1543"/>
      <c r="W18" s="1420"/>
      <c r="X18" s="1391"/>
      <c r="Y18" s="1391"/>
      <c r="Z18" s="1391"/>
      <c r="AA18" s="1391"/>
      <c r="AB18" s="1391"/>
      <c r="AC18" s="1391" t="s">
        <v>274</v>
      </c>
      <c r="AD18" s="1391" t="s">
        <v>275</v>
      </c>
      <c r="AE18" s="1391" t="s">
        <v>276</v>
      </c>
      <c r="AF18" s="1391" t="s">
        <v>277</v>
      </c>
      <c r="AG18" s="1391" t="s">
        <v>278</v>
      </c>
      <c r="AH18" s="1391" t="str">
        <f>IF($E$18=0,"",$E$18)</f>
        <v/>
      </c>
      <c r="AI18" s="1391" t="str">
        <f>IF($G$18=0,"",$G$18)</f>
        <v/>
      </c>
      <c r="AJ18" s="1391" t="str">
        <f>IF($J$18=0,"",$J$18)</f>
        <v/>
      </c>
      <c r="AK18" s="1391" t="str">
        <f>IF($K$18="нет","без дифференциации",IF($N$18=0,"",$N$18))</f>
        <v/>
      </c>
      <c r="AL18" s="1391" t="str">
        <f>IF($O$18="нет","без дифференциации",IF($R$18=0,"",$R$18))</f>
        <v/>
      </c>
      <c r="AM18" s="1391" t="str">
        <f>IF($S$18="нет","без дифференциации",IF($V$18=0,"",$V$18))</f>
        <v/>
      </c>
      <c r="AN18" s="1895">
        <f>$I$18</f>
        <v>0</v>
      </c>
      <c r="AO18" s="1391" t="str">
        <f>$I$18&amp;"."&amp;$M$18</f>
        <v>.</v>
      </c>
      <c r="AP18" s="1383" t="str">
        <f>$I$18&amp;"."&amp;$M$18&amp;"."&amp;$Q$18</f>
        <v>..</v>
      </c>
      <c r="AQ18" s="1383" t="str">
        <f>$I$18&amp;"."&amp;$M$18&amp;"."&amp;$Q$18&amp;"."&amp;$U$18</f>
        <v>...</v>
      </c>
      <c r="AR18" s="1407">
        <v>0</v>
      </c>
    </row>
    <row s="7787" customFormat="1" customHeight="1" ht="17.25" hidden="1">
      <c r="A19" s="445"/>
      <c r="C19" s="444"/>
      <c r="D19" s="2272"/>
      <c r="E19" s="2301"/>
      <c r="F19" s="2283"/>
      <c r="G19" s="2280"/>
      <c r="H19" s="2286"/>
      <c r="I19" s="2288"/>
      <c r="J19" s="2290"/>
      <c r="K19" s="2275"/>
      <c r="L19" s="2275"/>
      <c r="M19" s="2275"/>
      <c r="N19" s="2277"/>
      <c r="O19" s="2275"/>
      <c r="P19" s="2275"/>
      <c r="Q19" s="2275"/>
      <c r="R19" s="2278"/>
      <c r="S19" s="2275"/>
      <c r="T19" s="1421"/>
      <c r="U19" s="1421"/>
      <c r="V19" s="1421"/>
      <c r="W19" s="1422"/>
      <c r="X19" s="1383"/>
      <c r="Y19" s="1383"/>
      <c r="Z19" s="1383"/>
      <c r="AA19" s="1383"/>
      <c r="AB19" s="1383"/>
      <c r="AC19" s="1383"/>
      <c r="AD19" s="1383"/>
      <c r="AE19" s="1383"/>
      <c r="AF19" s="1383"/>
      <c r="AG19" s="1383"/>
      <c r="AH19" s="1383"/>
      <c r="AI19" s="1383"/>
      <c r="AJ19" s="1383"/>
      <c r="AK19" s="1383"/>
      <c r="AL19" s="1383"/>
      <c r="AM19" s="1383"/>
      <c r="AN19" s="1383"/>
      <c r="AO19" s="1383"/>
      <c r="AP19" s="1383"/>
      <c r="AQ19" s="1383"/>
      <c r="AR19" s="1407">
        <v>0</v>
      </c>
    </row>
    <row s="7787" customFormat="1" customHeight="1" ht="17.25" hidden="1">
      <c r="A20" s="445"/>
      <c r="C20" s="444"/>
      <c r="D20" s="2273"/>
      <c r="E20" s="2302"/>
      <c r="F20" s="2283"/>
      <c r="G20" s="2281"/>
      <c r="H20" s="2286"/>
      <c r="I20" s="2288"/>
      <c r="J20" s="2291"/>
      <c r="K20" s="2275"/>
      <c r="L20" s="2275"/>
      <c r="M20" s="2275"/>
      <c r="N20" s="2278"/>
      <c r="O20" s="2275"/>
      <c r="P20" s="1542"/>
      <c r="Q20" s="1421"/>
      <c r="R20" s="1421"/>
      <c r="S20" s="453"/>
      <c r="T20" s="453"/>
      <c r="U20" s="453"/>
      <c r="V20" s="453"/>
      <c r="W20" s="1422"/>
      <c r="X20" s="1383"/>
      <c r="Y20" s="1383"/>
      <c r="Z20" s="1383"/>
      <c r="AA20" s="1383"/>
      <c r="AB20" s="1383"/>
      <c r="AC20" s="1383"/>
      <c r="AD20" s="1383"/>
      <c r="AE20" s="1383"/>
      <c r="AF20" s="1383"/>
      <c r="AG20" s="1383"/>
      <c r="AH20" s="1383"/>
      <c r="AI20" s="1383"/>
      <c r="AJ20" s="1383"/>
      <c r="AK20" s="1383"/>
      <c r="AL20" s="1383"/>
      <c r="AM20" s="1383"/>
      <c r="AN20" s="1383"/>
      <c r="AO20" s="1383"/>
      <c r="AP20" s="1383"/>
      <c r="AQ20" s="1383"/>
      <c r="AR20" s="1407">
        <v>0</v>
      </c>
    </row>
    <row s="7787" customFormat="1" customHeight="1" ht="17.25" hidden="1">
      <c r="A21" s="445"/>
      <c r="C21" s="444"/>
      <c r="D21" s="2273"/>
      <c r="E21" s="2302"/>
      <c r="F21" s="2283"/>
      <c r="G21" s="2281"/>
      <c r="H21" s="2286"/>
      <c r="I21" s="2288"/>
      <c r="J21" s="2291"/>
      <c r="K21" s="2275"/>
      <c r="L21" s="1421"/>
      <c r="M21" s="1421"/>
      <c r="N21" s="1421"/>
      <c r="O21" s="1421"/>
      <c r="P21" s="1421"/>
      <c r="Q21" s="1421"/>
      <c r="R21" s="1421"/>
      <c r="S21" s="453"/>
      <c r="T21" s="453"/>
      <c r="U21" s="453"/>
      <c r="V21" s="453"/>
      <c r="W21" s="1422"/>
      <c r="X21" s="1383"/>
      <c r="Y21" s="1383"/>
      <c r="Z21" s="1383"/>
      <c r="AA21" s="1383"/>
      <c r="AB21" s="1383"/>
      <c r="AC21" s="1383"/>
      <c r="AD21" s="1383"/>
      <c r="AE21" s="1383"/>
      <c r="AF21" s="1383"/>
      <c r="AG21" s="1383"/>
      <c r="AH21" s="1383"/>
      <c r="AI21" s="1383"/>
      <c r="AJ21" s="1383"/>
      <c r="AK21" s="1383"/>
      <c r="AL21" s="1383"/>
      <c r="AM21" s="1383"/>
      <c r="AN21" s="1383"/>
      <c r="AO21" s="1383"/>
      <c r="AP21" s="1383"/>
      <c r="AQ21" s="1383"/>
      <c r="AR21" s="1407">
        <v>0</v>
      </c>
    </row>
    <row s="7787" customFormat="1" customHeight="1" ht="17.25" hidden="1">
      <c r="A22" s="445"/>
      <c r="C22" s="444"/>
      <c r="D22" s="2273"/>
      <c r="E22" s="2302"/>
      <c r="F22" s="2284"/>
      <c r="G22" s="2281"/>
      <c r="H22" s="1423"/>
      <c r="I22" s="1424"/>
      <c r="J22" s="1424"/>
      <c r="K22" s="1424"/>
      <c r="L22" s="1424"/>
      <c r="M22" s="1424"/>
      <c r="N22" s="1424"/>
      <c r="O22" s="1424"/>
      <c r="P22" s="1424"/>
      <c r="Q22" s="1424"/>
      <c r="R22" s="1424"/>
      <c r="S22" s="1425"/>
      <c r="T22" s="1425"/>
      <c r="U22" s="1425"/>
      <c r="V22" s="1425"/>
      <c r="W22" s="1426"/>
      <c r="X22" s="1383"/>
      <c r="Y22" s="1383"/>
      <c r="Z22" s="1383"/>
      <c r="AA22" s="1383"/>
      <c r="AB22" s="1383"/>
      <c r="AC22" s="1383"/>
      <c r="AD22" s="1383"/>
      <c r="AE22" s="1383"/>
      <c r="AF22" s="1383"/>
      <c r="AG22" s="1383"/>
      <c r="AH22" s="1383"/>
      <c r="AI22" s="1383"/>
      <c r="AJ22" s="1383"/>
      <c r="AK22" s="1383"/>
      <c r="AL22" s="1383"/>
      <c r="AM22" s="1383"/>
      <c r="AN22" s="1383"/>
      <c r="AO22" s="1383"/>
      <c r="AP22" s="1383"/>
      <c r="AQ22" s="1383"/>
      <c r="AR22" s="1407">
        <v>0</v>
      </c>
    </row>
    <row s="7787" customFormat="1" customHeight="1" ht="17.25" hidden="1">
      <c r="A23" s="445"/>
      <c r="C23" s="333"/>
      <c r="D23" s="2272">
        <v>2</v>
      </c>
      <c r="E23" s="2280" t="s">
        <v>279</v>
      </c>
      <c r="F23" s="2282" t="s">
        <v>19</v>
      </c>
      <c r="G23" s="2280"/>
      <c r="H23" s="2285"/>
      <c r="I23" s="2287"/>
      <c r="J23" s="2289"/>
      <c r="K23" s="2274"/>
      <c r="L23" s="2274"/>
      <c r="M23" s="2274"/>
      <c r="N23" s="2276"/>
      <c r="O23" s="2274"/>
      <c r="P23" s="2274"/>
      <c r="Q23" s="2274"/>
      <c r="R23" s="2279"/>
      <c r="S23" s="2274"/>
      <c r="T23" s="2119"/>
      <c r="U23" s="2119"/>
      <c r="V23" s="2121"/>
      <c r="W23" s="1420"/>
      <c r="X23" s="1391"/>
      <c r="Y23" s="1391"/>
      <c r="Z23" s="1391"/>
      <c r="AA23" s="1391"/>
      <c r="AB23" s="1391"/>
      <c r="AC23" s="1391" t="s">
        <v>274</v>
      </c>
      <c r="AD23" s="1391" t="s">
        <v>275</v>
      </c>
      <c r="AE23" s="1391" t="s">
        <v>276</v>
      </c>
      <c r="AF23" s="1391" t="s">
        <v>277</v>
      </c>
      <c r="AG23" s="1391" t="s">
        <v>278</v>
      </c>
      <c r="AH23" s="13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391" t="str">
        <f>IF($G$23=0,"",$G$23)</f>
        <v/>
      </c>
      <c r="AJ23" s="1391" t="str">
        <f>IF($J$23=0,"",$J$23)</f>
        <v/>
      </c>
      <c r="AK23" s="1391" t="str">
        <f>IF($K$23="нет","без дифференциации",IF($N$23=0,"",$N$23))</f>
        <v/>
      </c>
      <c r="AL23" s="1391" t="str">
        <f>IF($O$23="нет","без дифференциации",IF($R$23=0,"",$R$23))</f>
        <v/>
      </c>
      <c r="AM23" s="1391" t="str">
        <f>IF($S$23="нет","без дифференциации",IF($V$23=0,"",$V$23))</f>
        <v/>
      </c>
      <c r="AN23" s="1895">
        <f>$I$23</f>
        <v>0</v>
      </c>
      <c r="AO23" s="1391" t="str">
        <f>$I$23&amp;"."&amp;$M$23</f>
        <v>.</v>
      </c>
      <c r="AP23" s="1390" t="str">
        <f>$I$23&amp;"."&amp;$M$23&amp;"."&amp;$Q$23</f>
        <v>..</v>
      </c>
      <c r="AQ23" s="1390" t="str">
        <f>$I$23&amp;"."&amp;$M$23&amp;"."&amp;$Q$23&amp;"."&amp;$U$23</f>
        <v>...</v>
      </c>
      <c r="AR23" s="1591">
        <v>0</v>
      </c>
    </row>
    <row s="7787" customFormat="1" customHeight="1" ht="17.25" hidden="1">
      <c r="A24" s="445"/>
      <c r="C24" s="444"/>
      <c r="D24" s="2272"/>
      <c r="E24" s="2280"/>
      <c r="F24" s="2283"/>
      <c r="G24" s="2280"/>
      <c r="H24" s="2286"/>
      <c r="I24" s="2288"/>
      <c r="J24" s="2290"/>
      <c r="K24" s="2275"/>
      <c r="L24" s="2275"/>
      <c r="M24" s="2275"/>
      <c r="N24" s="2277"/>
      <c r="O24" s="2275"/>
      <c r="P24" s="2275"/>
      <c r="Q24" s="2275"/>
      <c r="R24" s="2278"/>
      <c r="S24" s="2275"/>
      <c r="T24" s="2124"/>
      <c r="U24" s="2124"/>
      <c r="V24" s="2124"/>
      <c r="W24" s="2125"/>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591">
        <v>0</v>
      </c>
    </row>
    <row s="7787" customFormat="1" customHeight="1" ht="17.25" hidden="1">
      <c r="A25" s="445"/>
      <c r="C25" s="444"/>
      <c r="D25" s="2273"/>
      <c r="E25" s="2281"/>
      <c r="F25" s="2283"/>
      <c r="G25" s="2281"/>
      <c r="H25" s="2286"/>
      <c r="I25" s="2288"/>
      <c r="J25" s="2291"/>
      <c r="K25" s="2275"/>
      <c r="L25" s="2275"/>
      <c r="M25" s="2275"/>
      <c r="N25" s="2278"/>
      <c r="O25" s="2275"/>
      <c r="P25" s="2120"/>
      <c r="Q25" s="2124"/>
      <c r="R25" s="2124"/>
      <c r="S25" s="453"/>
      <c r="T25" s="453"/>
      <c r="U25" s="453"/>
      <c r="V25" s="453"/>
      <c r="W25" s="2125"/>
      <c r="X25" s="1390"/>
      <c r="Y25" s="1390"/>
      <c r="Z25" s="1390"/>
      <c r="AA25" s="1390"/>
      <c r="AB25" s="1390"/>
      <c r="AC25" s="1390"/>
      <c r="AD25" s="1390"/>
      <c r="AE25" s="1390"/>
      <c r="AF25" s="1390"/>
      <c r="AG25" s="1390"/>
      <c r="AH25" s="1390"/>
      <c r="AI25" s="1390"/>
      <c r="AJ25" s="1390"/>
      <c r="AK25" s="1390"/>
      <c r="AL25" s="1390"/>
      <c r="AM25" s="1390"/>
      <c r="AN25" s="1390"/>
      <c r="AO25" s="1390"/>
      <c r="AP25" s="1390"/>
      <c r="AQ25" s="1390"/>
      <c r="AR25" s="1591">
        <v>0</v>
      </c>
    </row>
    <row s="7787" customFormat="1" customHeight="1" ht="17.25" hidden="1">
      <c r="A26" s="445"/>
      <c r="C26" s="444"/>
      <c r="D26" s="2273"/>
      <c r="E26" s="2281"/>
      <c r="F26" s="2283"/>
      <c r="G26" s="2281"/>
      <c r="H26" s="2286"/>
      <c r="I26" s="2288"/>
      <c r="J26" s="2291"/>
      <c r="K26" s="2275"/>
      <c r="L26" s="2124"/>
      <c r="M26" s="2124"/>
      <c r="N26" s="2124"/>
      <c r="O26" s="2124"/>
      <c r="P26" s="2124"/>
      <c r="Q26" s="2124"/>
      <c r="R26" s="2124"/>
      <c r="S26" s="453"/>
      <c r="T26" s="453"/>
      <c r="U26" s="453"/>
      <c r="V26" s="453"/>
      <c r="W26" s="2125"/>
      <c r="X26" s="1390"/>
      <c r="Y26" s="1390"/>
      <c r="Z26" s="1390"/>
      <c r="AA26" s="1390"/>
      <c r="AB26" s="1390"/>
      <c r="AC26" s="1390"/>
      <c r="AD26" s="1390"/>
      <c r="AE26" s="1390"/>
      <c r="AF26" s="1390"/>
      <c r="AG26" s="1390"/>
      <c r="AH26" s="1390"/>
      <c r="AI26" s="1390"/>
      <c r="AJ26" s="1390"/>
      <c r="AK26" s="1390"/>
      <c r="AL26" s="1390"/>
      <c r="AM26" s="1390"/>
      <c r="AN26" s="1390"/>
      <c r="AO26" s="1390"/>
      <c r="AP26" s="1390"/>
      <c r="AQ26" s="1390"/>
      <c r="AR26" s="1591">
        <v>0</v>
      </c>
    </row>
    <row s="7787" customFormat="1" customHeight="1" ht="17.25" hidden="1">
      <c r="A27" s="445"/>
      <c r="C27" s="444"/>
      <c r="D27" s="2273"/>
      <c r="E27" s="2281"/>
      <c r="F27" s="2284"/>
      <c r="G27" s="2281"/>
      <c r="H27" s="1423"/>
      <c r="I27" s="2122"/>
      <c r="J27" s="2122"/>
      <c r="K27" s="2122"/>
      <c r="L27" s="2122"/>
      <c r="M27" s="2122"/>
      <c r="N27" s="2122"/>
      <c r="O27" s="2122"/>
      <c r="P27" s="2122"/>
      <c r="Q27" s="2122"/>
      <c r="R27" s="2122"/>
      <c r="S27" s="1425"/>
      <c r="T27" s="1425"/>
      <c r="U27" s="1425"/>
      <c r="V27" s="1425"/>
      <c r="W27" s="2123"/>
      <c r="X27" s="1390"/>
      <c r="Y27" s="1390"/>
      <c r="Z27" s="1390"/>
      <c r="AA27" s="1390"/>
      <c r="AB27" s="1390"/>
      <c r="AC27" s="1390"/>
      <c r="AD27" s="1390"/>
      <c r="AE27" s="1390"/>
      <c r="AF27" s="1390"/>
      <c r="AG27" s="1390"/>
      <c r="AH27" s="1390"/>
      <c r="AI27" s="1390"/>
      <c r="AJ27" s="1390"/>
      <c r="AK27" s="1390"/>
      <c r="AL27" s="1390"/>
      <c r="AM27" s="1390"/>
      <c r="AN27" s="1390"/>
      <c r="AO27" s="1390"/>
      <c r="AP27" s="1390"/>
      <c r="AQ27" s="1390"/>
      <c r="AR27" s="1591">
        <v>0</v>
      </c>
    </row>
    <row s="7787" customFormat="1" customHeight="1" ht="17.25" hidden="1">
      <c r="A28" s="445"/>
      <c r="C28" s="333"/>
      <c r="D28" s="2272">
        <v>3</v>
      </c>
      <c r="E28" s="2280" t="s">
        <v>280</v>
      </c>
      <c r="F28" s="2282" t="s">
        <v>19</v>
      </c>
      <c r="G28" s="2280"/>
      <c r="H28" s="2285"/>
      <c r="I28" s="2287"/>
      <c r="J28" s="2289"/>
      <c r="K28" s="2274"/>
      <c r="L28" s="2274"/>
      <c r="M28" s="2274"/>
      <c r="N28" s="2276"/>
      <c r="O28" s="2274"/>
      <c r="P28" s="2274"/>
      <c r="Q28" s="2274"/>
      <c r="R28" s="2279"/>
      <c r="S28" s="2274"/>
      <c r="T28" s="1544"/>
      <c r="U28" s="1544"/>
      <c r="V28" s="1543"/>
      <c r="W28" s="1420"/>
      <c r="X28" s="1391"/>
      <c r="Y28" s="1391"/>
      <c r="Z28" s="1391"/>
      <c r="AA28" s="1391"/>
      <c r="AB28" s="1391"/>
      <c r="AC28" s="1391" t="s">
        <v>281</v>
      </c>
      <c r="AD28" s="1391" t="s">
        <v>282</v>
      </c>
      <c r="AE28" s="1391" t="s">
        <v>283</v>
      </c>
      <c r="AF28" s="1391" t="s">
        <v>284</v>
      </c>
      <c r="AG28" s="1391" t="s">
        <v>285</v>
      </c>
      <c r="AH28" s="1391" t="str">
        <f>IF($E$28=0,"",$E$28)</f>
        <v>Тарифы на теплоноситель, поставляемый теплоснабжающими организациями потребителям, другим теплоснабжающим организациям</v>
      </c>
      <c r="AI28" s="1391" t="str">
        <f>IF($G$28=0,"",$G$28)</f>
        <v/>
      </c>
      <c r="AJ28" s="1391" t="str">
        <f>IF($J$28=0,"",$J$28)</f>
        <v/>
      </c>
      <c r="AK28" s="1391" t="str">
        <f>IF($K$28="нет","без дифференциации",IF($N$28=0,"",$N$28))</f>
        <v/>
      </c>
      <c r="AL28" s="1391" t="str">
        <f>IF($O$28="нет","без дифференциации",IF($R$28=0,"",$R$28))</f>
        <v/>
      </c>
      <c r="AM28" s="1391" t="str">
        <f>IF($S$28="нет","без дифференциации",IF($V$28=0,"",$V$28))</f>
        <v/>
      </c>
      <c r="AN28" s="1895">
        <f>$I$28</f>
        <v>0</v>
      </c>
      <c r="AO28" s="1391" t="str">
        <f>$I$28&amp;"."&amp;$M$28</f>
        <v>.</v>
      </c>
      <c r="AP28" s="1383" t="str">
        <f>$I$28&amp;"."&amp;$M$28&amp;"."&amp;$Q$28</f>
        <v>..</v>
      </c>
      <c r="AQ28" s="1383" t="str">
        <f>$I$28&amp;"."&amp;$M$28&amp;"."&amp;$Q$28&amp;"."&amp;$U$28</f>
        <v>...</v>
      </c>
      <c r="AR28" s="1407">
        <v>0</v>
      </c>
    </row>
    <row s="7787" customFormat="1" customHeight="1" ht="17.25" hidden="1">
      <c r="A29" s="445"/>
      <c r="C29" s="444"/>
      <c r="D29" s="2272"/>
      <c r="E29" s="2280"/>
      <c r="F29" s="2283"/>
      <c r="G29" s="2280"/>
      <c r="H29" s="2286"/>
      <c r="I29" s="2288"/>
      <c r="J29" s="2290"/>
      <c r="K29" s="2275"/>
      <c r="L29" s="2275"/>
      <c r="M29" s="2275"/>
      <c r="N29" s="2277"/>
      <c r="O29" s="2275"/>
      <c r="P29" s="2275"/>
      <c r="Q29" s="2275"/>
      <c r="R29" s="2278"/>
      <c r="S29" s="2275"/>
      <c r="T29" s="1421"/>
      <c r="U29" s="1421"/>
      <c r="V29" s="1421"/>
      <c r="W29" s="1422"/>
      <c r="X29" s="1383"/>
      <c r="Y29" s="1383"/>
      <c r="Z29" s="1383"/>
      <c r="AA29" s="1383"/>
      <c r="AB29" s="1383"/>
      <c r="AC29" s="1383"/>
      <c r="AD29" s="1383"/>
      <c r="AE29" s="1383"/>
      <c r="AF29" s="1383"/>
      <c r="AG29" s="1383"/>
      <c r="AH29" s="1383"/>
      <c r="AI29" s="1383"/>
      <c r="AJ29" s="1383"/>
      <c r="AK29" s="1383"/>
      <c r="AL29" s="1383"/>
      <c r="AM29" s="1383"/>
      <c r="AN29" s="1383"/>
      <c r="AO29" s="1383"/>
      <c r="AP29" s="1383"/>
      <c r="AQ29" s="1383"/>
      <c r="AR29" s="1407">
        <v>0</v>
      </c>
    </row>
    <row s="7787" customFormat="1" customHeight="1" ht="17.25" hidden="1">
      <c r="A30" s="445"/>
      <c r="C30" s="444"/>
      <c r="D30" s="2273"/>
      <c r="E30" s="2281"/>
      <c r="F30" s="2283"/>
      <c r="G30" s="2281"/>
      <c r="H30" s="2286"/>
      <c r="I30" s="2288"/>
      <c r="J30" s="2291"/>
      <c r="K30" s="2275"/>
      <c r="L30" s="2275"/>
      <c r="M30" s="2275"/>
      <c r="N30" s="2278"/>
      <c r="O30" s="2275"/>
      <c r="P30" s="1542"/>
      <c r="Q30" s="1421"/>
      <c r="R30" s="1421"/>
      <c r="S30" s="453"/>
      <c r="T30" s="453"/>
      <c r="U30" s="453"/>
      <c r="V30" s="453"/>
      <c r="W30" s="1422"/>
      <c r="X30" s="1383"/>
      <c r="Y30" s="1383"/>
      <c r="Z30" s="1383"/>
      <c r="AA30" s="1383"/>
      <c r="AB30" s="1383"/>
      <c r="AC30" s="1383"/>
      <c r="AD30" s="1383"/>
      <c r="AE30" s="1383"/>
      <c r="AF30" s="1383"/>
      <c r="AG30" s="1383"/>
      <c r="AH30" s="1383"/>
      <c r="AI30" s="1383"/>
      <c r="AJ30" s="1383"/>
      <c r="AK30" s="1383"/>
      <c r="AL30" s="1383"/>
      <c r="AM30" s="1383"/>
      <c r="AN30" s="1383"/>
      <c r="AO30" s="1383"/>
      <c r="AP30" s="1383"/>
      <c r="AQ30" s="1383"/>
      <c r="AR30" s="1407">
        <v>0</v>
      </c>
    </row>
    <row s="7787" customFormat="1" customHeight="1" ht="17.25" hidden="1">
      <c r="A31" s="445"/>
      <c r="C31" s="444"/>
      <c r="D31" s="2273"/>
      <c r="E31" s="2281"/>
      <c r="F31" s="2283"/>
      <c r="G31" s="2281"/>
      <c r="H31" s="2286"/>
      <c r="I31" s="2288"/>
      <c r="J31" s="2291"/>
      <c r="K31" s="2275"/>
      <c r="L31" s="1421"/>
      <c r="M31" s="1421"/>
      <c r="N31" s="1421"/>
      <c r="O31" s="1421"/>
      <c r="P31" s="1421"/>
      <c r="Q31" s="1421"/>
      <c r="R31" s="1421"/>
      <c r="S31" s="453"/>
      <c r="T31" s="453"/>
      <c r="U31" s="453"/>
      <c r="V31" s="453"/>
      <c r="W31" s="1422"/>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407">
        <v>0</v>
      </c>
    </row>
    <row s="7787" customFormat="1" customHeight="1" ht="17.25" hidden="1">
      <c r="A32" s="445"/>
      <c r="C32" s="444"/>
      <c r="D32" s="2273"/>
      <c r="E32" s="2281"/>
      <c r="F32" s="2284"/>
      <c r="G32" s="2281"/>
      <c r="H32" s="1423"/>
      <c r="I32" s="1424"/>
      <c r="J32" s="1424"/>
      <c r="K32" s="1424"/>
      <c r="L32" s="1424"/>
      <c r="M32" s="1424"/>
      <c r="N32" s="1424"/>
      <c r="O32" s="1424"/>
      <c r="P32" s="1424"/>
      <c r="Q32" s="1424"/>
      <c r="R32" s="1424"/>
      <c r="S32" s="1425"/>
      <c r="T32" s="1425"/>
      <c r="U32" s="1425"/>
      <c r="V32" s="1425"/>
      <c r="W32" s="1426"/>
      <c r="X32" s="1383"/>
      <c r="Y32" s="1383"/>
      <c r="Z32" s="1383"/>
      <c r="AA32" s="1383"/>
      <c r="AB32" s="1383"/>
      <c r="AC32" s="1383"/>
      <c r="AD32" s="1383"/>
      <c r="AE32" s="1383"/>
      <c r="AF32" s="1383"/>
      <c r="AG32" s="1383"/>
      <c r="AH32" s="1383"/>
      <c r="AI32" s="1383"/>
      <c r="AJ32" s="1383"/>
      <c r="AK32" s="1383"/>
      <c r="AL32" s="1383"/>
      <c r="AM32" s="1383"/>
      <c r="AN32" s="1383"/>
      <c r="AO32" s="1383"/>
      <c r="AP32" s="1383"/>
      <c r="AQ32" s="1383"/>
      <c r="AR32" s="1407">
        <v>0</v>
      </c>
    </row>
    <row s="7787" customFormat="1" customHeight="1" ht="17.25" hidden="1">
      <c r="A33" s="445"/>
      <c r="C33" s="333"/>
      <c r="D33" s="2272">
        <v>4</v>
      </c>
      <c r="E33" s="2280" t="s">
        <v>286</v>
      </c>
      <c r="F33" s="2282" t="s">
        <v>19</v>
      </c>
      <c r="G33" s="2280"/>
      <c r="H33" s="2285"/>
      <c r="I33" s="2287"/>
      <c r="J33" s="2289"/>
      <c r="K33" s="2274"/>
      <c r="L33" s="2274"/>
      <c r="M33" s="2274"/>
      <c r="N33" s="2276"/>
      <c r="O33" s="2274"/>
      <c r="P33" s="2274"/>
      <c r="Q33" s="2274"/>
      <c r="R33" s="2279"/>
      <c r="S33" s="2274"/>
      <c r="T33" s="1544"/>
      <c r="U33" s="1544"/>
      <c r="V33" s="1543"/>
      <c r="W33" s="1420"/>
      <c r="X33" s="1391"/>
      <c r="Y33" s="1391"/>
      <c r="Z33" s="1391"/>
      <c r="AA33" s="1391"/>
      <c r="AB33" s="1391"/>
      <c r="AC33" s="1391" t="s">
        <v>287</v>
      </c>
      <c r="AD33" s="1391" t="s">
        <v>288</v>
      </c>
      <c r="AE33" s="1391" t="s">
        <v>289</v>
      </c>
      <c r="AF33" s="1391" t="s">
        <v>290</v>
      </c>
      <c r="AG33" s="1391" t="s">
        <v>291</v>
      </c>
      <c r="AH33" s="13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391" t="str">
        <f>IF($G$33=0,"",$G$33)</f>
        <v/>
      </c>
      <c r="AJ33" s="1391" t="str">
        <f>IF($J$33=0,"",$J$33)</f>
        <v/>
      </c>
      <c r="AK33" s="1391" t="str">
        <f>IF($K$33="нет","без дифференциации",IF($N$33=0,"",$N$33))</f>
        <v/>
      </c>
      <c r="AL33" s="1391" t="str">
        <f>IF($O$33="нет","без дифференциации",IF($R$33=0,"",$R$33))</f>
        <v/>
      </c>
      <c r="AM33" s="1391" t="str">
        <f>IF($S$33="нет","без дифференциации",IF($V$33=0,"",$V$33))</f>
        <v/>
      </c>
      <c r="AN33" s="1895">
        <f>$I$33</f>
        <v>0</v>
      </c>
      <c r="AO33" s="1391" t="str">
        <f>$I$33&amp;"."&amp;$M$33</f>
        <v>.</v>
      </c>
      <c r="AP33" s="1383" t="str">
        <f>$I$33&amp;"."&amp;$M$33&amp;"."&amp;$Q$33</f>
        <v>..</v>
      </c>
      <c r="AQ33" s="1383" t="str">
        <f>$I$33&amp;"."&amp;$M$33&amp;"."&amp;$Q$33&amp;"."&amp;$U$33</f>
        <v>...</v>
      </c>
      <c r="AR33" s="1407">
        <v>0</v>
      </c>
    </row>
    <row s="7787" customFormat="1" customHeight="1" ht="17.25" hidden="1">
      <c r="A34" s="445"/>
      <c r="C34" s="444"/>
      <c r="D34" s="2272"/>
      <c r="E34" s="2280"/>
      <c r="F34" s="2283"/>
      <c r="G34" s="2280"/>
      <c r="H34" s="2286"/>
      <c r="I34" s="2288"/>
      <c r="J34" s="2290"/>
      <c r="K34" s="2275"/>
      <c r="L34" s="2275"/>
      <c r="M34" s="2275"/>
      <c r="N34" s="2277"/>
      <c r="O34" s="2275"/>
      <c r="P34" s="2275"/>
      <c r="Q34" s="2275"/>
      <c r="R34" s="2278"/>
      <c r="S34" s="2275"/>
      <c r="T34" s="1421"/>
      <c r="U34" s="1421"/>
      <c r="V34" s="1421"/>
      <c r="W34" s="1422"/>
      <c r="X34" s="1383"/>
      <c r="Y34" s="1383"/>
      <c r="Z34" s="1383"/>
      <c r="AA34" s="1383"/>
      <c r="AB34" s="1383"/>
      <c r="AC34" s="1383"/>
      <c r="AD34" s="1383"/>
      <c r="AE34" s="1383"/>
      <c r="AF34" s="1383"/>
      <c r="AG34" s="1383"/>
      <c r="AH34" s="1383"/>
      <c r="AI34" s="1383"/>
      <c r="AJ34" s="1383"/>
      <c r="AK34" s="1383"/>
      <c r="AL34" s="1383"/>
      <c r="AM34" s="1383"/>
      <c r="AN34" s="1383"/>
      <c r="AO34" s="1383"/>
      <c r="AP34" s="1383"/>
      <c r="AQ34" s="1383"/>
      <c r="AR34" s="1407">
        <v>0</v>
      </c>
    </row>
    <row s="7787" customFormat="1" customHeight="1" ht="17.25" hidden="1">
      <c r="A35" s="445"/>
      <c r="C35" s="444"/>
      <c r="D35" s="2273"/>
      <c r="E35" s="2281"/>
      <c r="F35" s="2283"/>
      <c r="G35" s="2281"/>
      <c r="H35" s="2286"/>
      <c r="I35" s="2288"/>
      <c r="J35" s="2291"/>
      <c r="K35" s="2275"/>
      <c r="L35" s="2275"/>
      <c r="M35" s="2275"/>
      <c r="N35" s="2278"/>
      <c r="O35" s="2275"/>
      <c r="P35" s="1542"/>
      <c r="Q35" s="1421"/>
      <c r="R35" s="1421"/>
      <c r="S35" s="453"/>
      <c r="T35" s="453"/>
      <c r="U35" s="453"/>
      <c r="V35" s="453"/>
      <c r="W35" s="1422"/>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407">
        <v>0</v>
      </c>
    </row>
    <row s="7787" customFormat="1" customHeight="1" ht="17.25" hidden="1">
      <c r="A36" s="445"/>
      <c r="C36" s="444"/>
      <c r="D36" s="2273"/>
      <c r="E36" s="2281"/>
      <c r="F36" s="2283"/>
      <c r="G36" s="2281"/>
      <c r="H36" s="2286"/>
      <c r="I36" s="2288"/>
      <c r="J36" s="2291"/>
      <c r="K36" s="2275"/>
      <c r="L36" s="1421"/>
      <c r="M36" s="1421"/>
      <c r="N36" s="1421"/>
      <c r="O36" s="1421"/>
      <c r="P36" s="1421"/>
      <c r="Q36" s="1421"/>
      <c r="R36" s="1421"/>
      <c r="S36" s="453"/>
      <c r="T36" s="453"/>
      <c r="U36" s="453"/>
      <c r="V36" s="453"/>
      <c r="W36" s="1422"/>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407">
        <v>0</v>
      </c>
    </row>
    <row s="7787" customFormat="1" customHeight="1" ht="17.25" hidden="1">
      <c r="A37" s="445"/>
      <c r="C37" s="444"/>
      <c r="D37" s="2273"/>
      <c r="E37" s="2281"/>
      <c r="F37" s="2284"/>
      <c r="G37" s="2281"/>
      <c r="H37" s="1423"/>
      <c r="I37" s="1424"/>
      <c r="J37" s="1424"/>
      <c r="K37" s="1424"/>
      <c r="L37" s="1424"/>
      <c r="M37" s="1424"/>
      <c r="N37" s="1424"/>
      <c r="O37" s="1424"/>
      <c r="P37" s="1424"/>
      <c r="Q37" s="1424"/>
      <c r="R37" s="1424"/>
      <c r="S37" s="1425"/>
      <c r="T37" s="1425"/>
      <c r="U37" s="1425"/>
      <c r="V37" s="1425"/>
      <c r="W37" s="1426"/>
      <c r="X37" s="1383"/>
      <c r="Y37" s="1383"/>
      <c r="Z37" s="1383"/>
      <c r="AA37" s="1383"/>
      <c r="AB37" s="1383"/>
      <c r="AC37" s="1383"/>
      <c r="AD37" s="1383"/>
      <c r="AE37" s="1383"/>
      <c r="AF37" s="1383"/>
      <c r="AG37" s="1383"/>
      <c r="AH37" s="1383"/>
      <c r="AI37" s="1383"/>
      <c r="AJ37" s="1383"/>
      <c r="AK37" s="1383"/>
      <c r="AL37" s="1383"/>
      <c r="AM37" s="1383"/>
      <c r="AN37" s="1383"/>
      <c r="AO37" s="1383"/>
      <c r="AP37" s="1383"/>
      <c r="AQ37" s="1383"/>
      <c r="AR37" s="1407">
        <v>0</v>
      </c>
    </row>
    <row s="7787" customFormat="1" customHeight="1" ht="17.25" hidden="1">
      <c r="A38" s="445"/>
      <c r="C38" s="333"/>
      <c r="D38" s="2272">
        <v>5</v>
      </c>
      <c r="E38" s="2280" t="s">
        <v>292</v>
      </c>
      <c r="F38" s="2282" t="s">
        <v>19</v>
      </c>
      <c r="G38" s="2280"/>
      <c r="H38" s="2285"/>
      <c r="I38" s="2287"/>
      <c r="J38" s="2289"/>
      <c r="K38" s="2274"/>
      <c r="L38" s="2274"/>
      <c r="M38" s="2274"/>
      <c r="N38" s="2276"/>
      <c r="O38" s="2274"/>
      <c r="P38" s="2274"/>
      <c r="Q38" s="2274"/>
      <c r="R38" s="2279"/>
      <c r="S38" s="2274"/>
      <c r="T38" s="1544"/>
      <c r="U38" s="1544"/>
      <c r="V38" s="1543"/>
      <c r="W38" s="1420"/>
      <c r="X38" s="1391"/>
      <c r="Y38" s="1391"/>
      <c r="Z38" s="1391"/>
      <c r="AA38" s="1391"/>
      <c r="AB38" s="1391"/>
      <c r="AC38" s="1391" t="s">
        <v>293</v>
      </c>
      <c r="AD38" s="1391" t="s">
        <v>294</v>
      </c>
      <c r="AE38" s="1391" t="s">
        <v>295</v>
      </c>
      <c r="AF38" s="1391" t="s">
        <v>296</v>
      </c>
      <c r="AG38" s="1391" t="s">
        <v>297</v>
      </c>
      <c r="AH38" s="1391" t="str">
        <f>IF($E$38=0,"",$E$38)</f>
        <v>Тарифы на услуги по передаче тепловой энергии</v>
      </c>
      <c r="AI38" s="1391" t="str">
        <f>IF($G$38=0,"",$G$38)</f>
        <v/>
      </c>
      <c r="AJ38" s="1391" t="str">
        <f>IF($J$38=0,"",$J$38)</f>
        <v/>
      </c>
      <c r="AK38" s="1391" t="str">
        <f>IF($K$38="нет","без дифференциации",IF($N$38=0,"",$N$38))</f>
        <v/>
      </c>
      <c r="AL38" s="1391" t="str">
        <f>IF($O$38="нет","без дифференциации",IF($R$38=0,"",$R$38))</f>
        <v/>
      </c>
      <c r="AM38" s="1391" t="str">
        <f>IF($S$38="нет","без дифференциации",IF($V$38=0,"",$V$38))</f>
        <v/>
      </c>
      <c r="AN38" s="1895">
        <f>$I$38</f>
        <v>0</v>
      </c>
      <c r="AO38" s="1391" t="str">
        <f>$I$38&amp;"."&amp;$M$38</f>
        <v>.</v>
      </c>
      <c r="AP38" s="1383" t="str">
        <f>$I$38&amp;"."&amp;$M$38&amp;"."&amp;$Q$38</f>
        <v>..</v>
      </c>
      <c r="AQ38" s="1383" t="str">
        <f>$I$38&amp;"."&amp;$M$38&amp;"."&amp;$Q$38&amp;"."&amp;$U$38</f>
        <v>...</v>
      </c>
      <c r="AR38" s="1407">
        <v>0</v>
      </c>
    </row>
    <row s="7787" customFormat="1" customHeight="1" ht="17.25" hidden="1">
      <c r="A39" s="445"/>
      <c r="C39" s="444"/>
      <c r="D39" s="2272"/>
      <c r="E39" s="2280"/>
      <c r="F39" s="2283"/>
      <c r="G39" s="2280"/>
      <c r="H39" s="2286"/>
      <c r="I39" s="2288"/>
      <c r="J39" s="2290"/>
      <c r="K39" s="2275"/>
      <c r="L39" s="2275"/>
      <c r="M39" s="2275"/>
      <c r="N39" s="2277"/>
      <c r="O39" s="2275"/>
      <c r="P39" s="2275"/>
      <c r="Q39" s="2275"/>
      <c r="R39" s="2278"/>
      <c r="S39" s="2275"/>
      <c r="T39" s="1421"/>
      <c r="U39" s="1421"/>
      <c r="V39" s="1421"/>
      <c r="W39" s="1422"/>
      <c r="X39" s="1383"/>
      <c r="Y39" s="1383"/>
      <c r="Z39" s="1383"/>
      <c r="AA39" s="1383"/>
      <c r="AB39" s="1383"/>
      <c r="AC39" s="1383"/>
      <c r="AD39" s="1383"/>
      <c r="AE39" s="1383"/>
      <c r="AF39" s="1383"/>
      <c r="AG39" s="1383"/>
      <c r="AH39" s="1383"/>
      <c r="AI39" s="1383"/>
      <c r="AJ39" s="1383"/>
      <c r="AK39" s="1383"/>
      <c r="AL39" s="1383"/>
      <c r="AM39" s="1383"/>
      <c r="AN39" s="1383"/>
      <c r="AO39" s="1383"/>
      <c r="AP39" s="1383"/>
      <c r="AQ39" s="1383"/>
      <c r="AR39" s="1407">
        <v>0</v>
      </c>
    </row>
    <row s="7787" customFormat="1" customHeight="1" ht="17.25" hidden="1">
      <c r="A40" s="445"/>
      <c r="C40" s="444"/>
      <c r="D40" s="2273"/>
      <c r="E40" s="2281"/>
      <c r="F40" s="2283"/>
      <c r="G40" s="2281"/>
      <c r="H40" s="2286"/>
      <c r="I40" s="2288"/>
      <c r="J40" s="2291"/>
      <c r="K40" s="2275"/>
      <c r="L40" s="2275"/>
      <c r="M40" s="2275"/>
      <c r="N40" s="2278"/>
      <c r="O40" s="2275"/>
      <c r="P40" s="1542"/>
      <c r="Q40" s="1421"/>
      <c r="R40" s="1421"/>
      <c r="S40" s="453"/>
      <c r="T40" s="453"/>
      <c r="U40" s="453"/>
      <c r="V40" s="453"/>
      <c r="W40" s="1422"/>
      <c r="X40" s="1383"/>
      <c r="Y40" s="1383"/>
      <c r="Z40" s="1383"/>
      <c r="AA40" s="1383"/>
      <c r="AB40" s="1383"/>
      <c r="AC40" s="1383"/>
      <c r="AD40" s="1383"/>
      <c r="AE40" s="1383"/>
      <c r="AF40" s="1383"/>
      <c r="AG40" s="1383"/>
      <c r="AH40" s="1383"/>
      <c r="AI40" s="1383"/>
      <c r="AJ40" s="1383"/>
      <c r="AK40" s="1383"/>
      <c r="AL40" s="1383"/>
      <c r="AM40" s="1383"/>
      <c r="AN40" s="1383"/>
      <c r="AO40" s="1383"/>
      <c r="AP40" s="1383"/>
      <c r="AQ40" s="1383"/>
      <c r="AR40" s="1407">
        <v>0</v>
      </c>
    </row>
    <row s="7787" customFormat="1" customHeight="1" ht="17.25" hidden="1">
      <c r="A41" s="445"/>
      <c r="C41" s="444"/>
      <c r="D41" s="2273"/>
      <c r="E41" s="2281"/>
      <c r="F41" s="2283"/>
      <c r="G41" s="2281"/>
      <c r="H41" s="2286"/>
      <c r="I41" s="2288"/>
      <c r="J41" s="2291"/>
      <c r="K41" s="2275"/>
      <c r="L41" s="1421"/>
      <c r="M41" s="1421"/>
      <c r="N41" s="1421"/>
      <c r="O41" s="1421"/>
      <c r="P41" s="1421"/>
      <c r="Q41" s="1421"/>
      <c r="R41" s="1421"/>
      <c r="S41" s="453"/>
      <c r="T41" s="453"/>
      <c r="U41" s="453"/>
      <c r="V41" s="453"/>
      <c r="W41" s="1422"/>
      <c r="X41" s="1383"/>
      <c r="Y41" s="1383"/>
      <c r="Z41" s="1383"/>
      <c r="AA41" s="1383"/>
      <c r="AB41" s="1383"/>
      <c r="AC41" s="1383"/>
      <c r="AD41" s="1383"/>
      <c r="AE41" s="1383"/>
      <c r="AF41" s="1383"/>
      <c r="AG41" s="1383"/>
      <c r="AH41" s="1383"/>
      <c r="AI41" s="1383"/>
      <c r="AJ41" s="1383"/>
      <c r="AK41" s="1383"/>
      <c r="AL41" s="1383"/>
      <c r="AM41" s="1383"/>
      <c r="AN41" s="1383"/>
      <c r="AO41" s="1383"/>
      <c r="AP41" s="1383"/>
      <c r="AQ41" s="1383"/>
      <c r="AR41" s="1407">
        <v>0</v>
      </c>
    </row>
    <row s="7787" customFormat="1" customHeight="1" ht="17.25" hidden="1">
      <c r="A42" s="445"/>
      <c r="C42" s="444"/>
      <c r="D42" s="2273"/>
      <c r="E42" s="2281"/>
      <c r="F42" s="2284"/>
      <c r="G42" s="2281"/>
      <c r="H42" s="1423"/>
      <c r="I42" s="1424"/>
      <c r="J42" s="1424"/>
      <c r="K42" s="1424"/>
      <c r="L42" s="1424"/>
      <c r="M42" s="1424"/>
      <c r="N42" s="1424"/>
      <c r="O42" s="1424"/>
      <c r="P42" s="1424"/>
      <c r="Q42" s="1424"/>
      <c r="R42" s="1424"/>
      <c r="S42" s="1425"/>
      <c r="T42" s="1425"/>
      <c r="U42" s="1425"/>
      <c r="V42" s="1425"/>
      <c r="W42" s="1426"/>
      <c r="X42" s="1383"/>
      <c r="Y42" s="1383"/>
      <c r="Z42" s="1383"/>
      <c r="AA42" s="1383"/>
      <c r="AB42" s="1383"/>
      <c r="AC42" s="1383"/>
      <c r="AD42" s="1383"/>
      <c r="AE42" s="1383"/>
      <c r="AF42" s="1383"/>
      <c r="AG42" s="1383"/>
      <c r="AH42" s="1383"/>
      <c r="AI42" s="1383"/>
      <c r="AJ42" s="1383"/>
      <c r="AK42" s="1383"/>
      <c r="AL42" s="1383"/>
      <c r="AM42" s="1383"/>
      <c r="AN42" s="1383"/>
      <c r="AO42" s="1383"/>
      <c r="AP42" s="1383"/>
      <c r="AQ42" s="1383"/>
      <c r="AR42" s="1407">
        <v>0</v>
      </c>
    </row>
    <row s="7787" customFormat="1" customHeight="1" ht="17.25" hidden="1">
      <c r="A43" s="445"/>
      <c r="C43" s="333"/>
      <c r="D43" s="2272">
        <v>6</v>
      </c>
      <c r="E43" s="2280" t="s">
        <v>298</v>
      </c>
      <c r="F43" s="2282" t="s">
        <v>19</v>
      </c>
      <c r="G43" s="2280"/>
      <c r="H43" s="2285"/>
      <c r="I43" s="2287"/>
      <c r="J43" s="2289"/>
      <c r="K43" s="2274"/>
      <c r="L43" s="2274"/>
      <c r="M43" s="2274"/>
      <c r="N43" s="2276"/>
      <c r="O43" s="2274"/>
      <c r="P43" s="2274"/>
      <c r="Q43" s="2274"/>
      <c r="R43" s="2279"/>
      <c r="S43" s="2274"/>
      <c r="T43" s="1544"/>
      <c r="U43" s="1544"/>
      <c r="V43" s="1543"/>
      <c r="W43" s="1420"/>
      <c r="X43" s="1391"/>
      <c r="Y43" s="1391"/>
      <c r="Z43" s="1391"/>
      <c r="AA43" s="1391"/>
      <c r="AB43" s="1391"/>
      <c r="AC43" s="1391" t="s">
        <v>299</v>
      </c>
      <c r="AD43" s="1391" t="s">
        <v>300</v>
      </c>
      <c r="AE43" s="1391" t="s">
        <v>301</v>
      </c>
      <c r="AF43" s="1391" t="s">
        <v>302</v>
      </c>
      <c r="AG43" s="1391" t="s">
        <v>303</v>
      </c>
      <c r="AH43" s="1391" t="str">
        <f>IF($E$43=0,"",$E$43)</f>
        <v>Тарифы на услуги по передаче теплоносителя</v>
      </c>
      <c r="AI43" s="1391" t="str">
        <f>IF($G$43=0,"",$G$43)</f>
        <v/>
      </c>
      <c r="AJ43" s="1391" t="str">
        <f>IF($J$43=0,"",$J$43)</f>
        <v/>
      </c>
      <c r="AK43" s="1391" t="str">
        <f>IF($K$43="нет","без дифференциации",IF($N$43=0,"",$N$43))</f>
        <v/>
      </c>
      <c r="AL43" s="1391" t="str">
        <f>IF($O$43="нет","без дифференциации",IF($R$43=0,"",$R$43))</f>
        <v/>
      </c>
      <c r="AM43" s="1391" t="str">
        <f>IF($S$43="нет","без дифференциации",IF($V$43=0,"",$V$43))</f>
        <v/>
      </c>
      <c r="AN43" s="1895">
        <f>$I$43</f>
        <v>0</v>
      </c>
      <c r="AO43" s="1391" t="str">
        <f>$I$43&amp;"."&amp;$M$43</f>
        <v>.</v>
      </c>
      <c r="AP43" s="1383" t="str">
        <f>$I$43&amp;"."&amp;$M$43&amp;"."&amp;$Q$43</f>
        <v>..</v>
      </c>
      <c r="AQ43" s="1383" t="str">
        <f>$I$43&amp;"."&amp;$M$43&amp;"."&amp;$Q$43&amp;"."&amp;$U$43</f>
        <v>...</v>
      </c>
      <c r="AR43" s="1407">
        <v>0</v>
      </c>
    </row>
    <row s="7787" customFormat="1" customHeight="1" ht="17.25" hidden="1">
      <c r="A44" s="445"/>
      <c r="C44" s="444"/>
      <c r="D44" s="2272"/>
      <c r="E44" s="2280"/>
      <c r="F44" s="2283"/>
      <c r="G44" s="2280"/>
      <c r="H44" s="2286"/>
      <c r="I44" s="2288"/>
      <c r="J44" s="2290"/>
      <c r="K44" s="2275"/>
      <c r="L44" s="2275"/>
      <c r="M44" s="2275"/>
      <c r="N44" s="2277"/>
      <c r="O44" s="2275"/>
      <c r="P44" s="2275"/>
      <c r="Q44" s="2275"/>
      <c r="R44" s="2278"/>
      <c r="S44" s="2275"/>
      <c r="T44" s="1421"/>
      <c r="U44" s="1421"/>
      <c r="V44" s="1421"/>
      <c r="W44" s="1422"/>
      <c r="X44" s="1383"/>
      <c r="Y44" s="1383"/>
      <c r="Z44" s="1383"/>
      <c r="AA44" s="1383"/>
      <c r="AB44" s="1383"/>
      <c r="AC44" s="1383"/>
      <c r="AD44" s="1383"/>
      <c r="AE44" s="1383"/>
      <c r="AF44" s="1383"/>
      <c r="AG44" s="1383"/>
      <c r="AH44" s="1383"/>
      <c r="AI44" s="1383"/>
      <c r="AJ44" s="1383"/>
      <c r="AK44" s="1383"/>
      <c r="AL44" s="1383"/>
      <c r="AM44" s="1383"/>
      <c r="AN44" s="1383"/>
      <c r="AO44" s="1383"/>
      <c r="AP44" s="1383"/>
      <c r="AQ44" s="1383"/>
      <c r="AR44" s="1407">
        <v>0</v>
      </c>
    </row>
    <row s="7787" customFormat="1" customHeight="1" ht="17.25" hidden="1">
      <c r="A45" s="445"/>
      <c r="C45" s="444"/>
      <c r="D45" s="2273"/>
      <c r="E45" s="2281"/>
      <c r="F45" s="2283"/>
      <c r="G45" s="2281"/>
      <c r="H45" s="2286"/>
      <c r="I45" s="2288"/>
      <c r="J45" s="2291"/>
      <c r="K45" s="2275"/>
      <c r="L45" s="2275"/>
      <c r="M45" s="2275"/>
      <c r="N45" s="2278"/>
      <c r="O45" s="2275"/>
      <c r="P45" s="1542"/>
      <c r="Q45" s="1421"/>
      <c r="R45" s="1421"/>
      <c r="S45" s="453"/>
      <c r="T45" s="453"/>
      <c r="U45" s="453"/>
      <c r="V45" s="453"/>
      <c r="W45" s="1422"/>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407">
        <v>0</v>
      </c>
    </row>
    <row s="7787" customFormat="1" customHeight="1" ht="17.25" hidden="1">
      <c r="A46" s="445"/>
      <c r="C46" s="333"/>
      <c r="D46" s="2273"/>
      <c r="E46" s="2281"/>
      <c r="F46" s="2283"/>
      <c r="G46" s="2281"/>
      <c r="H46" s="2286"/>
      <c r="I46" s="2288"/>
      <c r="J46" s="2291"/>
      <c r="K46" s="2275"/>
      <c r="L46" s="1421"/>
      <c r="M46" s="1421"/>
      <c r="N46" s="1421"/>
      <c r="O46" s="1421"/>
      <c r="P46" s="1421"/>
      <c r="Q46" s="1421"/>
      <c r="R46" s="1421"/>
      <c r="S46" s="453"/>
      <c r="T46" s="453"/>
      <c r="U46" s="453"/>
      <c r="V46" s="453"/>
      <c r="W46" s="1422"/>
      <c r="Y46" s="1391"/>
      <c r="Z46" s="1391"/>
      <c r="AA46" s="1391"/>
      <c r="AB46" s="1391"/>
      <c r="AC46" s="1391"/>
      <c r="AD46" s="1391"/>
      <c r="AE46" s="1391"/>
      <c r="AF46" s="1391"/>
      <c r="AG46" s="1391"/>
      <c r="AH46" s="1391"/>
      <c r="AI46" s="1391"/>
      <c r="AJ46" s="1391"/>
      <c r="AK46" s="1391"/>
      <c r="AL46" s="1391"/>
      <c r="AM46" s="1391"/>
      <c r="AN46" s="1391"/>
      <c r="AO46" s="1391"/>
      <c r="AP46" s="1391"/>
      <c r="AQ46" s="1391"/>
      <c r="AR46" s="1450">
        <v>0</v>
      </c>
    </row>
    <row s="7787" customFormat="1" customHeight="1" ht="17.25" hidden="1">
      <c r="A47" s="445"/>
      <c r="C47" s="444"/>
      <c r="D47" s="2273"/>
      <c r="E47" s="2281"/>
      <c r="F47" s="2284"/>
      <c r="G47" s="2281"/>
      <c r="H47" s="1423"/>
      <c r="I47" s="1424"/>
      <c r="J47" s="1424"/>
      <c r="K47" s="1424"/>
      <c r="L47" s="1424"/>
      <c r="M47" s="1424"/>
      <c r="N47" s="1424"/>
      <c r="O47" s="1424"/>
      <c r="P47" s="1424"/>
      <c r="Q47" s="1424"/>
      <c r="R47" s="1424"/>
      <c r="S47" s="1425"/>
      <c r="T47" s="1425"/>
      <c r="U47" s="1425"/>
      <c r="V47" s="1425"/>
      <c r="W47" s="1426"/>
      <c r="X47" s="1383"/>
      <c r="Y47" s="1383"/>
      <c r="Z47" s="1383"/>
      <c r="AA47" s="1383"/>
      <c r="AB47" s="1383"/>
      <c r="AC47" s="1383"/>
      <c r="AD47" s="1383"/>
      <c r="AE47" s="1383"/>
      <c r="AF47" s="1383"/>
      <c r="AG47" s="1383"/>
      <c r="AH47" s="1383"/>
      <c r="AI47" s="1383"/>
      <c r="AJ47" s="1383"/>
      <c r="AK47" s="1383"/>
      <c r="AL47" s="1383"/>
      <c r="AM47" s="1383"/>
      <c r="AN47" s="1383"/>
      <c r="AO47" s="1383"/>
      <c r="AP47" s="1383"/>
      <c r="AQ47" s="1383"/>
      <c r="AR47" s="1407">
        <v>0</v>
      </c>
    </row>
    <row s="7787" customFormat="1" customHeight="1" ht="17.25" hidden="1">
      <c r="A48" s="445"/>
      <c r="C48" s="333"/>
      <c r="D48" s="2303">
        <v>7</v>
      </c>
      <c r="E48" s="2306" t="s">
        <v>304</v>
      </c>
      <c r="F48" s="2282" t="s">
        <v>19</v>
      </c>
      <c r="G48" s="2306"/>
      <c r="H48" s="2285"/>
      <c r="I48" s="2287"/>
      <c r="J48" s="2289"/>
      <c r="K48" s="2274"/>
      <c r="L48" s="2274"/>
      <c r="M48" s="2274"/>
      <c r="N48" s="2276"/>
      <c r="O48" s="2274"/>
      <c r="P48" s="2274"/>
      <c r="Q48" s="2274"/>
      <c r="R48" s="2279"/>
      <c r="S48" s="2274"/>
      <c r="T48" s="1544"/>
      <c r="U48" s="1544"/>
      <c r="V48" s="1543"/>
      <c r="W48" s="1420"/>
      <c r="X48" s="1391"/>
      <c r="Y48" s="1391"/>
      <c r="Z48" s="1391"/>
      <c r="AA48" s="1391"/>
      <c r="AB48" s="1391"/>
      <c r="AC48" s="1391" t="s">
        <v>305</v>
      </c>
      <c r="AD48" s="1391" t="s">
        <v>306</v>
      </c>
      <c r="AE48" s="1391" t="s">
        <v>307</v>
      </c>
      <c r="AF48" s="1391" t="s">
        <v>308</v>
      </c>
      <c r="AG48" s="1391" t="s">
        <v>309</v>
      </c>
      <c r="AH48" s="1391" t="str">
        <f>IF($E$48=0,"",$E$48)</f>
        <v>Плата за услуги по поддержанию резервной тепловой мощности при отсутствии потребления тепловой энергии</v>
      </c>
      <c r="AI48" s="1391" t="str">
        <f>IF($G$48=0,"",$G$48)</f>
        <v/>
      </c>
      <c r="AJ48" s="1391" t="str">
        <f>IF($J$48=0,"",$J$48)</f>
        <v/>
      </c>
      <c r="AK48" s="1391" t="str">
        <f>IF($K$48="нет","без дифференциации",IF($N$48=0,"",$N$48))</f>
        <v/>
      </c>
      <c r="AL48" s="1391" t="str">
        <f>IF($O$48="нет","без дифференциации",IF($R$48=0,"",$R$48))</f>
        <v/>
      </c>
      <c r="AM48" s="1391" t="str">
        <f>IF($S$48="нет","без дифференциации",IF($V$48=0,"",$V$48))</f>
        <v/>
      </c>
      <c r="AN48" s="1895">
        <f>$I$48</f>
        <v>0</v>
      </c>
      <c r="AO48" s="1391" t="str">
        <f>$I$48&amp;"."&amp;$M$48</f>
        <v>.</v>
      </c>
      <c r="AP48" s="1383" t="str">
        <f>$I$48&amp;"."&amp;$M$48&amp;"."&amp;$Q$48</f>
        <v>..</v>
      </c>
      <c r="AQ48" s="1383" t="str">
        <f>$I$48&amp;"."&amp;$M$48&amp;"."&amp;$Q$48&amp;"."&amp;$U$48</f>
        <v>...</v>
      </c>
      <c r="AR48" s="1432">
        <v>0</v>
      </c>
    </row>
    <row s="7787" customFormat="1" customHeight="1" ht="17.25" hidden="1">
      <c r="A49" s="445"/>
      <c r="C49" s="444"/>
      <c r="D49" s="2304"/>
      <c r="E49" s="2307"/>
      <c r="F49" s="2283"/>
      <c r="G49" s="2307"/>
      <c r="H49" s="2286"/>
      <c r="I49" s="2288"/>
      <c r="J49" s="2290"/>
      <c r="K49" s="2275"/>
      <c r="L49" s="2275"/>
      <c r="M49" s="2275"/>
      <c r="N49" s="2277"/>
      <c r="O49" s="2275"/>
      <c r="P49" s="2275"/>
      <c r="Q49" s="2275"/>
      <c r="R49" s="2278"/>
      <c r="S49" s="2275"/>
      <c r="T49" s="1421"/>
      <c r="U49" s="1421"/>
      <c r="V49" s="1421"/>
      <c r="W49" s="1422"/>
      <c r="X49" s="1383"/>
      <c r="Y49" s="1383"/>
      <c r="Z49" s="1383"/>
      <c r="AA49" s="1383"/>
      <c r="AB49" s="1383"/>
      <c r="AC49" s="1383"/>
      <c r="AD49" s="1383"/>
      <c r="AE49" s="1383"/>
      <c r="AF49" s="1383"/>
      <c r="AG49" s="1383"/>
      <c r="AH49" s="1383"/>
      <c r="AI49" s="1383"/>
      <c r="AJ49" s="1383"/>
      <c r="AK49" s="1383"/>
      <c r="AL49" s="1383"/>
      <c r="AM49" s="1383"/>
      <c r="AN49" s="1383"/>
      <c r="AO49" s="1383"/>
      <c r="AP49" s="1383"/>
      <c r="AQ49" s="1383"/>
      <c r="AR49" s="1432">
        <v>0</v>
      </c>
    </row>
    <row s="7787" customFormat="1" customHeight="1" ht="17.25" hidden="1">
      <c r="A50" s="445"/>
      <c r="C50" s="444"/>
      <c r="D50" s="2304"/>
      <c r="E50" s="2307"/>
      <c r="F50" s="2283"/>
      <c r="G50" s="2307"/>
      <c r="H50" s="2286"/>
      <c r="I50" s="2288"/>
      <c r="J50" s="2291"/>
      <c r="K50" s="2275"/>
      <c r="L50" s="2275"/>
      <c r="M50" s="2275"/>
      <c r="N50" s="2278"/>
      <c r="O50" s="2275"/>
      <c r="P50" s="1542"/>
      <c r="Q50" s="1421"/>
      <c r="R50" s="1421"/>
      <c r="S50" s="453"/>
      <c r="T50" s="453"/>
      <c r="U50" s="453"/>
      <c r="V50" s="453"/>
      <c r="W50" s="1422"/>
      <c r="X50" s="1383"/>
      <c r="Y50" s="1383"/>
      <c r="Z50" s="1383"/>
      <c r="AA50" s="1383"/>
      <c r="AB50" s="1383"/>
      <c r="AC50" s="1383"/>
      <c r="AD50" s="1383"/>
      <c r="AE50" s="1383"/>
      <c r="AF50" s="1383"/>
      <c r="AG50" s="1383"/>
      <c r="AH50" s="1383"/>
      <c r="AI50" s="1383"/>
      <c r="AJ50" s="1383"/>
      <c r="AK50" s="1383"/>
      <c r="AL50" s="1383"/>
      <c r="AM50" s="1383"/>
      <c r="AN50" s="1383"/>
      <c r="AO50" s="1383"/>
      <c r="AP50" s="1383"/>
      <c r="AQ50" s="1383"/>
      <c r="AR50" s="1432">
        <v>0</v>
      </c>
    </row>
    <row s="7787" customFormat="1" customHeight="1" ht="17.25" hidden="1">
      <c r="A51" s="445"/>
      <c r="C51" s="333"/>
      <c r="D51" s="2304"/>
      <c r="E51" s="2307"/>
      <c r="F51" s="2283"/>
      <c r="G51" s="2307"/>
      <c r="H51" s="2286"/>
      <c r="I51" s="2288"/>
      <c r="J51" s="2291"/>
      <c r="K51" s="2275"/>
      <c r="L51" s="1421"/>
      <c r="M51" s="1421"/>
      <c r="N51" s="1421"/>
      <c r="O51" s="1421"/>
      <c r="P51" s="1421"/>
      <c r="Q51" s="1421"/>
      <c r="R51" s="1421"/>
      <c r="S51" s="453"/>
      <c r="T51" s="453"/>
      <c r="U51" s="453"/>
      <c r="V51" s="453"/>
      <c r="W51" s="1422"/>
      <c r="Y51" s="1391"/>
      <c r="Z51" s="1391"/>
      <c r="AA51" s="1391"/>
      <c r="AB51" s="1391"/>
      <c r="AC51" s="1391"/>
      <c r="AD51" s="1391"/>
      <c r="AE51" s="1391"/>
      <c r="AF51" s="1391"/>
      <c r="AG51" s="1391"/>
      <c r="AH51" s="1391"/>
      <c r="AI51" s="1391"/>
      <c r="AJ51" s="1391"/>
      <c r="AK51" s="1391"/>
      <c r="AL51" s="1391"/>
      <c r="AM51" s="1391"/>
      <c r="AN51" s="1391"/>
      <c r="AO51" s="1391"/>
      <c r="AP51" s="1391"/>
      <c r="AQ51" s="1391"/>
      <c r="AR51" s="1450">
        <v>0</v>
      </c>
    </row>
    <row s="7787" customFormat="1" customHeight="1" ht="17.25" hidden="1">
      <c r="A52" s="445"/>
      <c r="C52" s="444"/>
      <c r="D52" s="2305"/>
      <c r="E52" s="2308"/>
      <c r="F52" s="2284"/>
      <c r="G52" s="2308"/>
      <c r="H52" s="1423"/>
      <c r="I52" s="1424"/>
      <c r="J52" s="1424"/>
      <c r="K52" s="1424"/>
      <c r="L52" s="1424"/>
      <c r="M52" s="1424"/>
      <c r="N52" s="1424"/>
      <c r="O52" s="1424"/>
      <c r="P52" s="1424"/>
      <c r="Q52" s="1424"/>
      <c r="R52" s="1424"/>
      <c r="S52" s="1425"/>
      <c r="T52" s="1425"/>
      <c r="U52" s="1425"/>
      <c r="V52" s="1425"/>
      <c r="W52" s="1426"/>
      <c r="X52" s="1383"/>
      <c r="Y52" s="1383"/>
      <c r="Z52" s="1383"/>
      <c r="AA52" s="1383"/>
      <c r="AB52" s="1383"/>
      <c r="AC52" s="1383"/>
      <c r="AD52" s="1383"/>
      <c r="AE52" s="1383"/>
      <c r="AF52" s="1383"/>
      <c r="AG52" s="1383"/>
      <c r="AH52" s="1383"/>
      <c r="AI52" s="1383"/>
      <c r="AJ52" s="1383"/>
      <c r="AK52" s="1383"/>
      <c r="AL52" s="1383"/>
      <c r="AM52" s="1383"/>
      <c r="AN52" s="1383"/>
      <c r="AO52" s="1383"/>
      <c r="AP52" s="1383"/>
      <c r="AQ52" s="1383"/>
      <c r="AR52" s="1432">
        <v>0</v>
      </c>
    </row>
    <row s="7787" customFormat="1" customHeight="1" ht="17.25" hidden="1">
      <c r="A53" s="445"/>
      <c r="C53" s="333"/>
      <c r="D53" s="2272">
        <v>8</v>
      </c>
      <c r="E53" s="2280" t="s">
        <v>310</v>
      </c>
      <c r="F53" s="2282" t="s">
        <v>19</v>
      </c>
      <c r="G53" s="2280"/>
      <c r="H53" s="2285"/>
      <c r="I53" s="2287"/>
      <c r="J53" s="2289"/>
      <c r="K53" s="2274"/>
      <c r="L53" s="2274"/>
      <c r="M53" s="2274"/>
      <c r="N53" s="2276"/>
      <c r="O53" s="2274"/>
      <c r="P53" s="2274"/>
      <c r="Q53" s="2274"/>
      <c r="R53" s="2279"/>
      <c r="S53" s="2274"/>
      <c r="T53" s="1594"/>
      <c r="U53" s="1594"/>
      <c r="V53" s="1596"/>
      <c r="W53" s="1420"/>
      <c r="X53" s="1391"/>
      <c r="Y53" s="1391"/>
      <c r="Z53" s="1391"/>
      <c r="AA53" s="1391"/>
      <c r="AB53" s="1391"/>
      <c r="AC53" s="1391" t="s">
        <v>311</v>
      </c>
      <c r="AD53" s="1391" t="s">
        <v>312</v>
      </c>
      <c r="AE53" s="1391" t="s">
        <v>313</v>
      </c>
      <c r="AF53" s="1391" t="s">
        <v>314</v>
      </c>
      <c r="AG53" s="1391" t="s">
        <v>315</v>
      </c>
      <c r="AH53" s="1391" t="str">
        <f>IF($E$53=0,"",$E$53)</f>
        <v>Плата за подключение (технологическое присоединение) к системе теплоснабжения</v>
      </c>
      <c r="AI53" s="1391" t="str">
        <f>IF($G$53=0,"",$G$53)</f>
        <v/>
      </c>
      <c r="AJ53" s="1391" t="str">
        <f>IF($J$53=0,"",$J$53)</f>
        <v/>
      </c>
      <c r="AK53" s="1391" t="str">
        <f>IF($K$53="нет","без дифференциации",IF($N$53=0,"",$N$53))</f>
        <v/>
      </c>
      <c r="AL53" s="1391" t="str">
        <f>IF($O$53="нет","без дифференциации",IF($R$53=0,"",$R$53))</f>
        <v/>
      </c>
      <c r="AM53" s="1391" t="str">
        <f>IF($S$53="нет","без дифференциации",IF($V$53=0,"",$V$53))</f>
        <v/>
      </c>
      <c r="AN53" s="1895">
        <f>$I$53</f>
        <v>0</v>
      </c>
      <c r="AO53" s="1391" t="str">
        <f>$I$53&amp;"."&amp;$M$53</f>
        <v>.</v>
      </c>
      <c r="AP53" s="1383" t="str">
        <f>$I$53&amp;"."&amp;$M$53&amp;"."&amp;$Q$53</f>
        <v>..</v>
      </c>
      <c r="AQ53" s="1383" t="str">
        <f>$I$53&amp;"."&amp;$M$53&amp;"."&amp;$Q$53&amp;"."&amp;$U$53</f>
        <v>...</v>
      </c>
      <c r="AR53" s="1432">
        <v>0</v>
      </c>
    </row>
    <row s="7787" customFormat="1" customHeight="1" ht="17.25" hidden="1">
      <c r="A54" s="445"/>
      <c r="C54" s="444"/>
      <c r="D54" s="2272"/>
      <c r="E54" s="2280"/>
      <c r="F54" s="2283"/>
      <c r="G54" s="2280"/>
      <c r="H54" s="2286"/>
      <c r="I54" s="2288"/>
      <c r="J54" s="2290"/>
      <c r="K54" s="2275"/>
      <c r="L54" s="2275"/>
      <c r="M54" s="2275"/>
      <c r="N54" s="2277"/>
      <c r="O54" s="2275"/>
      <c r="P54" s="2275"/>
      <c r="Q54" s="2275"/>
      <c r="R54" s="2278"/>
      <c r="S54" s="2275"/>
      <c r="T54" s="1421"/>
      <c r="U54" s="1421"/>
      <c r="V54" s="1421"/>
      <c r="W54" s="1422"/>
      <c r="X54" s="1383"/>
      <c r="Y54" s="1383"/>
      <c r="Z54" s="1383"/>
      <c r="AA54" s="1383"/>
      <c r="AB54" s="1383"/>
      <c r="AC54" s="1383"/>
      <c r="AD54" s="1383"/>
      <c r="AE54" s="1383"/>
      <c r="AF54" s="1383"/>
      <c r="AG54" s="1383"/>
      <c r="AH54" s="1383"/>
      <c r="AI54" s="1383"/>
      <c r="AJ54" s="1383"/>
      <c r="AK54" s="1383"/>
      <c r="AL54" s="1383"/>
      <c r="AM54" s="1383"/>
      <c r="AN54" s="1383"/>
      <c r="AO54" s="1383"/>
      <c r="AP54" s="1383"/>
      <c r="AQ54" s="1383"/>
      <c r="AR54" s="1432">
        <v>0</v>
      </c>
    </row>
    <row s="7787" customFormat="1" customHeight="1" ht="17.25" hidden="1">
      <c r="A55" s="445"/>
      <c r="C55" s="444"/>
      <c r="D55" s="2273"/>
      <c r="E55" s="2281"/>
      <c r="F55" s="2283"/>
      <c r="G55" s="2281"/>
      <c r="H55" s="2286"/>
      <c r="I55" s="2288"/>
      <c r="J55" s="2291"/>
      <c r="K55" s="2275"/>
      <c r="L55" s="2275"/>
      <c r="M55" s="2275"/>
      <c r="N55" s="2278"/>
      <c r="O55" s="2275"/>
      <c r="P55" s="1595"/>
      <c r="Q55" s="1421"/>
      <c r="R55" s="1421"/>
      <c r="S55" s="453"/>
      <c r="T55" s="453"/>
      <c r="U55" s="453"/>
      <c r="V55" s="453"/>
      <c r="W55" s="1422"/>
      <c r="X55" s="1383"/>
      <c r="Y55" s="1383"/>
      <c r="Z55" s="1383"/>
      <c r="AA55" s="1383"/>
      <c r="AB55" s="1383"/>
      <c r="AC55" s="1383"/>
      <c r="AD55" s="1383"/>
      <c r="AE55" s="1383"/>
      <c r="AF55" s="1383"/>
      <c r="AG55" s="1383"/>
      <c r="AH55" s="1383"/>
      <c r="AI55" s="1383"/>
      <c r="AJ55" s="1383"/>
      <c r="AK55" s="1383"/>
      <c r="AL55" s="1383"/>
      <c r="AM55" s="1383"/>
      <c r="AN55" s="1383"/>
      <c r="AO55" s="1383"/>
      <c r="AP55" s="1383"/>
      <c r="AQ55" s="1383"/>
      <c r="AR55" s="1432">
        <v>0</v>
      </c>
    </row>
    <row s="7787" customFormat="1" customHeight="1" ht="17.25" hidden="1">
      <c r="A56" s="445"/>
      <c r="C56" s="333"/>
      <c r="D56" s="2273"/>
      <c r="E56" s="2281"/>
      <c r="F56" s="2283"/>
      <c r="G56" s="2281"/>
      <c r="H56" s="2286"/>
      <c r="I56" s="2288"/>
      <c r="J56" s="2291"/>
      <c r="K56" s="2275"/>
      <c r="L56" s="1421"/>
      <c r="M56" s="1421"/>
      <c r="N56" s="1421"/>
      <c r="O56" s="1421"/>
      <c r="P56" s="1421"/>
      <c r="Q56" s="1421"/>
      <c r="R56" s="1421"/>
      <c r="S56" s="453"/>
      <c r="T56" s="453"/>
      <c r="U56" s="453"/>
      <c r="V56" s="453"/>
      <c r="W56" s="1422"/>
      <c r="Y56" s="1391"/>
      <c r="Z56" s="1391"/>
      <c r="AA56" s="1391"/>
      <c r="AB56" s="1391"/>
      <c r="AC56" s="1391"/>
      <c r="AD56" s="1391"/>
      <c r="AE56" s="1391"/>
      <c r="AF56" s="1391"/>
      <c r="AG56" s="1391"/>
      <c r="AH56" s="1391"/>
      <c r="AI56" s="1391"/>
      <c r="AJ56" s="1391"/>
      <c r="AK56" s="1391"/>
      <c r="AL56" s="1391"/>
      <c r="AM56" s="1391"/>
      <c r="AN56" s="1391"/>
      <c r="AO56" s="1391"/>
      <c r="AP56" s="1391"/>
      <c r="AQ56" s="1391"/>
      <c r="AR56" s="1450">
        <v>0</v>
      </c>
    </row>
    <row s="7787" customFormat="1" customHeight="1" ht="17.25" hidden="1">
      <c r="A57" s="445"/>
      <c r="C57" s="444"/>
      <c r="D57" s="2273"/>
      <c r="E57" s="2281"/>
      <c r="F57" s="2284"/>
      <c r="G57" s="2281"/>
      <c r="H57" s="1423"/>
      <c r="I57" s="1424"/>
      <c r="J57" s="1424"/>
      <c r="K57" s="1424"/>
      <c r="L57" s="1424"/>
      <c r="M57" s="1424"/>
      <c r="N57" s="1424"/>
      <c r="O57" s="1424"/>
      <c r="P57" s="1424"/>
      <c r="Q57" s="1424"/>
      <c r="R57" s="1424"/>
      <c r="S57" s="1425"/>
      <c r="T57" s="1425"/>
      <c r="U57" s="1425"/>
      <c r="V57" s="1425"/>
      <c r="W57" s="1426"/>
      <c r="X57" s="1383"/>
      <c r="Y57" s="1383"/>
      <c r="Z57" s="1383"/>
      <c r="AA57" s="1383"/>
      <c r="AB57" s="1383"/>
      <c r="AC57" s="1383"/>
      <c r="AD57" s="1383"/>
      <c r="AE57" s="1383"/>
      <c r="AF57" s="1383"/>
      <c r="AG57" s="1383"/>
      <c r="AH57" s="1383"/>
      <c r="AI57" s="1383"/>
      <c r="AJ57" s="1383"/>
      <c r="AK57" s="1383"/>
      <c r="AL57" s="1383"/>
      <c r="AM57" s="1383"/>
      <c r="AN57" s="1383"/>
      <c r="AO57" s="1383"/>
      <c r="AP57" s="1383"/>
      <c r="AQ57" s="1383"/>
      <c r="AR57" s="1432">
        <v>0</v>
      </c>
    </row>
    <row s="7787" customFormat="1" customHeight="1" ht="17.25" hidden="1">
      <c r="A58" s="445"/>
      <c r="C58" s="333"/>
      <c r="D58" s="2272">
        <v>9</v>
      </c>
      <c r="E58" s="2280" t="s">
        <v>316</v>
      </c>
      <c r="F58" s="2282" t="s">
        <v>19</v>
      </c>
      <c r="G58" s="2280"/>
      <c r="H58" s="2285"/>
      <c r="I58" s="2287"/>
      <c r="J58" s="2289"/>
      <c r="K58" s="2274"/>
      <c r="L58" s="2274"/>
      <c r="M58" s="2274"/>
      <c r="N58" s="2276"/>
      <c r="O58" s="2274"/>
      <c r="P58" s="2274"/>
      <c r="Q58" s="2274"/>
      <c r="R58" s="2279"/>
      <c r="S58" s="2274"/>
      <c r="T58" s="2052"/>
      <c r="U58" s="2052"/>
      <c r="V58" s="2054"/>
      <c r="W58" s="1420"/>
      <c r="X58" s="1391"/>
      <c r="Y58" s="1391"/>
      <c r="Z58" s="1391"/>
      <c r="AA58" s="1391"/>
      <c r="AB58" s="1391"/>
      <c r="AC58" s="1391" t="s">
        <v>317</v>
      </c>
      <c r="AD58" s="1391" t="s">
        <v>318</v>
      </c>
      <c r="AE58" s="1391" t="s">
        <v>319</v>
      </c>
      <c r="AF58" s="1391" t="s">
        <v>320</v>
      </c>
      <c r="AG58" s="1391" t="s">
        <v>321</v>
      </c>
      <c r="AH58" s="1391" t="str">
        <f>IF($E$58=0,"",$E$58)</f>
        <v>Плата за подключение (технологическое присоединение) к системе теплоснабжения (индивидуальная)</v>
      </c>
      <c r="AI58" s="1391" t="str">
        <f>IF($G$58=0,"",$G$58)</f>
        <v/>
      </c>
      <c r="AJ58" s="1391" t="str">
        <f>IF($J$58=0,"",$J$58)</f>
        <v/>
      </c>
      <c r="AK58" s="1391" t="str">
        <f>IF($K$58="нет","без дифференциации",IF($N$58=0,"",$N$58))</f>
        <v/>
      </c>
      <c r="AL58" s="1391" t="str">
        <f>IF($O$58="нет","без дифференциации",IF($R$58=0,"",$R$58))</f>
        <v/>
      </c>
      <c r="AM58" s="1391" t="str">
        <f>IF($S$58="нет","без дифференциации",IF($V$58=0,"",$V$58))</f>
        <v/>
      </c>
      <c r="AN58" s="1895">
        <f>$I$58</f>
        <v>0</v>
      </c>
      <c r="AO58" s="1391" t="str">
        <f>$I$58&amp;"."&amp;$M$58</f>
        <v>.</v>
      </c>
      <c r="AP58" s="1390" t="str">
        <f>$I$58&amp;"."&amp;$M$58&amp;"."&amp;$Q$58</f>
        <v>..</v>
      </c>
      <c r="AQ58" s="1390" t="str">
        <f>$I$58&amp;"."&amp;$M$58&amp;"."&amp;$Q$58&amp;"."&amp;$U$58</f>
        <v>...</v>
      </c>
      <c r="AR58" s="1591">
        <v>0</v>
      </c>
    </row>
    <row s="7787" customFormat="1" customHeight="1" ht="17.25" hidden="1">
      <c r="A59" s="445"/>
      <c r="C59" s="444"/>
      <c r="D59" s="2272"/>
      <c r="E59" s="2280"/>
      <c r="F59" s="2283"/>
      <c r="G59" s="2280"/>
      <c r="H59" s="2286"/>
      <c r="I59" s="2288"/>
      <c r="J59" s="2290"/>
      <c r="K59" s="2275"/>
      <c r="L59" s="2275"/>
      <c r="M59" s="2275"/>
      <c r="N59" s="2277"/>
      <c r="O59" s="2275"/>
      <c r="P59" s="2275"/>
      <c r="Q59" s="2275"/>
      <c r="R59" s="2278"/>
      <c r="S59" s="2275"/>
      <c r="T59" s="2055"/>
      <c r="U59" s="2055"/>
      <c r="V59" s="2055"/>
      <c r="W59" s="2056"/>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591">
        <v>0</v>
      </c>
    </row>
    <row s="7787" customFormat="1" customHeight="1" ht="17.25" hidden="1">
      <c r="A60" s="445"/>
      <c r="C60" s="444"/>
      <c r="D60" s="2273"/>
      <c r="E60" s="2281"/>
      <c r="F60" s="2283"/>
      <c r="G60" s="2281"/>
      <c r="H60" s="2286"/>
      <c r="I60" s="2288"/>
      <c r="J60" s="2291"/>
      <c r="K60" s="2275"/>
      <c r="L60" s="2275"/>
      <c r="M60" s="2275"/>
      <c r="N60" s="2278"/>
      <c r="O60" s="2275"/>
      <c r="P60" s="2053"/>
      <c r="Q60" s="2055"/>
      <c r="R60" s="2055"/>
      <c r="S60" s="453"/>
      <c r="T60" s="453"/>
      <c r="U60" s="453"/>
      <c r="V60" s="453"/>
      <c r="W60" s="2056"/>
      <c r="X60" s="1390"/>
      <c r="Y60" s="1390"/>
      <c r="Z60" s="1390"/>
      <c r="AA60" s="1390"/>
      <c r="AB60" s="1390"/>
      <c r="AC60" s="1390"/>
      <c r="AD60" s="1390"/>
      <c r="AE60" s="1390"/>
      <c r="AF60" s="1390"/>
      <c r="AG60" s="1390"/>
      <c r="AH60" s="1390"/>
      <c r="AI60" s="1390"/>
      <c r="AJ60" s="1390"/>
      <c r="AK60" s="1390"/>
      <c r="AL60" s="1390"/>
      <c r="AM60" s="1390"/>
      <c r="AN60" s="1390"/>
      <c r="AO60" s="1390"/>
      <c r="AP60" s="1390"/>
      <c r="AQ60" s="1390"/>
      <c r="AR60" s="1591">
        <v>0</v>
      </c>
    </row>
    <row s="7787" customFormat="1" customHeight="1" ht="17.25" hidden="1">
      <c r="A61" s="445"/>
      <c r="C61" s="333"/>
      <c r="D61" s="2273"/>
      <c r="E61" s="2281"/>
      <c r="F61" s="2283"/>
      <c r="G61" s="2281"/>
      <c r="H61" s="2286"/>
      <c r="I61" s="2288"/>
      <c r="J61" s="2291"/>
      <c r="K61" s="2275"/>
      <c r="L61" s="2055"/>
      <c r="M61" s="2055"/>
      <c r="N61" s="2055"/>
      <c r="O61" s="2055"/>
      <c r="P61" s="2055"/>
      <c r="Q61" s="2055"/>
      <c r="R61" s="2055"/>
      <c r="S61" s="453"/>
      <c r="T61" s="453"/>
      <c r="U61" s="453"/>
      <c r="V61" s="453"/>
      <c r="W61" s="2056"/>
      <c r="Y61" s="1391"/>
      <c r="Z61" s="1391"/>
      <c r="AA61" s="1391"/>
      <c r="AB61" s="1391"/>
      <c r="AC61" s="1391"/>
      <c r="AD61" s="1391"/>
      <c r="AE61" s="1391"/>
      <c r="AF61" s="1391"/>
      <c r="AG61" s="1391"/>
      <c r="AH61" s="1391"/>
      <c r="AI61" s="1391"/>
      <c r="AJ61" s="1391"/>
      <c r="AK61" s="1391"/>
      <c r="AL61" s="1391"/>
      <c r="AM61" s="1391"/>
      <c r="AN61" s="1391"/>
      <c r="AO61" s="1391"/>
      <c r="AP61" s="1391"/>
      <c r="AQ61" s="1391"/>
      <c r="AR61" s="1591">
        <v>0</v>
      </c>
    </row>
    <row s="7787" customFormat="1" customHeight="1" ht="17.25" hidden="1">
      <c r="A62" s="445"/>
      <c r="C62" s="444"/>
      <c r="D62" s="2273"/>
      <c r="E62" s="2281"/>
      <c r="F62" s="2284"/>
      <c r="G62" s="2281"/>
      <c r="H62" s="1423"/>
      <c r="I62" s="2057"/>
      <c r="J62" s="2057"/>
      <c r="K62" s="2057"/>
      <c r="L62" s="2057"/>
      <c r="M62" s="2057"/>
      <c r="N62" s="2057"/>
      <c r="O62" s="2057"/>
      <c r="P62" s="2057"/>
      <c r="Q62" s="2057"/>
      <c r="R62" s="2057"/>
      <c r="S62" s="1425"/>
      <c r="T62" s="1425"/>
      <c r="U62" s="1425"/>
      <c r="V62" s="1425"/>
      <c r="W62" s="2058"/>
      <c r="X62" s="1390"/>
      <c r="Y62" s="1390"/>
      <c r="Z62" s="1390"/>
      <c r="AA62" s="1390"/>
      <c r="AB62" s="1390"/>
      <c r="AC62" s="1390"/>
      <c r="AD62" s="1390"/>
      <c r="AE62" s="1390"/>
      <c r="AF62" s="1390"/>
      <c r="AG62" s="1390"/>
      <c r="AH62" s="1390"/>
      <c r="AI62" s="1390"/>
      <c r="AJ62" s="1390"/>
      <c r="AK62" s="1390"/>
      <c r="AL62" s="1390"/>
      <c r="AM62" s="1390"/>
      <c r="AN62" s="1390"/>
      <c r="AO62" s="1390"/>
      <c r="AP62" s="1390"/>
      <c r="AQ62" s="1390"/>
      <c r="AR62" s="1591">
        <v>0</v>
      </c>
    </row>
    <row s="7787" customFormat="1" customHeight="1" ht="17.25" hidden="1">
      <c r="A63" s="445"/>
      <c r="C63" s="333"/>
      <c r="D63" s="2272">
        <v>10</v>
      </c>
      <c r="E63" s="2280" t="s">
        <v>322</v>
      </c>
      <c r="F63" s="2282" t="s">
        <v>19</v>
      </c>
      <c r="G63" s="2280"/>
      <c r="H63" s="2285"/>
      <c r="I63" s="2287"/>
      <c r="J63" s="2289"/>
      <c r="K63" s="2274"/>
      <c r="L63" s="2274"/>
      <c r="M63" s="2274"/>
      <c r="N63" s="2276"/>
      <c r="O63" s="2274"/>
      <c r="P63" s="2274"/>
      <c r="Q63" s="2274"/>
      <c r="R63" s="2279"/>
      <c r="S63" s="2274"/>
      <c r="T63" s="2052"/>
      <c r="U63" s="2052"/>
      <c r="V63" s="2054"/>
      <c r="W63" s="1420"/>
      <c r="X63" s="1391"/>
      <c r="Y63" s="1391"/>
      <c r="Z63" s="1391"/>
      <c r="AA63" s="1391"/>
      <c r="AB63" s="1391"/>
      <c r="AC63" s="1391" t="s">
        <v>323</v>
      </c>
      <c r="AD63" s="1391" t="s">
        <v>324</v>
      </c>
      <c r="AE63" s="1391" t="s">
        <v>325</v>
      </c>
      <c r="AF63" s="1391" t="s">
        <v>326</v>
      </c>
      <c r="AG63" s="1391" t="s">
        <v>327</v>
      </c>
      <c r="AH63" s="1391" t="str">
        <f>IF($E$63=0,"",$E$63)</f>
        <v>Предельный уровень цены на тепловую энергию (мощность), поставляемую теплоснабжающими организациями потребителям</v>
      </c>
      <c r="AI63" s="1391" t="str">
        <f>IF($G$63=0,"",$G$63)</f>
        <v/>
      </c>
      <c r="AJ63" s="1391" t="str">
        <f>IF($J$63=0,"",$J$63)</f>
        <v/>
      </c>
      <c r="AK63" s="1391" t="str">
        <f>IF($K$63="нет","без дифференциации",IF($N$63=0,"",$N$63))</f>
        <v/>
      </c>
      <c r="AL63" s="1391" t="str">
        <f>IF($O$63="нет","без дифференциации",IF($R$63=0,"",$R$63))</f>
        <v/>
      </c>
      <c r="AM63" s="1391" t="str">
        <f>IF($S$63="нет","без дифференциации",IF($V$63=0,"",$V$63))</f>
        <v/>
      </c>
      <c r="AN63" s="1895">
        <f>$I$63</f>
        <v>0</v>
      </c>
      <c r="AO63" s="1391" t="str">
        <f>$I$63&amp;"."&amp;$M$63</f>
        <v>.</v>
      </c>
      <c r="AP63" s="1390" t="str">
        <f>$I$63&amp;"."&amp;$M$63&amp;"."&amp;$Q$63</f>
        <v>..</v>
      </c>
      <c r="AQ63" s="1390" t="str">
        <f>$I$63&amp;"."&amp;$M$63&amp;"."&amp;$Q$63&amp;"."&amp;$U$63</f>
        <v>...</v>
      </c>
      <c r="AR63" s="1591">
        <v>0</v>
      </c>
    </row>
    <row s="7787" customFormat="1" customHeight="1" ht="17.25" hidden="1">
      <c r="A64" s="445"/>
      <c r="C64" s="444"/>
      <c r="D64" s="2272"/>
      <c r="E64" s="2280"/>
      <c r="F64" s="2283"/>
      <c r="G64" s="2280"/>
      <c r="H64" s="2286"/>
      <c r="I64" s="2288"/>
      <c r="J64" s="2290"/>
      <c r="K64" s="2275"/>
      <c r="L64" s="2275"/>
      <c r="M64" s="2275"/>
      <c r="N64" s="2277"/>
      <c r="O64" s="2275"/>
      <c r="P64" s="2275"/>
      <c r="Q64" s="2275"/>
      <c r="R64" s="2278"/>
      <c r="S64" s="2275"/>
      <c r="T64" s="2055"/>
      <c r="U64" s="2055"/>
      <c r="V64" s="2055"/>
      <c r="W64" s="2056"/>
      <c r="X64" s="1390"/>
      <c r="Y64" s="1390"/>
      <c r="Z64" s="1390"/>
      <c r="AA64" s="1390"/>
      <c r="AB64" s="1390"/>
      <c r="AC64" s="1390"/>
      <c r="AD64" s="1390"/>
      <c r="AE64" s="1390"/>
      <c r="AF64" s="1390"/>
      <c r="AG64" s="1390"/>
      <c r="AH64" s="1390"/>
      <c r="AI64" s="1390"/>
      <c r="AJ64" s="1390"/>
      <c r="AK64" s="1390"/>
      <c r="AL64" s="1390"/>
      <c r="AM64" s="1390"/>
      <c r="AN64" s="1390"/>
      <c r="AO64" s="1390"/>
      <c r="AP64" s="1390"/>
      <c r="AQ64" s="1390"/>
      <c r="AR64" s="1591">
        <v>0</v>
      </c>
    </row>
    <row s="7787" customFormat="1" customHeight="1" ht="17.25" hidden="1">
      <c r="A65" s="445"/>
      <c r="C65" s="444"/>
      <c r="D65" s="2273"/>
      <c r="E65" s="2281"/>
      <c r="F65" s="2283"/>
      <c r="G65" s="2281"/>
      <c r="H65" s="2286"/>
      <c r="I65" s="2288"/>
      <c r="J65" s="2291"/>
      <c r="K65" s="2275"/>
      <c r="L65" s="2275"/>
      <c r="M65" s="2275"/>
      <c r="N65" s="2278"/>
      <c r="O65" s="2275"/>
      <c r="P65" s="2053"/>
      <c r="Q65" s="2055"/>
      <c r="R65" s="2055"/>
      <c r="S65" s="453"/>
      <c r="T65" s="453"/>
      <c r="U65" s="453"/>
      <c r="V65" s="453"/>
      <c r="W65" s="2056"/>
      <c r="X65" s="1390"/>
      <c r="Y65" s="1390"/>
      <c r="Z65" s="1390"/>
      <c r="AA65" s="1390"/>
      <c r="AB65" s="1390"/>
      <c r="AC65" s="1390"/>
      <c r="AD65" s="1390"/>
      <c r="AE65" s="1390"/>
      <c r="AF65" s="1390"/>
      <c r="AG65" s="1390"/>
      <c r="AH65" s="1390"/>
      <c r="AI65" s="1390"/>
      <c r="AJ65" s="1390"/>
      <c r="AK65" s="1390"/>
      <c r="AL65" s="1390"/>
      <c r="AM65" s="1390"/>
      <c r="AN65" s="1390"/>
      <c r="AO65" s="1390"/>
      <c r="AP65" s="1390"/>
      <c r="AQ65" s="1390"/>
      <c r="AR65" s="1591">
        <v>0</v>
      </c>
    </row>
    <row s="7787" customFormat="1" customHeight="1" ht="17.25" hidden="1">
      <c r="A66" s="445"/>
      <c r="C66" s="333"/>
      <c r="D66" s="2273"/>
      <c r="E66" s="2281"/>
      <c r="F66" s="2283"/>
      <c r="G66" s="2281"/>
      <c r="H66" s="2286"/>
      <c r="I66" s="2288"/>
      <c r="J66" s="2291"/>
      <c r="K66" s="2275"/>
      <c r="L66" s="2055"/>
      <c r="M66" s="2055"/>
      <c r="N66" s="2055"/>
      <c r="O66" s="2055"/>
      <c r="P66" s="2055"/>
      <c r="Q66" s="2055"/>
      <c r="R66" s="2055"/>
      <c r="S66" s="453"/>
      <c r="T66" s="453"/>
      <c r="U66" s="453"/>
      <c r="V66" s="453"/>
      <c r="W66" s="2056"/>
      <c r="Y66" s="1391"/>
      <c r="Z66" s="1391"/>
      <c r="AA66" s="1391"/>
      <c r="AB66" s="1391"/>
      <c r="AC66" s="1391"/>
      <c r="AD66" s="1391"/>
      <c r="AE66" s="1391"/>
      <c r="AF66" s="1391"/>
      <c r="AG66" s="1391"/>
      <c r="AH66" s="1391"/>
      <c r="AI66" s="1391"/>
      <c r="AJ66" s="1391"/>
      <c r="AK66" s="1391"/>
      <c r="AL66" s="1391"/>
      <c r="AM66" s="1391"/>
      <c r="AN66" s="1391"/>
      <c r="AO66" s="1391"/>
      <c r="AP66" s="1391"/>
      <c r="AQ66" s="1391"/>
      <c r="AR66" s="1591">
        <v>0</v>
      </c>
    </row>
    <row s="7787" customFormat="1" customHeight="1" ht="17.25" hidden="1">
      <c r="A67" s="445"/>
      <c r="C67" s="444"/>
      <c r="D67" s="2273"/>
      <c r="E67" s="2281"/>
      <c r="F67" s="2284"/>
      <c r="G67" s="2281"/>
      <c r="H67" s="1423"/>
      <c r="I67" s="2057"/>
      <c r="J67" s="2057"/>
      <c r="K67" s="2057"/>
      <c r="L67" s="2057"/>
      <c r="M67" s="2057"/>
      <c r="N67" s="2057"/>
      <c r="O67" s="2057"/>
      <c r="P67" s="2057"/>
      <c r="Q67" s="2057"/>
      <c r="R67" s="2057"/>
      <c r="S67" s="1425"/>
      <c r="T67" s="1425"/>
      <c r="U67" s="1425"/>
      <c r="V67" s="1425"/>
      <c r="W67" s="2058"/>
      <c r="X67" s="1390"/>
      <c r="Y67" s="1390"/>
      <c r="Z67" s="1390"/>
      <c r="AA67" s="1390"/>
      <c r="AB67" s="1390"/>
      <c r="AC67" s="1390"/>
      <c r="AD67" s="1390"/>
      <c r="AE67" s="1390"/>
      <c r="AF67" s="1390"/>
      <c r="AG67" s="1390"/>
      <c r="AH67" s="1390"/>
      <c r="AI67" s="1390"/>
      <c r="AJ67" s="1390"/>
      <c r="AK67" s="1390"/>
      <c r="AL67" s="1390"/>
      <c r="AM67" s="1390"/>
      <c r="AN67" s="1390"/>
      <c r="AO67" s="1390"/>
      <c r="AP67" s="1390"/>
      <c r="AQ67" s="1390"/>
      <c r="AR67" s="1591">
        <v>0</v>
      </c>
    </row>
    <row customHeight="1" ht="11.25" hidden="1">
      <c r="AR68" s="228">
        <v>0</v>
      </c>
    </row>
    <row customHeight="1" ht="11.25" hidden="1">
      <c r="E69" s="2311" t="s">
        <v>328</v>
      </c>
      <c r="F69" s="2311"/>
      <c r="G69" s="2311"/>
      <c r="H69" s="2311"/>
      <c r="I69" s="2311"/>
      <c r="J69" s="2311"/>
      <c r="K69" s="2311"/>
      <c r="L69" s="2311"/>
      <c r="M69" s="2311"/>
      <c r="N69" s="2311"/>
      <c r="O69" s="2311"/>
      <c r="P69" s="2311"/>
      <c r="Q69" s="2311"/>
      <c r="R69" s="2311"/>
      <c r="S69" s="2311"/>
      <c r="T69" s="2311"/>
      <c r="U69" s="2311"/>
      <c r="V69" s="2311"/>
      <c r="W69" s="2311"/>
      <c r="AR69" s="228">
        <v>0</v>
      </c>
    </row>
    <row customHeight="1" ht="36.75" hidden="1">
      <c r="E70" s="2309" t="s">
        <v>329</v>
      </c>
      <c r="F70" s="2309"/>
      <c r="G70" s="2310"/>
      <c r="H70" s="2310"/>
      <c r="I70" s="2310"/>
      <c r="J70" s="2310"/>
      <c r="K70" s="2310"/>
      <c r="L70" s="2310"/>
      <c r="M70" s="2310"/>
      <c r="N70" s="2310"/>
      <c r="O70" s="2310"/>
      <c r="P70" s="2310"/>
      <c r="Q70" s="2310"/>
      <c r="R70" s="2310"/>
      <c r="S70" s="2310"/>
      <c r="T70" s="2310"/>
      <c r="U70" s="2310"/>
      <c r="V70" s="2310"/>
      <c r="W70" s="2310"/>
      <c r="AR70" s="228">
        <v>0</v>
      </c>
    </row>
    <row customHeight="1" ht="28.5" hidden="1">
      <c r="E71" s="2309" t="s">
        <v>330</v>
      </c>
      <c r="F71" s="2309"/>
      <c r="G71" s="2310"/>
      <c r="H71" s="2310"/>
      <c r="I71" s="2310"/>
      <c r="J71" s="2310"/>
      <c r="K71" s="2310"/>
      <c r="L71" s="2310"/>
      <c r="M71" s="2310"/>
      <c r="N71" s="2310"/>
      <c r="O71" s="2310"/>
      <c r="P71" s="2310"/>
      <c r="Q71" s="2310"/>
      <c r="R71" s="2310"/>
      <c r="S71" s="2310"/>
      <c r="T71" s="2310"/>
      <c r="U71" s="2310"/>
      <c r="V71" s="2310"/>
      <c r="W71" s="2310"/>
      <c r="AR71" s="228">
        <v>0</v>
      </c>
    </row>
    <row customHeight="1" ht="27" hidden="1">
      <c r="E72" s="2309" t="s">
        <v>331</v>
      </c>
      <c r="F72" s="2309"/>
      <c r="G72" s="2310"/>
      <c r="H72" s="2310"/>
      <c r="I72" s="2310"/>
      <c r="J72" s="2310"/>
      <c r="K72" s="2310"/>
      <c r="L72" s="2310"/>
      <c r="M72" s="2310"/>
      <c r="N72" s="2310"/>
      <c r="O72" s="2310"/>
      <c r="P72" s="2310"/>
      <c r="Q72" s="2310"/>
      <c r="R72" s="2310"/>
      <c r="S72" s="2310"/>
      <c r="T72" s="2310"/>
      <c r="U72" s="2310"/>
      <c r="V72" s="2310"/>
      <c r="W72" s="2310"/>
      <c r="AR72" s="228">
        <v>0</v>
      </c>
    </row>
    <row customHeight="1" ht="17.25" hidden="1">
      <c r="E73" s="2309" t="s">
        <v>332</v>
      </c>
      <c r="F73" s="2309"/>
      <c r="G73" s="2310"/>
      <c r="H73" s="2310"/>
      <c r="I73" s="2310"/>
      <c r="J73" s="2310"/>
      <c r="K73" s="2310"/>
      <c r="L73" s="2310"/>
      <c r="M73" s="2310"/>
      <c r="N73" s="2310"/>
      <c r="O73" s="2310"/>
      <c r="P73" s="2310"/>
      <c r="Q73" s="2310"/>
      <c r="R73" s="2310"/>
      <c r="S73" s="2310"/>
      <c r="T73" s="2310"/>
      <c r="U73" s="2310"/>
      <c r="V73" s="2310"/>
      <c r="W73" s="2310"/>
      <c r="AR73" s="228">
        <v>0</v>
      </c>
    </row>
    <row customHeight="1" ht="15" hidden="1">
      <c r="E74" s="464"/>
      <c r="F74" s="1409"/>
      <c r="G74" s="281"/>
      <c r="H74" s="281"/>
      <c r="I74" s="281"/>
      <c r="J74" s="281"/>
      <c r="K74" s="281"/>
      <c r="L74" s="281"/>
      <c r="M74" s="281"/>
      <c r="N74" s="281"/>
      <c r="O74" s="281"/>
      <c r="P74" s="281"/>
      <c r="Q74" s="281"/>
      <c r="R74" s="281"/>
      <c r="S74" s="281"/>
      <c r="T74" s="281"/>
      <c r="U74" s="281"/>
      <c r="V74" s="281"/>
      <c r="W74" s="281"/>
      <c r="AR74" s="228">
        <v>0</v>
      </c>
    </row>
    <row customHeight="1" ht="15" hidden="1">
      <c r="E75" s="2311" t="s">
        <v>333</v>
      </c>
      <c r="F75" s="2311"/>
      <c r="G75" s="2311"/>
      <c r="H75" s="2311"/>
      <c r="I75" s="2311"/>
      <c r="J75" s="2311"/>
      <c r="K75" s="2311"/>
      <c r="L75" s="2311"/>
      <c r="M75" s="2311"/>
      <c r="N75" s="2311"/>
      <c r="O75" s="2311"/>
      <c r="P75" s="2311"/>
      <c r="Q75" s="2311"/>
      <c r="R75" s="2311"/>
      <c r="S75" s="2311"/>
      <c r="T75" s="2311"/>
      <c r="U75" s="2311"/>
      <c r="V75" s="2311"/>
      <c r="W75" s="2311"/>
      <c r="AR75" s="228">
        <v>0</v>
      </c>
    </row>
    <row customHeight="1" ht="17.25" hidden="1">
      <c r="E76" s="2309" t="s">
        <v>334</v>
      </c>
      <c r="F76" s="2309"/>
      <c r="G76" s="2310"/>
      <c r="H76" s="2310"/>
      <c r="I76" s="2310"/>
      <c r="J76" s="2310"/>
      <c r="K76" s="2310"/>
      <c r="L76" s="2310"/>
      <c r="M76" s="2310"/>
      <c r="N76" s="2310"/>
      <c r="O76" s="2310"/>
      <c r="P76" s="2310"/>
      <c r="Q76" s="2310"/>
      <c r="R76" s="2310"/>
      <c r="S76" s="2310"/>
      <c r="T76" s="2310"/>
      <c r="U76" s="2310"/>
      <c r="V76" s="2310"/>
      <c r="W76" s="2310"/>
      <c r="AR76" s="228">
        <v>0</v>
      </c>
    </row>
    <row customHeight="1" ht="17.25" hidden="1">
      <c r="E77" s="2309" t="s">
        <v>335</v>
      </c>
      <c r="F77" s="2309"/>
      <c r="G77" s="2310"/>
      <c r="H77" s="2310"/>
      <c r="I77" s="2310"/>
      <c r="J77" s="2310"/>
      <c r="K77" s="2310"/>
      <c r="L77" s="2310"/>
      <c r="M77" s="2310"/>
      <c r="N77" s="2310"/>
      <c r="O77" s="2310"/>
      <c r="P77" s="2310"/>
      <c r="Q77" s="2310"/>
      <c r="R77" s="2310"/>
      <c r="S77" s="2310"/>
      <c r="T77" s="2310"/>
      <c r="U77" s="2310"/>
      <c r="V77" s="2310"/>
      <c r="W77" s="2310"/>
      <c r="AR77" s="228">
        <v>0</v>
      </c>
    </row>
    <row s="7787" customFormat="1" customHeight="1" ht="11.25" hidden="1">
      <c r="A78" s="401"/>
      <c r="B78" s="401"/>
      <c r="Y78" s="1383"/>
      <c r="Z78" s="1383"/>
      <c r="AA78" s="1383"/>
      <c r="AB78" s="1383"/>
      <c r="AC78" s="1383"/>
      <c r="AD78" s="1383"/>
      <c r="AE78" s="1383"/>
      <c r="AF78" s="1383"/>
      <c r="AG78" s="1383"/>
      <c r="AH78" s="1383"/>
      <c r="AI78" s="1383"/>
      <c r="AJ78" s="1383"/>
      <c r="AK78" s="1383"/>
      <c r="AL78" s="1383"/>
      <c r="AM78" s="1383"/>
      <c r="AN78" s="1383"/>
      <c r="AO78" s="1383"/>
      <c r="AP78" s="1383"/>
      <c r="AQ78" s="1383"/>
      <c r="AR78" s="1474">
        <v>0</v>
      </c>
    </row>
    <row s="7787" customFormat="1" customHeight="1" ht="17.25" hidden="1">
      <c r="A79" s="445"/>
      <c r="C79" s="333"/>
      <c r="D79" s="2272">
        <v>1</v>
      </c>
      <c r="E79" s="2280" t="s">
        <v>336</v>
      </c>
      <c r="F79" s="2282" t="s">
        <v>19</v>
      </c>
      <c r="G79" s="2280"/>
      <c r="H79" s="2285"/>
      <c r="I79" s="2287"/>
      <c r="J79" s="2289"/>
      <c r="K79" s="2274"/>
      <c r="L79" s="2274"/>
      <c r="M79" s="2274"/>
      <c r="N79" s="2276"/>
      <c r="O79" s="2274"/>
      <c r="P79" s="2274"/>
      <c r="Q79" s="2274"/>
      <c r="R79" s="2279"/>
      <c r="S79" s="2274"/>
      <c r="T79" s="1594"/>
      <c r="U79" s="1594"/>
      <c r="V79" s="1596"/>
      <c r="W79" s="1420"/>
      <c r="Y79" s="1391"/>
      <c r="Z79" s="1391"/>
      <c r="AA79" s="1391"/>
      <c r="AB79" s="1391"/>
      <c r="AC79" s="1391" t="s">
        <v>337</v>
      </c>
      <c r="AD79" s="1391" t="s">
        <v>338</v>
      </c>
      <c r="AE79" s="1391" t="s">
        <v>339</v>
      </c>
      <c r="AF79" s="1391" t="s">
        <v>340</v>
      </c>
      <c r="AG79" s="1391"/>
      <c r="AH79" s="1391" t="str">
        <f>IF($E$79=0,"",$E$79)</f>
        <v>Тариф на питьевую воду (питьевое водоснабжение)</v>
      </c>
      <c r="AI79" s="1391" t="str">
        <f>IF($G$79=0,"",$G$79)</f>
        <v/>
      </c>
      <c r="AJ79" s="1391" t="str">
        <f>IF($J$79=0,"",$J$79)</f>
        <v/>
      </c>
      <c r="AK79" s="1391" t="str">
        <f>IF($K$79="нет","без дифференциации",IF($N$79=0,"",$N$79))</f>
        <v/>
      </c>
      <c r="AL79" s="1391" t="str">
        <f>IF($O$79="нет","без дифференциации",IF($R$79=0,"",$R$79))</f>
        <v/>
      </c>
      <c r="AM79" s="1391" t="str">
        <f>IF($S$79="нет","без дифференциации",IF($V$79=0,"",$V$79))</f>
        <v/>
      </c>
      <c r="AN79" s="1391">
        <f>$I$79</f>
        <v>0</v>
      </c>
      <c r="AO79" s="1391" t="str">
        <f>$I$79&amp;"."&amp;$M$79</f>
        <v>.</v>
      </c>
      <c r="AP79" s="1391" t="str">
        <f>$I$79&amp;"."&amp;$M$79&amp;"."&amp;$Q$79</f>
        <v>..</v>
      </c>
      <c r="AQ79" s="1391" t="str">
        <f>$I$79&amp;"."&amp;$M$79&amp;"."&amp;$Q$79&amp;"."&amp;$U$79</f>
        <v>...</v>
      </c>
      <c r="AR79" s="1474">
        <v>0</v>
      </c>
    </row>
    <row s="7787" customFormat="1" customHeight="1" ht="17.25" hidden="1">
      <c r="A80" s="445"/>
      <c r="C80" s="444"/>
      <c r="D80" s="2272"/>
      <c r="E80" s="2280"/>
      <c r="F80" s="2283"/>
      <c r="G80" s="2280"/>
      <c r="H80" s="2286"/>
      <c r="I80" s="2288"/>
      <c r="J80" s="2290"/>
      <c r="K80" s="2275"/>
      <c r="L80" s="2275"/>
      <c r="M80" s="2275"/>
      <c r="N80" s="2277"/>
      <c r="O80" s="2275"/>
      <c r="P80" s="2275"/>
      <c r="Q80" s="2275"/>
      <c r="R80" s="2278"/>
      <c r="S80" s="2275"/>
      <c r="T80" s="1421"/>
      <c r="U80" s="1421"/>
      <c r="V80" s="1421"/>
      <c r="W80" s="1422"/>
      <c r="Y80" s="1383"/>
      <c r="Z80" s="1383"/>
      <c r="AA80" s="1383"/>
      <c r="AB80" s="1383"/>
      <c r="AC80" s="1383"/>
      <c r="AD80" s="1383"/>
      <c r="AE80" s="1383"/>
      <c r="AF80" s="1383"/>
      <c r="AG80" s="1383"/>
      <c r="AH80" s="1383"/>
      <c r="AI80" s="1383"/>
      <c r="AJ80" s="1383"/>
      <c r="AK80" s="1383"/>
      <c r="AL80" s="1383"/>
      <c r="AM80" s="1383"/>
      <c r="AN80" s="1383"/>
      <c r="AO80" s="1383"/>
      <c r="AP80" s="1383"/>
      <c r="AQ80" s="1383"/>
      <c r="AR80" s="1474">
        <v>0</v>
      </c>
    </row>
    <row s="7787" customFormat="1" customHeight="1" ht="17.25" hidden="1">
      <c r="A81" s="445"/>
      <c r="C81" s="333"/>
      <c r="D81" s="2272"/>
      <c r="E81" s="2280"/>
      <c r="F81" s="2283"/>
      <c r="G81" s="2280"/>
      <c r="H81" s="2286"/>
      <c r="I81" s="2288"/>
      <c r="J81" s="2291"/>
      <c r="K81" s="2275"/>
      <c r="L81" s="2275"/>
      <c r="M81" s="2275"/>
      <c r="N81" s="2278"/>
      <c r="O81" s="2275"/>
      <c r="P81" s="1595"/>
      <c r="Q81" s="1421"/>
      <c r="R81" s="1421"/>
      <c r="S81" s="453"/>
      <c r="T81" s="453"/>
      <c r="U81" s="453"/>
      <c r="V81" s="453"/>
      <c r="W81" s="1422"/>
      <c r="Y81" s="1391"/>
      <c r="Z81" s="1391"/>
      <c r="AA81" s="1391"/>
      <c r="AB81" s="1391"/>
      <c r="AC81" s="1391"/>
      <c r="AD81" s="1391"/>
      <c r="AE81" s="1391"/>
      <c r="AF81" s="1391"/>
      <c r="AG81" s="1391"/>
      <c r="AH81" s="1391"/>
      <c r="AI81" s="1391"/>
      <c r="AJ81" s="1391"/>
      <c r="AK81" s="1391"/>
      <c r="AL81" s="1391"/>
      <c r="AM81" s="1391"/>
      <c r="AN81" s="1391"/>
      <c r="AO81" s="1391"/>
      <c r="AP81" s="1391"/>
      <c r="AQ81" s="1391"/>
      <c r="AR81" s="1565">
        <v>0</v>
      </c>
    </row>
    <row s="7787" customFormat="1" customHeight="1" ht="17.25" hidden="1">
      <c r="A82" s="445"/>
      <c r="C82" s="444"/>
      <c r="D82" s="2272"/>
      <c r="E82" s="2280"/>
      <c r="F82" s="2283"/>
      <c r="G82" s="2280"/>
      <c r="H82" s="2286"/>
      <c r="I82" s="2288"/>
      <c r="J82" s="2291"/>
      <c r="K82" s="2275"/>
      <c r="L82" s="1421"/>
      <c r="M82" s="1421"/>
      <c r="N82" s="1421"/>
      <c r="O82" s="1421"/>
      <c r="P82" s="1421"/>
      <c r="Q82" s="1421"/>
      <c r="R82" s="1421"/>
      <c r="S82" s="453"/>
      <c r="T82" s="453"/>
      <c r="U82" s="453"/>
      <c r="V82" s="453"/>
      <c r="W82" s="1422"/>
      <c r="Y82" s="1383"/>
      <c r="Z82" s="1383"/>
      <c r="AA82" s="1383"/>
      <c r="AB82" s="1383"/>
      <c r="AC82" s="1383"/>
      <c r="AD82" s="1383"/>
      <c r="AE82" s="1383"/>
      <c r="AF82" s="1383"/>
      <c r="AG82" s="1383"/>
      <c r="AH82" s="1383"/>
      <c r="AI82" s="1383"/>
      <c r="AJ82" s="1383"/>
      <c r="AK82" s="1383"/>
      <c r="AL82" s="1383"/>
      <c r="AM82" s="1383"/>
      <c r="AN82" s="1383"/>
      <c r="AO82" s="1383"/>
      <c r="AP82" s="1383"/>
      <c r="AQ82" s="1383"/>
      <c r="AR82" s="1565">
        <v>0</v>
      </c>
    </row>
    <row s="7787" customFormat="1" customHeight="1" ht="17.25" hidden="1">
      <c r="A83" s="445"/>
      <c r="C83" s="444"/>
      <c r="D83" s="2273"/>
      <c r="E83" s="2281"/>
      <c r="F83" s="2284"/>
      <c r="G83" s="2281"/>
      <c r="H83" s="1423"/>
      <c r="I83" s="1424"/>
      <c r="J83" s="1424"/>
      <c r="K83" s="1424"/>
      <c r="L83" s="1424"/>
      <c r="M83" s="1424"/>
      <c r="N83" s="1424"/>
      <c r="O83" s="1424"/>
      <c r="P83" s="1424"/>
      <c r="Q83" s="1424"/>
      <c r="R83" s="1424"/>
      <c r="S83" s="1425"/>
      <c r="T83" s="1425"/>
      <c r="U83" s="1425"/>
      <c r="V83" s="1425"/>
      <c r="W83" s="1426"/>
      <c r="Y83" s="1383"/>
      <c r="Z83" s="1383"/>
      <c r="AA83" s="1383"/>
      <c r="AB83" s="1383"/>
      <c r="AC83" s="1383"/>
      <c r="AD83" s="1383"/>
      <c r="AE83" s="1383"/>
      <c r="AF83" s="1383"/>
      <c r="AG83" s="1383"/>
      <c r="AH83" s="1383"/>
      <c r="AI83" s="1383"/>
      <c r="AJ83" s="1383"/>
      <c r="AK83" s="1383"/>
      <c r="AL83" s="1383"/>
      <c r="AM83" s="1383"/>
      <c r="AN83" s="1383"/>
      <c r="AO83" s="1383"/>
      <c r="AP83" s="1383"/>
      <c r="AQ83" s="1383"/>
      <c r="AR83" s="1474">
        <v>0</v>
      </c>
    </row>
    <row s="7787" customFormat="1" customHeight="1" ht="17.25" hidden="1">
      <c r="A84" s="445"/>
      <c r="C84" s="333"/>
      <c r="D84" s="2272">
        <v>2</v>
      </c>
      <c r="E84" s="2280" t="s">
        <v>341</v>
      </c>
      <c r="F84" s="2282" t="s">
        <v>19</v>
      </c>
      <c r="G84" s="2280"/>
      <c r="H84" s="2285"/>
      <c r="I84" s="2287"/>
      <c r="J84" s="2289"/>
      <c r="K84" s="2274"/>
      <c r="L84" s="2274"/>
      <c r="M84" s="2274"/>
      <c r="N84" s="2276"/>
      <c r="O84" s="2274"/>
      <c r="P84" s="2274"/>
      <c r="Q84" s="2274"/>
      <c r="R84" s="2279"/>
      <c r="S84" s="2274"/>
      <c r="T84" s="1567"/>
      <c r="U84" s="1567"/>
      <c r="V84" s="1569"/>
      <c r="W84" s="1420"/>
      <c r="X84" s="1391"/>
      <c r="Y84" s="1391"/>
      <c r="Z84" s="1391"/>
      <c r="AA84" s="1391"/>
      <c r="AB84" s="1391"/>
      <c r="AC84" s="1391" t="s">
        <v>342</v>
      </c>
      <c r="AD84" s="1391" t="s">
        <v>343</v>
      </c>
      <c r="AE84" s="1391" t="s">
        <v>344</v>
      </c>
      <c r="AF84" s="1391" t="s">
        <v>345</v>
      </c>
      <c r="AG84" s="1391"/>
      <c r="AH84" s="1391" t="str">
        <f>IF($E$84=0,"",$E$84)</f>
        <v>Тариф на техническую воду</v>
      </c>
      <c r="AI84" s="1391" t="str">
        <f>IF($G$84=0,"",$G$84)</f>
        <v/>
      </c>
      <c r="AJ84" s="1391" t="str">
        <f>IF($J$84=0,"",$J$84)</f>
        <v/>
      </c>
      <c r="AK84" s="1391" t="str">
        <f>IF($K$84="нет","без дифференциации",IF($N$84=0,"",$N$84))</f>
        <v/>
      </c>
      <c r="AL84" s="1391" t="str">
        <f>IF($O$84="нет","без дифференциации",IF($R$84=0,"",$R$84))</f>
        <v/>
      </c>
      <c r="AM84" s="1391" t="str">
        <f>IF($S$84="нет","без дифференциации",IF($V$84=0,"",$V$84))</f>
        <v/>
      </c>
      <c r="AN84" s="1895">
        <f>$I$84</f>
        <v>0</v>
      </c>
      <c r="AO84" s="1391" t="str">
        <f>$I$84&amp;"."&amp;$M$84</f>
        <v>.</v>
      </c>
      <c r="AP84" s="1383" t="str">
        <f>$I$84&amp;"."&amp;$M$84&amp;"."&amp;$Q$84</f>
        <v>..</v>
      </c>
      <c r="AQ84" s="1383" t="str">
        <f>$I$84&amp;"."&amp;$M$84&amp;"."&amp;$Q$84&amp;"."&amp;$U$84</f>
        <v>...</v>
      </c>
      <c r="AR84" s="1474">
        <v>0</v>
      </c>
    </row>
    <row s="7787" customFormat="1" customHeight="1" ht="17.25" hidden="1">
      <c r="A85" s="445"/>
      <c r="C85" s="444"/>
      <c r="D85" s="2272"/>
      <c r="E85" s="2280"/>
      <c r="F85" s="2283"/>
      <c r="G85" s="2280"/>
      <c r="H85" s="2286"/>
      <c r="I85" s="2288"/>
      <c r="J85" s="2290"/>
      <c r="K85" s="2275"/>
      <c r="L85" s="2275"/>
      <c r="M85" s="2275"/>
      <c r="N85" s="2277"/>
      <c r="O85" s="2275"/>
      <c r="P85" s="2275"/>
      <c r="Q85" s="2275"/>
      <c r="R85" s="2278"/>
      <c r="S85" s="2275"/>
      <c r="T85" s="1421"/>
      <c r="U85" s="1421"/>
      <c r="V85" s="1421"/>
      <c r="W85" s="1422"/>
      <c r="X85" s="1383"/>
      <c r="Y85" s="1383"/>
      <c r="Z85" s="1383"/>
      <c r="AA85" s="1383"/>
      <c r="AB85" s="1383"/>
      <c r="AC85" s="1383"/>
      <c r="AD85" s="1383"/>
      <c r="AE85" s="1383"/>
      <c r="AF85" s="1383"/>
      <c r="AG85" s="1383"/>
      <c r="AH85" s="1383"/>
      <c r="AI85" s="1383"/>
      <c r="AJ85" s="1383"/>
      <c r="AK85" s="1383"/>
      <c r="AL85" s="1383"/>
      <c r="AM85" s="1383"/>
      <c r="AN85" s="1383"/>
      <c r="AO85" s="1383"/>
      <c r="AP85" s="1383"/>
      <c r="AQ85" s="1383"/>
      <c r="AR85" s="1474">
        <v>0</v>
      </c>
    </row>
    <row s="7787" customFormat="1" customHeight="1" ht="17.25" hidden="1">
      <c r="A86" s="445"/>
      <c r="C86" s="444"/>
      <c r="D86" s="2273"/>
      <c r="E86" s="2281"/>
      <c r="F86" s="2283"/>
      <c r="G86" s="2281"/>
      <c r="H86" s="2286"/>
      <c r="I86" s="2288"/>
      <c r="J86" s="2291"/>
      <c r="K86" s="2275"/>
      <c r="L86" s="2275"/>
      <c r="M86" s="2275"/>
      <c r="N86" s="2278"/>
      <c r="O86" s="2275"/>
      <c r="P86" s="1568"/>
      <c r="Q86" s="1421"/>
      <c r="R86" s="1421"/>
      <c r="S86" s="453"/>
      <c r="T86" s="453"/>
      <c r="U86" s="453"/>
      <c r="V86" s="453"/>
      <c r="W86" s="1422"/>
      <c r="X86" s="1383"/>
      <c r="Y86" s="1383"/>
      <c r="Z86" s="1383"/>
      <c r="AA86" s="1383"/>
      <c r="AB86" s="1383"/>
      <c r="AC86" s="1383"/>
      <c r="AD86" s="1383"/>
      <c r="AE86" s="1383"/>
      <c r="AF86" s="1383"/>
      <c r="AG86" s="1383"/>
      <c r="AH86" s="1383"/>
      <c r="AI86" s="1383"/>
      <c r="AJ86" s="1383"/>
      <c r="AK86" s="1383"/>
      <c r="AL86" s="1383"/>
      <c r="AM86" s="1383"/>
      <c r="AN86" s="1383"/>
      <c r="AO86" s="1383"/>
      <c r="AP86" s="1383"/>
      <c r="AQ86" s="1383"/>
      <c r="AR86" s="1474">
        <v>0</v>
      </c>
    </row>
    <row s="7787" customFormat="1" customHeight="1" ht="17.25" hidden="1">
      <c r="A87" s="445"/>
      <c r="C87" s="444"/>
      <c r="D87" s="2273"/>
      <c r="E87" s="2281"/>
      <c r="F87" s="2283"/>
      <c r="G87" s="2281"/>
      <c r="H87" s="2286"/>
      <c r="I87" s="2288"/>
      <c r="J87" s="2291"/>
      <c r="K87" s="2275"/>
      <c r="L87" s="1421"/>
      <c r="M87" s="1421"/>
      <c r="N87" s="1421"/>
      <c r="O87" s="1421"/>
      <c r="P87" s="1421"/>
      <c r="Q87" s="1421"/>
      <c r="R87" s="1421"/>
      <c r="S87" s="453"/>
      <c r="T87" s="453"/>
      <c r="U87" s="453"/>
      <c r="V87" s="453"/>
      <c r="W87" s="1422"/>
      <c r="X87" s="1383"/>
      <c r="Y87" s="1383"/>
      <c r="Z87" s="1383"/>
      <c r="AA87" s="1383"/>
      <c r="AB87" s="1383"/>
      <c r="AC87" s="1383"/>
      <c r="AD87" s="1383"/>
      <c r="AE87" s="1383"/>
      <c r="AF87" s="1383"/>
      <c r="AG87" s="1383"/>
      <c r="AH87" s="1383"/>
      <c r="AI87" s="1383"/>
      <c r="AJ87" s="1383"/>
      <c r="AK87" s="1383"/>
      <c r="AL87" s="1383"/>
      <c r="AM87" s="1383"/>
      <c r="AN87" s="1383"/>
      <c r="AO87" s="1383"/>
      <c r="AP87" s="1383"/>
      <c r="AQ87" s="1383"/>
      <c r="AR87" s="1474">
        <v>0</v>
      </c>
    </row>
    <row s="7787" customFormat="1" customHeight="1" ht="17.25" hidden="1">
      <c r="A88" s="445"/>
      <c r="C88" s="444"/>
      <c r="D88" s="2273"/>
      <c r="E88" s="2281"/>
      <c r="F88" s="2284"/>
      <c r="G88" s="2281"/>
      <c r="H88" s="1423"/>
      <c r="I88" s="1424"/>
      <c r="J88" s="1424"/>
      <c r="K88" s="1424"/>
      <c r="L88" s="1424"/>
      <c r="M88" s="1424"/>
      <c r="N88" s="1424"/>
      <c r="O88" s="1424"/>
      <c r="P88" s="1424"/>
      <c r="Q88" s="1424"/>
      <c r="R88" s="1424"/>
      <c r="S88" s="1425"/>
      <c r="T88" s="1425"/>
      <c r="U88" s="1425"/>
      <c r="V88" s="1425"/>
      <c r="W88" s="1426"/>
      <c r="X88" s="1383"/>
      <c r="Y88" s="1383"/>
      <c r="Z88" s="1383"/>
      <c r="AA88" s="1383"/>
      <c r="AB88" s="1383"/>
      <c r="AC88" s="1383"/>
      <c r="AD88" s="1383"/>
      <c r="AE88" s="1383"/>
      <c r="AF88" s="1383"/>
      <c r="AG88" s="1383"/>
      <c r="AH88" s="1383"/>
      <c r="AI88" s="1383"/>
      <c r="AJ88" s="1383"/>
      <c r="AK88" s="1383"/>
      <c r="AL88" s="1383"/>
      <c r="AM88" s="1383"/>
      <c r="AN88" s="1383"/>
      <c r="AO88" s="1383"/>
      <c r="AP88" s="1383"/>
      <c r="AQ88" s="1383"/>
      <c r="AR88" s="1474">
        <v>0</v>
      </c>
    </row>
    <row s="7787" customFormat="1" customHeight="1" ht="17.25" hidden="1">
      <c r="A89" s="445"/>
      <c r="C89" s="333"/>
      <c r="D89" s="2272">
        <v>3</v>
      </c>
      <c r="E89" s="2280" t="s">
        <v>346</v>
      </c>
      <c r="F89" s="2282" t="s">
        <v>19</v>
      </c>
      <c r="G89" s="2280"/>
      <c r="H89" s="2285"/>
      <c r="I89" s="2287"/>
      <c r="J89" s="2289"/>
      <c r="K89" s="2274"/>
      <c r="L89" s="2274"/>
      <c r="M89" s="2274"/>
      <c r="N89" s="2276"/>
      <c r="O89" s="2274"/>
      <c r="P89" s="2274"/>
      <c r="Q89" s="2274"/>
      <c r="R89" s="2279"/>
      <c r="S89" s="2274"/>
      <c r="T89" s="1567"/>
      <c r="U89" s="1567"/>
      <c r="V89" s="1569"/>
      <c r="W89" s="1420"/>
      <c r="X89" s="1391"/>
      <c r="Y89" s="1391"/>
      <c r="Z89" s="1391"/>
      <c r="AA89" s="1391"/>
      <c r="AB89" s="1391"/>
      <c r="AC89" s="1391" t="s">
        <v>347</v>
      </c>
      <c r="AD89" s="1391" t="s">
        <v>348</v>
      </c>
      <c r="AE89" s="1391" t="s">
        <v>349</v>
      </c>
      <c r="AF89" s="1391" t="s">
        <v>350</v>
      </c>
      <c r="AG89" s="1391"/>
      <c r="AH89" s="1391" t="str">
        <f>IF($E$89=0,"",$E$89)</f>
        <v>Тариф на транспортировку воды</v>
      </c>
      <c r="AI89" s="1391" t="str">
        <f>IF($G$89=0,"",$G$89)</f>
        <v/>
      </c>
      <c r="AJ89" s="1391" t="str">
        <f>IF($J$89=0,"",$J$89)</f>
        <v/>
      </c>
      <c r="AK89" s="1391" t="str">
        <f>IF($K$89="нет","без дифференциации",IF($N$89=0,"",$N$89))</f>
        <v/>
      </c>
      <c r="AL89" s="1391" t="str">
        <f>IF($O$89="нет","без дифференциации",IF($R$89=0,"",$R$89))</f>
        <v/>
      </c>
      <c r="AM89" s="1391" t="str">
        <f>IF($S$89="нет","без дифференциации",IF($V$89=0,"",$V$89))</f>
        <v/>
      </c>
      <c r="AN89" s="1895">
        <f>$I$89</f>
        <v>0</v>
      </c>
      <c r="AO89" s="1391" t="str">
        <f>$I$89&amp;"."&amp;$M$89</f>
        <v>.</v>
      </c>
      <c r="AP89" s="1383" t="str">
        <f>$I$89&amp;"."&amp;$M$89&amp;"."&amp;$Q$89</f>
        <v>..</v>
      </c>
      <c r="AQ89" s="1383" t="str">
        <f>$I$89&amp;"."&amp;$M$89&amp;"."&amp;$Q$89&amp;"."&amp;$U$89</f>
        <v>...</v>
      </c>
      <c r="AR89" s="1474">
        <v>0</v>
      </c>
    </row>
    <row s="7787" customFormat="1" customHeight="1" ht="17.25" hidden="1">
      <c r="A90" s="445"/>
      <c r="C90" s="444"/>
      <c r="D90" s="2272"/>
      <c r="E90" s="2280"/>
      <c r="F90" s="2283"/>
      <c r="G90" s="2280"/>
      <c r="H90" s="2286"/>
      <c r="I90" s="2288"/>
      <c r="J90" s="2290"/>
      <c r="K90" s="2275"/>
      <c r="L90" s="2275"/>
      <c r="M90" s="2275"/>
      <c r="N90" s="2277"/>
      <c r="O90" s="2275"/>
      <c r="P90" s="2275"/>
      <c r="Q90" s="2275"/>
      <c r="R90" s="2278"/>
      <c r="S90" s="2275"/>
      <c r="T90" s="1421"/>
      <c r="U90" s="1421"/>
      <c r="V90" s="1421"/>
      <c r="W90" s="1422"/>
      <c r="X90" s="1383"/>
      <c r="Y90" s="1383"/>
      <c r="Z90" s="1383"/>
      <c r="AA90" s="1383"/>
      <c r="AB90" s="1383"/>
      <c r="AC90" s="1383"/>
      <c r="AD90" s="1383"/>
      <c r="AE90" s="1383"/>
      <c r="AF90" s="1383"/>
      <c r="AG90" s="1383"/>
      <c r="AH90" s="1383"/>
      <c r="AI90" s="1383"/>
      <c r="AJ90" s="1383"/>
      <c r="AK90" s="1383"/>
      <c r="AL90" s="1383"/>
      <c r="AM90" s="1383"/>
      <c r="AN90" s="1383"/>
      <c r="AO90" s="1383"/>
      <c r="AP90" s="1383"/>
      <c r="AQ90" s="1383"/>
      <c r="AR90" s="1474">
        <v>0</v>
      </c>
    </row>
    <row s="7787" customFormat="1" customHeight="1" ht="17.25" hidden="1">
      <c r="A91" s="445"/>
      <c r="C91" s="444"/>
      <c r="D91" s="2273"/>
      <c r="E91" s="2281"/>
      <c r="F91" s="2283"/>
      <c r="G91" s="2281"/>
      <c r="H91" s="2286"/>
      <c r="I91" s="2288"/>
      <c r="J91" s="2291"/>
      <c r="K91" s="2275"/>
      <c r="L91" s="2275"/>
      <c r="M91" s="2275"/>
      <c r="N91" s="2278"/>
      <c r="O91" s="2275"/>
      <c r="P91" s="1568"/>
      <c r="Q91" s="1421"/>
      <c r="R91" s="1421"/>
      <c r="S91" s="453"/>
      <c r="T91" s="453"/>
      <c r="U91" s="453"/>
      <c r="V91" s="453"/>
      <c r="W91" s="1422"/>
      <c r="X91" s="1383"/>
      <c r="Y91" s="1383"/>
      <c r="Z91" s="1383"/>
      <c r="AA91" s="1383"/>
      <c r="AB91" s="1383"/>
      <c r="AC91" s="1383"/>
      <c r="AD91" s="1383"/>
      <c r="AE91" s="1383"/>
      <c r="AF91" s="1383"/>
      <c r="AG91" s="1383"/>
      <c r="AH91" s="1383"/>
      <c r="AI91" s="1383"/>
      <c r="AJ91" s="1383"/>
      <c r="AK91" s="1383"/>
      <c r="AL91" s="1383"/>
      <c r="AM91" s="1383"/>
      <c r="AN91" s="1383"/>
      <c r="AO91" s="1383"/>
      <c r="AP91" s="1383"/>
      <c r="AQ91" s="1383"/>
      <c r="AR91" s="1474">
        <v>0</v>
      </c>
    </row>
    <row s="7787" customFormat="1" customHeight="1" ht="17.25" hidden="1">
      <c r="A92" s="445"/>
      <c r="C92" s="444"/>
      <c r="D92" s="2273"/>
      <c r="E92" s="2281"/>
      <c r="F92" s="2283"/>
      <c r="G92" s="2281"/>
      <c r="H92" s="2286"/>
      <c r="I92" s="2288"/>
      <c r="J92" s="2291"/>
      <c r="K92" s="2275"/>
      <c r="L92" s="1421"/>
      <c r="M92" s="1421"/>
      <c r="N92" s="1421"/>
      <c r="O92" s="1421"/>
      <c r="P92" s="1421"/>
      <c r="Q92" s="1421"/>
      <c r="R92" s="1421"/>
      <c r="S92" s="453"/>
      <c r="T92" s="453"/>
      <c r="U92" s="453"/>
      <c r="V92" s="453"/>
      <c r="W92" s="1422"/>
      <c r="X92" s="1383"/>
      <c r="Y92" s="1383"/>
      <c r="Z92" s="1383"/>
      <c r="AA92" s="1383"/>
      <c r="AB92" s="1383"/>
      <c r="AC92" s="1383"/>
      <c r="AD92" s="1383"/>
      <c r="AE92" s="1383"/>
      <c r="AF92" s="1383"/>
      <c r="AG92" s="1383"/>
      <c r="AH92" s="1383"/>
      <c r="AI92" s="1383"/>
      <c r="AJ92" s="1383"/>
      <c r="AK92" s="1383"/>
      <c r="AL92" s="1383"/>
      <c r="AM92" s="1383"/>
      <c r="AN92" s="1383"/>
      <c r="AO92" s="1383"/>
      <c r="AP92" s="1383"/>
      <c r="AQ92" s="1383"/>
      <c r="AR92" s="1474">
        <v>0</v>
      </c>
    </row>
    <row s="7787" customFormat="1" customHeight="1" ht="17.25" hidden="1">
      <c r="A93" s="445"/>
      <c r="C93" s="444"/>
      <c r="D93" s="2273"/>
      <c r="E93" s="2281"/>
      <c r="F93" s="2284"/>
      <c r="G93" s="2281"/>
      <c r="H93" s="1423"/>
      <c r="I93" s="1424"/>
      <c r="J93" s="1424"/>
      <c r="K93" s="1424"/>
      <c r="L93" s="1424"/>
      <c r="M93" s="1424"/>
      <c r="N93" s="1424"/>
      <c r="O93" s="1424"/>
      <c r="P93" s="1424"/>
      <c r="Q93" s="1424"/>
      <c r="R93" s="1424"/>
      <c r="S93" s="1425"/>
      <c r="T93" s="1425"/>
      <c r="U93" s="1425"/>
      <c r="V93" s="1425"/>
      <c r="W93" s="1426"/>
      <c r="X93" s="1383"/>
      <c r="Y93" s="1383"/>
      <c r="Z93" s="1383"/>
      <c r="AA93" s="1383"/>
      <c r="AB93" s="1383"/>
      <c r="AC93" s="1383"/>
      <c r="AD93" s="1383"/>
      <c r="AE93" s="1383"/>
      <c r="AF93" s="1383"/>
      <c r="AG93" s="1383"/>
      <c r="AH93" s="1383"/>
      <c r="AI93" s="1383"/>
      <c r="AJ93" s="1383"/>
      <c r="AK93" s="1383"/>
      <c r="AL93" s="1383"/>
      <c r="AM93" s="1383"/>
      <c r="AN93" s="1383"/>
      <c r="AO93" s="1383"/>
      <c r="AP93" s="1383"/>
      <c r="AQ93" s="1383"/>
      <c r="AR93" s="1474">
        <v>0</v>
      </c>
    </row>
    <row s="7787" customFormat="1" customHeight="1" ht="17.25" hidden="1">
      <c r="A94" s="445"/>
      <c r="C94" s="333"/>
      <c r="D94" s="2272">
        <v>4</v>
      </c>
      <c r="E94" s="2280" t="s">
        <v>351</v>
      </c>
      <c r="F94" s="2282" t="s">
        <v>19</v>
      </c>
      <c r="G94" s="2280"/>
      <c r="H94" s="2285"/>
      <c r="I94" s="2287"/>
      <c r="J94" s="2289"/>
      <c r="K94" s="2274"/>
      <c r="L94" s="2274"/>
      <c r="M94" s="2274"/>
      <c r="N94" s="2276"/>
      <c r="O94" s="2274"/>
      <c r="P94" s="2274"/>
      <c r="Q94" s="2274"/>
      <c r="R94" s="2279"/>
      <c r="S94" s="2274"/>
      <c r="T94" s="1567"/>
      <c r="U94" s="1567"/>
      <c r="V94" s="1569"/>
      <c r="W94" s="1420"/>
      <c r="X94" s="1391"/>
      <c r="Y94" s="1391"/>
      <c r="Z94" s="1391"/>
      <c r="AA94" s="1391"/>
      <c r="AB94" s="1391"/>
      <c r="AC94" s="1391" t="s">
        <v>352</v>
      </c>
      <c r="AD94" s="1391" t="s">
        <v>353</v>
      </c>
      <c r="AE94" s="1391" t="s">
        <v>354</v>
      </c>
      <c r="AF94" s="1391" t="s">
        <v>355</v>
      </c>
      <c r="AG94" s="1391"/>
      <c r="AH94" s="1391" t="str">
        <f>IF($E$94=0,"",$E$94)</f>
        <v>Тариф на подвоз воды</v>
      </c>
      <c r="AI94" s="1391" t="str">
        <f>IF($G$94=0,"",$G$94)</f>
        <v/>
      </c>
      <c r="AJ94" s="1391" t="str">
        <f>IF($J$94=0,"",$J$94)</f>
        <v/>
      </c>
      <c r="AK94" s="1391" t="str">
        <f>IF($K$94="нет","без дифференциации",IF($N$94=0,"",$N$94))</f>
        <v/>
      </c>
      <c r="AL94" s="1391" t="str">
        <f>IF($O$94="нет","без дифференциации",IF($R$94=0,"",$R$94))</f>
        <v/>
      </c>
      <c r="AM94" s="1391" t="str">
        <f>IF($S$94="нет","без дифференциации",IF($V$94=0,"",$V$94))</f>
        <v/>
      </c>
      <c r="AN94" s="1895">
        <f>$I$94</f>
        <v>0</v>
      </c>
      <c r="AO94" s="1391" t="str">
        <f>$I$94&amp;"."&amp;$M$94</f>
        <v>.</v>
      </c>
      <c r="AP94" s="1383" t="str">
        <f>$I$94&amp;"."&amp;$M$94&amp;"."&amp;$Q$94</f>
        <v>..</v>
      </c>
      <c r="AQ94" s="1383" t="str">
        <f>$I$94&amp;"."&amp;$M$94&amp;"."&amp;$Q$94&amp;"."&amp;$U$94</f>
        <v>...</v>
      </c>
      <c r="AR94" s="1474">
        <v>0</v>
      </c>
    </row>
    <row s="7787" customFormat="1" customHeight="1" ht="17.25" hidden="1">
      <c r="A95" s="445"/>
      <c r="C95" s="444"/>
      <c r="D95" s="2272"/>
      <c r="E95" s="2280"/>
      <c r="F95" s="2283"/>
      <c r="G95" s="2280"/>
      <c r="H95" s="2286"/>
      <c r="I95" s="2288"/>
      <c r="J95" s="2290"/>
      <c r="K95" s="2275"/>
      <c r="L95" s="2275"/>
      <c r="M95" s="2275"/>
      <c r="N95" s="2277"/>
      <c r="O95" s="2275"/>
      <c r="P95" s="2275"/>
      <c r="Q95" s="2275"/>
      <c r="R95" s="2278"/>
      <c r="S95" s="2275"/>
      <c r="T95" s="1421"/>
      <c r="U95" s="1421"/>
      <c r="V95" s="1421"/>
      <c r="W95" s="1422"/>
      <c r="X95" s="1383"/>
      <c r="Y95" s="1383"/>
      <c r="Z95" s="1383"/>
      <c r="AA95" s="1383"/>
      <c r="AB95" s="1383"/>
      <c r="AC95" s="1383"/>
      <c r="AD95" s="1383"/>
      <c r="AE95" s="1383"/>
      <c r="AF95" s="1383"/>
      <c r="AG95" s="1383"/>
      <c r="AH95" s="1383"/>
      <c r="AI95" s="1383"/>
      <c r="AJ95" s="1383"/>
      <c r="AK95" s="1383"/>
      <c r="AL95" s="1383"/>
      <c r="AM95" s="1383"/>
      <c r="AN95" s="1383"/>
      <c r="AO95" s="1383"/>
      <c r="AP95" s="1383"/>
      <c r="AQ95" s="1383"/>
      <c r="AR95" s="1474">
        <v>0</v>
      </c>
    </row>
    <row s="7787" customFormat="1" customHeight="1" ht="17.25" hidden="1">
      <c r="A96" s="445"/>
      <c r="C96" s="444"/>
      <c r="D96" s="2273"/>
      <c r="E96" s="2281"/>
      <c r="F96" s="2283"/>
      <c r="G96" s="2281"/>
      <c r="H96" s="2286"/>
      <c r="I96" s="2288"/>
      <c r="J96" s="2291"/>
      <c r="K96" s="2275"/>
      <c r="L96" s="2275"/>
      <c r="M96" s="2275"/>
      <c r="N96" s="2278"/>
      <c r="O96" s="2275"/>
      <c r="P96" s="1568"/>
      <c r="Q96" s="1421"/>
      <c r="R96" s="1421"/>
      <c r="S96" s="453"/>
      <c r="T96" s="453"/>
      <c r="U96" s="453"/>
      <c r="V96" s="453"/>
      <c r="W96" s="1422"/>
      <c r="X96" s="1383"/>
      <c r="Y96" s="1383"/>
      <c r="Z96" s="1383"/>
      <c r="AA96" s="1383"/>
      <c r="AB96" s="1383"/>
      <c r="AC96" s="1383"/>
      <c r="AD96" s="1383"/>
      <c r="AE96" s="1383"/>
      <c r="AF96" s="1383"/>
      <c r="AG96" s="1383"/>
      <c r="AH96" s="1383"/>
      <c r="AI96" s="1383"/>
      <c r="AJ96" s="1383"/>
      <c r="AK96" s="1383"/>
      <c r="AL96" s="1383"/>
      <c r="AM96" s="1383"/>
      <c r="AN96" s="1383"/>
      <c r="AO96" s="1383"/>
      <c r="AP96" s="1383"/>
      <c r="AQ96" s="1383"/>
      <c r="AR96" s="1474">
        <v>0</v>
      </c>
    </row>
    <row s="7787" customFormat="1" customHeight="1" ht="17.25" hidden="1">
      <c r="A97" s="445"/>
      <c r="C97" s="444"/>
      <c r="D97" s="2273"/>
      <c r="E97" s="2281"/>
      <c r="F97" s="2283"/>
      <c r="G97" s="2281"/>
      <c r="H97" s="2286"/>
      <c r="I97" s="2288"/>
      <c r="J97" s="2291"/>
      <c r="K97" s="2275"/>
      <c r="L97" s="1421"/>
      <c r="M97" s="1421"/>
      <c r="N97" s="1421"/>
      <c r="O97" s="1421"/>
      <c r="P97" s="1421"/>
      <c r="Q97" s="1421"/>
      <c r="R97" s="1421"/>
      <c r="S97" s="453"/>
      <c r="T97" s="453"/>
      <c r="U97" s="453"/>
      <c r="V97" s="453"/>
      <c r="W97" s="1422"/>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474">
        <v>0</v>
      </c>
    </row>
    <row s="7787" customFormat="1" customHeight="1" ht="17.25" hidden="1">
      <c r="A98" s="445"/>
      <c r="C98" s="444"/>
      <c r="D98" s="2273"/>
      <c r="E98" s="2281"/>
      <c r="F98" s="2284"/>
      <c r="G98" s="2281"/>
      <c r="H98" s="1423"/>
      <c r="I98" s="1424"/>
      <c r="J98" s="1424"/>
      <c r="K98" s="1424"/>
      <c r="L98" s="1424"/>
      <c r="M98" s="1424"/>
      <c r="N98" s="1424"/>
      <c r="O98" s="1424"/>
      <c r="P98" s="1424"/>
      <c r="Q98" s="1424"/>
      <c r="R98" s="1424"/>
      <c r="S98" s="1425"/>
      <c r="T98" s="1425"/>
      <c r="U98" s="1425"/>
      <c r="V98" s="1425"/>
      <c r="W98" s="1426"/>
      <c r="X98" s="1383"/>
      <c r="Y98" s="1383"/>
      <c r="Z98" s="1383"/>
      <c r="AA98" s="1383"/>
      <c r="AB98" s="1383"/>
      <c r="AC98" s="1383"/>
      <c r="AD98" s="1383"/>
      <c r="AE98" s="1383"/>
      <c r="AF98" s="1383"/>
      <c r="AG98" s="1383"/>
      <c r="AH98" s="1383"/>
      <c r="AI98" s="1383"/>
      <c r="AJ98" s="1383"/>
      <c r="AK98" s="1383"/>
      <c r="AL98" s="1383"/>
      <c r="AM98" s="1383"/>
      <c r="AN98" s="1383"/>
      <c r="AO98" s="1383"/>
      <c r="AP98" s="1383"/>
      <c r="AQ98" s="1383"/>
      <c r="AR98" s="1474">
        <v>0</v>
      </c>
    </row>
    <row s="7787" customFormat="1" customHeight="1" ht="17.25" hidden="1">
      <c r="A99" s="445"/>
      <c r="C99" s="333"/>
      <c r="D99" s="2272">
        <v>5</v>
      </c>
      <c r="E99" s="2280" t="s">
        <v>356</v>
      </c>
      <c r="F99" s="2282" t="s">
        <v>19</v>
      </c>
      <c r="G99" s="2280"/>
      <c r="H99" s="2285"/>
      <c r="I99" s="2287"/>
      <c r="J99" s="2289"/>
      <c r="K99" s="2274"/>
      <c r="L99" s="2274"/>
      <c r="M99" s="2274"/>
      <c r="N99" s="2276"/>
      <c r="O99" s="2274"/>
      <c r="P99" s="2274"/>
      <c r="Q99" s="2274"/>
      <c r="R99" s="2279"/>
      <c r="S99" s="2274"/>
      <c r="T99" s="2064"/>
      <c r="U99" s="2064"/>
      <c r="V99" s="2066"/>
      <c r="W99" s="1420"/>
      <c r="X99" s="1391"/>
      <c r="Y99" s="1391"/>
      <c r="Z99" s="1391"/>
      <c r="AA99" s="1391"/>
      <c r="AB99" s="1391"/>
      <c r="AC99" s="1391" t="s">
        <v>357</v>
      </c>
      <c r="AD99" s="1391" t="s">
        <v>358</v>
      </c>
      <c r="AE99" s="1391" t="s">
        <v>359</v>
      </c>
      <c r="AF99" s="1391" t="s">
        <v>360</v>
      </c>
      <c r="AG99" s="1391"/>
      <c r="AH99" s="1391" t="str">
        <f>IF($E$99=0,"",$E$99)</f>
        <v>Тариф на подключение (технологическое присоединение) к централизованной системе холодного водоснабжения</v>
      </c>
      <c r="AI99" s="1391" t="str">
        <f>IF($G$99=0,"",$G$99)</f>
        <v/>
      </c>
      <c r="AJ99" s="1391" t="str">
        <f>IF($J$99=0,"",$J$99)</f>
        <v/>
      </c>
      <c r="AK99" s="1391" t="str">
        <f>IF($K$99="нет","без дифференциации",IF($N$99=0,"",$N$99))</f>
        <v/>
      </c>
      <c r="AL99" s="1391" t="str">
        <f>IF($O$99="нет","без дифференциации",IF($R$99=0,"",$R$99))</f>
        <v/>
      </c>
      <c r="AM99" s="1391" t="str">
        <f>IF($S$99="нет","без дифференциации",IF($V$99=0,"",$V$99))</f>
        <v/>
      </c>
      <c r="AN99" s="1895">
        <f>$I$99</f>
        <v>0</v>
      </c>
      <c r="AO99" s="1391" t="str">
        <f>$I$99&amp;"."&amp;$M$99</f>
        <v>.</v>
      </c>
      <c r="AP99" s="1390" t="str">
        <f>$I$99&amp;"."&amp;$M$99&amp;"."&amp;$Q$99</f>
        <v>..</v>
      </c>
      <c r="AQ99" s="1390" t="str">
        <f>$I$99&amp;"."&amp;$M$99&amp;"."&amp;$Q$99&amp;"."&amp;$U$99</f>
        <v>...</v>
      </c>
      <c r="AR99" s="1591">
        <v>0</v>
      </c>
    </row>
    <row s="7787" customFormat="1" customHeight="1" ht="17.25" hidden="1">
      <c r="A100" s="445"/>
      <c r="C100" s="444"/>
      <c r="D100" s="2272"/>
      <c r="E100" s="2280"/>
      <c r="F100" s="2283"/>
      <c r="G100" s="2280"/>
      <c r="H100" s="2286"/>
      <c r="I100" s="2288"/>
      <c r="J100" s="2290"/>
      <c r="K100" s="2275"/>
      <c r="L100" s="2275"/>
      <c r="M100" s="2275"/>
      <c r="N100" s="2277"/>
      <c r="O100" s="2275"/>
      <c r="P100" s="2275"/>
      <c r="Q100" s="2275"/>
      <c r="R100" s="2278"/>
      <c r="S100" s="2275"/>
      <c r="T100" s="2069"/>
      <c r="U100" s="2069"/>
      <c r="V100" s="2069"/>
      <c r="W100" s="2070"/>
      <c r="X100" s="1390"/>
      <c r="Y100" s="1390"/>
      <c r="Z100" s="1390"/>
      <c r="AA100" s="1390"/>
      <c r="AB100" s="1390"/>
      <c r="AC100" s="1390"/>
      <c r="AD100" s="1390"/>
      <c r="AE100" s="1390"/>
      <c r="AF100" s="1390"/>
      <c r="AG100" s="1390"/>
      <c r="AH100" s="1390"/>
      <c r="AI100" s="1390"/>
      <c r="AJ100" s="1390"/>
      <c r="AK100" s="1390"/>
      <c r="AL100" s="1390"/>
      <c r="AM100" s="1390"/>
      <c r="AN100" s="1390"/>
      <c r="AO100" s="1390"/>
      <c r="AP100" s="1390"/>
      <c r="AQ100" s="1390"/>
      <c r="AR100" s="1591">
        <v>0</v>
      </c>
    </row>
    <row s="7787" customFormat="1" customHeight="1" ht="17.25" hidden="1">
      <c r="A101" s="445"/>
      <c r="C101" s="444"/>
      <c r="D101" s="2273"/>
      <c r="E101" s="2281"/>
      <c r="F101" s="2283"/>
      <c r="G101" s="2281"/>
      <c r="H101" s="2286"/>
      <c r="I101" s="2288"/>
      <c r="J101" s="2291"/>
      <c r="K101" s="2275"/>
      <c r="L101" s="2275"/>
      <c r="M101" s="2275"/>
      <c r="N101" s="2278"/>
      <c r="O101" s="2275"/>
      <c r="P101" s="2065"/>
      <c r="Q101" s="2069"/>
      <c r="R101" s="2069"/>
      <c r="S101" s="453"/>
      <c r="T101" s="453"/>
      <c r="U101" s="453"/>
      <c r="V101" s="453"/>
      <c r="W101" s="2070"/>
      <c r="X101" s="1390"/>
      <c r="Y101" s="1390"/>
      <c r="Z101" s="1390"/>
      <c r="AA101" s="1390"/>
      <c r="AB101" s="1390"/>
      <c r="AC101" s="1390"/>
      <c r="AD101" s="1390"/>
      <c r="AE101" s="1390"/>
      <c r="AF101" s="1390"/>
      <c r="AG101" s="1390"/>
      <c r="AH101" s="1390"/>
      <c r="AI101" s="1390"/>
      <c r="AJ101" s="1390"/>
      <c r="AK101" s="1390"/>
      <c r="AL101" s="1390"/>
      <c r="AM101" s="1390"/>
      <c r="AN101" s="1390"/>
      <c r="AO101" s="1390"/>
      <c r="AP101" s="1390"/>
      <c r="AQ101" s="1390"/>
      <c r="AR101" s="1591">
        <v>0</v>
      </c>
    </row>
    <row s="7787" customFormat="1" customHeight="1" ht="17.25" hidden="1">
      <c r="A102" s="445"/>
      <c r="C102" s="444"/>
      <c r="D102" s="2273"/>
      <c r="E102" s="2281"/>
      <c r="F102" s="2283"/>
      <c r="G102" s="2281"/>
      <c r="H102" s="2286"/>
      <c r="I102" s="2288"/>
      <c r="J102" s="2291"/>
      <c r="K102" s="2275"/>
      <c r="L102" s="2069"/>
      <c r="M102" s="2069"/>
      <c r="N102" s="2069"/>
      <c r="O102" s="2069"/>
      <c r="P102" s="2069"/>
      <c r="Q102" s="2069"/>
      <c r="R102" s="2069"/>
      <c r="S102" s="453"/>
      <c r="T102" s="453"/>
      <c r="U102" s="453"/>
      <c r="V102" s="453"/>
      <c r="W102" s="2070"/>
      <c r="X102" s="1390"/>
      <c r="Y102" s="1390"/>
      <c r="Z102" s="1390"/>
      <c r="AA102" s="1390"/>
      <c r="AB102" s="1390"/>
      <c r="AC102" s="1390"/>
      <c r="AD102" s="1390"/>
      <c r="AE102" s="1390"/>
      <c r="AF102" s="1390"/>
      <c r="AG102" s="1390"/>
      <c r="AH102" s="1390"/>
      <c r="AI102" s="1390"/>
      <c r="AJ102" s="1390"/>
      <c r="AK102" s="1390"/>
      <c r="AL102" s="1390"/>
      <c r="AM102" s="1390"/>
      <c r="AN102" s="1390"/>
      <c r="AO102" s="1390"/>
      <c r="AP102" s="1390"/>
      <c r="AQ102" s="1390"/>
      <c r="AR102" s="1591">
        <v>0</v>
      </c>
    </row>
    <row s="7787" customFormat="1" customHeight="1" ht="17.25" hidden="1">
      <c r="A103" s="445"/>
      <c r="C103" s="444"/>
      <c r="D103" s="2273"/>
      <c r="E103" s="2281"/>
      <c r="F103" s="2284"/>
      <c r="G103" s="2281"/>
      <c r="H103" s="1423"/>
      <c r="I103" s="2067"/>
      <c r="J103" s="2067"/>
      <c r="K103" s="2067"/>
      <c r="L103" s="2067"/>
      <c r="M103" s="2067"/>
      <c r="N103" s="2067"/>
      <c r="O103" s="2067"/>
      <c r="P103" s="2067"/>
      <c r="Q103" s="2067"/>
      <c r="R103" s="2067"/>
      <c r="S103" s="1425"/>
      <c r="T103" s="1425"/>
      <c r="U103" s="1425"/>
      <c r="V103" s="1425"/>
      <c r="W103" s="2068"/>
      <c r="X103" s="1390"/>
      <c r="Y103" s="1390"/>
      <c r="Z103" s="1390"/>
      <c r="AA103" s="1390"/>
      <c r="AB103" s="1390"/>
      <c r="AC103" s="1390"/>
      <c r="AD103" s="1390"/>
      <c r="AE103" s="1390"/>
      <c r="AF103" s="1390"/>
      <c r="AG103" s="1390"/>
      <c r="AH103" s="1390"/>
      <c r="AI103" s="1390"/>
      <c r="AJ103" s="1390"/>
      <c r="AK103" s="1390"/>
      <c r="AL103" s="1390"/>
      <c r="AM103" s="1390"/>
      <c r="AN103" s="1390"/>
      <c r="AO103" s="1390"/>
      <c r="AP103" s="1390"/>
      <c r="AQ103" s="1390"/>
      <c r="AR103" s="1591">
        <v>0</v>
      </c>
    </row>
    <row s="7787" customFormat="1" customHeight="1" ht="11.25" hidden="1">
      <c r="A104" s="401"/>
      <c r="B104" s="401"/>
      <c r="Y104" s="1383"/>
      <c r="Z104" s="1383"/>
      <c r="AA104" s="1383"/>
      <c r="AB104" s="1383"/>
      <c r="AC104" s="1383"/>
      <c r="AD104" s="1383"/>
      <c r="AE104" s="1383"/>
      <c r="AF104" s="1383"/>
      <c r="AG104" s="1383"/>
      <c r="AH104" s="1383"/>
      <c r="AI104" s="1383"/>
      <c r="AJ104" s="1383"/>
      <c r="AK104" s="1383"/>
      <c r="AL104" s="1383"/>
      <c r="AM104" s="1383"/>
      <c r="AN104" s="1383"/>
      <c r="AO104" s="1383"/>
      <c r="AP104" s="1383"/>
      <c r="AQ104" s="1383"/>
      <c r="AR104" s="1591">
        <v>0</v>
      </c>
    </row>
    <row s="7787" customFormat="1" customHeight="1" ht="17.25" hidden="1">
      <c r="A105" s="445"/>
      <c r="C105" s="333"/>
      <c r="D105" s="2272">
        <v>1</v>
      </c>
      <c r="E105" s="2280" t="s">
        <v>361</v>
      </c>
      <c r="F105" s="2282" t="s">
        <v>19</v>
      </c>
      <c r="G105" s="2280"/>
      <c r="H105" s="2285"/>
      <c r="I105" s="2287"/>
      <c r="J105" s="2289"/>
      <c r="K105" s="2274"/>
      <c r="L105" s="2274"/>
      <c r="M105" s="2274"/>
      <c r="N105" s="2276"/>
      <c r="O105" s="2274"/>
      <c r="P105" s="2274"/>
      <c r="Q105" s="2274"/>
      <c r="R105" s="2279"/>
      <c r="S105" s="2274"/>
      <c r="T105" s="1594"/>
      <c r="U105" s="1594"/>
      <c r="V105" s="1596"/>
      <c r="W105" s="1420"/>
      <c r="Y105" s="1391"/>
      <c r="Z105" s="1391"/>
      <c r="AA105" s="1391"/>
      <c r="AB105" s="1391"/>
      <c r="AC105" s="1391" t="s">
        <v>362</v>
      </c>
      <c r="AD105" s="1391" t="s">
        <v>363</v>
      </c>
      <c r="AE105" s="1391" t="s">
        <v>364</v>
      </c>
      <c r="AF105" s="1391" t="s">
        <v>365</v>
      </c>
      <c r="AG105" s="1391"/>
      <c r="AH105" s="1391" t="str">
        <f>IF($E$105=0,"",$E$105)</f>
        <v>Тариф на горячую воду (горячее водоснабжение)</v>
      </c>
      <c r="AI105" s="1391" t="str">
        <f>IF($G$105=0,"",$G$105)</f>
        <v/>
      </c>
      <c r="AJ105" s="1391" t="str">
        <f>IF($J$105=0,"",$J$105)</f>
        <v/>
      </c>
      <c r="AK105" s="1391" t="str">
        <f>IF($K$105="нет","без дифференциации",IF($N$105=0,"",$N$105))</f>
        <v/>
      </c>
      <c r="AL105" s="1391" t="str">
        <f>IF($O$105="нет","без дифференциации",IF($R$105=0,"",$R$105))</f>
        <v/>
      </c>
      <c r="AM105" s="1391" t="str">
        <f>IF($S$105="нет","без дифференциации",IF($V$105=0,"",$V$105))</f>
        <v/>
      </c>
      <c r="AN105" s="1391">
        <f>$I$105</f>
        <v>0</v>
      </c>
      <c r="AO105" s="1391" t="str">
        <f>$I$105&amp;"."&amp;$M$105</f>
        <v>.</v>
      </c>
      <c r="AP105" s="1391" t="str">
        <f>$I$105&amp;"."&amp;$M$105&amp;"."&amp;$Q$105</f>
        <v>..</v>
      </c>
      <c r="AQ105" s="1391" t="str">
        <f>$I$105&amp;"."&amp;$M$105&amp;"."&amp;$Q$105&amp;"."&amp;$U$105</f>
        <v>...</v>
      </c>
      <c r="AR105" s="1591">
        <v>0</v>
      </c>
    </row>
    <row s="7787" customFormat="1" customHeight="1" ht="17.25" hidden="1">
      <c r="A106" s="445"/>
      <c r="C106" s="444"/>
      <c r="D106" s="2272"/>
      <c r="E106" s="2280"/>
      <c r="F106" s="2283"/>
      <c r="G106" s="2280"/>
      <c r="H106" s="2286"/>
      <c r="I106" s="2288"/>
      <c r="J106" s="2290"/>
      <c r="K106" s="2275"/>
      <c r="L106" s="2275"/>
      <c r="M106" s="2275"/>
      <c r="N106" s="2277"/>
      <c r="O106" s="2275"/>
      <c r="P106" s="2275"/>
      <c r="Q106" s="2275"/>
      <c r="R106" s="2278"/>
      <c r="S106" s="2275"/>
      <c r="T106" s="1421"/>
      <c r="U106" s="1421"/>
      <c r="V106" s="1421"/>
      <c r="W106" s="1422"/>
      <c r="Y106" s="1383"/>
      <c r="Z106" s="1383"/>
      <c r="AA106" s="1383"/>
      <c r="AB106" s="1383"/>
      <c r="AC106" s="1383"/>
      <c r="AD106" s="1383"/>
      <c r="AE106" s="1383"/>
      <c r="AF106" s="1383"/>
      <c r="AG106" s="1383"/>
      <c r="AH106" s="1383"/>
      <c r="AI106" s="1383"/>
      <c r="AJ106" s="1383"/>
      <c r="AK106" s="1383"/>
      <c r="AL106" s="1383"/>
      <c r="AM106" s="1383"/>
      <c r="AN106" s="1383"/>
      <c r="AO106" s="1383"/>
      <c r="AP106" s="1383"/>
      <c r="AQ106" s="1383"/>
      <c r="AR106" s="1591">
        <v>0</v>
      </c>
    </row>
    <row s="7787" customFormat="1" customHeight="1" ht="17.25" hidden="1">
      <c r="A107" s="445"/>
      <c r="C107" s="333"/>
      <c r="D107" s="2272"/>
      <c r="E107" s="2280"/>
      <c r="F107" s="2283"/>
      <c r="G107" s="2280"/>
      <c r="H107" s="2286"/>
      <c r="I107" s="2288"/>
      <c r="J107" s="2291"/>
      <c r="K107" s="2275"/>
      <c r="L107" s="2275"/>
      <c r="M107" s="2275"/>
      <c r="N107" s="2278"/>
      <c r="O107" s="2275"/>
      <c r="P107" s="1595"/>
      <c r="Q107" s="1421"/>
      <c r="R107" s="1421"/>
      <c r="S107" s="453"/>
      <c r="T107" s="453"/>
      <c r="U107" s="453"/>
      <c r="V107" s="453"/>
      <c r="W107" s="1422"/>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591">
        <v>0</v>
      </c>
    </row>
    <row s="7787" customFormat="1" customHeight="1" ht="17.25" hidden="1">
      <c r="A108" s="445"/>
      <c r="C108" s="444"/>
      <c r="D108" s="2272"/>
      <c r="E108" s="2280"/>
      <c r="F108" s="2283"/>
      <c r="G108" s="2280"/>
      <c r="H108" s="2286"/>
      <c r="I108" s="2288"/>
      <c r="J108" s="2291"/>
      <c r="K108" s="2275"/>
      <c r="L108" s="1421"/>
      <c r="M108" s="1421"/>
      <c r="N108" s="1421"/>
      <c r="O108" s="1421"/>
      <c r="P108" s="1421"/>
      <c r="Q108" s="1421"/>
      <c r="R108" s="1421"/>
      <c r="S108" s="453"/>
      <c r="T108" s="453"/>
      <c r="U108" s="453"/>
      <c r="V108" s="453"/>
      <c r="W108" s="1422"/>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591">
        <v>0</v>
      </c>
    </row>
    <row s="7787" customFormat="1" customHeight="1" ht="17.25" hidden="1">
      <c r="A109" s="445"/>
      <c r="C109" s="444"/>
      <c r="D109" s="2273"/>
      <c r="E109" s="2281"/>
      <c r="F109" s="2284"/>
      <c r="G109" s="2281"/>
      <c r="H109" s="1423"/>
      <c r="I109" s="1424"/>
      <c r="J109" s="1424"/>
      <c r="K109" s="1424"/>
      <c r="L109" s="1424"/>
      <c r="M109" s="1424"/>
      <c r="N109" s="1424"/>
      <c r="O109" s="1424"/>
      <c r="P109" s="1424"/>
      <c r="Q109" s="1424"/>
      <c r="R109" s="1424"/>
      <c r="S109" s="1425"/>
      <c r="T109" s="1425"/>
      <c r="U109" s="1425"/>
      <c r="V109" s="1425"/>
      <c r="W109" s="1426"/>
      <c r="Y109" s="1383"/>
      <c r="Z109" s="1383"/>
      <c r="AA109" s="1383"/>
      <c r="AB109" s="1383"/>
      <c r="AC109" s="1383"/>
      <c r="AD109" s="1383"/>
      <c r="AE109" s="1383"/>
      <c r="AF109" s="1383"/>
      <c r="AG109" s="1383"/>
      <c r="AH109" s="1383"/>
      <c r="AI109" s="1383"/>
      <c r="AJ109" s="1383"/>
      <c r="AK109" s="1383"/>
      <c r="AL109" s="1383"/>
      <c r="AM109" s="1383"/>
      <c r="AN109" s="1383"/>
      <c r="AO109" s="1383"/>
      <c r="AP109" s="1383"/>
      <c r="AQ109" s="1383"/>
      <c r="AR109" s="1591">
        <v>0</v>
      </c>
    </row>
    <row s="7787" customFormat="1" customHeight="1" ht="17.25" hidden="1">
      <c r="A110" s="445"/>
      <c r="C110" s="333"/>
      <c r="D110" s="2272">
        <v>2</v>
      </c>
      <c r="E110" s="2280" t="s">
        <v>366</v>
      </c>
      <c r="F110" s="2282" t="s">
        <v>19</v>
      </c>
      <c r="G110" s="2280"/>
      <c r="H110" s="2285"/>
      <c r="I110" s="2287"/>
      <c r="J110" s="2289"/>
      <c r="K110" s="2274"/>
      <c r="L110" s="2274"/>
      <c r="M110" s="2274"/>
      <c r="N110" s="2276"/>
      <c r="O110" s="2274"/>
      <c r="P110" s="2274"/>
      <c r="Q110" s="2274"/>
      <c r="R110" s="2279"/>
      <c r="S110" s="2274"/>
      <c r="T110" s="1594"/>
      <c r="U110" s="1594"/>
      <c r="V110" s="1596"/>
      <c r="W110" s="1420"/>
      <c r="X110" s="1391"/>
      <c r="Y110" s="1391"/>
      <c r="Z110" s="1391"/>
      <c r="AA110" s="1391"/>
      <c r="AB110" s="1391"/>
      <c r="AC110" s="1391" t="s">
        <v>367</v>
      </c>
      <c r="AD110" s="1391" t="s">
        <v>368</v>
      </c>
      <c r="AE110" s="1391" t="s">
        <v>369</v>
      </c>
      <c r="AF110" s="1391" t="s">
        <v>370</v>
      </c>
      <c r="AG110" s="1391"/>
      <c r="AH110" s="1391" t="str">
        <f>IF($E$110=0,"",$E$110)</f>
        <v>Тариф на транспортировку горячей воды</v>
      </c>
      <c r="AI110" s="1391" t="str">
        <f>IF($G$110=0,"",$G$110)</f>
        <v/>
      </c>
      <c r="AJ110" s="1391" t="str">
        <f>IF($J$110=0,"",$J$110)</f>
        <v/>
      </c>
      <c r="AK110" s="1391" t="str">
        <f>IF($K$110="нет","без дифференциации",IF($N$110=0,"",$N$110))</f>
        <v/>
      </c>
      <c r="AL110" s="1391" t="str">
        <f>IF($O$110="нет","без дифференциации",IF($R$110=0,"",$R$110))</f>
        <v/>
      </c>
      <c r="AM110" s="1391" t="str">
        <f>IF($S$110="нет","без дифференциации",IF($V$110=0,"",$V$110))</f>
        <v/>
      </c>
      <c r="AN110" s="1895">
        <f>$I$110</f>
        <v>0</v>
      </c>
      <c r="AO110" s="1391" t="str">
        <f>$I$110&amp;"."&amp;$M$110</f>
        <v>.</v>
      </c>
      <c r="AP110" s="1383" t="str">
        <f>$I$110&amp;"."&amp;$M$110&amp;"."&amp;$Q$110</f>
        <v>..</v>
      </c>
      <c r="AQ110" s="1383" t="str">
        <f>$I$110&amp;"."&amp;$M$110&amp;"."&amp;$Q$110&amp;"."&amp;$U$110</f>
        <v>...</v>
      </c>
      <c r="AR110" s="1591">
        <v>0</v>
      </c>
    </row>
    <row s="7787" customFormat="1" customHeight="1" ht="17.25" hidden="1">
      <c r="A111" s="445"/>
      <c r="C111" s="444"/>
      <c r="D111" s="2272"/>
      <c r="E111" s="2280"/>
      <c r="F111" s="2283"/>
      <c r="G111" s="2280"/>
      <c r="H111" s="2286"/>
      <c r="I111" s="2288"/>
      <c r="J111" s="2290"/>
      <c r="K111" s="2275"/>
      <c r="L111" s="2275"/>
      <c r="M111" s="2275"/>
      <c r="N111" s="2277"/>
      <c r="O111" s="2275"/>
      <c r="P111" s="2275"/>
      <c r="Q111" s="2275"/>
      <c r="R111" s="2278"/>
      <c r="S111" s="2275"/>
      <c r="T111" s="1421"/>
      <c r="U111" s="1421"/>
      <c r="V111" s="1421"/>
      <c r="W111" s="1422"/>
      <c r="X111" s="1383"/>
      <c r="Y111" s="1383"/>
      <c r="Z111" s="1383"/>
      <c r="AA111" s="1383"/>
      <c r="AB111" s="1383"/>
      <c r="AC111" s="1383"/>
      <c r="AD111" s="1383"/>
      <c r="AE111" s="1383"/>
      <c r="AF111" s="1383"/>
      <c r="AG111" s="1383"/>
      <c r="AH111" s="1383"/>
      <c r="AI111" s="1383"/>
      <c r="AJ111" s="1383"/>
      <c r="AK111" s="1383"/>
      <c r="AL111" s="1383"/>
      <c r="AM111" s="1383"/>
      <c r="AN111" s="1383"/>
      <c r="AO111" s="1383"/>
      <c r="AP111" s="1383"/>
      <c r="AQ111" s="1383"/>
      <c r="AR111" s="1591">
        <v>0</v>
      </c>
    </row>
    <row s="7787" customFormat="1" customHeight="1" ht="17.25" hidden="1">
      <c r="A112" s="445"/>
      <c r="C112" s="444"/>
      <c r="D112" s="2273"/>
      <c r="E112" s="2281"/>
      <c r="F112" s="2283"/>
      <c r="G112" s="2281"/>
      <c r="H112" s="2286"/>
      <c r="I112" s="2288"/>
      <c r="J112" s="2291"/>
      <c r="K112" s="2275"/>
      <c r="L112" s="2275"/>
      <c r="M112" s="2275"/>
      <c r="N112" s="2278"/>
      <c r="O112" s="2275"/>
      <c r="P112" s="1595"/>
      <c r="Q112" s="1421"/>
      <c r="R112" s="1421"/>
      <c r="S112" s="453"/>
      <c r="T112" s="453"/>
      <c r="U112" s="453"/>
      <c r="V112" s="453"/>
      <c r="W112" s="1422"/>
      <c r="X112" s="1383"/>
      <c r="Y112" s="1383"/>
      <c r="Z112" s="1383"/>
      <c r="AA112" s="1383"/>
      <c r="AB112" s="1383"/>
      <c r="AC112" s="1383"/>
      <c r="AD112" s="1383"/>
      <c r="AE112" s="1383"/>
      <c r="AF112" s="1383"/>
      <c r="AG112" s="1383"/>
      <c r="AH112" s="1383"/>
      <c r="AI112" s="1383"/>
      <c r="AJ112" s="1383"/>
      <c r="AK112" s="1383"/>
      <c r="AL112" s="1383"/>
      <c r="AM112" s="1383"/>
      <c r="AN112" s="1383"/>
      <c r="AO112" s="1383"/>
      <c r="AP112" s="1383"/>
      <c r="AQ112" s="1383"/>
      <c r="AR112" s="1591">
        <v>0</v>
      </c>
    </row>
    <row s="7787" customFormat="1" customHeight="1" ht="17.25" hidden="1">
      <c r="A113" s="445"/>
      <c r="C113" s="444"/>
      <c r="D113" s="2273"/>
      <c r="E113" s="2281"/>
      <c r="F113" s="2283"/>
      <c r="G113" s="2281"/>
      <c r="H113" s="2286"/>
      <c r="I113" s="2288"/>
      <c r="J113" s="2291"/>
      <c r="K113" s="2275"/>
      <c r="L113" s="1421"/>
      <c r="M113" s="1421"/>
      <c r="N113" s="1421"/>
      <c r="O113" s="1421"/>
      <c r="P113" s="1421"/>
      <c r="Q113" s="1421"/>
      <c r="R113" s="1421"/>
      <c r="S113" s="453"/>
      <c r="T113" s="453"/>
      <c r="U113" s="453"/>
      <c r="V113" s="453"/>
      <c r="W113" s="1422"/>
      <c r="X113" s="1383"/>
      <c r="Y113" s="1383"/>
      <c r="Z113" s="1383"/>
      <c r="AA113" s="1383"/>
      <c r="AB113" s="1383"/>
      <c r="AC113" s="1383"/>
      <c r="AD113" s="1383"/>
      <c r="AE113" s="1383"/>
      <c r="AF113" s="1383"/>
      <c r="AG113" s="1383"/>
      <c r="AH113" s="1383"/>
      <c r="AI113" s="1383"/>
      <c r="AJ113" s="1383"/>
      <c r="AK113" s="1383"/>
      <c r="AL113" s="1383"/>
      <c r="AM113" s="1383"/>
      <c r="AN113" s="1383"/>
      <c r="AO113" s="1383"/>
      <c r="AP113" s="1383"/>
      <c r="AQ113" s="1383"/>
      <c r="AR113" s="1591">
        <v>0</v>
      </c>
    </row>
    <row s="7787" customFormat="1" customHeight="1" ht="17.25" hidden="1">
      <c r="A114" s="445"/>
      <c r="C114" s="444"/>
      <c r="D114" s="2273"/>
      <c r="E114" s="2281"/>
      <c r="F114" s="2284"/>
      <c r="G114" s="2281"/>
      <c r="H114" s="1423"/>
      <c r="I114" s="1424"/>
      <c r="J114" s="1424"/>
      <c r="K114" s="1424"/>
      <c r="L114" s="1424"/>
      <c r="M114" s="1424"/>
      <c r="N114" s="1424"/>
      <c r="O114" s="1424"/>
      <c r="P114" s="1424"/>
      <c r="Q114" s="1424"/>
      <c r="R114" s="1424"/>
      <c r="S114" s="1425"/>
      <c r="T114" s="1425"/>
      <c r="U114" s="1425"/>
      <c r="V114" s="1425"/>
      <c r="W114" s="1426"/>
      <c r="X114" s="1383"/>
      <c r="Y114" s="1383"/>
      <c r="Z114" s="1383"/>
      <c r="AA114" s="1383"/>
      <c r="AB114" s="1383"/>
      <c r="AC114" s="1383"/>
      <c r="AD114" s="1383"/>
      <c r="AE114" s="1383"/>
      <c r="AF114" s="1383"/>
      <c r="AG114" s="1383"/>
      <c r="AH114" s="1383"/>
      <c r="AI114" s="1383"/>
      <c r="AJ114" s="1383"/>
      <c r="AK114" s="1383"/>
      <c r="AL114" s="1383"/>
      <c r="AM114" s="1383"/>
      <c r="AN114" s="1383"/>
      <c r="AO114" s="1383"/>
      <c r="AP114" s="1383"/>
      <c r="AQ114" s="1383"/>
      <c r="AR114" s="1591">
        <v>0</v>
      </c>
    </row>
    <row s="7787" customFormat="1" customHeight="1" ht="17.25" hidden="1">
      <c r="A115" s="445"/>
      <c r="C115" s="333"/>
      <c r="D115" s="2272">
        <v>3</v>
      </c>
      <c r="E115" s="2280" t="s">
        <v>371</v>
      </c>
      <c r="F115" s="2282" t="s">
        <v>19</v>
      </c>
      <c r="G115" s="2280"/>
      <c r="H115" s="2285"/>
      <c r="I115" s="2287"/>
      <c r="J115" s="2289"/>
      <c r="K115" s="2274"/>
      <c r="L115" s="2274"/>
      <c r="M115" s="2274"/>
      <c r="N115" s="2276"/>
      <c r="O115" s="2274"/>
      <c r="P115" s="2274"/>
      <c r="Q115" s="2274"/>
      <c r="R115" s="2279"/>
      <c r="S115" s="2274"/>
      <c r="T115" s="2064"/>
      <c r="U115" s="2064"/>
      <c r="V115" s="2066"/>
      <c r="W115" s="1420"/>
      <c r="X115" s="1391"/>
      <c r="Y115" s="1391"/>
      <c r="Z115" s="1391"/>
      <c r="AA115" s="1391"/>
      <c r="AB115" s="1391"/>
      <c r="AC115" s="1391" t="s">
        <v>372</v>
      </c>
      <c r="AD115" s="1391" t="s">
        <v>373</v>
      </c>
      <c r="AE115" s="1391" t="s">
        <v>374</v>
      </c>
      <c r="AF115" s="1391" t="s">
        <v>375</v>
      </c>
      <c r="AG115" s="1391"/>
      <c r="AH115" s="1391" t="str">
        <f>IF($E$115=0,"",$E$115)</f>
        <v>Тариф на подключение (технологическое присоединение) к централизованной системе горячего водоснабжения</v>
      </c>
      <c r="AI115" s="1391" t="str">
        <f>IF($G$115=0,"",$G$115)</f>
        <v/>
      </c>
      <c r="AJ115" s="1391" t="str">
        <f>IF($J$115=0,"",$J$115)</f>
        <v/>
      </c>
      <c r="AK115" s="1391" t="str">
        <f>IF($K$115="нет","без дифференциации",IF($N$115=0,"",$N$115))</f>
        <v/>
      </c>
      <c r="AL115" s="1391" t="str">
        <f>IF($O$115="нет","без дифференциации",IF($R$115=0,"",$R$115))</f>
        <v/>
      </c>
      <c r="AM115" s="1391" t="str">
        <f>IF($S$115="нет","без дифференциации",IF($V$115=0,"",$V$115))</f>
        <v/>
      </c>
      <c r="AN115" s="1895">
        <f>$I$115</f>
        <v>0</v>
      </c>
      <c r="AO115" s="1391" t="str">
        <f>$I$115&amp;"."&amp;$M$115</f>
        <v>.</v>
      </c>
      <c r="AP115" s="1390" t="str">
        <f>$I$115&amp;"."&amp;$M$115&amp;"."&amp;$Q$115</f>
        <v>..</v>
      </c>
      <c r="AQ115" s="1390" t="str">
        <f>$I$115&amp;"."&amp;$M$115&amp;"."&amp;$Q$115&amp;"."&amp;$U$115</f>
        <v>...</v>
      </c>
      <c r="AR115" s="1591">
        <v>0</v>
      </c>
    </row>
    <row s="7787" customFormat="1" customHeight="1" ht="17.25" hidden="1">
      <c r="A116" s="445"/>
      <c r="C116" s="444"/>
      <c r="D116" s="2272"/>
      <c r="E116" s="2280"/>
      <c r="F116" s="2283"/>
      <c r="G116" s="2280"/>
      <c r="H116" s="2286"/>
      <c r="I116" s="2288"/>
      <c r="J116" s="2290"/>
      <c r="K116" s="2275"/>
      <c r="L116" s="2275"/>
      <c r="M116" s="2275"/>
      <c r="N116" s="2277"/>
      <c r="O116" s="2275"/>
      <c r="P116" s="2275"/>
      <c r="Q116" s="2275"/>
      <c r="R116" s="2278"/>
      <c r="S116" s="2275"/>
      <c r="T116" s="2069"/>
      <c r="U116" s="2069"/>
      <c r="V116" s="2069"/>
      <c r="W116" s="2070"/>
      <c r="X116" s="1390"/>
      <c r="Y116" s="1390"/>
      <c r="Z116" s="1390"/>
      <c r="AA116" s="1390"/>
      <c r="AB116" s="1390"/>
      <c r="AC116" s="1390"/>
      <c r="AD116" s="1390"/>
      <c r="AE116" s="1390"/>
      <c r="AF116" s="1390"/>
      <c r="AG116" s="1390"/>
      <c r="AH116" s="1390"/>
      <c r="AI116" s="1390"/>
      <c r="AJ116" s="1390"/>
      <c r="AK116" s="1390"/>
      <c r="AL116" s="1390"/>
      <c r="AM116" s="1390"/>
      <c r="AN116" s="1390"/>
      <c r="AO116" s="1390"/>
      <c r="AP116" s="1390"/>
      <c r="AQ116" s="1390"/>
      <c r="AR116" s="1591">
        <v>0</v>
      </c>
    </row>
    <row s="7787" customFormat="1" customHeight="1" ht="17.25" hidden="1">
      <c r="A117" s="445"/>
      <c r="C117" s="444"/>
      <c r="D117" s="2273"/>
      <c r="E117" s="2281"/>
      <c r="F117" s="2283"/>
      <c r="G117" s="2281"/>
      <c r="H117" s="2286"/>
      <c r="I117" s="2288"/>
      <c r="J117" s="2291"/>
      <c r="K117" s="2275"/>
      <c r="L117" s="2275"/>
      <c r="M117" s="2275"/>
      <c r="N117" s="2278"/>
      <c r="O117" s="2275"/>
      <c r="P117" s="2065"/>
      <c r="Q117" s="2069"/>
      <c r="R117" s="2069"/>
      <c r="S117" s="453"/>
      <c r="T117" s="453"/>
      <c r="U117" s="453"/>
      <c r="V117" s="453"/>
      <c r="W117" s="2070"/>
      <c r="X117" s="1390"/>
      <c r="Y117" s="1390"/>
      <c r="Z117" s="1390"/>
      <c r="AA117" s="1390"/>
      <c r="AB117" s="1390"/>
      <c r="AC117" s="1390"/>
      <c r="AD117" s="1390"/>
      <c r="AE117" s="1390"/>
      <c r="AF117" s="1390"/>
      <c r="AG117" s="1390"/>
      <c r="AH117" s="1390"/>
      <c r="AI117" s="1390"/>
      <c r="AJ117" s="1390"/>
      <c r="AK117" s="1390"/>
      <c r="AL117" s="1390"/>
      <c r="AM117" s="1390"/>
      <c r="AN117" s="1390"/>
      <c r="AO117" s="1390"/>
      <c r="AP117" s="1390"/>
      <c r="AQ117" s="1390"/>
      <c r="AR117" s="1591">
        <v>0</v>
      </c>
    </row>
    <row s="7787" customFormat="1" customHeight="1" ht="17.25" hidden="1">
      <c r="A118" s="445"/>
      <c r="C118" s="444"/>
      <c r="D118" s="2273"/>
      <c r="E118" s="2281"/>
      <c r="F118" s="2283"/>
      <c r="G118" s="2281"/>
      <c r="H118" s="2286"/>
      <c r="I118" s="2288"/>
      <c r="J118" s="2291"/>
      <c r="K118" s="2275"/>
      <c r="L118" s="2069"/>
      <c r="M118" s="2069"/>
      <c r="N118" s="2069"/>
      <c r="O118" s="2069"/>
      <c r="P118" s="2069"/>
      <c r="Q118" s="2069"/>
      <c r="R118" s="2069"/>
      <c r="S118" s="453"/>
      <c r="T118" s="453"/>
      <c r="U118" s="453"/>
      <c r="V118" s="453"/>
      <c r="W118" s="2070"/>
      <c r="X118" s="1390"/>
      <c r="Y118" s="1390"/>
      <c r="Z118" s="1390"/>
      <c r="AA118" s="1390"/>
      <c r="AB118" s="1390"/>
      <c r="AC118" s="1390"/>
      <c r="AD118" s="1390"/>
      <c r="AE118" s="1390"/>
      <c r="AF118" s="1390"/>
      <c r="AG118" s="1390"/>
      <c r="AH118" s="1390"/>
      <c r="AI118" s="1390"/>
      <c r="AJ118" s="1390"/>
      <c r="AK118" s="1390"/>
      <c r="AL118" s="1390"/>
      <c r="AM118" s="1390"/>
      <c r="AN118" s="1390"/>
      <c r="AO118" s="1390"/>
      <c r="AP118" s="1390"/>
      <c r="AQ118" s="1390"/>
      <c r="AR118" s="1591">
        <v>0</v>
      </c>
    </row>
    <row s="7787" customFormat="1" customHeight="1" ht="17.25" hidden="1">
      <c r="A119" s="445"/>
      <c r="C119" s="444"/>
      <c r="D119" s="2273"/>
      <c r="E119" s="2281"/>
      <c r="F119" s="2284"/>
      <c r="G119" s="2281"/>
      <c r="H119" s="1423"/>
      <c r="I119" s="2067"/>
      <c r="J119" s="2067"/>
      <c r="K119" s="2067"/>
      <c r="L119" s="2067"/>
      <c r="M119" s="2067"/>
      <c r="N119" s="2067"/>
      <c r="O119" s="2067"/>
      <c r="P119" s="2067"/>
      <c r="Q119" s="2067"/>
      <c r="R119" s="2067"/>
      <c r="S119" s="1425"/>
      <c r="T119" s="1425"/>
      <c r="U119" s="1425"/>
      <c r="V119" s="1425"/>
      <c r="W119" s="2068"/>
      <c r="X119" s="1390"/>
      <c r="Y119" s="1390"/>
      <c r="Z119" s="1390"/>
      <c r="AA119" s="1390"/>
      <c r="AB119" s="1390"/>
      <c r="AC119" s="1390"/>
      <c r="AD119" s="1390"/>
      <c r="AE119" s="1390"/>
      <c r="AF119" s="1390"/>
      <c r="AG119" s="1390"/>
      <c r="AH119" s="1390"/>
      <c r="AI119" s="1390"/>
      <c r="AJ119" s="1390"/>
      <c r="AK119" s="1390"/>
      <c r="AL119" s="1390"/>
      <c r="AM119" s="1390"/>
      <c r="AN119" s="1390"/>
      <c r="AO119" s="1390"/>
      <c r="AP119" s="1390"/>
      <c r="AQ119" s="1390"/>
      <c r="AR119" s="1591">
        <v>0</v>
      </c>
    </row>
    <row s="7787" customFormat="1" customHeight="1" ht="11.25" hidden="1">
      <c r="A120" s="401"/>
      <c r="B120" s="401"/>
      <c r="Y120" s="1383"/>
      <c r="Z120" s="1383"/>
      <c r="AA120" s="1383"/>
      <c r="AB120" s="1383"/>
      <c r="AC120" s="1383"/>
      <c r="AD120" s="1383"/>
      <c r="AE120" s="1383"/>
      <c r="AF120" s="1383"/>
      <c r="AG120" s="1383"/>
      <c r="AH120" s="1383"/>
      <c r="AI120" s="1383"/>
      <c r="AJ120" s="1383"/>
      <c r="AK120" s="1383"/>
      <c r="AL120" s="1383"/>
      <c r="AM120" s="1383"/>
      <c r="AN120" s="1383"/>
      <c r="AO120" s="1383"/>
      <c r="AP120" s="1383"/>
      <c r="AQ120" s="1383"/>
      <c r="AR120" s="1591">
        <v>0</v>
      </c>
    </row>
    <row s="7787" customFormat="1" customHeight="1" ht="17.25" hidden="1">
      <c r="A121" s="445"/>
      <c r="C121" s="333"/>
      <c r="D121" s="2272">
        <v>1</v>
      </c>
      <c r="E121" s="2280" t="s">
        <v>376</v>
      </c>
      <c r="F121" s="2282" t="s">
        <v>19</v>
      </c>
      <c r="G121" s="2280"/>
      <c r="H121" s="2285"/>
      <c r="I121" s="2287"/>
      <c r="J121" s="2289"/>
      <c r="K121" s="2274"/>
      <c r="L121" s="2274"/>
      <c r="M121" s="2274"/>
      <c r="N121" s="2276"/>
      <c r="O121" s="2274"/>
      <c r="P121" s="2274"/>
      <c r="Q121" s="2274"/>
      <c r="R121" s="2279"/>
      <c r="S121" s="2274"/>
      <c r="T121" s="1594"/>
      <c r="U121" s="1594"/>
      <c r="V121" s="1596"/>
      <c r="W121" s="1420"/>
      <c r="Y121" s="1391"/>
      <c r="Z121" s="1391"/>
      <c r="AA121" s="1391"/>
      <c r="AB121" s="1391"/>
      <c r="AC121" s="1391" t="s">
        <v>377</v>
      </c>
      <c r="AD121" s="1391" t="s">
        <v>378</v>
      </c>
      <c r="AE121" s="1391" t="s">
        <v>379</v>
      </c>
      <c r="AF121" s="1391" t="s">
        <v>380</v>
      </c>
      <c r="AG121" s="1391"/>
      <c r="AH121" s="1391" t="str">
        <f>IF($E$121=0,"",$E$121)</f>
        <v>Тариф на водоотведение</v>
      </c>
      <c r="AI121" s="1391" t="str">
        <f>IF($G$121=0,"",$G$121)</f>
        <v/>
      </c>
      <c r="AJ121" s="1391" t="str">
        <f>IF($J$121=0,"",$J$121)</f>
        <v/>
      </c>
      <c r="AK121" s="1391" t="str">
        <f>IF($K$121="нет","без дифференциации",IF($N$121=0,"",$N$121))</f>
        <v/>
      </c>
      <c r="AL121" s="1391" t="str">
        <f>IF($O$121="нет","без дифференциации",IF($R$121=0,"",$R$121))</f>
        <v/>
      </c>
      <c r="AM121" s="1391" t="str">
        <f>IF($S$121="нет","без дифференциации",IF($V$121=0,"",$V$121))</f>
        <v/>
      </c>
      <c r="AN121" s="1391">
        <f>$I$121</f>
        <v>0</v>
      </c>
      <c r="AO121" s="1391" t="str">
        <f>$I$121&amp;"."&amp;$M$121</f>
        <v>.</v>
      </c>
      <c r="AP121" s="1391" t="str">
        <f>$I$121&amp;"."&amp;$M$121&amp;"."&amp;$Q$121</f>
        <v>..</v>
      </c>
      <c r="AQ121" s="1391" t="str">
        <f>$I$121&amp;"."&amp;$M$121&amp;"."&amp;$Q$121&amp;"."&amp;$U$121</f>
        <v>...</v>
      </c>
      <c r="AR121" s="1591">
        <v>0</v>
      </c>
    </row>
    <row s="7787" customFormat="1" customHeight="1" ht="17.25" hidden="1">
      <c r="A122" s="445"/>
      <c r="C122" s="444"/>
      <c r="D122" s="2272"/>
      <c r="E122" s="2280"/>
      <c r="F122" s="2283"/>
      <c r="G122" s="2280"/>
      <c r="H122" s="2286"/>
      <c r="I122" s="2288"/>
      <c r="J122" s="2290"/>
      <c r="K122" s="2275"/>
      <c r="L122" s="2275"/>
      <c r="M122" s="2275"/>
      <c r="N122" s="2277"/>
      <c r="O122" s="2275"/>
      <c r="P122" s="2275"/>
      <c r="Q122" s="2275"/>
      <c r="R122" s="2278"/>
      <c r="S122" s="2275"/>
      <c r="T122" s="1421"/>
      <c r="U122" s="1421"/>
      <c r="V122" s="1421"/>
      <c r="W122" s="1422"/>
      <c r="Y122" s="1383"/>
      <c r="Z122" s="1383"/>
      <c r="AA122" s="1383"/>
      <c r="AB122" s="1383"/>
      <c r="AC122" s="1383"/>
      <c r="AD122" s="1383"/>
      <c r="AE122" s="1383"/>
      <c r="AF122" s="1383"/>
      <c r="AG122" s="1383"/>
      <c r="AH122" s="1383"/>
      <c r="AI122" s="1383"/>
      <c r="AJ122" s="1383"/>
      <c r="AK122" s="1383"/>
      <c r="AL122" s="1383"/>
      <c r="AM122" s="1383"/>
      <c r="AN122" s="1383"/>
      <c r="AO122" s="1383"/>
      <c r="AP122" s="1383"/>
      <c r="AQ122" s="1383"/>
      <c r="AR122" s="1591">
        <v>0</v>
      </c>
    </row>
    <row s="7787" customFormat="1" customHeight="1" ht="17.25" hidden="1">
      <c r="A123" s="445"/>
      <c r="C123" s="333"/>
      <c r="D123" s="2272"/>
      <c r="E123" s="2280"/>
      <c r="F123" s="2283"/>
      <c r="G123" s="2280"/>
      <c r="H123" s="2286"/>
      <c r="I123" s="2288"/>
      <c r="J123" s="2291"/>
      <c r="K123" s="2275"/>
      <c r="L123" s="2275"/>
      <c r="M123" s="2275"/>
      <c r="N123" s="2278"/>
      <c r="O123" s="2275"/>
      <c r="P123" s="1595"/>
      <c r="Q123" s="1421"/>
      <c r="R123" s="1421"/>
      <c r="S123" s="453"/>
      <c r="T123" s="453"/>
      <c r="U123" s="453"/>
      <c r="V123" s="453"/>
      <c r="W123" s="1422"/>
      <c r="Y123" s="1391"/>
      <c r="Z123" s="1391"/>
      <c r="AA123" s="1391"/>
      <c r="AB123" s="1391"/>
      <c r="AC123" s="1391"/>
      <c r="AD123" s="1391"/>
      <c r="AE123" s="1391"/>
      <c r="AF123" s="1391"/>
      <c r="AG123" s="1391"/>
      <c r="AH123" s="1391"/>
      <c r="AI123" s="1391"/>
      <c r="AJ123" s="1391"/>
      <c r="AK123" s="1391"/>
      <c r="AL123" s="1391"/>
      <c r="AM123" s="1391"/>
      <c r="AN123" s="1391"/>
      <c r="AO123" s="1391"/>
      <c r="AP123" s="1391"/>
      <c r="AQ123" s="1391"/>
      <c r="AR123" s="1591">
        <v>0</v>
      </c>
    </row>
    <row s="7787" customFormat="1" customHeight="1" ht="17.25" hidden="1">
      <c r="A124" s="445"/>
      <c r="C124" s="444"/>
      <c r="D124" s="2272"/>
      <c r="E124" s="2280"/>
      <c r="F124" s="2283"/>
      <c r="G124" s="2280"/>
      <c r="H124" s="2286"/>
      <c r="I124" s="2288"/>
      <c r="J124" s="2291"/>
      <c r="K124" s="2275"/>
      <c r="L124" s="1421"/>
      <c r="M124" s="1421"/>
      <c r="N124" s="1421"/>
      <c r="O124" s="1421"/>
      <c r="P124" s="1421"/>
      <c r="Q124" s="1421"/>
      <c r="R124" s="1421"/>
      <c r="S124" s="453"/>
      <c r="T124" s="453"/>
      <c r="U124" s="453"/>
      <c r="V124" s="453"/>
      <c r="W124" s="1422"/>
      <c r="Y124" s="1383"/>
      <c r="Z124" s="1383"/>
      <c r="AA124" s="1383"/>
      <c r="AB124" s="1383"/>
      <c r="AC124" s="1383"/>
      <c r="AD124" s="1383"/>
      <c r="AE124" s="1383"/>
      <c r="AF124" s="1383"/>
      <c r="AG124" s="1383"/>
      <c r="AH124" s="1383"/>
      <c r="AI124" s="1383"/>
      <c r="AJ124" s="1383"/>
      <c r="AK124" s="1383"/>
      <c r="AL124" s="1383"/>
      <c r="AM124" s="1383"/>
      <c r="AN124" s="1383"/>
      <c r="AO124" s="1383"/>
      <c r="AP124" s="1383"/>
      <c r="AQ124" s="1383"/>
      <c r="AR124" s="1591">
        <v>0</v>
      </c>
    </row>
    <row s="7787" customFormat="1" customHeight="1" ht="17.25" hidden="1">
      <c r="A125" s="445"/>
      <c r="C125" s="444"/>
      <c r="D125" s="2273"/>
      <c r="E125" s="2281"/>
      <c r="F125" s="2284"/>
      <c r="G125" s="2281"/>
      <c r="H125" s="1423"/>
      <c r="I125" s="1424"/>
      <c r="J125" s="1424"/>
      <c r="K125" s="1424"/>
      <c r="L125" s="1424"/>
      <c r="M125" s="1424"/>
      <c r="N125" s="1424"/>
      <c r="O125" s="1424"/>
      <c r="P125" s="1424"/>
      <c r="Q125" s="1424"/>
      <c r="R125" s="1424"/>
      <c r="S125" s="1425"/>
      <c r="T125" s="1425"/>
      <c r="U125" s="1425"/>
      <c r="V125" s="1425"/>
      <c r="W125" s="1426"/>
      <c r="Y125" s="1383"/>
      <c r="Z125" s="1383"/>
      <c r="AA125" s="1383"/>
      <c r="AB125" s="1383"/>
      <c r="AC125" s="1383"/>
      <c r="AD125" s="1383"/>
      <c r="AE125" s="1383"/>
      <c r="AF125" s="1383"/>
      <c r="AG125" s="1383"/>
      <c r="AH125" s="1383"/>
      <c r="AI125" s="1383"/>
      <c r="AJ125" s="1383"/>
      <c r="AK125" s="1383"/>
      <c r="AL125" s="1383"/>
      <c r="AM125" s="1383"/>
      <c r="AN125" s="1383"/>
      <c r="AO125" s="1383"/>
      <c r="AP125" s="1383"/>
      <c r="AQ125" s="1383"/>
      <c r="AR125" s="1591">
        <v>0</v>
      </c>
    </row>
    <row s="7787" customFormat="1" customHeight="1" ht="17.25" hidden="1">
      <c r="A126" s="445"/>
      <c r="C126" s="333"/>
      <c r="D126" s="2272">
        <v>2</v>
      </c>
      <c r="E126" s="2280" t="s">
        <v>381</v>
      </c>
      <c r="F126" s="2282" t="s">
        <v>19</v>
      </c>
      <c r="G126" s="2280"/>
      <c r="H126" s="2285"/>
      <c r="I126" s="2287"/>
      <c r="J126" s="2289"/>
      <c r="K126" s="2274"/>
      <c r="L126" s="2274"/>
      <c r="M126" s="2274"/>
      <c r="N126" s="2276"/>
      <c r="O126" s="2274"/>
      <c r="P126" s="2274"/>
      <c r="Q126" s="2274"/>
      <c r="R126" s="2279"/>
      <c r="S126" s="2274"/>
      <c r="T126" s="1594"/>
      <c r="U126" s="1594"/>
      <c r="V126" s="1596"/>
      <c r="W126" s="1420"/>
      <c r="X126" s="1391"/>
      <c r="Y126" s="1391"/>
      <c r="Z126" s="1391"/>
      <c r="AA126" s="1391"/>
      <c r="AB126" s="1391"/>
      <c r="AC126" s="1391" t="s">
        <v>382</v>
      </c>
      <c r="AD126" s="1391" t="s">
        <v>383</v>
      </c>
      <c r="AE126" s="1391" t="s">
        <v>384</v>
      </c>
      <c r="AF126" s="1391" t="s">
        <v>385</v>
      </c>
      <c r="AG126" s="1391"/>
      <c r="AH126" s="1391" t="str">
        <f>IF($E$126=0,"",$E$126)</f>
        <v>Тариф на транспортировку сточных вод</v>
      </c>
      <c r="AI126" s="1391" t="str">
        <f>IF($G$126=0,"",$G$126)</f>
        <v/>
      </c>
      <c r="AJ126" s="1391" t="str">
        <f>IF($J$126=0,"",$J$126)</f>
        <v/>
      </c>
      <c r="AK126" s="1391" t="str">
        <f>IF($K$126="нет","без дифференциации",IF($N$126=0,"",$N$126))</f>
        <v/>
      </c>
      <c r="AL126" s="1391" t="str">
        <f>IF($O$126="нет","без дифференциации",IF($R$126=0,"",$R$126))</f>
        <v/>
      </c>
      <c r="AM126" s="1391" t="str">
        <f>IF($S$126="нет","без дифференциации",IF($V$126=0,"",$V$126))</f>
        <v/>
      </c>
      <c r="AN126" s="1895">
        <f>$I$126</f>
        <v>0</v>
      </c>
      <c r="AO126" s="1391" t="str">
        <f>$I$126&amp;"."&amp;$M$126</f>
        <v>.</v>
      </c>
      <c r="AP126" s="1383" t="str">
        <f>$I$126&amp;"."&amp;$M$126&amp;"."&amp;$Q$126</f>
        <v>..</v>
      </c>
      <c r="AQ126" s="1383" t="str">
        <f>$I$126&amp;"."&amp;$M$126&amp;"."&amp;$Q$126&amp;"."&amp;$U$126</f>
        <v>...</v>
      </c>
      <c r="AR126" s="1591">
        <v>0</v>
      </c>
    </row>
    <row s="7787" customFormat="1" customHeight="1" ht="17.25" hidden="1">
      <c r="A127" s="445"/>
      <c r="C127" s="444"/>
      <c r="D127" s="2272"/>
      <c r="E127" s="2280"/>
      <c r="F127" s="2283"/>
      <c r="G127" s="2280"/>
      <c r="H127" s="2286"/>
      <c r="I127" s="2288"/>
      <c r="J127" s="2290"/>
      <c r="K127" s="2275"/>
      <c r="L127" s="2275"/>
      <c r="M127" s="2275"/>
      <c r="N127" s="2277"/>
      <c r="O127" s="2275"/>
      <c r="P127" s="2275"/>
      <c r="Q127" s="2275"/>
      <c r="R127" s="2278"/>
      <c r="S127" s="2275"/>
      <c r="T127" s="1421"/>
      <c r="U127" s="1421"/>
      <c r="V127" s="1421"/>
      <c r="W127" s="1422"/>
      <c r="X127" s="1383"/>
      <c r="Y127" s="1383"/>
      <c r="Z127" s="1383"/>
      <c r="AA127" s="1383"/>
      <c r="AB127" s="1383"/>
      <c r="AC127" s="1383"/>
      <c r="AD127" s="1383"/>
      <c r="AE127" s="1383"/>
      <c r="AF127" s="1383"/>
      <c r="AG127" s="1383"/>
      <c r="AH127" s="1383"/>
      <c r="AI127" s="1383"/>
      <c r="AJ127" s="1383"/>
      <c r="AK127" s="1383"/>
      <c r="AL127" s="1383"/>
      <c r="AM127" s="1383"/>
      <c r="AN127" s="1383"/>
      <c r="AO127" s="1383"/>
      <c r="AP127" s="1383"/>
      <c r="AQ127" s="1383"/>
      <c r="AR127" s="1591">
        <v>0</v>
      </c>
    </row>
    <row s="7787" customFormat="1" customHeight="1" ht="17.25" hidden="1">
      <c r="A128" s="445"/>
      <c r="C128" s="444"/>
      <c r="D128" s="2273"/>
      <c r="E128" s="2281"/>
      <c r="F128" s="2283"/>
      <c r="G128" s="2281"/>
      <c r="H128" s="2286"/>
      <c r="I128" s="2288"/>
      <c r="J128" s="2291"/>
      <c r="K128" s="2275"/>
      <c r="L128" s="2275"/>
      <c r="M128" s="2275"/>
      <c r="N128" s="2278"/>
      <c r="O128" s="2275"/>
      <c r="P128" s="1595"/>
      <c r="Q128" s="1421"/>
      <c r="R128" s="1421"/>
      <c r="S128" s="453"/>
      <c r="T128" s="453"/>
      <c r="U128" s="453"/>
      <c r="V128" s="453"/>
      <c r="W128" s="1422"/>
      <c r="X128" s="1383"/>
      <c r="Y128" s="1383"/>
      <c r="Z128" s="1383"/>
      <c r="AA128" s="1383"/>
      <c r="AB128" s="1383"/>
      <c r="AC128" s="1383"/>
      <c r="AD128" s="1383"/>
      <c r="AE128" s="1383"/>
      <c r="AF128" s="1383"/>
      <c r="AG128" s="1383"/>
      <c r="AH128" s="1383"/>
      <c r="AI128" s="1383"/>
      <c r="AJ128" s="1383"/>
      <c r="AK128" s="1383"/>
      <c r="AL128" s="1383"/>
      <c r="AM128" s="1383"/>
      <c r="AN128" s="1383"/>
      <c r="AO128" s="1383"/>
      <c r="AP128" s="1383"/>
      <c r="AQ128" s="1383"/>
      <c r="AR128" s="1591">
        <v>0</v>
      </c>
    </row>
    <row s="7787" customFormat="1" customHeight="1" ht="17.25" hidden="1">
      <c r="A129" s="445"/>
      <c r="C129" s="444"/>
      <c r="D129" s="2273"/>
      <c r="E129" s="2281"/>
      <c r="F129" s="2283"/>
      <c r="G129" s="2281"/>
      <c r="H129" s="2286"/>
      <c r="I129" s="2288"/>
      <c r="J129" s="2291"/>
      <c r="K129" s="2275"/>
      <c r="L129" s="1421"/>
      <c r="M129" s="1421"/>
      <c r="N129" s="1421"/>
      <c r="O129" s="1421"/>
      <c r="P129" s="1421"/>
      <c r="Q129" s="1421"/>
      <c r="R129" s="1421"/>
      <c r="S129" s="453"/>
      <c r="T129" s="453"/>
      <c r="U129" s="453"/>
      <c r="V129" s="453"/>
      <c r="W129" s="1422"/>
      <c r="X129" s="1383"/>
      <c r="Y129" s="1383"/>
      <c r="Z129" s="1383"/>
      <c r="AA129" s="1383"/>
      <c r="AB129" s="1383"/>
      <c r="AC129" s="1383"/>
      <c r="AD129" s="1383"/>
      <c r="AE129" s="1383"/>
      <c r="AF129" s="1383"/>
      <c r="AG129" s="1383"/>
      <c r="AH129" s="1383"/>
      <c r="AI129" s="1383"/>
      <c r="AJ129" s="1383"/>
      <c r="AK129" s="1383"/>
      <c r="AL129" s="1383"/>
      <c r="AM129" s="1383"/>
      <c r="AN129" s="1383"/>
      <c r="AO129" s="1383"/>
      <c r="AP129" s="1383"/>
      <c r="AQ129" s="1383"/>
      <c r="AR129" s="1591">
        <v>0</v>
      </c>
    </row>
    <row s="7787" customFormat="1" customHeight="1" ht="17.25" hidden="1">
      <c r="A130" s="445"/>
      <c r="C130" s="444"/>
      <c r="D130" s="2273"/>
      <c r="E130" s="2281"/>
      <c r="F130" s="2284"/>
      <c r="G130" s="2281"/>
      <c r="H130" s="1423"/>
      <c r="I130" s="1424"/>
      <c r="J130" s="1424"/>
      <c r="K130" s="1424"/>
      <c r="L130" s="1424"/>
      <c r="M130" s="1424"/>
      <c r="N130" s="1424"/>
      <c r="O130" s="1424"/>
      <c r="P130" s="1424"/>
      <c r="Q130" s="1424"/>
      <c r="R130" s="1424"/>
      <c r="S130" s="1425"/>
      <c r="T130" s="1425"/>
      <c r="U130" s="1425"/>
      <c r="V130" s="1425"/>
      <c r="W130" s="1426"/>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591">
        <v>0</v>
      </c>
    </row>
    <row s="7787" customFormat="1" customHeight="1" ht="17.25" hidden="1">
      <c r="A131" s="445"/>
      <c r="C131" s="333"/>
      <c r="D131" s="2272">
        <v>3</v>
      </c>
      <c r="E131" s="2280" t="s">
        <v>386</v>
      </c>
      <c r="F131" s="2282" t="s">
        <v>19</v>
      </c>
      <c r="G131" s="2280"/>
      <c r="H131" s="2285"/>
      <c r="I131" s="2287"/>
      <c r="J131" s="2289"/>
      <c r="K131" s="2274"/>
      <c r="L131" s="2274"/>
      <c r="M131" s="2274"/>
      <c r="N131" s="2276"/>
      <c r="O131" s="2274"/>
      <c r="P131" s="2274"/>
      <c r="Q131" s="2274"/>
      <c r="R131" s="2279"/>
      <c r="S131" s="2274"/>
      <c r="T131" s="2064"/>
      <c r="U131" s="2064"/>
      <c r="V131" s="2066"/>
      <c r="W131" s="1420"/>
      <c r="X131" s="1391"/>
      <c r="Y131" s="1391"/>
      <c r="Z131" s="1391"/>
      <c r="AA131" s="1391"/>
      <c r="AB131" s="1391"/>
      <c r="AC131" s="1391" t="s">
        <v>387</v>
      </c>
      <c r="AD131" s="1391" t="s">
        <v>388</v>
      </c>
      <c r="AE131" s="1391" t="s">
        <v>389</v>
      </c>
      <c r="AF131" s="1391" t="s">
        <v>390</v>
      </c>
      <c r="AG131" s="1391"/>
      <c r="AH131" s="1391" t="str">
        <f>IF($E$131=0,"",$E$131)</f>
        <v>Тариф на подключение (технологическое присоединение) к централизованной системе водоотведения</v>
      </c>
      <c r="AI131" s="1391" t="str">
        <f>IF($G$131=0,"",$G$131)</f>
        <v/>
      </c>
      <c r="AJ131" s="1391" t="str">
        <f>IF($J$131=0,"",$J$131)</f>
        <v/>
      </c>
      <c r="AK131" s="1391" t="str">
        <f>IF($K$131="нет","без дифференциации",IF($N$131=0,"",$N$131))</f>
        <v/>
      </c>
      <c r="AL131" s="1391" t="str">
        <f>IF($O$131="нет","без дифференциации",IF($R$131=0,"",$R$131))</f>
        <v/>
      </c>
      <c r="AM131" s="1391" t="str">
        <f>IF($S$131="нет","без дифференциации",IF($V$131=0,"",$V$131))</f>
        <v/>
      </c>
      <c r="AN131" s="1895">
        <f>$I$131</f>
        <v>0</v>
      </c>
      <c r="AO131" s="1391" t="str">
        <f>$I$131&amp;"."&amp;$M$131</f>
        <v>.</v>
      </c>
      <c r="AP131" s="1390" t="str">
        <f>$I$131&amp;"."&amp;$M$131&amp;"."&amp;$Q$131</f>
        <v>..</v>
      </c>
      <c r="AQ131" s="1390" t="str">
        <f>$I$131&amp;"."&amp;$M$131&amp;"."&amp;$Q$131&amp;"."&amp;$U$131</f>
        <v>...</v>
      </c>
      <c r="AR131" s="1591">
        <v>0</v>
      </c>
    </row>
    <row s="7787" customFormat="1" customHeight="1" ht="17.25" hidden="1">
      <c r="A132" s="445"/>
      <c r="C132" s="444"/>
      <c r="D132" s="2272"/>
      <c r="E132" s="2280"/>
      <c r="F132" s="2283"/>
      <c r="G132" s="2280"/>
      <c r="H132" s="2286"/>
      <c r="I132" s="2288"/>
      <c r="J132" s="2290"/>
      <c r="K132" s="2275"/>
      <c r="L132" s="2275"/>
      <c r="M132" s="2275"/>
      <c r="N132" s="2277"/>
      <c r="O132" s="2275"/>
      <c r="P132" s="2275"/>
      <c r="Q132" s="2275"/>
      <c r="R132" s="2278"/>
      <c r="S132" s="2275"/>
      <c r="T132" s="2069"/>
      <c r="U132" s="2069"/>
      <c r="V132" s="2069"/>
      <c r="W132" s="2070"/>
      <c r="X132" s="1390"/>
      <c r="Y132" s="1390"/>
      <c r="Z132" s="1390"/>
      <c r="AA132" s="1390"/>
      <c r="AB132" s="1390"/>
      <c r="AC132" s="1390"/>
      <c r="AD132" s="1390"/>
      <c r="AE132" s="1390"/>
      <c r="AF132" s="1390"/>
      <c r="AG132" s="1390"/>
      <c r="AH132" s="1390"/>
      <c r="AI132" s="1390"/>
      <c r="AJ132" s="1390"/>
      <c r="AK132" s="1390"/>
      <c r="AL132" s="1390"/>
      <c r="AM132" s="1390"/>
      <c r="AN132" s="1390"/>
      <c r="AO132" s="1390"/>
      <c r="AP132" s="1390"/>
      <c r="AQ132" s="1390"/>
      <c r="AR132" s="1591">
        <v>0</v>
      </c>
    </row>
    <row s="7787" customFormat="1" customHeight="1" ht="17.25" hidden="1">
      <c r="A133" s="445"/>
      <c r="C133" s="444"/>
      <c r="D133" s="2273"/>
      <c r="E133" s="2281"/>
      <c r="F133" s="2283"/>
      <c r="G133" s="2281"/>
      <c r="H133" s="2286"/>
      <c r="I133" s="2288"/>
      <c r="J133" s="2291"/>
      <c r="K133" s="2275"/>
      <c r="L133" s="2275"/>
      <c r="M133" s="2275"/>
      <c r="N133" s="2278"/>
      <c r="O133" s="2275"/>
      <c r="P133" s="2065"/>
      <c r="Q133" s="2069"/>
      <c r="R133" s="2069"/>
      <c r="S133" s="453"/>
      <c r="T133" s="453"/>
      <c r="U133" s="453"/>
      <c r="V133" s="453"/>
      <c r="W133" s="2070"/>
      <c r="X133" s="1390"/>
      <c r="Y133" s="1390"/>
      <c r="Z133" s="1390"/>
      <c r="AA133" s="1390"/>
      <c r="AB133" s="1390"/>
      <c r="AC133" s="1390"/>
      <c r="AD133" s="1390"/>
      <c r="AE133" s="1390"/>
      <c r="AF133" s="1390"/>
      <c r="AG133" s="1390"/>
      <c r="AH133" s="1390"/>
      <c r="AI133" s="1390"/>
      <c r="AJ133" s="1390"/>
      <c r="AK133" s="1390"/>
      <c r="AL133" s="1390"/>
      <c r="AM133" s="1390"/>
      <c r="AN133" s="1390"/>
      <c r="AO133" s="1390"/>
      <c r="AP133" s="1390"/>
      <c r="AQ133" s="1390"/>
      <c r="AR133" s="1591">
        <v>0</v>
      </c>
    </row>
    <row s="7787" customFormat="1" customHeight="1" ht="17.25" hidden="1">
      <c r="A134" s="445"/>
      <c r="C134" s="444"/>
      <c r="D134" s="2273"/>
      <c r="E134" s="2281"/>
      <c r="F134" s="2283"/>
      <c r="G134" s="2281"/>
      <c r="H134" s="2286"/>
      <c r="I134" s="2288"/>
      <c r="J134" s="2291"/>
      <c r="K134" s="2275"/>
      <c r="L134" s="2069"/>
      <c r="M134" s="2069"/>
      <c r="N134" s="2069"/>
      <c r="O134" s="2069"/>
      <c r="P134" s="2069"/>
      <c r="Q134" s="2069"/>
      <c r="R134" s="2069"/>
      <c r="S134" s="453"/>
      <c r="T134" s="453"/>
      <c r="U134" s="453"/>
      <c r="V134" s="453"/>
      <c r="W134" s="2070"/>
      <c r="X134" s="1390"/>
      <c r="Y134" s="1390"/>
      <c r="Z134" s="1390"/>
      <c r="AA134" s="1390"/>
      <c r="AB134" s="1390"/>
      <c r="AC134" s="1390"/>
      <c r="AD134" s="1390"/>
      <c r="AE134" s="1390"/>
      <c r="AF134" s="1390"/>
      <c r="AG134" s="1390"/>
      <c r="AH134" s="1390"/>
      <c r="AI134" s="1390"/>
      <c r="AJ134" s="1390"/>
      <c r="AK134" s="1390"/>
      <c r="AL134" s="1390"/>
      <c r="AM134" s="1390"/>
      <c r="AN134" s="1390"/>
      <c r="AO134" s="1390"/>
      <c r="AP134" s="1390"/>
      <c r="AQ134" s="1390"/>
      <c r="AR134" s="1591">
        <v>0</v>
      </c>
    </row>
    <row s="7787" customFormat="1" customHeight="1" ht="17.25" hidden="1">
      <c r="A135" s="445"/>
      <c r="C135" s="444"/>
      <c r="D135" s="2273"/>
      <c r="E135" s="2281"/>
      <c r="F135" s="2284"/>
      <c r="G135" s="2281"/>
      <c r="H135" s="1423"/>
      <c r="I135" s="2067"/>
      <c r="J135" s="2067"/>
      <c r="K135" s="2067"/>
      <c r="L135" s="2067"/>
      <c r="M135" s="2067"/>
      <c r="N135" s="2067"/>
      <c r="O135" s="2067"/>
      <c r="P135" s="2067"/>
      <c r="Q135" s="2067"/>
      <c r="R135" s="2067"/>
      <c r="S135" s="1425"/>
      <c r="T135" s="1425"/>
      <c r="U135" s="1425"/>
      <c r="V135" s="1425"/>
      <c r="W135" s="2068"/>
      <c r="X135" s="1390"/>
      <c r="Y135" s="1390"/>
      <c r="Z135" s="1390"/>
      <c r="AA135" s="1390"/>
      <c r="AB135" s="1390"/>
      <c r="AC135" s="1390"/>
      <c r="AD135" s="1390"/>
      <c r="AE135" s="1390"/>
      <c r="AF135" s="1390"/>
      <c r="AG135" s="1390"/>
      <c r="AH135" s="1390"/>
      <c r="AI135" s="1390"/>
      <c r="AJ135" s="1390"/>
      <c r="AK135" s="1390"/>
      <c r="AL135" s="1390"/>
      <c r="AM135" s="1390"/>
      <c r="AN135" s="1390"/>
      <c r="AO135" s="1390"/>
      <c r="AP135" s="1390"/>
      <c r="AQ135" s="1390"/>
      <c r="AR135" s="1591">
        <v>0</v>
      </c>
    </row>
    <row customHeight="1" ht="11.549999999999999">
      <c r="AR136" s="228">
        <v>11</v>
      </c>
    </row>
    <row customHeight="1" ht="11.549999999999999">
      <c r="AR137" s="228">
        <v>11</v>
      </c>
    </row>
    <row customHeight="1" ht="11.549999999999999">
      <c r="AR138" s="228">
        <v>11</v>
      </c>
    </row>
    <row customHeight="1" ht="11.549999999999999">
      <c r="E139" s="1474"/>
      <c r="AR139" s="228">
        <v>11</v>
      </c>
    </row>
    <row customHeight="1" ht="11.549999999999999">
      <c r="E140" s="1474"/>
      <c r="AR140" s="228">
        <v>11</v>
      </c>
    </row>
    <row customHeight="1" ht="11.549999999999999">
      <c r="E141" s="1474"/>
      <c r="AR141" s="228">
        <v>11</v>
      </c>
    </row>
    <row customHeight="1" ht="11.549999999999999">
      <c r="E142" s="1474"/>
      <c r="AR142" s="228">
        <v>11</v>
      </c>
    </row>
    <row customHeight="1" ht="11.549999999999999">
      <c r="E143" s="1474"/>
      <c r="AR143" s="228">
        <v>11</v>
      </c>
    </row>
    <row customHeight="1" ht="11.549999999999999">
      <c r="E144" s="1474"/>
      <c r="AR144" s="228">
        <v>11</v>
      </c>
    </row>
    <row customHeight="1" ht="11.549999999999999">
      <c r="E145" s="1474"/>
      <c r="AR145" s="228">
        <v>11</v>
      </c>
    </row>
    <row customHeight="1" ht="11.25" hidden="1">
      <c r="A146" s="277" t="s">
        <v>82</v>
      </c>
      <c r="B146" s="277">
        <v>0</v>
      </c>
      <c r="C146" s="228">
        <v>3</v>
      </c>
      <c r="D146" s="228">
        <v>6</v>
      </c>
      <c r="E146" s="228">
        <v>42</v>
      </c>
      <c r="F146" s="1407">
        <v>14</v>
      </c>
      <c r="G146" s="228">
        <v>42</v>
      </c>
      <c r="H146" s="228">
        <v>3</v>
      </c>
      <c r="I146" s="228">
        <v>5</v>
      </c>
      <c r="J146" s="228">
        <v>47</v>
      </c>
      <c r="K146" s="228">
        <v>3</v>
      </c>
      <c r="L146" s="228">
        <v>3</v>
      </c>
      <c r="M146" s="228">
        <v>5</v>
      </c>
      <c r="N146" s="228">
        <v>28</v>
      </c>
      <c r="O146" s="228">
        <v>3</v>
      </c>
      <c r="P146" s="228">
        <v>3</v>
      </c>
      <c r="Q146" s="228">
        <v>5</v>
      </c>
      <c r="R146" s="228">
        <v>34</v>
      </c>
      <c r="S146" s="406">
        <v>0</v>
      </c>
      <c r="T146" s="406">
        <v>0</v>
      </c>
      <c r="U146" s="406">
        <v>0</v>
      </c>
      <c r="V146" s="406">
        <v>0</v>
      </c>
      <c r="W146" s="228">
        <v>30</v>
      </c>
      <c r="X146" s="228">
        <v>3</v>
      </c>
      <c r="Y146" s="1383">
        <v>0</v>
      </c>
      <c r="Z146" s="1383">
        <v>0</v>
      </c>
      <c r="AA146" s="1383">
        <v>0</v>
      </c>
      <c r="AB146" s="1383">
        <v>0</v>
      </c>
      <c r="AC146" s="1383">
        <v>0</v>
      </c>
      <c r="AD146" s="1383">
        <v>0</v>
      </c>
      <c r="AE146" s="1383">
        <v>0</v>
      </c>
      <c r="AF146" s="1383">
        <v>0</v>
      </c>
      <c r="AG146" s="1383">
        <v>0</v>
      </c>
      <c r="AH146" s="1383">
        <v>0</v>
      </c>
      <c r="AI146" s="1383">
        <v>0</v>
      </c>
      <c r="AJ146" s="1383">
        <v>0</v>
      </c>
      <c r="AK146" s="1383">
        <v>0</v>
      </c>
      <c r="AL146" s="1383">
        <v>0</v>
      </c>
      <c r="AM146" s="1383">
        <v>0</v>
      </c>
      <c r="AN146" s="1383">
        <v>0</v>
      </c>
      <c r="AO146" s="1383">
        <v>0</v>
      </c>
      <c r="AP146" s="1383">
        <v>0</v>
      </c>
      <c r="AQ146" s="1383">
        <v>0</v>
      </c>
      <c r="AR146" s="22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FCF598-C852-5CC1-F9EB-C912FFDB5798}" mc:Ignorable="x14ac xr xr2 xr3">
  <sheetPr>
    <tabColor theme="2" tint="-0.1"/>
  </sheetPr>
  <dimension ref="A1:BL30"/>
  <sheetViews>
    <sheetView showGridLines="0" zoomScale="90" workbookViewId="0">
      <pane xSplit="8" ySplit="18" topLeftCell="BA19" activePane="bottomRight" state="frozen"/>
      <selection pane="bottomLeft" activeCell="A19" sqref="A19"/>
      <selection pane="topRight" activeCell="I1" sqref="I1"/>
      <selection pane="bottomRight" activeCell="BA8" sqref="BA8"/>
    </sheetView>
  </sheetViews>
  <sheetFormatPr defaultColWidth="10.57421875" customHeight="1" defaultRowHeight="15"/>
  <cols>
    <col min="1" max="1" style="7464" width="9.140625" hidden="1" customWidth="1"/>
    <col min="2" max="2" style="7213" width="9.140625" hidden="1" customWidth="1"/>
    <col min="3" max="3" style="7121" width="4.00390625" customWidth="1"/>
    <col min="4" max="4" style="7213" width="6.00390625" customWidth="1"/>
    <col min="5" max="5" style="7213" width="47.00390625" customWidth="1"/>
    <col min="6" max="6" style="7213" width="9.00390625" customWidth="1"/>
    <col min="7" max="7" style="7213" width="25.7109375" hidden="1" customWidth="1"/>
    <col min="8" max="8" style="7213" width="34.00390625" hidden="1" customWidth="1"/>
    <col min="9" max="9" style="7213" width="25.7109375" customWidth="1"/>
    <col min="10" max="10" style="7213" width="33.00390625" customWidth="1"/>
    <col min="11" max="11" style="7213" width="25.7109375" customWidth="1"/>
    <col min="12" max="12" style="7213" width="34.00390625" customWidth="1"/>
    <col min="13" max="13" style="7213" width="25.7109375" customWidth="1"/>
    <col min="14" max="14" style="7213" width="34.00390625" customWidth="1"/>
    <col min="15" max="15" style="7213" width="25.7109375" customWidth="1"/>
    <col min="16" max="16" style="7213" width="34.00390625" customWidth="1"/>
    <col min="17" max="17" style="7213" width="25.7109375" customWidth="1"/>
    <col min="18" max="18" style="7213" width="34.00390625" customWidth="1"/>
    <col min="19" max="19" style="7213" width="25.7109375" customWidth="1"/>
    <col min="20" max="20" style="7213" width="34.00390625" customWidth="1"/>
    <col min="21" max="21" style="7213" width="25.7109375" customWidth="1"/>
    <col min="22" max="22" style="7213" width="34.00390625" customWidth="1"/>
    <col min="23" max="23" style="7213" width="25.7109375" customWidth="1"/>
    <col min="24" max="24" style="7213" width="34.00390625" customWidth="1"/>
    <col min="25" max="25" style="7213" width="25.7109375" customWidth="1"/>
    <col min="26" max="26" style="7213" width="34.00390625" customWidth="1"/>
    <col min="27" max="27" style="7213" width="25.7109375" customWidth="1"/>
    <col min="28" max="28" style="7213" width="34.00390625" customWidth="1"/>
    <col min="29" max="29" style="7213" width="25.7109375" customWidth="1"/>
    <col min="30" max="30" style="7213" width="34.00390625" customWidth="1"/>
    <col min="31" max="31" style="7213" width="25.7109375" customWidth="1"/>
    <col min="32" max="32" style="7213" width="34.00390625" customWidth="1"/>
    <col min="33" max="33" style="7213" width="25.7109375" customWidth="1"/>
    <col min="34" max="34" style="7213" width="34.00390625" customWidth="1"/>
    <col min="35" max="35" style="7213" width="25.7109375" customWidth="1"/>
    <col min="36" max="36" style="7213" width="34.00390625" customWidth="1"/>
    <col min="37" max="37" style="7213" width="25.7109375" customWidth="1"/>
    <col min="38" max="38" style="7213" width="34.00390625" customWidth="1"/>
    <col min="39" max="39" style="7213" width="25.7109375" customWidth="1"/>
    <col min="40" max="40" style="7213" width="34.00390625" customWidth="1"/>
    <col min="41" max="41" style="7213" width="25.7109375" customWidth="1"/>
    <col min="42" max="42" style="7213" width="34.00390625" customWidth="1"/>
    <col min="43" max="43" style="7213" width="25.7109375" customWidth="1"/>
    <col min="44" max="44" style="7213" width="34.00390625" customWidth="1"/>
    <col min="45" max="45" style="7213" width="25.7109375" customWidth="1"/>
    <col min="46" max="46" style="7213" width="34.00390625" customWidth="1"/>
    <col min="47" max="47" style="7213" width="25.7109375" customWidth="1"/>
    <col min="48" max="48" style="7213" width="34.00390625" customWidth="1"/>
    <col min="49" max="49" style="7213" width="25.7109375" customWidth="1"/>
    <col min="50" max="50" style="7213" width="34.00390625" customWidth="1"/>
    <col min="51" max="51" style="7213" width="25.7109375" customWidth="1"/>
    <col min="52" max="52" style="7213" width="34.00390625" customWidth="1"/>
    <col min="53" max="53" style="7158" width="50.00390625" customWidth="1"/>
    <col min="54" max="62" style="7213" width="10.00390625" customWidth="1"/>
    <col min="63" max="63" style="7249" width="10.00390625" customWidth="1"/>
    <col min="64" max="64" style="7213" width="10.57421875" hidden="1"/>
  </cols>
  <sheetData>
    <row s="7158" customFormat="1" customHeight="1" ht="22.5" hidden="1">
      <c r="C1" s="796"/>
      <c r="G1" s="541">
        <v>4</v>
      </c>
      <c r="I1" s="541">
        <v>4</v>
      </c>
      <c r="K1" s="7158">
        <v>4</v>
      </c>
      <c r="L1" s="7158"/>
      <c r="M1" s="7158">
        <v>4</v>
      </c>
      <c r="N1" s="7158"/>
      <c r="O1" s="7158">
        <v>4</v>
      </c>
      <c r="P1" s="7158"/>
      <c r="Q1" s="7158">
        <v>4</v>
      </c>
      <c r="R1" s="7158"/>
      <c r="S1" s="7158">
        <v>4</v>
      </c>
      <c r="T1" s="7158"/>
      <c r="U1" s="7158">
        <v>4</v>
      </c>
      <c r="V1" s="7158"/>
      <c r="W1" s="7158">
        <v>4</v>
      </c>
      <c r="X1" s="7158"/>
      <c r="Y1" s="7158">
        <v>4</v>
      </c>
      <c r="Z1" s="7158"/>
      <c r="AA1" s="7158">
        <v>4</v>
      </c>
      <c r="AB1" s="7158"/>
      <c r="AC1" s="7158">
        <v>4</v>
      </c>
      <c r="AD1" s="7158"/>
      <c r="AE1" s="7158">
        <v>4</v>
      </c>
      <c r="AF1" s="7158"/>
      <c r="AG1" s="7158">
        <v>4</v>
      </c>
      <c r="AH1" s="7158"/>
      <c r="AI1" s="7158">
        <v>4</v>
      </c>
      <c r="AJ1" s="7158"/>
      <c r="AK1" s="7158">
        <v>4</v>
      </c>
      <c r="AL1" s="7158"/>
      <c r="AM1" s="7158">
        <v>4</v>
      </c>
      <c r="AN1" s="7158"/>
      <c r="AO1" s="7158">
        <v>4</v>
      </c>
      <c r="AP1" s="7158"/>
      <c r="AQ1" s="7158">
        <v>4</v>
      </c>
      <c r="AR1" s="7158"/>
      <c r="AS1" s="7158">
        <v>4</v>
      </c>
      <c r="AT1" s="7158"/>
      <c r="AU1" s="7158">
        <v>4</v>
      </c>
      <c r="AV1" s="7158"/>
      <c r="AW1" s="7158">
        <v>4</v>
      </c>
      <c r="AX1" s="7158"/>
      <c r="AY1" s="7158">
        <v>4</v>
      </c>
      <c r="AZ1" s="7158"/>
      <c r="BK1" s="544"/>
      <c r="BL1" s="541" t="s">
        <v>14</v>
      </c>
    </row>
    <row s="7213" customFormat="1" customHeight="1" ht="15" hidden="1">
      <c r="A2" s="486"/>
      <c r="C2" s="300"/>
      <c r="D2" s="470"/>
      <c r="E2" s="797"/>
      <c r="F2" s="646"/>
      <c r="G2" s="740"/>
      <c r="H2" s="740"/>
      <c r="I2" s="740"/>
      <c r="J2" s="740"/>
      <c r="K2" s="6695"/>
      <c r="L2" s="6695"/>
      <c r="M2" s="6695"/>
      <c r="N2" s="6695"/>
      <c r="O2" s="6695"/>
      <c r="P2" s="6695"/>
      <c r="Q2" s="6695"/>
      <c r="R2" s="6695"/>
      <c r="S2" s="6695"/>
      <c r="T2" s="6695"/>
      <c r="U2" s="6695"/>
      <c r="V2" s="6695"/>
      <c r="W2" s="6695"/>
      <c r="X2" s="6695"/>
      <c r="Y2" s="6695"/>
      <c r="Z2" s="6695"/>
      <c r="AA2" s="6695"/>
      <c r="AB2" s="6695"/>
      <c r="AC2" s="6695"/>
      <c r="AD2" s="6695"/>
      <c r="AE2" s="6695"/>
      <c r="AF2" s="6695"/>
      <c r="AG2" s="6695"/>
      <c r="AH2" s="6695"/>
      <c r="AI2" s="6695"/>
      <c r="AJ2" s="6695"/>
      <c r="AK2" s="6695"/>
      <c r="AL2" s="6695"/>
      <c r="AM2" s="6695"/>
      <c r="AN2" s="6695"/>
      <c r="AO2" s="6695"/>
      <c r="AP2" s="6695"/>
      <c r="AQ2" s="6695"/>
      <c r="AR2" s="6695"/>
      <c r="AS2" s="6695"/>
      <c r="AT2" s="6695"/>
      <c r="AU2" s="6695"/>
      <c r="AV2" s="6695"/>
      <c r="AW2" s="6695"/>
      <c r="AX2" s="6695"/>
      <c r="AY2" s="6695"/>
      <c r="AZ2" s="6695"/>
      <c r="BK2" s="798"/>
      <c r="BL2" s="633">
        <v>0</v>
      </c>
    </row>
    <row s="7158" customFormat="1" customHeight="1" ht="15" hidden="1">
      <c r="C3" s="796"/>
      <c r="K3" s="7158"/>
      <c r="L3" s="7158"/>
      <c r="M3" s="7158"/>
      <c r="N3" s="7158"/>
      <c r="O3" s="7158"/>
      <c r="P3" s="7158"/>
      <c r="Q3" s="7158"/>
      <c r="R3" s="7158"/>
      <c r="S3" s="7158"/>
      <c r="T3" s="7158"/>
      <c r="U3" s="7158"/>
      <c r="V3" s="7158"/>
      <c r="W3" s="7158"/>
      <c r="X3" s="7158"/>
      <c r="Y3" s="7158"/>
      <c r="Z3" s="7158"/>
      <c r="AA3" s="7158"/>
      <c r="AB3" s="7158"/>
      <c r="AC3" s="7158"/>
      <c r="AD3" s="7158"/>
      <c r="AE3" s="7158"/>
      <c r="AF3" s="7158"/>
      <c r="AG3" s="7158"/>
      <c r="AH3" s="7158"/>
      <c r="AI3" s="7158"/>
      <c r="AJ3" s="7158"/>
      <c r="AK3" s="7158"/>
      <c r="AL3" s="7158"/>
      <c r="AM3" s="7158"/>
      <c r="AN3" s="7158"/>
      <c r="AO3" s="7158"/>
      <c r="AP3" s="7158"/>
      <c r="AQ3" s="7158"/>
      <c r="AR3" s="7158"/>
      <c r="AS3" s="7158"/>
      <c r="AT3" s="7158"/>
      <c r="AU3" s="7158"/>
      <c r="AV3" s="7158"/>
      <c r="AW3" s="7158"/>
      <c r="AX3" s="7158"/>
      <c r="AY3" s="7158"/>
      <c r="AZ3" s="7158"/>
      <c r="BK3" s="544"/>
      <c r="BL3" s="541">
        <v>0</v>
      </c>
    </row>
    <row customHeight="1" ht="15.75">
      <c r="C4" s="300"/>
      <c r="D4" s="633"/>
      <c r="E4" s="633"/>
      <c r="F4" s="633"/>
      <c r="G4" s="633"/>
      <c r="H4" s="633"/>
      <c r="I4" s="633"/>
      <c r="J4" s="633"/>
      <c r="K4" s="7213"/>
      <c r="L4" s="7213"/>
      <c r="M4" s="7213"/>
      <c r="N4" s="7213"/>
      <c r="O4" s="7213"/>
      <c r="P4" s="7213"/>
      <c r="Q4" s="7213"/>
      <c r="R4" s="7213"/>
      <c r="S4" s="7213"/>
      <c r="T4" s="7213"/>
      <c r="U4" s="7213"/>
      <c r="V4" s="7213"/>
      <c r="W4" s="7213"/>
      <c r="X4" s="7213"/>
      <c r="Y4" s="7213"/>
      <c r="Z4" s="7213"/>
      <c r="AA4" s="7213"/>
      <c r="AB4" s="7213"/>
      <c r="AC4" s="7213"/>
      <c r="AD4" s="7213"/>
      <c r="AE4" s="7213"/>
      <c r="AF4" s="7213"/>
      <c r="AG4" s="7213"/>
      <c r="AH4" s="7213"/>
      <c r="AI4" s="7213"/>
      <c r="AJ4" s="7213"/>
      <c r="AK4" s="7213"/>
      <c r="AL4" s="7213"/>
      <c r="AM4" s="7213"/>
      <c r="AN4" s="7213"/>
      <c r="AO4" s="7213"/>
      <c r="AP4" s="7213"/>
      <c r="AQ4" s="7213"/>
      <c r="AR4" s="7213"/>
      <c r="AS4" s="7213"/>
      <c r="AT4" s="7213"/>
      <c r="AU4" s="7213"/>
      <c r="AV4" s="7213"/>
      <c r="AW4" s="7213"/>
      <c r="AX4" s="7213"/>
      <c r="AY4" s="7213"/>
      <c r="AZ4" s="7213"/>
      <c r="BL4" s="629">
        <v>15</v>
      </c>
    </row>
    <row customHeight="1" ht="66">
      <c r="C5" s="300"/>
      <c r="D5" s="2374" t="s">
        <v>1585</v>
      </c>
      <c r="E5" s="2374"/>
      <c r="F5" s="2374"/>
      <c r="G5" s="2374"/>
      <c r="H5" s="2374"/>
      <c r="I5" s="2374"/>
      <c r="J5" s="2374"/>
      <c r="K5" s="6180"/>
      <c r="L5" s="6180"/>
      <c r="M5" s="6180"/>
      <c r="N5" s="6180"/>
      <c r="O5" s="6180"/>
      <c r="P5" s="6180"/>
      <c r="Q5" s="6180"/>
      <c r="R5" s="6180"/>
      <c r="S5" s="6180"/>
      <c r="T5" s="6180"/>
      <c r="U5" s="6180"/>
      <c r="V5" s="6180"/>
      <c r="W5" s="6180"/>
      <c r="X5" s="6180"/>
      <c r="Y5" s="6180"/>
      <c r="Z5" s="6180"/>
      <c r="AA5" s="6180"/>
      <c r="AB5" s="6180"/>
      <c r="AC5" s="6180"/>
      <c r="AD5" s="6180"/>
      <c r="AE5" s="6180"/>
      <c r="AF5" s="6180"/>
      <c r="AG5" s="6180"/>
      <c r="AH5" s="6180"/>
      <c r="AI5" s="6180"/>
      <c r="AJ5" s="6180"/>
      <c r="AK5" s="6180"/>
      <c r="AL5" s="6180"/>
      <c r="AM5" s="6180"/>
      <c r="AN5" s="6180"/>
      <c r="AO5" s="6180"/>
      <c r="AP5" s="6180"/>
      <c r="AQ5" s="6180"/>
      <c r="AR5" s="6180"/>
      <c r="AS5" s="6180"/>
      <c r="AT5" s="6180"/>
      <c r="AU5" s="6180"/>
      <c r="AV5" s="6180"/>
      <c r="AW5" s="6180"/>
      <c r="AX5" s="6180"/>
      <c r="AY5" s="6180"/>
      <c r="AZ5" s="6180"/>
      <c r="BL5" s="629">
        <v>63</v>
      </c>
    </row>
    <row customHeight="1" ht="15.75">
      <c r="C6" s="300"/>
      <c r="D6" s="2313" t="str">
        <f>IF(org=0,"Не определено",org)</f>
        <v>ООО "СамРЭК-Эксплуатация"</v>
      </c>
      <c r="E6" s="2313"/>
      <c r="F6" s="2313"/>
      <c r="G6" s="2313"/>
      <c r="H6" s="2313"/>
      <c r="I6" s="2313"/>
      <c r="J6" s="2313"/>
      <c r="K6" s="6182"/>
      <c r="L6" s="6182"/>
      <c r="M6" s="6182"/>
      <c r="N6" s="6182"/>
      <c r="O6" s="6182"/>
      <c r="P6" s="6182"/>
      <c r="Q6" s="6182"/>
      <c r="R6" s="6182"/>
      <c r="S6" s="6182"/>
      <c r="T6" s="6182"/>
      <c r="U6" s="6182"/>
      <c r="V6" s="6182"/>
      <c r="W6" s="6182"/>
      <c r="X6" s="6182"/>
      <c r="Y6" s="6182"/>
      <c r="Z6" s="6182"/>
      <c r="AA6" s="6182"/>
      <c r="AB6" s="6182"/>
      <c r="AC6" s="6182"/>
      <c r="AD6" s="6182"/>
      <c r="AE6" s="6182"/>
      <c r="AF6" s="6182"/>
      <c r="AG6" s="6182"/>
      <c r="AH6" s="6182"/>
      <c r="AI6" s="6182"/>
      <c r="AJ6" s="6182"/>
      <c r="AK6" s="6182"/>
      <c r="AL6" s="6182"/>
      <c r="AM6" s="6182"/>
      <c r="AN6" s="6182"/>
      <c r="AO6" s="6182"/>
      <c r="AP6" s="6182"/>
      <c r="AQ6" s="6182"/>
      <c r="AR6" s="6182"/>
      <c r="AS6" s="6182"/>
      <c r="AT6" s="6182"/>
      <c r="AU6" s="6182"/>
      <c r="AV6" s="6182"/>
      <c r="AW6" s="6182"/>
      <c r="AX6" s="6182"/>
      <c r="AY6" s="6182"/>
      <c r="AZ6" s="6182"/>
      <c r="BA6" s="661"/>
      <c r="BL6" s="629">
        <v>15</v>
      </c>
    </row>
    <row customHeight="1" ht="15.75">
      <c r="C7" s="300"/>
      <c r="D7" s="876"/>
      <c r="E7" s="633"/>
      <c r="F7" s="633"/>
      <c r="G7" s="661">
        <v>22</v>
      </c>
      <c r="I7" s="661">
        <v>1</v>
      </c>
      <c r="J7" s="876"/>
      <c r="K7" s="7158" t="s">
        <v>22</v>
      </c>
      <c r="L7" s="7213"/>
      <c r="M7" s="7158" t="s">
        <v>22</v>
      </c>
      <c r="N7" s="7213"/>
      <c r="O7" s="7158" t="s">
        <v>22</v>
      </c>
      <c r="P7" s="7213"/>
      <c r="Q7" s="7158" t="s">
        <v>22</v>
      </c>
      <c r="R7" s="7213"/>
      <c r="S7" s="7158" t="s">
        <v>22</v>
      </c>
      <c r="T7" s="7213"/>
      <c r="U7" s="7158" t="s">
        <v>22</v>
      </c>
      <c r="V7" s="7213"/>
      <c r="W7" s="7158" t="s">
        <v>22</v>
      </c>
      <c r="X7" s="7213"/>
      <c r="Y7" s="7158" t="s">
        <v>22</v>
      </c>
      <c r="Z7" s="7213"/>
      <c r="AA7" s="7158" t="s">
        <v>22</v>
      </c>
      <c r="AB7" s="7213"/>
      <c r="AC7" s="7158" t="s">
        <v>22</v>
      </c>
      <c r="AD7" s="7213"/>
      <c r="AE7" s="7158" t="s">
        <v>22</v>
      </c>
      <c r="AF7" s="7213"/>
      <c r="AG7" s="7158" t="s">
        <v>22</v>
      </c>
      <c r="AH7" s="7213"/>
      <c r="AI7" s="7158" t="s">
        <v>22</v>
      </c>
      <c r="AJ7" s="7213"/>
      <c r="AK7" s="7158" t="s">
        <v>22</v>
      </c>
      <c r="AL7" s="7213"/>
      <c r="AM7" s="7158" t="s">
        <v>22</v>
      </c>
      <c r="AN7" s="7213"/>
      <c r="AO7" s="7158" t="s">
        <v>22</v>
      </c>
      <c r="AP7" s="7213"/>
      <c r="AQ7" s="7158" t="s">
        <v>22</v>
      </c>
      <c r="AR7" s="7213"/>
      <c r="AS7" s="7158" t="s">
        <v>22</v>
      </c>
      <c r="AT7" s="7213"/>
      <c r="AU7" s="7158" t="s">
        <v>22</v>
      </c>
      <c r="AV7" s="7213"/>
      <c r="AW7" s="7158" t="s">
        <v>22</v>
      </c>
      <c r="AX7" s="7213"/>
      <c r="AY7" s="7158" t="s">
        <v>22</v>
      </c>
      <c r="AZ7" s="7213"/>
      <c r="BL7" s="629">
        <v>15</v>
      </c>
    </row>
    <row s="7213" customFormat="1" customHeight="1" ht="1.05">
      <c r="A8" s="883"/>
      <c r="C8" s="300"/>
      <c r="D8" s="633"/>
      <c r="E8" s="633"/>
      <c r="F8" s="633"/>
      <c r="G8" s="661"/>
      <c r="H8" s="876"/>
      <c r="I8" s="661" t="s">
        <v>215</v>
      </c>
      <c r="J8" s="876"/>
      <c r="K8" s="7158" t="s">
        <v>219</v>
      </c>
      <c r="L8" s="5885"/>
      <c r="M8" s="7158" t="s">
        <v>220</v>
      </c>
      <c r="N8" s="5885"/>
      <c r="O8" s="7158" t="s">
        <v>221</v>
      </c>
      <c r="P8" s="5885"/>
      <c r="Q8" s="7158" t="s">
        <v>222</v>
      </c>
      <c r="R8" s="5885"/>
      <c r="S8" s="7158" t="s">
        <v>223</v>
      </c>
      <c r="T8" s="5885"/>
      <c r="U8" s="7158" t="s">
        <v>224</v>
      </c>
      <c r="V8" s="5885"/>
      <c r="W8" s="7158" t="s">
        <v>225</v>
      </c>
      <c r="X8" s="5885"/>
      <c r="Y8" s="7158" t="s">
        <v>226</v>
      </c>
      <c r="Z8" s="5885"/>
      <c r="AA8" s="7158" t="s">
        <v>227</v>
      </c>
      <c r="AB8" s="5885"/>
      <c r="AC8" s="7158" t="s">
        <v>228</v>
      </c>
      <c r="AD8" s="5885"/>
      <c r="AE8" s="7158" t="s">
        <v>229</v>
      </c>
      <c r="AF8" s="5885"/>
      <c r="AG8" s="7158" t="s">
        <v>230</v>
      </c>
      <c r="AH8" s="5885"/>
      <c r="AI8" s="7158" t="s">
        <v>231</v>
      </c>
      <c r="AJ8" s="5885"/>
      <c r="AK8" s="7158" t="s">
        <v>232</v>
      </c>
      <c r="AL8" s="5885"/>
      <c r="AM8" s="7158" t="s">
        <v>233</v>
      </c>
      <c r="AN8" s="5885"/>
      <c r="AO8" s="7158" t="s">
        <v>234</v>
      </c>
      <c r="AP8" s="5885"/>
      <c r="AQ8" s="7158" t="s">
        <v>235</v>
      </c>
      <c r="AR8" s="5885"/>
      <c r="AS8" s="7158" t="s">
        <v>236</v>
      </c>
      <c r="AT8" s="5885"/>
      <c r="AU8" s="7158" t="s">
        <v>237</v>
      </c>
      <c r="AV8" s="5885"/>
      <c r="AW8" s="7158" t="s">
        <v>238</v>
      </c>
      <c r="AX8" s="5885"/>
      <c r="AY8" s="7158" t="s">
        <v>239</v>
      </c>
      <c r="AZ8" s="5885"/>
      <c r="BA8" s="541"/>
      <c r="BK8" s="799"/>
      <c r="BL8" s="882">
        <v>1</v>
      </c>
    </row>
    <row customHeight="1" ht="15.75">
      <c r="C9" s="300"/>
      <c r="D9" s="835"/>
      <c r="E9" s="2504" t="s">
        <v>206</v>
      </c>
      <c r="F9" s="2505"/>
      <c r="G9" s="2532" t="str">
        <f>IF(G8="","",INDEX(DIFFERENTIATION_UNMERGE_VD,MATCH(G8,DIFFERENTIATION_ID_DIFF,0)))</f>
        <v/>
      </c>
      <c r="H9" s="2533"/>
      <c r="I9" s="2532" t="str">
        <f>IF(I8="","",INDEX(DIFFERENTIATION_UNMERGE_VD,MATCH(I8,DIFFERENTIATION_ID_DIFF,0)))</f>
        <v>Производство тепловой энергии. Некомбинированная выработка</v>
      </c>
      <c r="J9" s="2533"/>
      <c r="K9" s="7123" t="str">
        <f>IF(K8="","",INDEX(DIFFERENTIATION_UNMERGE_VD,MATCH(K8,DIFFERENTIATION_ID_DIFF,0)))</f>
        <v>Производство тепловой энергии. Некомбинированная выработка</v>
      </c>
      <c r="L9" s="6919"/>
      <c r="M9" s="7123" t="str">
        <f>IF(M8="","",INDEX(DIFFERENTIATION_UNMERGE_VD,MATCH(M8,DIFFERENTIATION_ID_DIFF,0)))</f>
        <v>Производство тепловой энергии. Некомбинированная выработка</v>
      </c>
      <c r="N9" s="6919"/>
      <c r="O9" s="7123" t="str">
        <f>IF(O8="","",INDEX(DIFFERENTIATION_UNMERGE_VD,MATCH(O8,DIFFERENTIATION_ID_DIFF,0)))</f>
        <v>Производство тепловой энергии. Некомбинированная выработка</v>
      </c>
      <c r="P9" s="6919"/>
      <c r="Q9" s="7123" t="str">
        <f>IF(Q8="","",INDEX(DIFFERENTIATION_UNMERGE_VD,MATCH(Q8,DIFFERENTIATION_ID_DIFF,0)))</f>
        <v>Производство тепловой энергии. Некомбинированная выработка</v>
      </c>
      <c r="R9" s="6919"/>
      <c r="S9" s="7123" t="str">
        <f>IF(S8="","",INDEX(DIFFERENTIATION_UNMERGE_VD,MATCH(S8,DIFFERENTIATION_ID_DIFF,0)))</f>
        <v>Производство тепловой энергии. Некомбинированная выработка</v>
      </c>
      <c r="T9" s="6919"/>
      <c r="U9" s="7123" t="str">
        <f>IF(U8="","",INDEX(DIFFERENTIATION_UNMERGE_VD,MATCH(U8,DIFFERENTIATION_ID_DIFF,0)))</f>
        <v>Производство тепловой энергии. Некомбинированная выработка</v>
      </c>
      <c r="V9" s="6919"/>
      <c r="W9" s="7123" t="str">
        <f>IF(W8="","",INDEX(DIFFERENTIATION_UNMERGE_VD,MATCH(W8,DIFFERENTIATION_ID_DIFF,0)))</f>
        <v>Производство тепловой энергии. Некомбинированная выработка</v>
      </c>
      <c r="X9" s="6919"/>
      <c r="Y9" s="7123" t="str">
        <f>IF(Y8="","",INDEX(DIFFERENTIATION_UNMERGE_VD,MATCH(Y8,DIFFERENTIATION_ID_DIFF,0)))</f>
        <v>Производство тепловой энергии. Некомбинированная выработка</v>
      </c>
      <c r="Z9" s="6919"/>
      <c r="AA9" s="7123" t="str">
        <f>IF(AA8="","",INDEX(DIFFERENTIATION_UNMERGE_VD,MATCH(AA8,DIFFERENTIATION_ID_DIFF,0)))</f>
        <v>Производство тепловой энергии. Некомбинированная выработка</v>
      </c>
      <c r="AB9" s="6919"/>
      <c r="AC9" s="7123" t="str">
        <f>IF(AC8="","",INDEX(DIFFERENTIATION_UNMERGE_VD,MATCH(AC8,DIFFERENTIATION_ID_DIFF,0)))</f>
        <v>Производство тепловой энергии. Некомбинированная выработка</v>
      </c>
      <c r="AD9" s="6919"/>
      <c r="AE9" s="7123" t="str">
        <f>IF(AE8="","",INDEX(DIFFERENTIATION_UNMERGE_VD,MATCH(AE8,DIFFERENTIATION_ID_DIFF,0)))</f>
        <v>Производство тепловой энергии. Некомбинированная выработка</v>
      </c>
      <c r="AF9" s="6919"/>
      <c r="AG9" s="7123" t="str">
        <f>IF(AG8="","",INDEX(DIFFERENTIATION_UNMERGE_VD,MATCH(AG8,DIFFERENTIATION_ID_DIFF,0)))</f>
        <v>Производство тепловой энергии. Некомбинированная выработка</v>
      </c>
      <c r="AH9" s="6919"/>
      <c r="AI9" s="7123" t="str">
        <f>IF(AI8="","",INDEX(DIFFERENTIATION_UNMERGE_VD,MATCH(AI8,DIFFERENTIATION_ID_DIFF,0)))</f>
        <v>Производство тепловой энергии. Некомбинированная выработка</v>
      </c>
      <c r="AJ9" s="6919"/>
      <c r="AK9" s="7123" t="str">
        <f>IF(AK8="","",INDEX(DIFFERENTIATION_UNMERGE_VD,MATCH(AK8,DIFFERENTIATION_ID_DIFF,0)))</f>
        <v>Производство тепловой энергии. Некомбинированная выработка</v>
      </c>
      <c r="AL9" s="6919"/>
      <c r="AM9" s="7123" t="str">
        <f>IF(AM8="","",INDEX(DIFFERENTIATION_UNMERGE_VD,MATCH(AM8,DIFFERENTIATION_ID_DIFF,0)))</f>
        <v>Производство тепловой энергии. Некомбинированная выработка</v>
      </c>
      <c r="AN9" s="6919"/>
      <c r="AO9" s="7123" t="str">
        <f>IF(AO8="","",INDEX(DIFFERENTIATION_UNMERGE_VD,MATCH(AO8,DIFFERENTIATION_ID_DIFF,0)))</f>
        <v>Производство тепловой энергии. Некомбинированная выработка</v>
      </c>
      <c r="AP9" s="6919"/>
      <c r="AQ9" s="7123" t="str">
        <f>IF(AQ8="","",INDEX(DIFFERENTIATION_UNMERGE_VD,MATCH(AQ8,DIFFERENTIATION_ID_DIFF,0)))</f>
        <v>Производство тепловой энергии. Некомбинированная выработка</v>
      </c>
      <c r="AR9" s="6919"/>
      <c r="AS9" s="7123" t="str">
        <f>IF(AS8="","",INDEX(DIFFERENTIATION_UNMERGE_VD,MATCH(AS8,DIFFERENTIATION_ID_DIFF,0)))</f>
        <v>Производство тепловой энергии. Некомбинированная выработка</v>
      </c>
      <c r="AT9" s="6919"/>
      <c r="AU9" s="7123" t="str">
        <f>IF(AU8="","",INDEX(DIFFERENTIATION_UNMERGE_VD,MATCH(AU8,DIFFERENTIATION_ID_DIFF,0)))</f>
        <v>Производство тепловой энергии. Некомбинированная выработка</v>
      </c>
      <c r="AV9" s="6919"/>
      <c r="AW9" s="7123" t="str">
        <f>IF(AW8="","",INDEX(DIFFERENTIATION_UNMERGE_VD,MATCH(AW8,DIFFERENTIATION_ID_DIFF,0)))</f>
        <v>Производство тепловой энергии. Некомбинированная выработка</v>
      </c>
      <c r="AX9" s="6919"/>
      <c r="AY9" s="7123" t="str">
        <f>IF(AY8="","",INDEX(DIFFERENTIATION_UNMERGE_VD,MATCH(AY8,DIFFERENTIATION_ID_DIFF,0)))</f>
        <v>Производство тепловой энергии. Некомбинированная выработка</v>
      </c>
      <c r="AZ9" s="6919"/>
      <c r="BA9" s="2312" t="s">
        <v>413</v>
      </c>
      <c r="BL9" s="629">
        <v>15</v>
      </c>
    </row>
    <row s="7213" customFormat="1" customHeight="1" ht="15.75">
      <c r="A10" s="883"/>
      <c r="C10" s="300"/>
      <c r="D10" s="835"/>
      <c r="E10" s="2504" t="s">
        <v>676</v>
      </c>
      <c r="F10" s="2505"/>
      <c r="G10" s="2532" t="str">
        <f>IF(G8="","",INDEX(DIFFERENTIATION_UNMERGE_AREA,MATCH(G8,DIFFERENTIATION_ID_DIFF,0)))</f>
        <v/>
      </c>
      <c r="H10" s="2533"/>
      <c r="I10" s="2532" t="str">
        <f>IF(I8="","",INDEX(DIFFERENTIATION_UNMERGE_AREA,MATCH(I8,DIFFERENTIATION_ID_DIFF,0)))</f>
        <v>Территория 1</v>
      </c>
      <c r="J10" s="2533"/>
      <c r="K10" s="7123" t="str">
        <f>IF(K8="","",INDEX(DIFFERENTIATION_UNMERGE_AREA,MATCH(K8,DIFFERENTIATION_ID_DIFF,0)))</f>
        <v>Территория 2</v>
      </c>
      <c r="L10" s="6919"/>
      <c r="M10" s="7123" t="str">
        <f>IF(M8="","",INDEX(DIFFERENTIATION_UNMERGE_AREA,MATCH(M8,DIFFERENTIATION_ID_DIFF,0)))</f>
        <v>Территория 3</v>
      </c>
      <c r="N10" s="6919"/>
      <c r="O10" s="7123" t="str">
        <f>IF(O8="","",INDEX(DIFFERENTIATION_UNMERGE_AREA,MATCH(O8,DIFFERENTIATION_ID_DIFF,0)))</f>
        <v>Территория 4</v>
      </c>
      <c r="P10" s="6919"/>
      <c r="Q10" s="7123" t="str">
        <f>IF(Q8="","",INDEX(DIFFERENTIATION_UNMERGE_AREA,MATCH(Q8,DIFFERENTIATION_ID_DIFF,0)))</f>
        <v>Территория 5</v>
      </c>
      <c r="R10" s="6919"/>
      <c r="S10" s="7123" t="str">
        <f>IF(S8="","",INDEX(DIFFERENTIATION_UNMERGE_AREA,MATCH(S8,DIFFERENTIATION_ID_DIFF,0)))</f>
        <v>Территория 6</v>
      </c>
      <c r="T10" s="6919"/>
      <c r="U10" s="7123" t="str">
        <f>IF(U8="","",INDEX(DIFFERENTIATION_UNMERGE_AREA,MATCH(U8,DIFFERENTIATION_ID_DIFF,0)))</f>
        <v>Территория 7</v>
      </c>
      <c r="V10" s="6919"/>
      <c r="W10" s="7123" t="str">
        <f>IF(W8="","",INDEX(DIFFERENTIATION_UNMERGE_AREA,MATCH(W8,DIFFERENTIATION_ID_DIFF,0)))</f>
        <v>Территория 8</v>
      </c>
      <c r="X10" s="6919"/>
      <c r="Y10" s="7123" t="str">
        <f>IF(Y8="","",INDEX(DIFFERENTIATION_UNMERGE_AREA,MATCH(Y8,DIFFERENTIATION_ID_DIFF,0)))</f>
        <v>Территория 9</v>
      </c>
      <c r="Z10" s="6919"/>
      <c r="AA10" s="7123" t="str">
        <f>IF(AA8="","",INDEX(DIFFERENTIATION_UNMERGE_AREA,MATCH(AA8,DIFFERENTIATION_ID_DIFF,0)))</f>
        <v>Территория 10</v>
      </c>
      <c r="AB10" s="6919"/>
      <c r="AC10" s="7123" t="str">
        <f>IF(AC8="","",INDEX(DIFFERENTIATION_UNMERGE_AREA,MATCH(AC8,DIFFERENTIATION_ID_DIFF,0)))</f>
        <v>Территория 11</v>
      </c>
      <c r="AD10" s="6919"/>
      <c r="AE10" s="7123" t="str">
        <f>IF(AE8="","",INDEX(DIFFERENTIATION_UNMERGE_AREA,MATCH(AE8,DIFFERENTIATION_ID_DIFF,0)))</f>
        <v>Территория 12</v>
      </c>
      <c r="AF10" s="6919"/>
      <c r="AG10" s="7123" t="str">
        <f>IF(AG8="","",INDEX(DIFFERENTIATION_UNMERGE_AREA,MATCH(AG8,DIFFERENTIATION_ID_DIFF,0)))</f>
        <v>Территория 13</v>
      </c>
      <c r="AH10" s="6919"/>
      <c r="AI10" s="7123" t="str">
        <f>IF(AI8="","",INDEX(DIFFERENTIATION_UNMERGE_AREA,MATCH(AI8,DIFFERENTIATION_ID_DIFF,0)))</f>
        <v>Территория 14</v>
      </c>
      <c r="AJ10" s="6919"/>
      <c r="AK10" s="7123" t="str">
        <f>IF(AK8="","",INDEX(DIFFERENTIATION_UNMERGE_AREA,MATCH(AK8,DIFFERENTIATION_ID_DIFF,0)))</f>
        <v>Территория 15</v>
      </c>
      <c r="AL10" s="6919"/>
      <c r="AM10" s="7123" t="str">
        <f>IF(AM8="","",INDEX(DIFFERENTIATION_UNMERGE_AREA,MATCH(AM8,DIFFERENTIATION_ID_DIFF,0)))</f>
        <v>Территория 16</v>
      </c>
      <c r="AN10" s="6919"/>
      <c r="AO10" s="7123" t="str">
        <f>IF(AO8="","",INDEX(DIFFERENTIATION_UNMERGE_AREA,MATCH(AO8,DIFFERENTIATION_ID_DIFF,0)))</f>
        <v>Территория 17</v>
      </c>
      <c r="AP10" s="6919"/>
      <c r="AQ10" s="7123" t="str">
        <f>IF(AQ8="","",INDEX(DIFFERENTIATION_UNMERGE_AREA,MATCH(AQ8,DIFFERENTIATION_ID_DIFF,0)))</f>
        <v>Территория 18</v>
      </c>
      <c r="AR10" s="6919"/>
      <c r="AS10" s="7123" t="str">
        <f>IF(AS8="","",INDEX(DIFFERENTIATION_UNMERGE_AREA,MATCH(AS8,DIFFERENTIATION_ID_DIFF,0)))</f>
        <v>Территория 19</v>
      </c>
      <c r="AT10" s="6919"/>
      <c r="AU10" s="7123" t="str">
        <f>IF(AU8="","",INDEX(DIFFERENTIATION_UNMERGE_AREA,MATCH(AU8,DIFFERENTIATION_ID_DIFF,0)))</f>
        <v>Территория 20</v>
      </c>
      <c r="AV10" s="6919"/>
      <c r="AW10" s="7123" t="str">
        <f>IF(AW8="","",INDEX(DIFFERENTIATION_UNMERGE_AREA,MATCH(AW8,DIFFERENTIATION_ID_DIFF,0)))</f>
        <v>Территория 21</v>
      </c>
      <c r="AX10" s="6919"/>
      <c r="AY10" s="7123" t="str">
        <f>IF(AY8="","",INDEX(DIFFERENTIATION_UNMERGE_AREA,MATCH(AY8,DIFFERENTIATION_ID_DIFF,0)))</f>
        <v>Территория 22</v>
      </c>
      <c r="AZ10" s="6919"/>
      <c r="BA10" s="2336"/>
      <c r="BK10" s="799"/>
      <c r="BL10" s="882">
        <v>15</v>
      </c>
    </row>
    <row s="7213" customFormat="1" customHeight="1" ht="15.75">
      <c r="A11" s="883"/>
      <c r="C11" s="300"/>
      <c r="D11" s="835"/>
      <c r="E11" s="2504" t="s">
        <v>677</v>
      </c>
      <c r="F11" s="2505"/>
      <c r="G11" s="2532" t="str">
        <f>IF(G8="","",INDEX(DIFFERENTIATION_UNMERGE_SYSTEM,MATCH(G8,DIFFERENTIATION_ID_DIFF,0)))</f>
        <v/>
      </c>
      <c r="H11" s="2533"/>
      <c r="I11" s="2532" t="str">
        <f>IF(I8="","",INDEX(DIFFERENTIATION_UNMERGE_SYSTEM,MATCH(I8,DIFFERENTIATION_ID_DIFF,0)))</f>
        <v>без дифференциации</v>
      </c>
      <c r="J11" s="2533"/>
      <c r="K11" s="7123" t="str">
        <f>IF(K8="","",INDEX(DIFFERENTIATION_UNMERGE_SYSTEM,MATCH(K8,DIFFERENTIATION_ID_DIFF,0)))</f>
        <v>без дифференциации</v>
      </c>
      <c r="L11" s="6919"/>
      <c r="M11" s="7123" t="str">
        <f>IF(M8="","",INDEX(DIFFERENTIATION_UNMERGE_SYSTEM,MATCH(M8,DIFFERENTIATION_ID_DIFF,0)))</f>
        <v>без дифференциации</v>
      </c>
      <c r="N11" s="6919"/>
      <c r="O11" s="7123" t="str">
        <f>IF(O8="","",INDEX(DIFFERENTIATION_UNMERGE_SYSTEM,MATCH(O8,DIFFERENTIATION_ID_DIFF,0)))</f>
        <v>без дифференциации</v>
      </c>
      <c r="P11" s="6919"/>
      <c r="Q11" s="7123" t="str">
        <f>IF(Q8="","",INDEX(DIFFERENTIATION_UNMERGE_SYSTEM,MATCH(Q8,DIFFERENTIATION_ID_DIFF,0)))</f>
        <v>без дифференциации</v>
      </c>
      <c r="R11" s="6919"/>
      <c r="S11" s="7123" t="str">
        <f>IF(S8="","",INDEX(DIFFERENTIATION_UNMERGE_SYSTEM,MATCH(S8,DIFFERENTIATION_ID_DIFF,0)))</f>
        <v>без дифференциации</v>
      </c>
      <c r="T11" s="6919"/>
      <c r="U11" s="7123" t="str">
        <f>IF(U8="","",INDEX(DIFFERENTIATION_UNMERGE_SYSTEM,MATCH(U8,DIFFERENTIATION_ID_DIFF,0)))</f>
        <v>без дифференциации</v>
      </c>
      <c r="V11" s="6919"/>
      <c r="W11" s="7123" t="str">
        <f>IF(W8="","",INDEX(DIFFERENTIATION_UNMERGE_SYSTEM,MATCH(W8,DIFFERENTIATION_ID_DIFF,0)))</f>
        <v>без дифференциации</v>
      </c>
      <c r="X11" s="6919"/>
      <c r="Y11" s="7123" t="str">
        <f>IF(Y8="","",INDEX(DIFFERENTIATION_UNMERGE_SYSTEM,MATCH(Y8,DIFFERENTIATION_ID_DIFF,0)))</f>
        <v>без дифференциации</v>
      </c>
      <c r="Z11" s="6919"/>
      <c r="AA11" s="7123" t="str">
        <f>IF(AA8="","",INDEX(DIFFERENTIATION_UNMERGE_SYSTEM,MATCH(AA8,DIFFERENTIATION_ID_DIFF,0)))</f>
        <v>без дифференциации</v>
      </c>
      <c r="AB11" s="6919"/>
      <c r="AC11" s="7123" t="str">
        <f>IF(AC8="","",INDEX(DIFFERENTIATION_UNMERGE_SYSTEM,MATCH(AC8,DIFFERENTIATION_ID_DIFF,0)))</f>
        <v>без дифференциации</v>
      </c>
      <c r="AD11" s="6919"/>
      <c r="AE11" s="7123" t="str">
        <f>IF(AE8="","",INDEX(DIFFERENTIATION_UNMERGE_SYSTEM,MATCH(AE8,DIFFERENTIATION_ID_DIFF,0)))</f>
        <v>без дифференциации</v>
      </c>
      <c r="AF11" s="6919"/>
      <c r="AG11" s="7123" t="str">
        <f>IF(AG8="","",INDEX(DIFFERENTIATION_UNMERGE_SYSTEM,MATCH(AG8,DIFFERENTIATION_ID_DIFF,0)))</f>
        <v>без дифференциации</v>
      </c>
      <c r="AH11" s="6919"/>
      <c r="AI11" s="7123" t="str">
        <f>IF(AI8="","",INDEX(DIFFERENTIATION_UNMERGE_SYSTEM,MATCH(AI8,DIFFERENTIATION_ID_DIFF,0)))</f>
        <v>без дифференциации</v>
      </c>
      <c r="AJ11" s="6919"/>
      <c r="AK11" s="7123" t="str">
        <f>IF(AK8="","",INDEX(DIFFERENTIATION_UNMERGE_SYSTEM,MATCH(AK8,DIFFERENTIATION_ID_DIFF,0)))</f>
        <v>без дифференциации</v>
      </c>
      <c r="AL11" s="6919"/>
      <c r="AM11" s="7123" t="str">
        <f>IF(AM8="","",INDEX(DIFFERENTIATION_UNMERGE_SYSTEM,MATCH(AM8,DIFFERENTIATION_ID_DIFF,0)))</f>
        <v>без дифференциации</v>
      </c>
      <c r="AN11" s="6919"/>
      <c r="AO11" s="7123" t="str">
        <f>IF(AO8="","",INDEX(DIFFERENTIATION_UNMERGE_SYSTEM,MATCH(AO8,DIFFERENTIATION_ID_DIFF,0)))</f>
        <v>без дифференциации</v>
      </c>
      <c r="AP11" s="6919"/>
      <c r="AQ11" s="7123" t="str">
        <f>IF(AQ8="","",INDEX(DIFFERENTIATION_UNMERGE_SYSTEM,MATCH(AQ8,DIFFERENTIATION_ID_DIFF,0)))</f>
        <v>без дифференциации</v>
      </c>
      <c r="AR11" s="6919"/>
      <c r="AS11" s="7123" t="str">
        <f>IF(AS8="","",INDEX(DIFFERENTIATION_UNMERGE_SYSTEM,MATCH(AS8,DIFFERENTIATION_ID_DIFF,0)))</f>
        <v>без дифференциации</v>
      </c>
      <c r="AT11" s="6919"/>
      <c r="AU11" s="7123" t="str">
        <f>IF(AU8="","",INDEX(DIFFERENTIATION_UNMERGE_SYSTEM,MATCH(AU8,DIFFERENTIATION_ID_DIFF,0)))</f>
        <v>без дифференциации</v>
      </c>
      <c r="AV11" s="6919"/>
      <c r="AW11" s="7123" t="str">
        <f>IF(AW8="","",INDEX(DIFFERENTIATION_UNMERGE_SYSTEM,MATCH(AW8,DIFFERENTIATION_ID_DIFF,0)))</f>
        <v>без дифференциации</v>
      </c>
      <c r="AX11" s="6919"/>
      <c r="AY11" s="7123" t="str">
        <f>IF(AY8="","",INDEX(DIFFERENTIATION_UNMERGE_SYSTEM,MATCH(AY8,DIFFERENTIATION_ID_DIFF,0)))</f>
        <v>без дифференциации</v>
      </c>
      <c r="AZ11" s="6919"/>
      <c r="BA11" s="2336"/>
      <c r="BK11" s="799"/>
      <c r="BL11" s="882">
        <v>15</v>
      </c>
    </row>
    <row s="7213" customFormat="1" customHeight="1" ht="15.75">
      <c r="A12" s="883"/>
      <c r="C12" s="300"/>
      <c r="D12" s="2506" t="s">
        <v>412</v>
      </c>
      <c r="E12" s="2507"/>
      <c r="F12" s="2507"/>
      <c r="G12" s="1011"/>
      <c r="H12" s="1011"/>
      <c r="I12" s="1011"/>
      <c r="J12" s="1011"/>
      <c r="K12" s="6920"/>
      <c r="L12" s="6920"/>
      <c r="M12" s="6920"/>
      <c r="N12" s="6920"/>
      <c r="O12" s="6920"/>
      <c r="P12" s="6920"/>
      <c r="Q12" s="6920"/>
      <c r="R12" s="6920"/>
      <c r="S12" s="6920"/>
      <c r="T12" s="6920"/>
      <c r="U12" s="6920"/>
      <c r="V12" s="6920"/>
      <c r="W12" s="6920"/>
      <c r="X12" s="6920"/>
      <c r="Y12" s="6920"/>
      <c r="Z12" s="6920"/>
      <c r="AA12" s="6920"/>
      <c r="AB12" s="6920"/>
      <c r="AC12" s="6920"/>
      <c r="AD12" s="6920"/>
      <c r="AE12" s="6920"/>
      <c r="AF12" s="6920"/>
      <c r="AG12" s="6920"/>
      <c r="AH12" s="6920"/>
      <c r="AI12" s="6920"/>
      <c r="AJ12" s="6920"/>
      <c r="AK12" s="6920"/>
      <c r="AL12" s="6920"/>
      <c r="AM12" s="6920"/>
      <c r="AN12" s="6920"/>
      <c r="AO12" s="6920"/>
      <c r="AP12" s="6920"/>
      <c r="AQ12" s="6920"/>
      <c r="AR12" s="6920"/>
      <c r="AS12" s="6920"/>
      <c r="AT12" s="6920"/>
      <c r="AU12" s="6920"/>
      <c r="AV12" s="6920"/>
      <c r="AW12" s="6920"/>
      <c r="AX12" s="6920"/>
      <c r="AY12" s="6920"/>
      <c r="AZ12" s="6920"/>
      <c r="BA12" s="2336"/>
      <c r="BK12" s="799"/>
      <c r="BL12" s="882">
        <v>15</v>
      </c>
    </row>
    <row customHeight="1" ht="35.699999999999996">
      <c r="C13" s="300"/>
      <c r="D13" s="929" t="s">
        <v>88</v>
      </c>
      <c r="E13" s="931" t="s">
        <v>414</v>
      </c>
      <c r="F13" s="931" t="s">
        <v>678</v>
      </c>
      <c r="G13" s="932" t="s">
        <v>415</v>
      </c>
      <c r="H13" s="931" t="s">
        <v>502</v>
      </c>
      <c r="I13" s="932" t="s">
        <v>415</v>
      </c>
      <c r="J13" s="931" t="s">
        <v>502</v>
      </c>
      <c r="K13" s="7430" t="s">
        <v>415</v>
      </c>
      <c r="L13" s="7577" t="s">
        <v>502</v>
      </c>
      <c r="M13" s="7430" t="s">
        <v>415</v>
      </c>
      <c r="N13" s="7577" t="s">
        <v>502</v>
      </c>
      <c r="O13" s="7430" t="s">
        <v>415</v>
      </c>
      <c r="P13" s="7577" t="s">
        <v>502</v>
      </c>
      <c r="Q13" s="7430" t="s">
        <v>415</v>
      </c>
      <c r="R13" s="7577" t="s">
        <v>502</v>
      </c>
      <c r="S13" s="7430" t="s">
        <v>415</v>
      </c>
      <c r="T13" s="7577" t="s">
        <v>502</v>
      </c>
      <c r="U13" s="7430" t="s">
        <v>415</v>
      </c>
      <c r="V13" s="7577" t="s">
        <v>502</v>
      </c>
      <c r="W13" s="7430" t="s">
        <v>415</v>
      </c>
      <c r="X13" s="7577" t="s">
        <v>502</v>
      </c>
      <c r="Y13" s="7430" t="s">
        <v>415</v>
      </c>
      <c r="Z13" s="7577" t="s">
        <v>502</v>
      </c>
      <c r="AA13" s="7430" t="s">
        <v>415</v>
      </c>
      <c r="AB13" s="7577" t="s">
        <v>502</v>
      </c>
      <c r="AC13" s="7430" t="s">
        <v>415</v>
      </c>
      <c r="AD13" s="7577" t="s">
        <v>502</v>
      </c>
      <c r="AE13" s="7430" t="s">
        <v>415</v>
      </c>
      <c r="AF13" s="7577" t="s">
        <v>502</v>
      </c>
      <c r="AG13" s="7430" t="s">
        <v>415</v>
      </c>
      <c r="AH13" s="7577" t="s">
        <v>502</v>
      </c>
      <c r="AI13" s="7430" t="s">
        <v>415</v>
      </c>
      <c r="AJ13" s="7577" t="s">
        <v>502</v>
      </c>
      <c r="AK13" s="7430" t="s">
        <v>415</v>
      </c>
      <c r="AL13" s="7577" t="s">
        <v>502</v>
      </c>
      <c r="AM13" s="7430" t="s">
        <v>415</v>
      </c>
      <c r="AN13" s="7577" t="s">
        <v>502</v>
      </c>
      <c r="AO13" s="7430" t="s">
        <v>415</v>
      </c>
      <c r="AP13" s="7577" t="s">
        <v>502</v>
      </c>
      <c r="AQ13" s="7430" t="s">
        <v>415</v>
      </c>
      <c r="AR13" s="7577" t="s">
        <v>502</v>
      </c>
      <c r="AS13" s="7430" t="s">
        <v>415</v>
      </c>
      <c r="AT13" s="7577" t="s">
        <v>502</v>
      </c>
      <c r="AU13" s="7430" t="s">
        <v>415</v>
      </c>
      <c r="AV13" s="7577" t="s">
        <v>502</v>
      </c>
      <c r="AW13" s="7430" t="s">
        <v>415</v>
      </c>
      <c r="AX13" s="7577" t="s">
        <v>502</v>
      </c>
      <c r="AY13" s="7430" t="s">
        <v>415</v>
      </c>
      <c r="AZ13" s="7577" t="s">
        <v>502</v>
      </c>
      <c r="BA13" s="2369"/>
      <c r="BL13" s="629">
        <v>34</v>
      </c>
    </row>
    <row customHeight="1" ht="15" hidden="1">
      <c r="C14" s="300"/>
      <c r="D14" s="717" t="s">
        <v>210</v>
      </c>
      <c r="E14" s="717" t="s">
        <v>102</v>
      </c>
      <c r="F14" s="717" t="s">
        <v>90</v>
      </c>
      <c r="G14" s="783" t="str">
        <f>G1&amp;".1"</f>
        <v>4.1</v>
      </c>
      <c r="H14" s="783"/>
      <c r="I14" s="783" t="str">
        <f>I1&amp;".1"</f>
        <v>4.1</v>
      </c>
      <c r="J14" s="783"/>
      <c r="K14" s="7121" t="str">
        <f>K1&amp;".1"</f>
        <v>4.1</v>
      </c>
      <c r="L14" s="7121"/>
      <c r="M14" s="7121" t="str">
        <f>M1&amp;".1"</f>
        <v>4.1</v>
      </c>
      <c r="N14" s="7121"/>
      <c r="O14" s="7121" t="str">
        <f>O1&amp;".1"</f>
        <v>4.1</v>
      </c>
      <c r="P14" s="7121"/>
      <c r="Q14" s="7121" t="str">
        <f>Q1&amp;".1"</f>
        <v>4.1</v>
      </c>
      <c r="R14" s="7121"/>
      <c r="S14" s="7121" t="str">
        <f>S1&amp;".1"</f>
        <v>4.1</v>
      </c>
      <c r="T14" s="7121"/>
      <c r="U14" s="7121" t="str">
        <f>U1&amp;".1"</f>
        <v>4.1</v>
      </c>
      <c r="V14" s="7121"/>
      <c r="W14" s="7121" t="str">
        <f>W1&amp;".1"</f>
        <v>4.1</v>
      </c>
      <c r="X14" s="7121"/>
      <c r="Y14" s="7121" t="str">
        <f>Y1&amp;".1"</f>
        <v>4.1</v>
      </c>
      <c r="Z14" s="7121"/>
      <c r="AA14" s="7121" t="str">
        <f>AA1&amp;".1"</f>
        <v>4.1</v>
      </c>
      <c r="AB14" s="7121"/>
      <c r="AC14" s="7121" t="str">
        <f>AC1&amp;".1"</f>
        <v>4.1</v>
      </c>
      <c r="AD14" s="7121"/>
      <c r="AE14" s="7121" t="str">
        <f>AE1&amp;".1"</f>
        <v>4.1</v>
      </c>
      <c r="AF14" s="7121"/>
      <c r="AG14" s="7121" t="str">
        <f>AG1&amp;".1"</f>
        <v>4.1</v>
      </c>
      <c r="AH14" s="7121"/>
      <c r="AI14" s="7121" t="str">
        <f>AI1&amp;".1"</f>
        <v>4.1</v>
      </c>
      <c r="AJ14" s="7121"/>
      <c r="AK14" s="7121" t="str">
        <f>AK1&amp;".1"</f>
        <v>4.1</v>
      </c>
      <c r="AL14" s="7121"/>
      <c r="AM14" s="7121" t="str">
        <f>AM1&amp;".1"</f>
        <v>4.1</v>
      </c>
      <c r="AN14" s="7121"/>
      <c r="AO14" s="7121" t="str">
        <f>AO1&amp;".1"</f>
        <v>4.1</v>
      </c>
      <c r="AP14" s="7121"/>
      <c r="AQ14" s="7121" t="str">
        <f>AQ1&amp;".1"</f>
        <v>4.1</v>
      </c>
      <c r="AR14" s="7121"/>
      <c r="AS14" s="7121" t="str">
        <f>AS1&amp;".1"</f>
        <v>4.1</v>
      </c>
      <c r="AT14" s="7121"/>
      <c r="AU14" s="7121" t="str">
        <f>AU1&amp;".1"</f>
        <v>4.1</v>
      </c>
      <c r="AV14" s="7121"/>
      <c r="AW14" s="7121" t="str">
        <f>AW1&amp;".1"</f>
        <v>4.1</v>
      </c>
      <c r="AX14" s="7121"/>
      <c r="AY14" s="7121" t="str">
        <f>AY1&amp;".1"</f>
        <v>4.1</v>
      </c>
      <c r="AZ14" s="7121"/>
      <c r="BA14" s="413"/>
      <c r="BL14" s="629">
        <v>0</v>
      </c>
    </row>
    <row customHeight="1" ht="22.5" hidden="1">
      <c r="A15" s="629"/>
      <c r="C15" s="650"/>
      <c r="D15" s="645">
        <v>1</v>
      </c>
      <c r="E15" s="801" t="s">
        <v>983</v>
      </c>
      <c r="F15" s="645" t="s">
        <v>984</v>
      </c>
      <c r="G15" s="802"/>
      <c r="H15" s="802"/>
      <c r="I15" s="802"/>
      <c r="J15" s="802"/>
      <c r="K15" s="7252"/>
      <c r="L15" s="7252"/>
      <c r="M15" s="7252"/>
      <c r="N15" s="7252"/>
      <c r="O15" s="7252"/>
      <c r="P15" s="7252"/>
      <c r="Q15" s="7252"/>
      <c r="R15" s="7252"/>
      <c r="S15" s="7252"/>
      <c r="T15" s="7252"/>
      <c r="U15" s="7252"/>
      <c r="V15" s="7252"/>
      <c r="W15" s="7252"/>
      <c r="X15" s="7252"/>
      <c r="Y15" s="7252"/>
      <c r="Z15" s="7252"/>
      <c r="AA15" s="7252"/>
      <c r="AB15" s="7252"/>
      <c r="AC15" s="7252"/>
      <c r="AD15" s="7252"/>
      <c r="AE15" s="7252"/>
      <c r="AF15" s="7252"/>
      <c r="AG15" s="7252"/>
      <c r="AH15" s="7252"/>
      <c r="AI15" s="7252"/>
      <c r="AJ15" s="7252"/>
      <c r="AK15" s="7252"/>
      <c r="AL15" s="7252"/>
      <c r="AM15" s="7252"/>
      <c r="AN15" s="7252"/>
      <c r="AO15" s="7252"/>
      <c r="AP15" s="7252"/>
      <c r="AQ15" s="7252"/>
      <c r="AR15" s="7252"/>
      <c r="AS15" s="7252"/>
      <c r="AT15" s="7252"/>
      <c r="AU15" s="7252"/>
      <c r="AV15" s="7252"/>
      <c r="AW15" s="7252"/>
      <c r="AX15" s="7252"/>
      <c r="AY15" s="7252"/>
      <c r="AZ15" s="7252"/>
      <c r="BA15" s="413" t="s">
        <v>985</v>
      </c>
      <c r="BL15" s="629">
        <v>0</v>
      </c>
    </row>
    <row customHeight="1" ht="22.5" hidden="1">
      <c r="A16" s="629"/>
      <c r="C16" s="650"/>
      <c r="D16" s="645">
        <v>2</v>
      </c>
      <c r="E16" s="403" t="s">
        <v>986</v>
      </c>
      <c r="F16" s="645" t="s">
        <v>987</v>
      </c>
      <c r="G16" s="802"/>
      <c r="H16" s="802"/>
      <c r="I16" s="802"/>
      <c r="J16" s="802"/>
      <c r="K16" s="7252"/>
      <c r="L16" s="7252"/>
      <c r="M16" s="7252"/>
      <c r="N16" s="7252"/>
      <c r="O16" s="7252"/>
      <c r="P16" s="7252"/>
      <c r="Q16" s="7252"/>
      <c r="R16" s="7252"/>
      <c r="S16" s="7252"/>
      <c r="T16" s="7252"/>
      <c r="U16" s="7252"/>
      <c r="V16" s="7252"/>
      <c r="W16" s="7252"/>
      <c r="X16" s="7252"/>
      <c r="Y16" s="7252"/>
      <c r="Z16" s="7252"/>
      <c r="AA16" s="7252"/>
      <c r="AB16" s="7252"/>
      <c r="AC16" s="7252"/>
      <c r="AD16" s="7252"/>
      <c r="AE16" s="7252"/>
      <c r="AF16" s="7252"/>
      <c r="AG16" s="7252"/>
      <c r="AH16" s="7252"/>
      <c r="AI16" s="7252"/>
      <c r="AJ16" s="7252"/>
      <c r="AK16" s="7252"/>
      <c r="AL16" s="7252"/>
      <c r="AM16" s="7252"/>
      <c r="AN16" s="7252"/>
      <c r="AO16" s="7252"/>
      <c r="AP16" s="7252"/>
      <c r="AQ16" s="7252"/>
      <c r="AR16" s="7252"/>
      <c r="AS16" s="7252"/>
      <c r="AT16" s="7252"/>
      <c r="AU16" s="7252"/>
      <c r="AV16" s="7252"/>
      <c r="AW16" s="7252"/>
      <c r="AX16" s="7252"/>
      <c r="AY16" s="7252"/>
      <c r="AZ16" s="7252"/>
      <c r="BA16" s="413" t="s">
        <v>988</v>
      </c>
      <c r="BL16" s="629">
        <v>0</v>
      </c>
    </row>
    <row customHeight="1" ht="123.75" hidden="1">
      <c r="A17" s="629"/>
      <c r="C17" s="650"/>
      <c r="D17" s="645">
        <v>3</v>
      </c>
      <c r="E17" s="403" t="s">
        <v>1586</v>
      </c>
      <c r="F17" s="645" t="s">
        <v>418</v>
      </c>
      <c r="G17" s="802"/>
      <c r="H17" s="802"/>
      <c r="I17" s="802"/>
      <c r="J17" s="802"/>
      <c r="K17" s="7252"/>
      <c r="L17" s="7252"/>
      <c r="M17" s="7252"/>
      <c r="N17" s="7252"/>
      <c r="O17" s="7252"/>
      <c r="P17" s="7252"/>
      <c r="Q17" s="7252"/>
      <c r="R17" s="7252"/>
      <c r="S17" s="7252"/>
      <c r="T17" s="7252"/>
      <c r="U17" s="7252"/>
      <c r="V17" s="7252"/>
      <c r="W17" s="7252"/>
      <c r="X17" s="7252"/>
      <c r="Y17" s="7252"/>
      <c r="Z17" s="7252"/>
      <c r="AA17" s="7252"/>
      <c r="AB17" s="7252"/>
      <c r="AC17" s="7252"/>
      <c r="AD17" s="7252"/>
      <c r="AE17" s="7252"/>
      <c r="AF17" s="7252"/>
      <c r="AG17" s="7252"/>
      <c r="AH17" s="7252"/>
      <c r="AI17" s="7252"/>
      <c r="AJ17" s="7252"/>
      <c r="AK17" s="7252"/>
      <c r="AL17" s="7252"/>
      <c r="AM17" s="7252"/>
      <c r="AN17" s="7252"/>
      <c r="AO17" s="7252"/>
      <c r="AP17" s="7252"/>
      <c r="AQ17" s="7252"/>
      <c r="AR17" s="7252"/>
      <c r="AS17" s="7252"/>
      <c r="AT17" s="7252"/>
      <c r="AU17" s="7252"/>
      <c r="AV17" s="7252"/>
      <c r="AW17" s="7252"/>
      <c r="AX17" s="7252"/>
      <c r="AY17" s="7252"/>
      <c r="AZ17" s="7252"/>
      <c r="BA17" s="413" t="s">
        <v>1587</v>
      </c>
      <c r="BL17" s="629">
        <v>0</v>
      </c>
    </row>
    <row customHeight="1" ht="48.29999999999999">
      <c r="A18" s="629"/>
      <c r="C18" s="650"/>
      <c r="D18" s="645">
        <v>3</v>
      </c>
      <c r="E18" s="403" t="s">
        <v>989</v>
      </c>
      <c r="F18" s="645" t="s">
        <v>418</v>
      </c>
      <c r="G18" s="933" t="s">
        <v>418</v>
      </c>
      <c r="H18" s="934" t="s">
        <v>418</v>
      </c>
      <c r="I18" s="645" t="s">
        <v>418</v>
      </c>
      <c r="J18" s="702" t="s">
        <v>418</v>
      </c>
      <c r="K18" s="7577" t="s">
        <v>418</v>
      </c>
      <c r="L18" s="7255" t="s">
        <v>418</v>
      </c>
      <c r="M18" s="7577" t="s">
        <v>418</v>
      </c>
      <c r="N18" s="7255" t="s">
        <v>418</v>
      </c>
      <c r="O18" s="7577" t="s">
        <v>418</v>
      </c>
      <c r="P18" s="7255" t="s">
        <v>418</v>
      </c>
      <c r="Q18" s="7577" t="s">
        <v>418</v>
      </c>
      <c r="R18" s="7255" t="s">
        <v>418</v>
      </c>
      <c r="S18" s="7577" t="s">
        <v>418</v>
      </c>
      <c r="T18" s="7255" t="s">
        <v>418</v>
      </c>
      <c r="U18" s="7577" t="s">
        <v>418</v>
      </c>
      <c r="V18" s="7255" t="s">
        <v>418</v>
      </c>
      <c r="W18" s="7577" t="s">
        <v>418</v>
      </c>
      <c r="X18" s="7255" t="s">
        <v>418</v>
      </c>
      <c r="Y18" s="7577" t="s">
        <v>418</v>
      </c>
      <c r="Z18" s="7255" t="s">
        <v>418</v>
      </c>
      <c r="AA18" s="7577" t="s">
        <v>418</v>
      </c>
      <c r="AB18" s="7255" t="s">
        <v>418</v>
      </c>
      <c r="AC18" s="7577" t="s">
        <v>418</v>
      </c>
      <c r="AD18" s="7255" t="s">
        <v>418</v>
      </c>
      <c r="AE18" s="7577" t="s">
        <v>418</v>
      </c>
      <c r="AF18" s="7255" t="s">
        <v>418</v>
      </c>
      <c r="AG18" s="7577" t="s">
        <v>418</v>
      </c>
      <c r="AH18" s="7255" t="s">
        <v>418</v>
      </c>
      <c r="AI18" s="7577" t="s">
        <v>418</v>
      </c>
      <c r="AJ18" s="7255" t="s">
        <v>418</v>
      </c>
      <c r="AK18" s="7577" t="s">
        <v>418</v>
      </c>
      <c r="AL18" s="7255" t="s">
        <v>418</v>
      </c>
      <c r="AM18" s="7577" t="s">
        <v>418</v>
      </c>
      <c r="AN18" s="7255" t="s">
        <v>418</v>
      </c>
      <c r="AO18" s="7577" t="s">
        <v>418</v>
      </c>
      <c r="AP18" s="7255" t="s">
        <v>418</v>
      </c>
      <c r="AQ18" s="7577" t="s">
        <v>418</v>
      </c>
      <c r="AR18" s="7255" t="s">
        <v>418</v>
      </c>
      <c r="AS18" s="7577" t="s">
        <v>418</v>
      </c>
      <c r="AT18" s="7255" t="s">
        <v>418</v>
      </c>
      <c r="AU18" s="7577" t="s">
        <v>418</v>
      </c>
      <c r="AV18" s="7255" t="s">
        <v>418</v>
      </c>
      <c r="AW18" s="7577" t="s">
        <v>418</v>
      </c>
      <c r="AX18" s="7255" t="s">
        <v>418</v>
      </c>
      <c r="AY18" s="7577" t="s">
        <v>418</v>
      </c>
      <c r="AZ18" s="7255" t="s">
        <v>418</v>
      </c>
      <c r="BA18" s="413" t="s">
        <v>1588</v>
      </c>
      <c r="BL18" s="629">
        <v>46</v>
      </c>
    </row>
    <row customHeight="1" ht="35.699999999999996">
      <c r="A19" s="629"/>
      <c r="C19" s="650"/>
      <c r="D19" s="663" t="s">
        <v>436</v>
      </c>
      <c r="E19" s="683" t="s">
        <v>991</v>
      </c>
      <c r="F19" s="645" t="s">
        <v>992</v>
      </c>
      <c r="G19" s="941"/>
      <c r="H19" s="230"/>
      <c r="I19" s="941"/>
      <c r="J19" s="942"/>
      <c r="K19" s="6868"/>
      <c r="L19" s="7744"/>
      <c r="M19" s="6868"/>
      <c r="N19" s="7744"/>
      <c r="O19" s="6868"/>
      <c r="P19" s="7744"/>
      <c r="Q19" s="6868"/>
      <c r="R19" s="7744"/>
      <c r="S19" s="6868"/>
      <c r="T19" s="7744"/>
      <c r="U19" s="6868"/>
      <c r="V19" s="7744"/>
      <c r="W19" s="6868"/>
      <c r="X19" s="7744"/>
      <c r="Y19" s="6868"/>
      <c r="Z19" s="7744"/>
      <c r="AA19" s="6868"/>
      <c r="AB19" s="7744"/>
      <c r="AC19" s="6868"/>
      <c r="AD19" s="7744"/>
      <c r="AE19" s="6868"/>
      <c r="AF19" s="7744"/>
      <c r="AG19" s="6868"/>
      <c r="AH19" s="7744"/>
      <c r="AI19" s="6868"/>
      <c r="AJ19" s="7744"/>
      <c r="AK19" s="6868"/>
      <c r="AL19" s="7744"/>
      <c r="AM19" s="6868"/>
      <c r="AN19" s="7744"/>
      <c r="AO19" s="6868"/>
      <c r="AP19" s="7744"/>
      <c r="AQ19" s="6868"/>
      <c r="AR19" s="7744"/>
      <c r="AS19" s="6868"/>
      <c r="AT19" s="7744"/>
      <c r="AU19" s="6868"/>
      <c r="AV19" s="7744"/>
      <c r="AW19" s="6868"/>
      <c r="AX19" s="7744"/>
      <c r="AY19" s="6868"/>
      <c r="AZ19" s="7744"/>
      <c r="BA19" s="803"/>
      <c r="BL19" s="629">
        <v>34</v>
      </c>
    </row>
    <row customHeight="1" ht="35.699999999999996">
      <c r="A20" s="629"/>
      <c r="C20" s="650"/>
      <c r="D20" s="2011" t="s">
        <v>444</v>
      </c>
      <c r="E20" s="683" t="s">
        <v>993</v>
      </c>
      <c r="F20" s="645" t="s">
        <v>994</v>
      </c>
      <c r="G20" s="941"/>
      <c r="H20" s="230"/>
      <c r="I20" s="941"/>
      <c r="J20" s="230"/>
      <c r="K20" s="6868"/>
      <c r="L20" s="7744"/>
      <c r="M20" s="6868"/>
      <c r="N20" s="7744"/>
      <c r="O20" s="6868"/>
      <c r="P20" s="7744"/>
      <c r="Q20" s="6868"/>
      <c r="R20" s="7744"/>
      <c r="S20" s="6868"/>
      <c r="T20" s="7744"/>
      <c r="U20" s="6868"/>
      <c r="V20" s="7744"/>
      <c r="W20" s="6868"/>
      <c r="X20" s="7744"/>
      <c r="Y20" s="6868"/>
      <c r="Z20" s="7744"/>
      <c r="AA20" s="6868"/>
      <c r="AB20" s="7744"/>
      <c r="AC20" s="6868"/>
      <c r="AD20" s="7744"/>
      <c r="AE20" s="6868"/>
      <c r="AF20" s="7744"/>
      <c r="AG20" s="6868"/>
      <c r="AH20" s="7744"/>
      <c r="AI20" s="6868"/>
      <c r="AJ20" s="7744"/>
      <c r="AK20" s="6868"/>
      <c r="AL20" s="7744"/>
      <c r="AM20" s="6868"/>
      <c r="AN20" s="7744"/>
      <c r="AO20" s="6868"/>
      <c r="AP20" s="7744"/>
      <c r="AQ20" s="6868"/>
      <c r="AR20" s="7744"/>
      <c r="AS20" s="6868"/>
      <c r="AT20" s="7744"/>
      <c r="AU20" s="6868"/>
      <c r="AV20" s="7744"/>
      <c r="AW20" s="6868"/>
      <c r="AX20" s="7744"/>
      <c r="AY20" s="6868"/>
      <c r="AZ20" s="7744"/>
      <c r="BA20" s="803"/>
      <c r="BL20" s="629">
        <v>34</v>
      </c>
    </row>
    <row customHeight="1" ht="48.29999999999999">
      <c r="A21" s="629"/>
      <c r="C21" s="650"/>
      <c r="D21" s="2011" t="s">
        <v>446</v>
      </c>
      <c r="E21" s="683" t="s">
        <v>995</v>
      </c>
      <c r="F21" s="645" t="s">
        <v>689</v>
      </c>
      <c r="G21" s="804"/>
      <c r="H21" s="230"/>
      <c r="I21" s="804"/>
      <c r="J21" s="230"/>
      <c r="K21" s="6869"/>
      <c r="L21" s="7744"/>
      <c r="M21" s="6869"/>
      <c r="N21" s="7744"/>
      <c r="O21" s="6869"/>
      <c r="P21" s="7744"/>
      <c r="Q21" s="6869"/>
      <c r="R21" s="7744"/>
      <c r="S21" s="6869"/>
      <c r="T21" s="7744"/>
      <c r="U21" s="6869"/>
      <c r="V21" s="7744"/>
      <c r="W21" s="6869"/>
      <c r="X21" s="7744"/>
      <c r="Y21" s="6869"/>
      <c r="Z21" s="7744"/>
      <c r="AA21" s="6869"/>
      <c r="AB21" s="7744"/>
      <c r="AC21" s="6869"/>
      <c r="AD21" s="7744"/>
      <c r="AE21" s="6869"/>
      <c r="AF21" s="7744"/>
      <c r="AG21" s="6869"/>
      <c r="AH21" s="7744"/>
      <c r="AI21" s="6869"/>
      <c r="AJ21" s="7744"/>
      <c r="AK21" s="6869"/>
      <c r="AL21" s="7744"/>
      <c r="AM21" s="6869"/>
      <c r="AN21" s="7744"/>
      <c r="AO21" s="6869"/>
      <c r="AP21" s="7744"/>
      <c r="AQ21" s="6869"/>
      <c r="AR21" s="7744"/>
      <c r="AS21" s="6869"/>
      <c r="AT21" s="7744"/>
      <c r="AU21" s="6869"/>
      <c r="AV21" s="7744"/>
      <c r="AW21" s="6869"/>
      <c r="AX21" s="7744"/>
      <c r="AY21" s="6869"/>
      <c r="AZ21" s="7744"/>
      <c r="BA21" s="803"/>
      <c r="BL21" s="629">
        <v>46</v>
      </c>
    </row>
    <row customHeight="1" ht="67.5" hidden="1">
      <c r="A22" s="629"/>
      <c r="C22" s="650"/>
      <c r="D22" s="645">
        <v>5</v>
      </c>
      <c r="E22" s="403" t="s">
        <v>1589</v>
      </c>
      <c r="F22" s="645" t="s">
        <v>670</v>
      </c>
      <c r="G22" s="805"/>
      <c r="H22" s="806"/>
      <c r="I22" s="805"/>
      <c r="J22" s="806"/>
      <c r="K22" s="7258"/>
      <c r="L22" s="7259"/>
      <c r="M22" s="7258"/>
      <c r="N22" s="7259"/>
      <c r="O22" s="7258"/>
      <c r="P22" s="7259"/>
      <c r="Q22" s="7258"/>
      <c r="R22" s="7259"/>
      <c r="S22" s="7258"/>
      <c r="T22" s="7259"/>
      <c r="U22" s="7258"/>
      <c r="V22" s="7259"/>
      <c r="W22" s="7258"/>
      <c r="X22" s="7259"/>
      <c r="Y22" s="7258"/>
      <c r="Z22" s="7259"/>
      <c r="AA22" s="7258"/>
      <c r="AB22" s="7259"/>
      <c r="AC22" s="7258"/>
      <c r="AD22" s="7259"/>
      <c r="AE22" s="7258"/>
      <c r="AF22" s="7259"/>
      <c r="AG22" s="7258"/>
      <c r="AH22" s="7259"/>
      <c r="AI22" s="7258"/>
      <c r="AJ22" s="7259"/>
      <c r="AK22" s="7258"/>
      <c r="AL22" s="7259"/>
      <c r="AM22" s="7258"/>
      <c r="AN22" s="7259"/>
      <c r="AO22" s="7258"/>
      <c r="AP22" s="7259"/>
      <c r="AQ22" s="7258"/>
      <c r="AR22" s="7259"/>
      <c r="AS22" s="7258"/>
      <c r="AT22" s="7259"/>
      <c r="AU22" s="7258"/>
      <c r="AV22" s="7259"/>
      <c r="AW22" s="7258"/>
      <c r="AX22" s="7259"/>
      <c r="AY22" s="7258"/>
      <c r="AZ22" s="7259"/>
      <c r="BA22" s="413" t="s">
        <v>1590</v>
      </c>
      <c r="BL22" s="629">
        <v>0</v>
      </c>
    </row>
    <row customHeight="1" ht="33.75" hidden="1">
      <c r="C23" s="575"/>
      <c r="D23" s="645">
        <v>6</v>
      </c>
      <c r="E23" s="403" t="s">
        <v>1591</v>
      </c>
      <c r="F23" s="645" t="s">
        <v>1592</v>
      </c>
      <c r="G23" s="805"/>
      <c r="H23" s="805"/>
      <c r="I23" s="805"/>
      <c r="J23" s="805"/>
      <c r="K23" s="7258"/>
      <c r="L23" s="7258"/>
      <c r="M23" s="7258"/>
      <c r="N23" s="7258"/>
      <c r="O23" s="7258"/>
      <c r="P23" s="7258"/>
      <c r="Q23" s="7258"/>
      <c r="R23" s="7258"/>
      <c r="S23" s="7258"/>
      <c r="T23" s="7258"/>
      <c r="U23" s="7258"/>
      <c r="V23" s="7258"/>
      <c r="W23" s="7258"/>
      <c r="X23" s="7258"/>
      <c r="Y23" s="7258"/>
      <c r="Z23" s="7258"/>
      <c r="AA23" s="7258"/>
      <c r="AB23" s="7258"/>
      <c r="AC23" s="7258"/>
      <c r="AD23" s="7258"/>
      <c r="AE23" s="7258"/>
      <c r="AF23" s="7258"/>
      <c r="AG23" s="7258"/>
      <c r="AH23" s="7258"/>
      <c r="AI23" s="7258"/>
      <c r="AJ23" s="7258"/>
      <c r="AK23" s="7258"/>
      <c r="AL23" s="7258"/>
      <c r="AM23" s="7258"/>
      <c r="AN23" s="7258"/>
      <c r="AO23" s="7258"/>
      <c r="AP23" s="7258"/>
      <c r="AQ23" s="7258"/>
      <c r="AR23" s="7258"/>
      <c r="AS23" s="7258"/>
      <c r="AT23" s="7258"/>
      <c r="AU23" s="7258"/>
      <c r="AV23" s="7258"/>
      <c r="AW23" s="7258"/>
      <c r="AX23" s="7258"/>
      <c r="AY23" s="7258"/>
      <c r="AZ23" s="7258"/>
      <c r="BA23" s="413" t="s">
        <v>1593</v>
      </c>
      <c r="BL23" s="629">
        <v>0</v>
      </c>
    </row>
    <row customHeight="1" ht="15.75">
      <c r="K24" s="7213"/>
      <c r="L24" s="7213"/>
      <c r="M24" s="7213"/>
      <c r="N24" s="7213"/>
      <c r="O24" s="7213"/>
      <c r="P24" s="7213"/>
      <c r="Q24" s="7213"/>
      <c r="R24" s="7213"/>
      <c r="S24" s="7213"/>
      <c r="T24" s="7213"/>
      <c r="U24" s="7213"/>
      <c r="V24" s="7213"/>
      <c r="W24" s="7213"/>
      <c r="X24" s="7213"/>
      <c r="Y24" s="7213"/>
      <c r="Z24" s="7213"/>
      <c r="AA24" s="7213"/>
      <c r="AB24" s="7213"/>
      <c r="AC24" s="7213"/>
      <c r="AD24" s="7213"/>
      <c r="AE24" s="7213"/>
      <c r="AF24" s="7213"/>
      <c r="AG24" s="7213"/>
      <c r="AH24" s="7213"/>
      <c r="AI24" s="7213"/>
      <c r="AJ24" s="7213"/>
      <c r="AK24" s="7213"/>
      <c r="AL24" s="7213"/>
      <c r="AM24" s="7213"/>
      <c r="AN24" s="7213"/>
      <c r="AO24" s="7213"/>
      <c r="AP24" s="7213"/>
      <c r="AQ24" s="7213"/>
      <c r="AR24" s="7213"/>
      <c r="AS24" s="7213"/>
      <c r="AT24" s="7213"/>
      <c r="AU24" s="7213"/>
      <c r="AV24" s="7213"/>
      <c r="AW24" s="7213"/>
      <c r="AX24" s="7213"/>
      <c r="AY24" s="7213"/>
      <c r="AZ24" s="7213"/>
      <c r="BL24" s="629">
        <v>15</v>
      </c>
    </row>
    <row customHeight="1" ht="15.75">
      <c r="K25" s="7213"/>
      <c r="L25" s="7213"/>
      <c r="M25" s="7213"/>
      <c r="N25" s="7213"/>
      <c r="O25" s="7213"/>
      <c r="P25" s="7213"/>
      <c r="Q25" s="7213"/>
      <c r="R25" s="7213"/>
      <c r="S25" s="7213"/>
      <c r="T25" s="7213"/>
      <c r="U25" s="7213"/>
      <c r="V25" s="7213"/>
      <c r="W25" s="7213"/>
      <c r="X25" s="7213"/>
      <c r="Y25" s="7213"/>
      <c r="Z25" s="7213"/>
      <c r="AA25" s="7213"/>
      <c r="AB25" s="7213"/>
      <c r="AC25" s="7213"/>
      <c r="AD25" s="7213"/>
      <c r="AE25" s="7213"/>
      <c r="AF25" s="7213"/>
      <c r="AG25" s="7213"/>
      <c r="AH25" s="7213"/>
      <c r="AI25" s="7213"/>
      <c r="AJ25" s="7213"/>
      <c r="AK25" s="7213"/>
      <c r="AL25" s="7213"/>
      <c r="AM25" s="7213"/>
      <c r="AN25" s="7213"/>
      <c r="AO25" s="7213"/>
      <c r="AP25" s="7213"/>
      <c r="AQ25" s="7213"/>
      <c r="AR25" s="7213"/>
      <c r="AS25" s="7213"/>
      <c r="AT25" s="7213"/>
      <c r="AU25" s="7213"/>
      <c r="AV25" s="7213"/>
      <c r="AW25" s="7213"/>
      <c r="AX25" s="7213"/>
      <c r="AY25" s="7213"/>
      <c r="AZ25" s="7213"/>
      <c r="BL25" s="629">
        <v>15</v>
      </c>
    </row>
    <row customHeight="1" ht="15.75">
      <c r="K26" s="7213"/>
      <c r="L26" s="7213"/>
      <c r="M26" s="7213"/>
      <c r="N26" s="7213"/>
      <c r="O26" s="7213"/>
      <c r="P26" s="7213"/>
      <c r="Q26" s="7213"/>
      <c r="R26" s="7213"/>
      <c r="S26" s="7213"/>
      <c r="T26" s="7213"/>
      <c r="U26" s="7213"/>
      <c r="V26" s="7213"/>
      <c r="W26" s="7213"/>
      <c r="X26" s="7213"/>
      <c r="Y26" s="7213"/>
      <c r="Z26" s="7213"/>
      <c r="AA26" s="7213"/>
      <c r="AB26" s="7213"/>
      <c r="AC26" s="7213"/>
      <c r="AD26" s="7213"/>
      <c r="AE26" s="7213"/>
      <c r="AF26" s="7213"/>
      <c r="AG26" s="7213"/>
      <c r="AH26" s="7213"/>
      <c r="AI26" s="7213"/>
      <c r="AJ26" s="7213"/>
      <c r="AK26" s="7213"/>
      <c r="AL26" s="7213"/>
      <c r="AM26" s="7213"/>
      <c r="AN26" s="7213"/>
      <c r="AO26" s="7213"/>
      <c r="AP26" s="7213"/>
      <c r="AQ26" s="7213"/>
      <c r="AR26" s="7213"/>
      <c r="AS26" s="7213"/>
      <c r="AT26" s="7213"/>
      <c r="AU26" s="7213"/>
      <c r="AV26" s="7213"/>
      <c r="AW26" s="7213"/>
      <c r="AX26" s="7213"/>
      <c r="AY26" s="7213"/>
      <c r="AZ26" s="7213"/>
      <c r="BL26" s="629">
        <v>15</v>
      </c>
    </row>
    <row customHeight="1" ht="15.75">
      <c r="K27" s="7213"/>
      <c r="L27" s="7213"/>
      <c r="M27" s="7213"/>
      <c r="N27" s="7213"/>
      <c r="O27" s="7213"/>
      <c r="P27" s="7213"/>
      <c r="Q27" s="7213"/>
      <c r="R27" s="7213"/>
      <c r="S27" s="7213"/>
      <c r="T27" s="7213"/>
      <c r="U27" s="7213"/>
      <c r="V27" s="7213"/>
      <c r="W27" s="7213"/>
      <c r="X27" s="7213"/>
      <c r="Y27" s="7213"/>
      <c r="Z27" s="7213"/>
      <c r="AA27" s="7213"/>
      <c r="AB27" s="7213"/>
      <c r="AC27" s="7213"/>
      <c r="AD27" s="7213"/>
      <c r="AE27" s="7213"/>
      <c r="AF27" s="7213"/>
      <c r="AG27" s="7213"/>
      <c r="AH27" s="7213"/>
      <c r="AI27" s="7213"/>
      <c r="AJ27" s="7213"/>
      <c r="AK27" s="7213"/>
      <c r="AL27" s="7213"/>
      <c r="AM27" s="7213"/>
      <c r="AN27" s="7213"/>
      <c r="AO27" s="7213"/>
      <c r="AP27" s="7213"/>
      <c r="AQ27" s="7213"/>
      <c r="AR27" s="7213"/>
      <c r="AS27" s="7213"/>
      <c r="AT27" s="7213"/>
      <c r="AU27" s="7213"/>
      <c r="AV27" s="7213"/>
      <c r="AW27" s="7213"/>
      <c r="AX27" s="7213"/>
      <c r="AY27" s="7213"/>
      <c r="AZ27" s="7213"/>
      <c r="BL27" s="629">
        <v>15</v>
      </c>
    </row>
    <row customHeight="1" ht="15.75">
      <c r="K28" s="7213"/>
      <c r="L28" s="7213"/>
      <c r="M28" s="7213"/>
      <c r="N28" s="7213"/>
      <c r="O28" s="7213"/>
      <c r="P28" s="7213"/>
      <c r="Q28" s="7213"/>
      <c r="R28" s="7213"/>
      <c r="S28" s="7213"/>
      <c r="T28" s="7213"/>
      <c r="U28" s="7213"/>
      <c r="V28" s="7213"/>
      <c r="W28" s="7213"/>
      <c r="X28" s="7213"/>
      <c r="Y28" s="7213"/>
      <c r="Z28" s="7213"/>
      <c r="AA28" s="7213"/>
      <c r="AB28" s="7213"/>
      <c r="AC28" s="7213"/>
      <c r="AD28" s="7213"/>
      <c r="AE28" s="7213"/>
      <c r="AF28" s="7213"/>
      <c r="AG28" s="7213"/>
      <c r="AH28" s="7213"/>
      <c r="AI28" s="7213"/>
      <c r="AJ28" s="7213"/>
      <c r="AK28" s="7213"/>
      <c r="AL28" s="7213"/>
      <c r="AM28" s="7213"/>
      <c r="AN28" s="7213"/>
      <c r="AO28" s="7213"/>
      <c r="AP28" s="7213"/>
      <c r="AQ28" s="7213"/>
      <c r="AR28" s="7213"/>
      <c r="AS28" s="7213"/>
      <c r="AT28" s="7213"/>
      <c r="AU28" s="7213"/>
      <c r="AV28" s="7213"/>
      <c r="AW28" s="7213"/>
      <c r="AX28" s="7213"/>
      <c r="AY28" s="7213"/>
      <c r="AZ28" s="7213"/>
      <c r="BL28" s="629">
        <v>15</v>
      </c>
    </row>
    <row customHeight="1" ht="15.75">
      <c r="J29" s="943"/>
      <c r="K29" s="7213"/>
      <c r="L29" s="7213"/>
      <c r="M29" s="7213"/>
      <c r="N29" s="7213"/>
      <c r="O29" s="7213"/>
      <c r="P29" s="7213"/>
      <c r="Q29" s="7213"/>
      <c r="R29" s="7213"/>
      <c r="S29" s="7213"/>
      <c r="T29" s="7213"/>
      <c r="U29" s="7213"/>
      <c r="V29" s="7213"/>
      <c r="W29" s="7213"/>
      <c r="X29" s="7213"/>
      <c r="Y29" s="7213"/>
      <c r="Z29" s="7213"/>
      <c r="AA29" s="7213"/>
      <c r="AB29" s="7213"/>
      <c r="AC29" s="7213"/>
      <c r="AD29" s="7213"/>
      <c r="AE29" s="7213"/>
      <c r="AF29" s="7213"/>
      <c r="AG29" s="7213"/>
      <c r="AH29" s="7213"/>
      <c r="AI29" s="7213"/>
      <c r="AJ29" s="7213"/>
      <c r="AK29" s="7213"/>
      <c r="AL29" s="7213"/>
      <c r="AM29" s="7213"/>
      <c r="AN29" s="7213"/>
      <c r="AO29" s="7213"/>
      <c r="AP29" s="7213"/>
      <c r="AQ29" s="7213"/>
      <c r="AR29" s="7213"/>
      <c r="AS29" s="7213"/>
      <c r="AT29" s="7213"/>
      <c r="AU29" s="7213"/>
      <c r="AV29" s="7213"/>
      <c r="AW29" s="7213"/>
      <c r="AX29" s="7213"/>
      <c r="AY29" s="7213"/>
      <c r="AZ29" s="7213"/>
      <c r="BL29" s="629">
        <v>15</v>
      </c>
    </row>
    <row customHeight="1" ht="22.5" hidden="1">
      <c r="A30" s="573" t="s">
        <v>82</v>
      </c>
      <c r="B30" s="629">
        <v>0</v>
      </c>
      <c r="C30" s="807">
        <v>4</v>
      </c>
      <c r="D30" s="629">
        <v>6</v>
      </c>
      <c r="E30" s="629">
        <v>47</v>
      </c>
      <c r="F30" s="629">
        <v>9</v>
      </c>
      <c r="G30" s="882">
        <v>0</v>
      </c>
      <c r="H30" s="882">
        <v>0</v>
      </c>
      <c r="I30" s="629">
        <v>25</v>
      </c>
      <c r="J30" s="629">
        <v>33</v>
      </c>
      <c r="K30" s="7213">
        <v>0</v>
      </c>
      <c r="L30" s="7213">
        <v>0</v>
      </c>
      <c r="M30" s="7213">
        <v>0</v>
      </c>
      <c r="N30" s="7213">
        <v>0</v>
      </c>
      <c r="O30" s="7213">
        <v>0</v>
      </c>
      <c r="P30" s="7213">
        <v>0</v>
      </c>
      <c r="Q30" s="7213">
        <v>0</v>
      </c>
      <c r="R30" s="7213">
        <v>0</v>
      </c>
      <c r="S30" s="7213">
        <v>0</v>
      </c>
      <c r="T30" s="7213">
        <v>0</v>
      </c>
      <c r="U30" s="7213">
        <v>0</v>
      </c>
      <c r="V30" s="7213">
        <v>0</v>
      </c>
      <c r="W30" s="7213">
        <v>0</v>
      </c>
      <c r="X30" s="7213">
        <v>0</v>
      </c>
      <c r="Y30" s="7213">
        <v>0</v>
      </c>
      <c r="Z30" s="7213">
        <v>0</v>
      </c>
      <c r="AA30" s="7213">
        <v>0</v>
      </c>
      <c r="AB30" s="7213">
        <v>0</v>
      </c>
      <c r="AC30" s="7213">
        <v>0</v>
      </c>
      <c r="AD30" s="7213">
        <v>0</v>
      </c>
      <c r="AE30" s="7213">
        <v>0</v>
      </c>
      <c r="AF30" s="7213">
        <v>0</v>
      </c>
      <c r="AG30" s="7213">
        <v>0</v>
      </c>
      <c r="AH30" s="7213">
        <v>0</v>
      </c>
      <c r="AI30" s="7213">
        <v>0</v>
      </c>
      <c r="AJ30" s="7213">
        <v>0</v>
      </c>
      <c r="AK30" s="7213">
        <v>0</v>
      </c>
      <c r="AL30" s="7213">
        <v>0</v>
      </c>
      <c r="AM30" s="7213">
        <v>0</v>
      </c>
      <c r="AN30" s="7213">
        <v>0</v>
      </c>
      <c r="AO30" s="7213">
        <v>0</v>
      </c>
      <c r="AP30" s="7213">
        <v>0</v>
      </c>
      <c r="AQ30" s="7213">
        <v>0</v>
      </c>
      <c r="AR30" s="7213">
        <v>0</v>
      </c>
      <c r="AS30" s="7213">
        <v>0</v>
      </c>
      <c r="AT30" s="7213">
        <v>0</v>
      </c>
      <c r="AU30" s="7213">
        <v>0</v>
      </c>
      <c r="AV30" s="7213">
        <v>0</v>
      </c>
      <c r="AW30" s="7213">
        <v>0</v>
      </c>
      <c r="AX30" s="7213">
        <v>0</v>
      </c>
      <c r="AY30" s="7213">
        <v>0</v>
      </c>
      <c r="AZ30" s="7213">
        <v>0</v>
      </c>
      <c r="BA30" s="541">
        <v>50</v>
      </c>
      <c r="BB30" s="629">
        <v>10</v>
      </c>
      <c r="BC30" s="629">
        <v>10</v>
      </c>
      <c r="BD30" s="629">
        <v>10</v>
      </c>
      <c r="BE30" s="629">
        <v>10</v>
      </c>
      <c r="BF30" s="629">
        <v>10</v>
      </c>
      <c r="BG30" s="629">
        <v>10</v>
      </c>
      <c r="BH30" s="629">
        <v>10</v>
      </c>
      <c r="BI30" s="629">
        <v>10</v>
      </c>
      <c r="BJ30" s="629">
        <v>10</v>
      </c>
      <c r="BK30" s="799">
        <v>10</v>
      </c>
      <c r="BL30" s="629">
        <v>23</v>
      </c>
    </row>
  </sheetData>
  <sheetProtection formatColumns="0" formatRows="0" autoFilter="0" sort="0" insertRows="0" insertColumns="1" deleteRows="0" deleteColumns="0"/>
  <mergeCells count="76">
    <mergeCell ref="D5:J5"/>
    <mergeCell ref="D6:J6"/>
    <mergeCell ref="BA9:B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E3B62E3-4749-C898-17FD-33C107C2D01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7359" width="32.57421875" customWidth="1"/>
    <col min="2" max="2" style="7954" width="11.00390625" customWidth="1"/>
    <col min="3" max="3" style="7954" width="9.140625"/>
    <col min="4" max="4" style="7954" width="26.57421875" customWidth="1"/>
    <col min="5" max="5" style="7689" width="36.8515625" customWidth="1"/>
    <col min="6" max="6" style="7689" width="23.57421875" customWidth="1"/>
    <col min="7" max="7" style="7689" width="31.421875" customWidth="1"/>
    <col min="8" max="8" style="7689" width="40.8515625" customWidth="1"/>
    <col min="9" max="9" style="7689" width="14.57421875" customWidth="1"/>
    <col min="10" max="10" style="7689" width="26.8515625" customWidth="1"/>
    <col min="11" max="11" style="7689" width="50.00390625" customWidth="1"/>
    <col min="12" max="12" style="7689" width="52.421875" customWidth="1"/>
    <col min="13" max="13" style="7689" width="10.7109375" customWidth="1"/>
    <col min="14" max="14" style="7689" width="55.140625" customWidth="1"/>
    <col min="15" max="15" style="7689" width="31.8515625" customWidth="1"/>
    <col min="16" max="16" style="7689" width="23.8515625" customWidth="1"/>
    <col min="17" max="17" style="7689" width="46.57421875" customWidth="1"/>
    <col min="18" max="18" style="7689" width="24.00390625" customWidth="1"/>
    <col min="19" max="19" style="7689" width="20.57421875" customWidth="1"/>
    <col min="20" max="20" style="7689" width="22.00390625" customWidth="1"/>
    <col min="21" max="22" style="7689" width="26.421875" customWidth="1"/>
    <col min="23" max="23" style="7689" width="8.28125" hidden="1" customWidth="1"/>
    <col min="24" max="24" style="7689" width="59.7109375" customWidth="1"/>
    <col min="25" max="25" style="7689" width="49.140625" customWidth="1"/>
    <col min="26" max="26" style="7689" width="11.140625" customWidth="1"/>
    <col min="27" max="30" style="7689" width="29.00390625" customWidth="1"/>
    <col min="31" max="31" style="7689" width="9.140625"/>
    <col min="32" max="32" style="7689" width="34.7109375" customWidth="1"/>
    <col min="33" max="33" style="7689" width="9.140625"/>
    <col min="34" max="35" style="7689" width="34.421875" customWidth="1"/>
    <col min="36" max="36" style="7689" width="9.140625"/>
    <col min="37" max="37" style="7689" width="24.57421875" customWidth="1"/>
    <col min="38" max="38" style="7689" width="9.140625"/>
    <col min="39" max="39" style="7689" width="26.140625" customWidth="1"/>
    <col min="40" max="40" style="7689" width="1.7109375" customWidth="1"/>
    <col min="41" max="41" style="7689" width="9.140625"/>
    <col min="42" max="43" style="7689" width="47.8515625" customWidth="1"/>
    <col min="44" max="44" style="7689" width="1.7109375" customWidth="1"/>
    <col min="45" max="45" style="7689" width="21.421875" customWidth="1"/>
    <col min="46" max="46" style="7689" width="1.7109375" customWidth="1"/>
    <col min="47" max="47" style="7689" width="31.28125" customWidth="1"/>
    <col min="48" max="48" style="7689" width="1.7109375" customWidth="1"/>
    <col min="49" max="50" style="7689" width="9.140625"/>
    <col min="51" max="51" style="7689" width="3.7109375" customWidth="1"/>
    <col min="52" max="52" style="7689" width="60.8515625" customWidth="1"/>
    <col min="53" max="53" style="7689" width="49.28125" customWidth="1"/>
    <col min="54" max="54" style="7689" width="35.140625" customWidth="1"/>
    <col min="55" max="55" style="7689" width="9.140625"/>
    <col min="56" max="56" style="7689" width="1.7109375" customWidth="1"/>
    <col min="57" max="58" style="7360" width="34.57421875" customWidth="1"/>
    <col min="59" max="59" style="7689" width="30.7109375" customWidth="1"/>
    <col min="60" max="60" style="7735" width="40.7109375" customWidth="1"/>
    <col min="61" max="61" style="7735" width="15.00390625" customWidth="1"/>
    <col min="62" max="62" style="7735" width="40.7109375" customWidth="1"/>
    <col min="63" max="63" style="7735" width="2.7109375" customWidth="1"/>
    <col min="64" max="64" style="7735" width="44.7109375" customWidth="1"/>
    <col min="65" max="65" style="7735" width="2.7109375" customWidth="1"/>
    <col min="66" max="66" style="7735" width="40.7109375" customWidth="1"/>
    <col min="67" max="68" style="7689" width="9.140625"/>
    <col min="69" max="69" style="7689" width="18.140625" customWidth="1"/>
    <col min="70" max="70" style="7689" width="57.8515625" customWidth="1"/>
    <col min="71" max="71" style="7689" width="1.7109375" customWidth="1"/>
    <col min="72" max="72" style="7689" width="22.57421875" customWidth="1"/>
    <col min="73" max="73" style="7689" width="57.8515625" customWidth="1"/>
    <col min="74" max="74" style="7689" width="1.7109375" customWidth="1"/>
    <col min="75" max="75" style="7689" width="22.57421875" customWidth="1"/>
    <col min="76" max="76" style="7689" width="57.8515625" customWidth="1"/>
    <col min="77" max="77" style="7689" width="1.7109375" customWidth="1"/>
    <col min="78" max="78" style="7689" width="22.57421875" customWidth="1"/>
    <col min="79" max="79" style="7689" width="57.8515625" customWidth="1"/>
    <col min="80" max="81" style="7689" width="9.140625"/>
    <col min="82" max="82" style="7689" width="49.57421875" customWidth="1"/>
  </cols>
  <sheetData>
    <row s="7270" customFormat="1" customHeight="1" ht="11.25">
      <c r="A1" s="1191" t="s">
        <v>1594</v>
      </c>
      <c r="B1" s="1191" t="s">
        <v>1595</v>
      </c>
      <c r="C1" s="1191" t="s">
        <v>1596</v>
      </c>
      <c r="D1" s="1191" t="s">
        <v>1597</v>
      </c>
      <c r="E1" s="1191" t="s">
        <v>1598</v>
      </c>
      <c r="F1" s="1191" t="s">
        <v>1599</v>
      </c>
      <c r="G1" s="1191" t="s">
        <v>1600</v>
      </c>
      <c r="H1" s="1191" t="s">
        <v>1601</v>
      </c>
      <c r="I1" s="1191" t="s">
        <v>1602</v>
      </c>
      <c r="J1" s="1191" t="s">
        <v>1603</v>
      </c>
      <c r="K1" s="1191" t="s">
        <v>1604</v>
      </c>
      <c r="L1" s="1191" t="s">
        <v>1605</v>
      </c>
      <c r="M1" s="1191"/>
      <c r="N1" s="1191" t="s">
        <v>1606</v>
      </c>
      <c r="O1" s="1191" t="s">
        <v>1607</v>
      </c>
      <c r="P1" s="1191" t="s">
        <v>1608</v>
      </c>
      <c r="Q1" s="1191" t="s">
        <v>1609</v>
      </c>
      <c r="R1" s="1191" t="s">
        <v>1610</v>
      </c>
      <c r="S1" s="1191" t="s">
        <v>1611</v>
      </c>
      <c r="T1" s="1191" t="s">
        <v>1612</v>
      </c>
      <c r="U1" s="1191" t="s">
        <v>1613</v>
      </c>
      <c r="V1" s="1191"/>
      <c r="W1" s="921" t="s">
        <v>1614</v>
      </c>
      <c r="X1" s="1191" t="s">
        <v>1615</v>
      </c>
      <c r="Y1" s="1191" t="s">
        <v>1616</v>
      </c>
      <c r="Z1" s="1191"/>
      <c r="AA1" s="1191" t="s">
        <v>1617</v>
      </c>
      <c r="AB1" s="1191"/>
      <c r="AC1" s="1191" t="s">
        <v>1618</v>
      </c>
      <c r="AD1" s="1191"/>
      <c r="AF1" s="1191" t="s">
        <v>1619</v>
      </c>
      <c r="AH1" s="1191" t="s">
        <v>1620</v>
      </c>
      <c r="AI1" s="1191" t="s">
        <v>1621</v>
      </c>
      <c r="AK1" s="1191" t="s">
        <v>1622</v>
      </c>
      <c r="AM1" s="1191" t="s">
        <v>1623</v>
      </c>
      <c r="AP1" s="1191" t="s">
        <v>1624</v>
      </c>
      <c r="AQ1" s="1191" t="s">
        <v>1625</v>
      </c>
      <c r="AS1" s="1191" t="s">
        <v>1626</v>
      </c>
      <c r="AU1" s="1191" t="s">
        <v>1627</v>
      </c>
      <c r="AW1" s="1191" t="s">
        <v>1628</v>
      </c>
      <c r="AX1" s="1191" t="s">
        <v>1629</v>
      </c>
      <c r="AZ1" s="1276" t="s">
        <v>1630</v>
      </c>
      <c r="BB1" s="1191" t="s">
        <v>1631</v>
      </c>
      <c r="BC1" s="1191"/>
      <c r="BE1" s="1191" t="s">
        <v>1632</v>
      </c>
      <c r="BF1" s="1191" t="s">
        <v>1633</v>
      </c>
      <c r="BH1" s="1193" t="s">
        <v>982</v>
      </c>
      <c r="BI1" s="1194"/>
      <c r="BJ1" s="1195" t="s">
        <v>1634</v>
      </c>
      <c r="BK1" s="1194"/>
      <c r="BL1" s="1196" t="s">
        <v>1082</v>
      </c>
      <c r="BM1" s="1194"/>
      <c r="BN1" s="1197" t="s">
        <v>1635</v>
      </c>
      <c r="BS1" s="1551"/>
    </row>
    <row customHeight="1" ht="11.25">
      <c r="A2" s="1198" t="s">
        <v>1636</v>
      </c>
      <c r="B2" s="1199">
        <v>2000</v>
      </c>
      <c r="C2" s="1199">
        <v>2022</v>
      </c>
      <c r="D2" s="1199" t="s">
        <v>62</v>
      </c>
      <c r="E2" s="1200" t="s">
        <v>1637</v>
      </c>
      <c r="F2" s="1200" t="s">
        <v>1638</v>
      </c>
      <c r="G2" s="1200" t="s">
        <v>1639</v>
      </c>
      <c r="H2" s="1201" t="s">
        <v>54</v>
      </c>
      <c r="I2" s="1200" t="s">
        <v>210</v>
      </c>
      <c r="J2" s="1200" t="s">
        <v>1640</v>
      </c>
      <c r="K2" s="1202" t="s">
        <v>1641</v>
      </c>
      <c r="L2" s="1203"/>
      <c r="M2" s="1202">
        <v>1</v>
      </c>
      <c r="N2" s="1286" t="s">
        <v>1642</v>
      </c>
      <c r="O2" s="1201" t="s">
        <v>1643</v>
      </c>
      <c r="P2" s="1204" t="s">
        <v>37</v>
      </c>
      <c r="Q2" s="1205" t="s">
        <v>1644</v>
      </c>
      <c r="R2" s="267" t="s">
        <v>1645</v>
      </c>
      <c r="S2" s="267" t="s">
        <v>1646</v>
      </c>
      <c r="T2" s="1206" t="s">
        <v>1647</v>
      </c>
      <c r="U2" s="1203" t="s">
        <v>1648</v>
      </c>
      <c r="V2" s="1207">
        <v>1</v>
      </c>
      <c r="W2" s="1208"/>
      <c r="X2" s="1208" t="s">
        <v>1649</v>
      </c>
      <c r="Y2" s="1199" t="s">
        <v>1650</v>
      </c>
      <c r="Z2" s="1209"/>
      <c r="AA2" s="1199" t="s">
        <v>1651</v>
      </c>
      <c r="AB2" s="1210" t="s">
        <v>1651</v>
      </c>
      <c r="AC2" s="1199" t="s">
        <v>1652</v>
      </c>
      <c r="AD2" s="1210" t="s">
        <v>1652</v>
      </c>
      <c r="AF2" s="1201" t="s">
        <v>1648</v>
      </c>
      <c r="AH2" s="1200" t="s">
        <v>1653</v>
      </c>
      <c r="AI2" s="1200" t="s">
        <v>1653</v>
      </c>
      <c r="AK2" s="1200" t="s">
        <v>1654</v>
      </c>
      <c r="AM2" s="1200" t="s">
        <v>1655</v>
      </c>
      <c r="AP2" s="1211" t="s">
        <v>1649</v>
      </c>
      <c r="AQ2" s="1212" t="s">
        <v>1649</v>
      </c>
      <c r="AS2" s="1199" t="s">
        <v>1656</v>
      </c>
      <c r="AU2" s="1244" t="s">
        <v>1657</v>
      </c>
      <c r="AW2" s="1244" t="s">
        <v>1658</v>
      </c>
      <c r="AX2" s="1244" t="s">
        <v>1658</v>
      </c>
      <c r="AZ2" s="1244" t="s">
        <v>52</v>
      </c>
      <c r="BB2" s="1244" t="s">
        <v>684</v>
      </c>
      <c r="BC2" s="1244" t="s">
        <v>685</v>
      </c>
      <c r="BE2" s="2209" t="s">
        <v>1659</v>
      </c>
      <c r="BF2" s="2209" t="s">
        <v>1659</v>
      </c>
    </row>
    <row customHeight="1" ht="11.25">
      <c r="A3" s="1198" t="s">
        <v>1660</v>
      </c>
      <c r="B3" s="1199">
        <v>2001</v>
      </c>
      <c r="C3" s="1199">
        <v>2023</v>
      </c>
      <c r="D3" s="1199" t="s">
        <v>19</v>
      </c>
      <c r="E3" s="1200" t="s">
        <v>1661</v>
      </c>
      <c r="F3" s="1200" t="s">
        <v>1662</v>
      </c>
      <c r="G3" s="1200" t="s">
        <v>1663</v>
      </c>
      <c r="H3" s="1201" t="s">
        <v>1664</v>
      </c>
      <c r="I3" s="1200" t="s">
        <v>102</v>
      </c>
      <c r="J3" s="1200" t="s">
        <v>668</v>
      </c>
      <c r="K3" s="1202" t="s">
        <v>1665</v>
      </c>
      <c r="L3" s="1203">
        <f>_xlfn.IFERROR(MATCH(K3,OFFER_METHOD,0),0)</f>
        <v>0</v>
      </c>
      <c r="M3" s="1202">
        <v>2</v>
      </c>
      <c r="N3" s="1286" t="s">
        <v>1666</v>
      </c>
      <c r="O3" s="1201" t="s">
        <v>1667</v>
      </c>
      <c r="P3" s="1204" t="s">
        <v>1668</v>
      </c>
      <c r="Q3" s="1205" t="s">
        <v>1669</v>
      </c>
      <c r="R3" s="267" t="s">
        <v>1670</v>
      </c>
      <c r="S3" s="267" t="s">
        <v>1671</v>
      </c>
      <c r="T3" s="1206" t="s">
        <v>1672</v>
      </c>
      <c r="U3" s="1203" t="s">
        <v>1673</v>
      </c>
      <c r="V3" s="1207">
        <v>2</v>
      </c>
      <c r="W3" s="1208"/>
      <c r="X3" s="1208" t="s">
        <v>1674</v>
      </c>
      <c r="Y3" s="1199" t="s">
        <v>1650</v>
      </c>
      <c r="Z3" s="1209"/>
      <c r="AA3" s="1199" t="s">
        <v>1675</v>
      </c>
      <c r="AB3" s="1210" t="s">
        <v>1675</v>
      </c>
      <c r="AC3" s="1199" t="s">
        <v>1676</v>
      </c>
      <c r="AD3" s="1210" t="s">
        <v>1676</v>
      </c>
      <c r="AF3" s="1201" t="s">
        <v>1673</v>
      </c>
      <c r="AH3" s="1200" t="s">
        <v>1677</v>
      </c>
      <c r="AI3" s="1200" t="s">
        <v>1678</v>
      </c>
      <c r="AK3" s="1200" t="s">
        <v>1679</v>
      </c>
      <c r="AM3" s="1200" t="s">
        <v>1680</v>
      </c>
      <c r="AP3" s="1211" t="s">
        <v>1681</v>
      </c>
      <c r="AQ3" s="1212" t="s">
        <v>1681</v>
      </c>
      <c r="AS3" s="1199" t="s">
        <v>1682</v>
      </c>
      <c r="AU3" s="1244" t="s">
        <v>1683</v>
      </c>
      <c r="AW3" s="1244" t="s">
        <v>1684</v>
      </c>
      <c r="AX3" s="1244" t="s">
        <v>1684</v>
      </c>
      <c r="AZ3" s="1244" t="s">
        <v>1685</v>
      </c>
      <c r="BB3" s="1244" t="s">
        <v>1686</v>
      </c>
      <c r="BC3" s="1244" t="s">
        <v>685</v>
      </c>
      <c r="BE3" s="2209" t="s">
        <v>1687</v>
      </c>
      <c r="BF3" s="2209" t="s">
        <v>1687</v>
      </c>
      <c r="BH3" s="1191" t="s">
        <v>1688</v>
      </c>
      <c r="BJ3" s="1191" t="s">
        <v>1689</v>
      </c>
      <c r="BL3" s="1191" t="s">
        <v>1690</v>
      </c>
      <c r="BN3" s="1191" t="s">
        <v>1691</v>
      </c>
      <c r="BR3" s="1191" t="s">
        <v>1692</v>
      </c>
      <c r="BS3" s="1552"/>
      <c r="BT3" s="1194"/>
      <c r="BU3" s="1191" t="s">
        <v>1693</v>
      </c>
      <c r="BV3" s="1194"/>
      <c r="BW3" s="1813"/>
      <c r="BX3" s="1815" t="s">
        <v>1694</v>
      </c>
      <c r="CA3" s="1191" t="s">
        <v>1695</v>
      </c>
    </row>
    <row customHeight="1" ht="11.25">
      <c r="A4" s="1198" t="s">
        <v>1696</v>
      </c>
      <c r="B4" s="1199">
        <v>2002</v>
      </c>
      <c r="C4" s="1199">
        <v>2024</v>
      </c>
      <c r="E4" s="1200" t="s">
        <v>1697</v>
      </c>
      <c r="F4" s="1200" t="s">
        <v>1698</v>
      </c>
      <c r="H4" s="1201" t="s">
        <v>1699</v>
      </c>
      <c r="I4" s="1200" t="s">
        <v>90</v>
      </c>
      <c r="J4" s="1200" t="s">
        <v>1700</v>
      </c>
      <c r="K4" s="1202" t="s">
        <v>1701</v>
      </c>
      <c r="L4" s="1203">
        <f>_xlfn.IFERROR(MATCH(K4,OFFER_METHOD,0),0)</f>
        <v>0</v>
      </c>
      <c r="M4" s="1202">
        <v>3</v>
      </c>
      <c r="N4" s="1286" t="s">
        <v>1702</v>
      </c>
      <c r="O4" s="1200" t="s">
        <v>1703</v>
      </c>
      <c r="Q4" s="1205" t="s">
        <v>1704</v>
      </c>
      <c r="R4" s="267" t="s">
        <v>1705</v>
      </c>
      <c r="S4" s="267" t="s">
        <v>1706</v>
      </c>
      <c r="T4" s="1206" t="s">
        <v>1707</v>
      </c>
      <c r="U4" s="1203" t="s">
        <v>1708</v>
      </c>
      <c r="V4" s="1207">
        <v>3</v>
      </c>
      <c r="W4" s="1208"/>
      <c r="X4" s="1208" t="s">
        <v>1709</v>
      </c>
      <c r="Y4" s="1199" t="s">
        <v>1650</v>
      </c>
      <c r="Z4" s="1215"/>
      <c r="AC4" s="1199" t="s">
        <v>1710</v>
      </c>
      <c r="AD4" s="1210" t="s">
        <v>1710</v>
      </c>
      <c r="AF4" s="1201" t="s">
        <v>1708</v>
      </c>
      <c r="AH4" s="1201" t="s">
        <v>1711</v>
      </c>
      <c r="AK4" s="1200" t="s">
        <v>1712</v>
      </c>
      <c r="AM4" s="1200" t="s">
        <v>1713</v>
      </c>
      <c r="AP4" s="1211" t="s">
        <v>1674</v>
      </c>
      <c r="AQ4" s="1212" t="s">
        <v>1674</v>
      </c>
      <c r="AS4" s="1199" t="s">
        <v>1714</v>
      </c>
      <c r="AU4" s="1244" t="s">
        <v>1715</v>
      </c>
      <c r="AW4" s="1244" t="s">
        <v>1716</v>
      </c>
      <c r="AX4" s="1244" t="s">
        <v>1716</v>
      </c>
      <c r="AZ4" s="1244" t="s">
        <v>1717</v>
      </c>
      <c r="BB4" s="1244" t="s">
        <v>1718</v>
      </c>
      <c r="BC4" s="1244" t="s">
        <v>1719</v>
      </c>
      <c r="BE4" s="1244">
        <v>2000</v>
      </c>
      <c r="BF4" s="1244" t="s">
        <v>1720</v>
      </c>
      <c r="BH4" s="1192" t="s">
        <v>1721</v>
      </c>
      <c r="BJ4" s="1192" t="s">
        <v>1721</v>
      </c>
      <c r="BL4" s="1192" t="s">
        <v>1721</v>
      </c>
      <c r="BN4" s="1192" t="s">
        <v>1721</v>
      </c>
      <c r="BQ4" s="1556" t="s">
        <v>1722</v>
      </c>
      <c r="BR4" s="1283" t="s">
        <v>1723</v>
      </c>
      <c r="BS4" s="398"/>
      <c r="BT4" s="1556" t="s">
        <v>1724</v>
      </c>
      <c r="BU4" s="1283" t="s">
        <v>1725</v>
      </c>
      <c r="BV4" s="1194"/>
      <c r="BW4" s="1820" t="s">
        <v>1726</v>
      </c>
      <c r="BX4" s="1814" t="s">
        <v>1727</v>
      </c>
      <c r="BZ4" s="1556" t="s">
        <v>1728</v>
      </c>
      <c r="CA4" s="1283" t="s">
        <v>1729</v>
      </c>
    </row>
    <row customHeight="1" ht="11.25">
      <c r="A5" s="1198" t="s">
        <v>1730</v>
      </c>
      <c r="B5" s="1199">
        <v>2003</v>
      </c>
      <c r="C5" s="1199">
        <v>2025</v>
      </c>
      <c r="E5" s="1200" t="s">
        <v>1731</v>
      </c>
      <c r="F5" s="1200" t="s">
        <v>1732</v>
      </c>
      <c r="H5" s="1201" t="s">
        <v>1733</v>
      </c>
      <c r="I5" s="1200" t="s">
        <v>91</v>
      </c>
      <c r="K5" s="1202" t="s">
        <v>1734</v>
      </c>
      <c r="L5" s="1203">
        <f>_xlfn.IFERROR(MATCH(K5,OFFER_METHOD,0),0)</f>
        <v>0</v>
      </c>
      <c r="M5" s="1202">
        <v>4</v>
      </c>
      <c r="N5" s="1216" t="s">
        <v>1735</v>
      </c>
      <c r="O5" s="1200" t="s">
        <v>1736</v>
      </c>
      <c r="Q5" s="1205" t="s">
        <v>1737</v>
      </c>
      <c r="R5" s="267" t="s">
        <v>1738</v>
      </c>
      <c r="T5" s="1201" t="s">
        <v>1739</v>
      </c>
      <c r="U5" s="1203" t="s">
        <v>1740</v>
      </c>
      <c r="V5" s="1207">
        <v>4</v>
      </c>
      <c r="W5" s="1208"/>
      <c r="X5" s="1208" t="s">
        <v>280</v>
      </c>
      <c r="Y5" s="1199" t="s">
        <v>1741</v>
      </c>
      <c r="Z5" s="1215">
        <v>1</v>
      </c>
      <c r="AF5" s="1201" t="s">
        <v>1742</v>
      </c>
      <c r="AH5" s="1200" t="s">
        <v>1743</v>
      </c>
      <c r="AK5" s="1200" t="s">
        <v>1744</v>
      </c>
      <c r="AM5" s="1200" t="s">
        <v>1745</v>
      </c>
      <c r="AP5" s="1211" t="s">
        <v>280</v>
      </c>
      <c r="AQ5" s="1212" t="s">
        <v>280</v>
      </c>
      <c r="AU5" s="1244" t="s">
        <v>1746</v>
      </c>
      <c r="AW5" s="1244" t="s">
        <v>1747</v>
      </c>
      <c r="AX5" s="1244" t="s">
        <v>1747</v>
      </c>
      <c r="AZ5" s="1244" t="s">
        <v>1748</v>
      </c>
      <c r="BB5" s="1244" t="s">
        <v>1749</v>
      </c>
      <c r="BC5" s="1244" t="s">
        <v>682</v>
      </c>
      <c r="BE5" s="1244">
        <v>2001</v>
      </c>
      <c r="BF5" s="1244" t="s">
        <v>1750</v>
      </c>
      <c r="BH5" s="1192" t="s">
        <v>1306</v>
      </c>
      <c r="BJ5" s="1192" t="s">
        <v>1306</v>
      </c>
      <c r="BL5" s="1192" t="s">
        <v>1306</v>
      </c>
      <c r="BN5" s="1192" t="s">
        <v>1751</v>
      </c>
      <c r="BQ5" s="1405">
        <v>4213775</v>
      </c>
      <c r="BR5" s="1192" t="s">
        <v>1649</v>
      </c>
      <c r="BS5" s="1553"/>
      <c r="BT5" s="1405">
        <v>64236871</v>
      </c>
      <c r="BU5" s="1192" t="s">
        <v>341</v>
      </c>
      <c r="BV5" s="1194"/>
      <c r="BW5" s="1818">
        <v>4213767</v>
      </c>
      <c r="BX5" s="1816" t="s">
        <v>1752</v>
      </c>
      <c r="BZ5" s="1405">
        <v>64237509</v>
      </c>
      <c r="CA5" s="1419" t="s">
        <v>1753</v>
      </c>
    </row>
    <row customHeight="1" ht="11.25">
      <c r="A6" s="1198" t="s">
        <v>1754</v>
      </c>
      <c r="B6" s="1199">
        <v>2004</v>
      </c>
      <c r="C6" s="1199">
        <v>2026</v>
      </c>
      <c r="E6" s="1200" t="s">
        <v>1755</v>
      </c>
      <c r="F6" s="1217"/>
      <c r="H6" s="1201" t="s">
        <v>1756</v>
      </c>
      <c r="I6" s="1200" t="s">
        <v>116</v>
      </c>
      <c r="J6" s="1191" t="s">
        <v>1757</v>
      </c>
      <c r="L6" s="1203">
        <f>SUM(kind_of_control_method_filter)</f>
        <v>0</v>
      </c>
      <c r="N6" s="1216" t="s">
        <v>1758</v>
      </c>
      <c r="O6" s="1200" t="s">
        <v>1759</v>
      </c>
      <c r="R6" s="267" t="s">
        <v>1644</v>
      </c>
      <c r="T6" s="1201" t="s">
        <v>1760</v>
      </c>
      <c r="U6" s="1203" t="s">
        <v>1742</v>
      </c>
      <c r="V6" s="1207">
        <v>5</v>
      </c>
      <c r="W6" s="1208"/>
      <c r="X6" s="1199" t="s">
        <v>286</v>
      </c>
      <c r="Y6" s="1199" t="s">
        <v>1761</v>
      </c>
      <c r="Z6" s="1215"/>
      <c r="AA6" s="1218"/>
      <c r="AH6" s="1200" t="s">
        <v>1762</v>
      </c>
      <c r="AK6" s="1200" t="s">
        <v>1763</v>
      </c>
      <c r="AM6" s="1200" t="s">
        <v>1764</v>
      </c>
      <c r="AP6" s="1211" t="s">
        <v>286</v>
      </c>
      <c r="AQ6" s="1212" t="s">
        <v>286</v>
      </c>
      <c r="AU6" s="1244" t="s">
        <v>1765</v>
      </c>
      <c r="AW6" s="1244" t="s">
        <v>1766</v>
      </c>
      <c r="AX6" s="1244" t="s">
        <v>1766</v>
      </c>
      <c r="BB6" s="1244" t="s">
        <v>1767</v>
      </c>
      <c r="BC6" s="1244" t="s">
        <v>682</v>
      </c>
      <c r="BE6" s="1244">
        <v>2002</v>
      </c>
      <c r="BF6" s="1244" t="s">
        <v>1768</v>
      </c>
      <c r="BH6" s="1192" t="s">
        <v>1769</v>
      </c>
      <c r="BJ6" s="1192" t="s">
        <v>1770</v>
      </c>
      <c r="BL6" s="1192" t="s">
        <v>1770</v>
      </c>
      <c r="BN6" s="1192" t="s">
        <v>1771</v>
      </c>
      <c r="BQ6" s="1405">
        <v>4213784</v>
      </c>
      <c r="BR6" s="1419" t="s">
        <v>1681</v>
      </c>
      <c r="BS6" s="1554"/>
      <c r="BT6" s="1405">
        <v>64236872</v>
      </c>
      <c r="BU6" s="1192" t="s">
        <v>346</v>
      </c>
      <c r="BV6" s="1194"/>
      <c r="BW6" s="1818">
        <v>4213768</v>
      </c>
      <c r="BX6" s="1816" t="s">
        <v>366</v>
      </c>
      <c r="BZ6" s="1405">
        <v>64237510</v>
      </c>
      <c r="CA6" s="1192" t="s">
        <v>1772</v>
      </c>
    </row>
    <row customHeight="1" ht="11.25">
      <c r="A7" s="1198" t="s">
        <v>1773</v>
      </c>
      <c r="B7" s="1199">
        <v>2005</v>
      </c>
      <c r="E7" s="1200" t="s">
        <v>1774</v>
      </c>
      <c r="F7" s="1217"/>
      <c r="H7" s="1201" t="s">
        <v>1775</v>
      </c>
      <c r="I7" s="1200" t="s">
        <v>92</v>
      </c>
      <c r="J7" s="1200" t="s">
        <v>1776</v>
      </c>
      <c r="N7" s="1220" t="s">
        <v>1777</v>
      </c>
      <c r="O7" s="1200" t="s">
        <v>1778</v>
      </c>
      <c r="U7" s="1203" t="s">
        <v>19</v>
      </c>
      <c r="V7" s="494" t="s">
        <v>92</v>
      </c>
      <c r="W7" s="1208"/>
      <c r="X7" s="1199" t="s">
        <v>292</v>
      </c>
      <c r="Y7" s="1199" t="s">
        <v>1741</v>
      </c>
      <c r="Z7" s="1215"/>
      <c r="AA7" s="1218"/>
      <c r="AH7" s="1200" t="s">
        <v>1779</v>
      </c>
      <c r="AK7" s="1200" t="s">
        <v>1780</v>
      </c>
      <c r="AM7" s="1200" t="s">
        <v>1781</v>
      </c>
      <c r="AP7" s="1211" t="s">
        <v>292</v>
      </c>
      <c r="AQ7" s="1212" t="s">
        <v>292</v>
      </c>
      <c r="AU7" s="1244" t="s">
        <v>1782</v>
      </c>
      <c r="AW7" s="1244" t="s">
        <v>1783</v>
      </c>
      <c r="AX7" s="1244" t="s">
        <v>1783</v>
      </c>
      <c r="AZ7" s="1191" t="s">
        <v>1784</v>
      </c>
      <c r="BB7" s="1244" t="s">
        <v>1785</v>
      </c>
      <c r="BC7" s="1244" t="s">
        <v>682</v>
      </c>
      <c r="BE7" s="1244">
        <v>2003</v>
      </c>
      <c r="BF7" s="1244" t="s">
        <v>1786</v>
      </c>
      <c r="BH7" s="1192" t="s">
        <v>1307</v>
      </c>
      <c r="BJ7" s="1192" t="s">
        <v>1769</v>
      </c>
      <c r="BL7" s="1192" t="s">
        <v>1769</v>
      </c>
      <c r="BN7" s="1192" t="s">
        <v>1787</v>
      </c>
      <c r="BQ7" s="1405">
        <v>4213781</v>
      </c>
      <c r="BR7" s="1192" t="s">
        <v>1674</v>
      </c>
      <c r="BS7" s="1553"/>
      <c r="BT7" s="1405">
        <v>64236873</v>
      </c>
      <c r="BU7" s="1192" t="s">
        <v>351</v>
      </c>
      <c r="BV7" s="1194"/>
      <c r="BW7" s="1818">
        <v>4213769</v>
      </c>
      <c r="BX7" s="1816" t="s">
        <v>1788</v>
      </c>
      <c r="BZ7" s="1405">
        <v>64237511</v>
      </c>
      <c r="CA7" s="1192" t="s">
        <v>381</v>
      </c>
    </row>
    <row customHeight="1" ht="11.25">
      <c r="A8" s="1198" t="s">
        <v>1789</v>
      </c>
      <c r="B8" s="1199">
        <v>2006</v>
      </c>
      <c r="E8" s="1200" t="s">
        <v>1790</v>
      </c>
      <c r="F8" s="1217"/>
      <c r="H8" s="1201" t="s">
        <v>1791</v>
      </c>
      <c r="I8" s="1200" t="s">
        <v>93</v>
      </c>
      <c r="J8" s="1200" t="s">
        <v>1792</v>
      </c>
      <c r="N8" s="1287" t="s">
        <v>1793</v>
      </c>
      <c r="O8" s="1200" t="s">
        <v>1794</v>
      </c>
      <c r="V8" s="494" t="s">
        <v>93</v>
      </c>
      <c r="W8" s="1208"/>
      <c r="X8" s="1199" t="s">
        <v>298</v>
      </c>
      <c r="Y8" s="1199" t="s">
        <v>1741</v>
      </c>
      <c r="Z8" s="1215"/>
      <c r="AA8" s="1218"/>
      <c r="AK8" s="1200" t="s">
        <v>1795</v>
      </c>
      <c r="AP8" s="1211" t="s">
        <v>298</v>
      </c>
      <c r="AQ8" s="1212" t="s">
        <v>298</v>
      </c>
      <c r="AU8" s="1244" t="s">
        <v>1796</v>
      </c>
      <c r="AW8" s="1244" t="s">
        <v>1797</v>
      </c>
      <c r="AX8" s="1244" t="s">
        <v>1797</v>
      </c>
      <c r="AZ8" s="1244" t="s">
        <v>67</v>
      </c>
      <c r="BB8" s="1244" t="s">
        <v>1798</v>
      </c>
      <c r="BC8" s="1244" t="s">
        <v>682</v>
      </c>
      <c r="BE8" s="1244">
        <v>2004</v>
      </c>
      <c r="BF8" s="1244" t="s">
        <v>1799</v>
      </c>
      <c r="BH8" s="1192" t="s">
        <v>1800</v>
      </c>
      <c r="BJ8" s="1192" t="s">
        <v>1801</v>
      </c>
      <c r="BL8" s="1192" t="s">
        <v>1801</v>
      </c>
      <c r="BN8" s="1192" t="s">
        <v>1802</v>
      </c>
      <c r="BQ8" s="1405">
        <v>4213776</v>
      </c>
      <c r="BR8" s="1192" t="s">
        <v>280</v>
      </c>
      <c r="BS8" s="1553"/>
      <c r="BT8" s="1405">
        <v>64236874</v>
      </c>
      <c r="BU8" s="1419" t="s">
        <v>1803</v>
      </c>
      <c r="BV8" s="1194"/>
      <c r="BW8" s="1818">
        <v>4213770</v>
      </c>
      <c r="BX8" s="1819" t="s">
        <v>1804</v>
      </c>
      <c r="BZ8" s="1405">
        <v>64237512</v>
      </c>
      <c r="CA8" s="1192" t="s">
        <v>376</v>
      </c>
    </row>
    <row customHeight="1" ht="11.25">
      <c r="A9" s="1198" t="s">
        <v>1805</v>
      </c>
      <c r="B9" s="1199">
        <v>2007</v>
      </c>
      <c r="E9" s="1200" t="s">
        <v>1806</v>
      </c>
      <c r="F9" s="1217"/>
      <c r="G9" s="1191" t="s">
        <v>1807</v>
      </c>
      <c r="H9" s="1191" t="s">
        <v>1808</v>
      </c>
      <c r="I9" s="1200" t="s">
        <v>129</v>
      </c>
      <c r="O9" s="1200" t="s">
        <v>1809</v>
      </c>
      <c r="V9" s="494" t="s">
        <v>129</v>
      </c>
      <c r="W9" s="1208"/>
      <c r="X9" s="1199" t="s">
        <v>304</v>
      </c>
      <c r="Y9" s="1199" t="s">
        <v>1650</v>
      </c>
      <c r="Z9" s="1215">
        <v>1</v>
      </c>
      <c r="AA9" s="1218"/>
      <c r="AK9" s="1200" t="s">
        <v>683</v>
      </c>
      <c r="AP9" s="1211" t="s">
        <v>1810</v>
      </c>
      <c r="AQ9" s="1212" t="s">
        <v>1810</v>
      </c>
      <c r="AW9" s="1244" t="s">
        <v>1811</v>
      </c>
      <c r="AX9" s="1244" t="s">
        <v>1811</v>
      </c>
      <c r="AZ9" s="1244" t="s">
        <v>1812</v>
      </c>
      <c r="BB9" s="1244" t="s">
        <v>1813</v>
      </c>
      <c r="BC9" s="1244" t="s">
        <v>682</v>
      </c>
      <c r="BE9" s="1244">
        <v>2005</v>
      </c>
      <c r="BF9" s="1244" t="s">
        <v>1814</v>
      </c>
      <c r="BH9" s="1192" t="s">
        <v>1815</v>
      </c>
      <c r="BJ9" s="1192" t="s">
        <v>1816</v>
      </c>
      <c r="BL9" s="1192" t="s">
        <v>1816</v>
      </c>
      <c r="BN9" s="1192" t="s">
        <v>1817</v>
      </c>
      <c r="BQ9" s="1405">
        <v>4213777</v>
      </c>
      <c r="BR9" s="1192" t="s">
        <v>286</v>
      </c>
      <c r="BS9" s="1553"/>
      <c r="BT9" s="1405">
        <v>64236875</v>
      </c>
      <c r="BU9" s="1192" t="s">
        <v>356</v>
      </c>
      <c r="BV9" s="1194"/>
      <c r="BW9" s="1813"/>
      <c r="BX9" s="1813"/>
    </row>
    <row customHeight="1" ht="11.25">
      <c r="A10" s="1198" t="s">
        <v>1818</v>
      </c>
      <c r="B10" s="1199">
        <v>2008</v>
      </c>
      <c r="E10" s="1200" t="s">
        <v>1819</v>
      </c>
      <c r="F10" s="1217"/>
      <c r="G10" s="1200" t="s">
        <v>1820</v>
      </c>
      <c r="H10" s="1200" t="s">
        <v>1821</v>
      </c>
      <c r="I10" s="1200" t="s">
        <v>134</v>
      </c>
      <c r="J10" s="1191" t="s">
        <v>1822</v>
      </c>
      <c r="K10" s="1191" t="s">
        <v>1823</v>
      </c>
      <c r="O10" s="1200" t="s">
        <v>1824</v>
      </c>
      <c r="V10" s="495" t="s">
        <v>134</v>
      </c>
      <c r="W10" s="1221"/>
      <c r="X10" s="1221" t="s">
        <v>1825</v>
      </c>
      <c r="Y10" s="1222" t="s">
        <v>1826</v>
      </c>
      <c r="Z10" s="1215"/>
      <c r="AP10" s="1211" t="s">
        <v>1825</v>
      </c>
      <c r="AQ10" s="1212" t="s">
        <v>1825</v>
      </c>
      <c r="AW10" s="1244" t="s">
        <v>1827</v>
      </c>
      <c r="AX10" s="1244" t="s">
        <v>1827</v>
      </c>
      <c r="AZ10" s="1244" t="s">
        <v>1828</v>
      </c>
      <c r="BB10" s="1244" t="s">
        <v>681</v>
      </c>
      <c r="BC10" s="1244" t="s">
        <v>682</v>
      </c>
      <c r="BE10" s="1244">
        <v>2006</v>
      </c>
      <c r="BF10" s="1244" t="s">
        <v>1829</v>
      </c>
      <c r="BH10" s="1192" t="s">
        <v>1830</v>
      </c>
      <c r="BJ10" s="1192" t="s">
        <v>1831</v>
      </c>
      <c r="BL10" s="1192" t="s">
        <v>1831</v>
      </c>
      <c r="BN10" s="1192" t="s">
        <v>1832</v>
      </c>
      <c r="BQ10" s="1405">
        <v>4213778</v>
      </c>
      <c r="BR10" s="1192" t="s">
        <v>292</v>
      </c>
      <c r="BS10" s="1553"/>
      <c r="BT10" s="1405">
        <v>64236876</v>
      </c>
      <c r="BU10" s="1192" t="s">
        <v>336</v>
      </c>
      <c r="BV10" s="1194"/>
      <c r="BW10" s="1813"/>
      <c r="BX10" s="1813"/>
    </row>
    <row customHeight="1" ht="11.25">
      <c r="A11" s="1198" t="s">
        <v>1833</v>
      </c>
      <c r="B11" s="1199">
        <v>2009</v>
      </c>
      <c r="E11" s="1200" t="s">
        <v>1834</v>
      </c>
      <c r="F11" s="1217"/>
      <c r="G11" s="1200" t="s">
        <v>1835</v>
      </c>
      <c r="H11" s="1200" t="s">
        <v>1836</v>
      </c>
      <c r="I11" s="1200" t="s">
        <v>139</v>
      </c>
      <c r="J11" s="1201" t="s">
        <v>1837</v>
      </c>
      <c r="K11" s="1223" t="s">
        <v>1838</v>
      </c>
      <c r="O11" s="1201" t="s">
        <v>1839</v>
      </c>
      <c r="V11" s="494" t="s">
        <v>139</v>
      </c>
      <c r="W11" s="399"/>
      <c r="X11" s="1208" t="s">
        <v>1810</v>
      </c>
      <c r="Y11" s="1199" t="s">
        <v>1840</v>
      </c>
      <c r="Z11" s="1215"/>
      <c r="AP11" s="1211" t="s">
        <v>304</v>
      </c>
      <c r="AQ11" s="1213" t="s">
        <v>304</v>
      </c>
      <c r="AW11" s="1244" t="s">
        <v>1841</v>
      </c>
      <c r="AX11" s="1244" t="s">
        <v>1841</v>
      </c>
      <c r="AZ11" s="1244" t="s">
        <v>1842</v>
      </c>
      <c r="BB11" s="1244" t="s">
        <v>1843</v>
      </c>
      <c r="BC11" s="1244" t="s">
        <v>682</v>
      </c>
      <c r="BE11" s="1244">
        <v>2007</v>
      </c>
      <c r="BF11" s="1244" t="s">
        <v>1844</v>
      </c>
      <c r="BH11" s="1192" t="s">
        <v>1845</v>
      </c>
      <c r="BJ11" s="1192" t="s">
        <v>1815</v>
      </c>
      <c r="BL11" s="1192" t="s">
        <v>1815</v>
      </c>
      <c r="BN11" s="1192" t="s">
        <v>1846</v>
      </c>
      <c r="BQ11" s="1405">
        <v>4213780</v>
      </c>
      <c r="BR11" s="1192" t="s">
        <v>298</v>
      </c>
      <c r="BS11" s="1553"/>
      <c r="BW11" s="1813"/>
      <c r="BX11" s="1813"/>
    </row>
    <row customHeight="1" ht="11.25">
      <c r="A12" s="1198" t="s">
        <v>1847</v>
      </c>
      <c r="B12" s="1199">
        <v>2010</v>
      </c>
      <c r="E12" s="1200" t="s">
        <v>1848</v>
      </c>
      <c r="F12" s="1217"/>
      <c r="G12" s="1200" t="s">
        <v>1836</v>
      </c>
      <c r="I12" s="1200" t="s">
        <v>144</v>
      </c>
      <c r="J12" s="1201" t="s">
        <v>1849</v>
      </c>
      <c r="K12" s="1223" t="s">
        <v>686</v>
      </c>
      <c r="O12" s="1201" t="s">
        <v>1644</v>
      </c>
      <c r="V12" s="494" t="s">
        <v>144</v>
      </c>
      <c r="W12" s="1213"/>
      <c r="X12" s="1208" t="s">
        <v>1850</v>
      </c>
      <c r="Y12" s="1199" t="s">
        <v>1650</v>
      </c>
      <c r="AP12" s="1211"/>
      <c r="AW12" s="1244" t="s">
        <v>139</v>
      </c>
      <c r="AX12" s="1244" t="s">
        <v>139</v>
      </c>
      <c r="AZ12" s="1244" t="s">
        <v>1851</v>
      </c>
      <c r="BB12" s="1244" t="s">
        <v>1852</v>
      </c>
      <c r="BC12" s="1244" t="s">
        <v>682</v>
      </c>
      <c r="BE12" s="1244">
        <v>2008</v>
      </c>
      <c r="BF12" s="1244" t="s">
        <v>1853</v>
      </c>
      <c r="BH12" s="1192" t="s">
        <v>1854</v>
      </c>
      <c r="BJ12" s="1192" t="s">
        <v>1855</v>
      </c>
      <c r="BL12" s="1192" t="s">
        <v>1855</v>
      </c>
      <c r="BN12" s="1192" t="s">
        <v>1856</v>
      </c>
      <c r="BQ12" s="1405">
        <v>4213779</v>
      </c>
      <c r="BR12" s="1192" t="s">
        <v>1810</v>
      </c>
      <c r="BS12" s="1553"/>
      <c r="BT12" s="1194"/>
      <c r="BU12" s="1194"/>
      <c r="BV12" s="1194"/>
      <c r="BW12" s="1813"/>
      <c r="BX12" s="1813"/>
    </row>
    <row customHeight="1" ht="11.25">
      <c r="A13" s="1198" t="s">
        <v>1857</v>
      </c>
      <c r="B13" s="1199">
        <v>2011</v>
      </c>
      <c r="E13" s="1200" t="s">
        <v>1858</v>
      </c>
      <c r="F13" s="1217"/>
      <c r="I13" s="1200" t="s">
        <v>149</v>
      </c>
      <c r="K13" s="1223" t="s">
        <v>683</v>
      </c>
      <c r="V13" s="494" t="s">
        <v>149</v>
      </c>
      <c r="W13" s="1213"/>
      <c r="X13" s="1213"/>
      <c r="Y13" s="1213"/>
      <c r="AW13" s="1244" t="s">
        <v>144</v>
      </c>
      <c r="AX13" s="1244" t="s">
        <v>144</v>
      </c>
      <c r="BB13" s="1244" t="s">
        <v>1859</v>
      </c>
      <c r="BC13" s="1244" t="s">
        <v>1860</v>
      </c>
      <c r="BE13" s="1244">
        <v>2009</v>
      </c>
      <c r="BF13" s="1244" t="s">
        <v>1861</v>
      </c>
      <c r="BH13" s="1192" t="s">
        <v>1862</v>
      </c>
      <c r="BJ13" s="1192" t="s">
        <v>1845</v>
      </c>
      <c r="BL13" s="1192" t="s">
        <v>1845</v>
      </c>
      <c r="BN13" s="1192" t="s">
        <v>1863</v>
      </c>
      <c r="BQ13" s="1405">
        <v>4213783</v>
      </c>
      <c r="BR13" s="1192" t="s">
        <v>1825</v>
      </c>
      <c r="BS13" s="1553"/>
      <c r="BT13" s="1194"/>
      <c r="BU13" s="1194"/>
      <c r="BV13" s="1194"/>
      <c r="BW13" s="1817"/>
      <c r="BX13" s="1813"/>
    </row>
    <row customHeight="1" ht="11.25">
      <c r="A14" s="1198" t="s">
        <v>1864</v>
      </c>
      <c r="B14" s="1199">
        <v>2012</v>
      </c>
      <c r="I14" s="1200" t="s">
        <v>154</v>
      </c>
      <c r="J14" s="1191" t="s">
        <v>1865</v>
      </c>
      <c r="N14" s="1191" t="s">
        <v>1866</v>
      </c>
      <c r="V14" s="1207">
        <v>13</v>
      </c>
      <c r="W14" s="1208"/>
      <c r="X14" s="1208" t="s">
        <v>1681</v>
      </c>
      <c r="Y14" s="1199" t="s">
        <v>1650</v>
      </c>
      <c r="AW14" s="1244" t="s">
        <v>149</v>
      </c>
      <c r="AX14" s="1244" t="s">
        <v>149</v>
      </c>
      <c r="AZ14" s="1191" t="s">
        <v>1867</v>
      </c>
      <c r="BB14" s="1244" t="s">
        <v>1868</v>
      </c>
      <c r="BC14" s="1244" t="s">
        <v>1860</v>
      </c>
      <c r="BE14" s="1244">
        <v>2010</v>
      </c>
      <c r="BF14" s="1244" t="s">
        <v>1869</v>
      </c>
      <c r="BH14" s="1192" t="s">
        <v>1787</v>
      </c>
      <c r="BJ14" s="1341" t="s">
        <v>1870</v>
      </c>
      <c r="BL14" s="1341" t="s">
        <v>1870</v>
      </c>
      <c r="BN14" s="1192" t="s">
        <v>1871</v>
      </c>
      <c r="BQ14" s="1405">
        <v>4213782</v>
      </c>
      <c r="BR14" s="1192" t="s">
        <v>304</v>
      </c>
      <c r="BS14" s="1553"/>
      <c r="BT14" s="1194"/>
      <c r="BU14" s="1194"/>
      <c r="BV14" s="1194"/>
      <c r="BW14" s="1817"/>
      <c r="BX14" s="1813"/>
    </row>
    <row customHeight="1" ht="19.5">
      <c r="A15" s="1198" t="s">
        <v>1872</v>
      </c>
      <c r="B15" s="1199">
        <v>2013</v>
      </c>
      <c r="E15" s="1821" t="s">
        <v>1873</v>
      </c>
      <c r="G15" s="1191" t="s">
        <v>1874</v>
      </c>
      <c r="H15" s="1191" t="s">
        <v>1875</v>
      </c>
      <c r="I15" s="1202" t="s">
        <v>159</v>
      </c>
      <c r="J15" s="1213" t="s">
        <v>720</v>
      </c>
      <c r="N15" s="1282" t="s">
        <v>1876</v>
      </c>
      <c r="X15" s="1211"/>
      <c r="AW15" s="1244" t="s">
        <v>154</v>
      </c>
      <c r="AX15" s="1244" t="s">
        <v>154</v>
      </c>
      <c r="AZ15" s="1244" t="s">
        <v>67</v>
      </c>
      <c r="BB15" s="1244" t="s">
        <v>1877</v>
      </c>
      <c r="BC15" s="1244" t="s">
        <v>1860</v>
      </c>
      <c r="BE15" s="1244">
        <v>2011</v>
      </c>
      <c r="BF15" s="1244" t="s">
        <v>1296</v>
      </c>
      <c r="BH15" s="1192" t="s">
        <v>1802</v>
      </c>
      <c r="BJ15" s="1341" t="s">
        <v>1878</v>
      </c>
      <c r="BL15" s="1341" t="s">
        <v>1878</v>
      </c>
      <c r="BN15" s="1192" t="s">
        <v>1879</v>
      </c>
      <c r="BR15" s="1194"/>
      <c r="BS15" s="1555"/>
      <c r="BT15" s="1194"/>
      <c r="BU15" s="1194"/>
      <c r="BV15" s="1194"/>
      <c r="BW15" s="1817"/>
      <c r="BX15" s="1813"/>
    </row>
    <row customHeight="1" ht="21">
      <c r="A16" s="1991" t="s">
        <v>1880</v>
      </c>
      <c r="B16" s="1199">
        <v>2014</v>
      </c>
      <c r="E16" s="1822" t="s">
        <v>1881</v>
      </c>
      <c r="G16" s="1200" t="s">
        <v>1882</v>
      </c>
      <c r="H16" s="1200" t="s">
        <v>1883</v>
      </c>
      <c r="I16" s="1202" t="s">
        <v>164</v>
      </c>
      <c r="J16" s="1213" t="s">
        <v>668</v>
      </c>
      <c r="N16" s="1282" t="s">
        <v>1884</v>
      </c>
      <c r="AW16" s="1244" t="s">
        <v>159</v>
      </c>
      <c r="AX16" s="1244" t="s">
        <v>159</v>
      </c>
      <c r="AZ16" s="1244" t="s">
        <v>1812</v>
      </c>
      <c r="BB16" s="1244" t="s">
        <v>1885</v>
      </c>
      <c r="BC16" s="1244" t="s">
        <v>1860</v>
      </c>
      <c r="BE16" s="1244">
        <v>2012</v>
      </c>
      <c r="BH16" s="1192" t="s">
        <v>1817</v>
      </c>
      <c r="BJ16" s="1341" t="s">
        <v>1886</v>
      </c>
      <c r="BL16" s="1341" t="s">
        <v>1886</v>
      </c>
      <c r="BN16" s="1192" t="s">
        <v>1887</v>
      </c>
      <c r="BR16" s="1194"/>
      <c r="BS16" s="1555"/>
      <c r="BT16" s="1194"/>
      <c r="BU16" s="1194"/>
      <c r="BV16" s="1194"/>
      <c r="BW16" s="1817"/>
      <c r="BX16" s="1813"/>
    </row>
    <row customHeight="1" ht="21">
      <c r="A17" s="1198" t="s">
        <v>1888</v>
      </c>
      <c r="B17" s="1199">
        <v>2015</v>
      </c>
      <c r="G17" s="1200" t="s">
        <v>1836</v>
      </c>
      <c r="H17" s="1200" t="s">
        <v>1836</v>
      </c>
      <c r="I17" s="1200" t="s">
        <v>169</v>
      </c>
      <c r="N17" s="1282" t="s">
        <v>1889</v>
      </c>
      <c r="X17" s="1211"/>
      <c r="AW17" s="1244" t="s">
        <v>164</v>
      </c>
      <c r="AX17" s="1244" t="s">
        <v>164</v>
      </c>
      <c r="AZ17" s="1244" t="s">
        <v>1890</v>
      </c>
      <c r="BB17" s="1244" t="s">
        <v>1891</v>
      </c>
      <c r="BC17" s="1244" t="s">
        <v>682</v>
      </c>
      <c r="BE17" s="1244">
        <v>2013</v>
      </c>
      <c r="BH17" s="1192" t="s">
        <v>1832</v>
      </c>
      <c r="BJ17" s="1341" t="s">
        <v>1892</v>
      </c>
      <c r="BL17" s="1341" t="s">
        <v>1892</v>
      </c>
      <c r="BN17" s="1192" t="s">
        <v>1893</v>
      </c>
      <c r="BR17" s="1191" t="s">
        <v>1692</v>
      </c>
      <c r="BS17" s="1552"/>
      <c r="BU17" s="1191" t="s">
        <v>1894</v>
      </c>
      <c r="BV17" s="1194"/>
      <c r="BW17" s="1813"/>
      <c r="BX17" s="1815" t="s">
        <v>1895</v>
      </c>
      <c r="CA17" s="1191" t="s">
        <v>1896</v>
      </c>
      <c r="CD17" s="1191" t="s">
        <v>1897</v>
      </c>
    </row>
    <row customHeight="1" ht="21">
      <c r="A18" s="1198" t="s">
        <v>1898</v>
      </c>
      <c r="B18" s="1199">
        <v>2016</v>
      </c>
      <c r="E18" s="2126" t="s">
        <v>1899</v>
      </c>
      <c r="I18" s="1200" t="s">
        <v>174</v>
      </c>
      <c r="N18" s="1282" t="s">
        <v>1900</v>
      </c>
      <c r="X18" s="1211"/>
      <c r="AW18" s="1244" t="s">
        <v>169</v>
      </c>
      <c r="AX18" s="1244" t="s">
        <v>169</v>
      </c>
      <c r="BB18" s="1244" t="s">
        <v>1901</v>
      </c>
      <c r="BC18" s="1244" t="s">
        <v>682</v>
      </c>
      <c r="BE18" s="1244">
        <v>2014</v>
      </c>
      <c r="BH18" s="1192" t="s">
        <v>1846</v>
      </c>
      <c r="BJ18" s="1341" t="s">
        <v>1902</v>
      </c>
      <c r="BL18" s="1341" t="s">
        <v>1902</v>
      </c>
      <c r="BN18" s="1192" t="s">
        <v>1308</v>
      </c>
      <c r="BQ18" s="1556" t="s">
        <v>1722</v>
      </c>
      <c r="BR18" s="1283" t="s">
        <v>1723</v>
      </c>
      <c r="BS18" s="398"/>
      <c r="BT18" s="1556" t="s">
        <v>1903</v>
      </c>
      <c r="BU18" s="1283" t="s">
        <v>1904</v>
      </c>
      <c r="BV18" s="1194"/>
      <c r="BW18" s="1820" t="s">
        <v>1905</v>
      </c>
      <c r="BX18" s="1814" t="s">
        <v>1906</v>
      </c>
      <c r="BZ18" s="1556" t="s">
        <v>1907</v>
      </c>
      <c r="CA18" s="1283" t="s">
        <v>1908</v>
      </c>
      <c r="CC18" s="1556" t="s">
        <v>1909</v>
      </c>
      <c r="CD18" s="1283" t="s">
        <v>1910</v>
      </c>
    </row>
    <row customHeight="1" ht="21">
      <c r="A19" s="1991" t="s">
        <v>1911</v>
      </c>
      <c r="B19" s="1199">
        <v>2017</v>
      </c>
      <c r="E19" s="1198" t="s">
        <v>279</v>
      </c>
      <c r="I19" s="1200" t="s">
        <v>179</v>
      </c>
      <c r="N19" s="1282" t="s">
        <v>1912</v>
      </c>
      <c r="X19" s="1211"/>
      <c r="AW19" s="1244" t="s">
        <v>174</v>
      </c>
      <c r="AX19" s="1244" t="s">
        <v>174</v>
      </c>
      <c r="AZ19" s="1191" t="s">
        <v>1913</v>
      </c>
      <c r="BB19" s="1244" t="s">
        <v>1914</v>
      </c>
      <c r="BC19" s="1244" t="s">
        <v>682</v>
      </c>
      <c r="BE19" s="1244">
        <v>2015</v>
      </c>
      <c r="BH19" s="1192" t="s">
        <v>1915</v>
      </c>
      <c r="BJ19" s="1341" t="s">
        <v>1916</v>
      </c>
      <c r="BL19" s="1341" t="s">
        <v>1916</v>
      </c>
      <c r="BQ19" s="1405">
        <v>4190064</v>
      </c>
      <c r="BR19" s="1192" t="s">
        <v>1917</v>
      </c>
      <c r="BS19" s="1553"/>
      <c r="BT19" s="1405">
        <v>4189671</v>
      </c>
      <c r="BU19" s="1192" t="s">
        <v>1918</v>
      </c>
      <c r="BV19" s="1194"/>
      <c r="BW19" s="1818">
        <v>4189706</v>
      </c>
      <c r="BX19" s="1816" t="s">
        <v>1919</v>
      </c>
      <c r="BZ19" s="1405">
        <v>4189714</v>
      </c>
      <c r="CA19" s="1192" t="s">
        <v>1920</v>
      </c>
      <c r="CC19" s="1405">
        <v>4189708</v>
      </c>
      <c r="CD19" s="1192" t="s">
        <v>1921</v>
      </c>
    </row>
    <row customHeight="1" ht="21">
      <c r="A20" s="1198" t="s">
        <v>1922</v>
      </c>
      <c r="B20" s="1199">
        <v>2018</v>
      </c>
      <c r="E20" s="1198" t="s">
        <v>1681</v>
      </c>
      <c r="I20" s="1200" t="s">
        <v>184</v>
      </c>
      <c r="N20" s="1282" t="s">
        <v>1923</v>
      </c>
      <c r="AW20" s="1244" t="s">
        <v>179</v>
      </c>
      <c r="AX20" s="1244" t="s">
        <v>179</v>
      </c>
      <c r="AZ20" s="1244" t="s">
        <v>1924</v>
      </c>
      <c r="BB20" s="1244" t="s">
        <v>1925</v>
      </c>
      <c r="BC20" s="1244" t="s">
        <v>1860</v>
      </c>
      <c r="BE20" s="1244">
        <v>2016</v>
      </c>
      <c r="BH20" s="1192" t="s">
        <v>1856</v>
      </c>
      <c r="BJ20" s="1192" t="s">
        <v>1787</v>
      </c>
      <c r="BL20" s="1192" t="s">
        <v>1787</v>
      </c>
      <c r="BQ20" s="1405">
        <v>4190065</v>
      </c>
      <c r="BR20" s="1192" t="s">
        <v>1926</v>
      </c>
      <c r="BS20" s="1553"/>
      <c r="BT20" s="1405">
        <v>4189672</v>
      </c>
      <c r="BU20" s="1192" t="s">
        <v>1927</v>
      </c>
      <c r="BV20" s="1194"/>
      <c r="BW20" s="1818">
        <v>4189705</v>
      </c>
      <c r="BX20" s="1816" t="s">
        <v>1928</v>
      </c>
      <c r="BZ20" s="1405">
        <v>4189713</v>
      </c>
      <c r="CA20" s="1192" t="s">
        <v>1928</v>
      </c>
      <c r="CC20" s="1405">
        <v>4189709</v>
      </c>
      <c r="CD20" s="1192" t="s">
        <v>1929</v>
      </c>
    </row>
    <row customHeight="1" ht="21">
      <c r="A21" s="1198" t="s">
        <v>1930</v>
      </c>
      <c r="B21" s="1199">
        <v>2019</v>
      </c>
      <c r="I21" s="1200" t="s">
        <v>189</v>
      </c>
      <c r="N21" s="1282" t="s">
        <v>1931</v>
      </c>
      <c r="AW21" s="1244" t="s">
        <v>184</v>
      </c>
      <c r="AX21" s="1244" t="s">
        <v>184</v>
      </c>
      <c r="AZ21" s="1244" t="s">
        <v>1932</v>
      </c>
      <c r="BB21" s="1244" t="s">
        <v>1933</v>
      </c>
      <c r="BC21" s="1244" t="s">
        <v>682</v>
      </c>
      <c r="BE21" s="1244">
        <v>2017</v>
      </c>
      <c r="BH21" s="1192" t="s">
        <v>1863</v>
      </c>
      <c r="BJ21" s="1192" t="s">
        <v>1802</v>
      </c>
      <c r="BL21" s="1192" t="s">
        <v>1802</v>
      </c>
      <c r="BQ21" s="1405">
        <v>4190066</v>
      </c>
      <c r="BR21" s="1192" t="s">
        <v>1934</v>
      </c>
      <c r="BS21" s="1553"/>
      <c r="BT21" s="1405">
        <v>4189673</v>
      </c>
      <c r="BU21" s="1192" t="s">
        <v>1935</v>
      </c>
      <c r="BV21" s="1194"/>
      <c r="BW21" s="1818">
        <v>4189707</v>
      </c>
      <c r="BX21" s="1816" t="s">
        <v>1936</v>
      </c>
      <c r="BZ21" s="1405">
        <v>4189712</v>
      </c>
      <c r="CA21" s="1192" t="s">
        <v>1937</v>
      </c>
      <c r="CC21" s="1405">
        <v>4189710</v>
      </c>
      <c r="CD21" s="1192" t="s">
        <v>1938</v>
      </c>
    </row>
    <row customHeight="1" ht="21">
      <c r="A22" s="1198" t="s">
        <v>1939</v>
      </c>
      <c r="B22" s="1199">
        <v>2020</v>
      </c>
      <c r="N22" s="1282" t="s">
        <v>1940</v>
      </c>
      <c r="AW22" s="1244" t="s">
        <v>189</v>
      </c>
      <c r="AX22" s="1244" t="s">
        <v>189</v>
      </c>
      <c r="AZ22" s="1244" t="s">
        <v>1941</v>
      </c>
      <c r="BB22" s="1244" t="s">
        <v>1942</v>
      </c>
      <c r="BC22" s="1244" t="s">
        <v>682</v>
      </c>
      <c r="BE22" s="1244">
        <v>2018</v>
      </c>
      <c r="BH22" s="1192" t="s">
        <v>1871</v>
      </c>
      <c r="BJ22" s="1192" t="s">
        <v>1817</v>
      </c>
      <c r="BL22" s="1192" t="s">
        <v>1817</v>
      </c>
      <c r="BQ22" s="1405">
        <v>4190067</v>
      </c>
      <c r="BR22" s="1192" t="s">
        <v>1943</v>
      </c>
      <c r="BS22" s="1553"/>
      <c r="BT22" s="1405">
        <v>4189674</v>
      </c>
      <c r="BU22" s="1192" t="s">
        <v>1944</v>
      </c>
      <c r="BV22" s="1194"/>
      <c r="BW22" s="1194"/>
      <c r="CC22" s="1405">
        <v>4189711</v>
      </c>
      <c r="CD22" s="1192" t="s">
        <v>405</v>
      </c>
    </row>
    <row customHeight="1" ht="21">
      <c r="A23" s="1198" t="s">
        <v>1945</v>
      </c>
      <c r="B23" s="1199">
        <v>2021</v>
      </c>
      <c r="AW23" s="1244" t="s">
        <v>195</v>
      </c>
      <c r="AX23" s="1244" t="s">
        <v>195</v>
      </c>
      <c r="AZ23" s="1244" t="s">
        <v>1946</v>
      </c>
      <c r="BB23" s="1244" t="s">
        <v>1947</v>
      </c>
      <c r="BC23" s="1244" t="s">
        <v>685</v>
      </c>
      <c r="BE23" s="1244">
        <v>2019</v>
      </c>
      <c r="BH23" s="1192" t="s">
        <v>1879</v>
      </c>
      <c r="BJ23" s="1192" t="s">
        <v>1832</v>
      </c>
      <c r="BL23" s="1192" t="s">
        <v>1832</v>
      </c>
      <c r="BQ23" s="1405">
        <v>4190068</v>
      </c>
      <c r="BR23" s="1192" t="s">
        <v>1948</v>
      </c>
      <c r="BS23" s="1553"/>
      <c r="BT23" s="1405">
        <v>4189675</v>
      </c>
      <c r="BU23" s="1192" t="s">
        <v>1949</v>
      </c>
      <c r="BV23" s="1194"/>
      <c r="BW23" s="1194"/>
      <c r="CC23" s="1405">
        <v>5110778</v>
      </c>
      <c r="CD23" s="1192" t="s">
        <v>1950</v>
      </c>
    </row>
    <row customHeight="1" ht="21">
      <c r="A24" s="1198" t="s">
        <v>1951</v>
      </c>
      <c r="B24" s="1199">
        <v>2022</v>
      </c>
      <c r="AW24" s="1244" t="s">
        <v>199</v>
      </c>
      <c r="AX24" s="1244" t="s">
        <v>199</v>
      </c>
      <c r="AZ24" s="1244" t="s">
        <v>1952</v>
      </c>
      <c r="BB24" s="1244" t="s">
        <v>1953</v>
      </c>
      <c r="BC24" s="1244" t="s">
        <v>1954</v>
      </c>
      <c r="BE24" s="1244">
        <v>2020</v>
      </c>
      <c r="BH24" s="1192" t="s">
        <v>1887</v>
      </c>
      <c r="BJ24" s="1192" t="s">
        <v>1846</v>
      </c>
      <c r="BL24" s="1192" t="s">
        <v>1846</v>
      </c>
      <c r="BQ24" s="1405">
        <v>4190069</v>
      </c>
      <c r="BR24" s="1192" t="s">
        <v>1955</v>
      </c>
      <c r="BS24" s="1553"/>
      <c r="BT24" s="1405">
        <v>4189676</v>
      </c>
      <c r="BU24" s="1192" t="s">
        <v>1956</v>
      </c>
      <c r="BV24" s="1194"/>
      <c r="BW24" s="1194"/>
      <c r="CC24" s="1405">
        <v>25575374</v>
      </c>
      <c r="CD24" s="1192" t="s">
        <v>1957</v>
      </c>
    </row>
    <row customHeight="1" ht="11.25">
      <c r="A25" s="1198" t="s">
        <v>1958</v>
      </c>
      <c r="B25" s="1199">
        <v>2023</v>
      </c>
      <c r="AW25" s="1244" t="s">
        <v>1959</v>
      </c>
      <c r="AX25" s="1244" t="s">
        <v>1959</v>
      </c>
      <c r="AZ25" s="1244" t="s">
        <v>1160</v>
      </c>
      <c r="BB25" s="1244" t="s">
        <v>1960</v>
      </c>
      <c r="BC25" s="1244" t="s">
        <v>1954</v>
      </c>
      <c r="BE25" s="1244">
        <v>2021</v>
      </c>
      <c r="BH25" s="1192" t="s">
        <v>1893</v>
      </c>
      <c r="BJ25" s="1192" t="s">
        <v>1915</v>
      </c>
      <c r="BL25" s="1192" t="s">
        <v>1915</v>
      </c>
      <c r="BQ25" s="1405">
        <v>4190070</v>
      </c>
      <c r="BR25" s="1192" t="s">
        <v>1961</v>
      </c>
      <c r="BS25" s="1553"/>
      <c r="BT25" s="1405">
        <v>4189677</v>
      </c>
      <c r="BU25" s="1192" t="s">
        <v>1962</v>
      </c>
      <c r="BV25" s="1194"/>
      <c r="BW25" s="1194"/>
    </row>
    <row customHeight="1" ht="11.25">
      <c r="A26" s="1198" t="s">
        <v>1963</v>
      </c>
      <c r="B26" s="1199">
        <v>2024</v>
      </c>
      <c r="J26" s="1854" t="s">
        <v>1964</v>
      </c>
      <c r="AX26" s="1244" t="s">
        <v>1965</v>
      </c>
      <c r="AZ26" s="1244" t="s">
        <v>1839</v>
      </c>
      <c r="BB26" s="1244" t="s">
        <v>1966</v>
      </c>
      <c r="BC26" s="1244" t="s">
        <v>1954</v>
      </c>
      <c r="BE26" s="1244">
        <v>2022</v>
      </c>
      <c r="BH26" s="1192" t="s">
        <v>1308</v>
      </c>
      <c r="BJ26" s="1192" t="s">
        <v>1856</v>
      </c>
      <c r="BL26" s="1192" t="s">
        <v>1856</v>
      </c>
      <c r="BQ26" s="1405">
        <v>4190071</v>
      </c>
      <c r="BR26" s="1192" t="s">
        <v>1967</v>
      </c>
      <c r="BS26" s="1553"/>
      <c r="BV26" s="1194"/>
      <c r="BW26" s="1194"/>
    </row>
    <row customHeight="1" ht="11.25">
      <c r="A27" s="1198" t="s">
        <v>1968</v>
      </c>
      <c r="B27" s="1199">
        <v>2025</v>
      </c>
      <c r="J27" s="300" t="s">
        <v>103</v>
      </c>
      <c r="AX27" s="1244" t="s">
        <v>1969</v>
      </c>
      <c r="BB27" s="1244" t="s">
        <v>1970</v>
      </c>
      <c r="BC27" s="1244" t="s">
        <v>1954</v>
      </c>
      <c r="BE27" s="1244">
        <v>2023</v>
      </c>
      <c r="BH27" s="1194" t="s">
        <v>22</v>
      </c>
      <c r="BJ27" s="1192" t="s">
        <v>1863</v>
      </c>
      <c r="BL27" s="1192" t="s">
        <v>1863</v>
      </c>
      <c r="BN27" s="1194" t="s">
        <v>22</v>
      </c>
      <c r="BQ27" s="1405">
        <v>4190072</v>
      </c>
      <c r="BR27" s="1192" t="s">
        <v>1971</v>
      </c>
      <c r="BS27" s="1553"/>
      <c r="BV27" s="1194"/>
      <c r="BW27" s="1194"/>
    </row>
    <row customHeight="1" ht="11.25">
      <c r="A28" s="1198" t="s">
        <v>1972</v>
      </c>
      <c r="D28" s="1225"/>
      <c r="E28" s="1226"/>
      <c r="F28" s="1226"/>
      <c r="H28" s="1227" t="s">
        <v>1973</v>
      </c>
      <c r="AX28" s="1244" t="s">
        <v>1364</v>
      </c>
      <c r="AZ28" s="1191" t="s">
        <v>1974</v>
      </c>
      <c r="BB28" s="1244" t="s">
        <v>1975</v>
      </c>
      <c r="BC28" s="1244" t="s">
        <v>1976</v>
      </c>
      <c r="BE28" s="1244">
        <v>2024</v>
      </c>
      <c r="BH28" s="1194" t="s">
        <v>22</v>
      </c>
      <c r="BJ28" s="1192" t="s">
        <v>1871</v>
      </c>
      <c r="BL28" s="1192" t="s">
        <v>1871</v>
      </c>
      <c r="BN28" s="1194" t="s">
        <v>22</v>
      </c>
      <c r="BQ28" s="1405">
        <v>4190073</v>
      </c>
      <c r="BR28" s="1192" t="s">
        <v>1977</v>
      </c>
      <c r="BS28" s="1553"/>
      <c r="BV28" s="1194"/>
      <c r="BW28" s="1194"/>
    </row>
    <row customHeight="1" ht="11.25">
      <c r="A29" s="1198" t="s">
        <v>1978</v>
      </c>
      <c r="D29" s="1228" t="s">
        <v>1979</v>
      </c>
      <c r="E29" s="1229" t="str">
        <f>IF(TEMPLATE_GROUP="","",INDEX(StartDateList,MATCH(TEMPLATE_GROUP,CodeTemplateList,0),1))</f>
        <v>01.01.2024</v>
      </c>
      <c r="F29" s="1229" t="str">
        <f>IF(TEMPLATE_GROUP="","",INDEX(EndDateList,MATCH(TEMPLATE_GROUP,CodeTemplateList,0),1))</f>
        <v>31.12.2024</v>
      </c>
      <c r="H29" s="1230" t="s">
        <v>1980</v>
      </c>
      <c r="AX29" s="1244" t="s">
        <v>1981</v>
      </c>
      <c r="AZ29" s="1244" t="s">
        <v>1645</v>
      </c>
      <c r="BB29" s="1244" t="s">
        <v>1839</v>
      </c>
      <c r="BC29" s="1215"/>
      <c r="BE29" s="1244">
        <v>2025</v>
      </c>
      <c r="BJ29" s="1192" t="s">
        <v>1879</v>
      </c>
      <c r="BL29" s="1192" t="s">
        <v>1879</v>
      </c>
    </row>
    <row customHeight="1" ht="11.25">
      <c r="A30" s="1198" t="s">
        <v>1982</v>
      </c>
      <c r="D30" s="1231"/>
      <c r="E30" s="1232"/>
      <c r="F30" s="1232"/>
      <c r="AX30" s="1244" t="s">
        <v>1983</v>
      </c>
      <c r="AZ30" s="1244" t="s">
        <v>1670</v>
      </c>
      <c r="BE30" s="1244">
        <v>2026</v>
      </c>
      <c r="BJ30" s="1192" t="s">
        <v>1984</v>
      </c>
      <c r="BL30" s="1192" t="s">
        <v>1984</v>
      </c>
    </row>
    <row customHeight="1" ht="12.75">
      <c r="A31" s="1198" t="s">
        <v>1985</v>
      </c>
      <c r="D31" s="1225"/>
      <c r="E31" s="1226"/>
      <c r="F31" s="1226"/>
      <c r="H31" s="1233"/>
      <c r="AX31" s="1244" t="s">
        <v>1986</v>
      </c>
      <c r="AZ31" s="1244" t="s">
        <v>1987</v>
      </c>
      <c r="BE31" s="1244">
        <v>2027</v>
      </c>
      <c r="BJ31" s="1192" t="s">
        <v>1988</v>
      </c>
      <c r="BL31" s="1192" t="s">
        <v>1988</v>
      </c>
    </row>
    <row customHeight="1" ht="11.25">
      <c r="A32" s="1198" t="s">
        <v>1989</v>
      </c>
      <c r="D32" s="1228" t="s">
        <v>1990</v>
      </c>
      <c r="E32" s="1229" t="str">
        <f>IF(TEMPLATE_GROUP="","",INDEX(StartDateList,MATCH(TEMPLATE_GROUP,CodeTemplateList,0),1))</f>
        <v>01.01.2024</v>
      </c>
      <c r="F32" s="1229" t="str">
        <f>IF(TEMPLATE_GROUP="","",INDEX(EndDateList,MATCH(TEMPLATE_GROUP,CodeTemplateList,0),1))</f>
        <v>31.12.2024</v>
      </c>
      <c r="H32" s="1234" t="s">
        <v>1991</v>
      </c>
      <c r="O32" s="1198" t="s">
        <v>1643</v>
      </c>
      <c r="AX32" s="1244" t="s">
        <v>1992</v>
      </c>
      <c r="AZ32" s="1244" t="s">
        <v>1738</v>
      </c>
      <c r="BE32" s="1244">
        <v>2028</v>
      </c>
      <c r="BJ32" s="1192" t="s">
        <v>1887</v>
      </c>
      <c r="BL32" s="1192" t="s">
        <v>1887</v>
      </c>
    </row>
    <row customHeight="1" ht="11.25">
      <c r="A33" s="1198" t="s">
        <v>1993</v>
      </c>
      <c r="O33" s="1198" t="s">
        <v>1667</v>
      </c>
      <c r="AX33" s="1244" t="s">
        <v>1994</v>
      </c>
      <c r="AZ33" s="1244" t="s">
        <v>1644</v>
      </c>
      <c r="BE33" s="1244">
        <v>2029</v>
      </c>
      <c r="BJ33" s="1192" t="s">
        <v>1893</v>
      </c>
      <c r="BL33" s="1192" t="s">
        <v>1893</v>
      </c>
    </row>
    <row customHeight="1" ht="11.25">
      <c r="A34" s="1198" t="s">
        <v>1995</v>
      </c>
      <c r="O34" s="1198" t="s">
        <v>1703</v>
      </c>
      <c r="AX34" s="1244" t="s">
        <v>1996</v>
      </c>
      <c r="BE34" s="1244">
        <v>2030</v>
      </c>
      <c r="BJ34" s="1192" t="s">
        <v>1308</v>
      </c>
      <c r="BL34" s="1192" t="s">
        <v>1308</v>
      </c>
    </row>
    <row customHeight="1" ht="11.25">
      <c r="A35" s="1198" t="s">
        <v>1997</v>
      </c>
      <c r="O35" s="1198" t="s">
        <v>1736</v>
      </c>
      <c r="AX35" s="1244" t="s">
        <v>1998</v>
      </c>
      <c r="AZ35" s="1191" t="s">
        <v>1999</v>
      </c>
      <c r="BE35" s="1244">
        <v>2031</v>
      </c>
      <c r="BL35" s="1192" t="s">
        <v>2000</v>
      </c>
    </row>
    <row customHeight="1" ht="11.25">
      <c r="A36" s="1991" t="s">
        <v>2001</v>
      </c>
      <c r="D36" s="1235" t="s">
        <v>2002</v>
      </c>
      <c r="E36" s="1236" t="s">
        <v>982</v>
      </c>
      <c r="F36" s="1237" t="str">
        <f>INDEX(E37:E41,MATCH(TEMPLATE_SPHERE,F37:F41,0))</f>
        <v>теплоснабжения</v>
      </c>
      <c r="G36" s="1237" t="str">
        <f>INDEX(G37:G41,MATCH(TEMPLATE_SPHERE,F37:F41,0))</f>
        <v>теплоснабжение</v>
      </c>
      <c r="O36" s="1198" t="s">
        <v>1759</v>
      </c>
      <c r="AX36" s="1244" t="s">
        <v>2003</v>
      </c>
      <c r="AZ36" s="1244" t="s">
        <v>1644</v>
      </c>
      <c r="BE36" s="1244">
        <v>2032</v>
      </c>
      <c r="BL36" s="1192" t="s">
        <v>2004</v>
      </c>
    </row>
    <row customHeight="1" ht="11.25">
      <c r="A37" s="1198" t="s">
        <v>2005</v>
      </c>
      <c r="E37" s="531" t="s">
        <v>2006</v>
      </c>
      <c r="F37" s="1238" t="s">
        <v>982</v>
      </c>
      <c r="G37" s="531" t="s">
        <v>2007</v>
      </c>
      <c r="O37" s="1198" t="s">
        <v>1778</v>
      </c>
      <c r="AX37" s="1244" t="s">
        <v>105</v>
      </c>
      <c r="AZ37" s="1244" t="s">
        <v>1669</v>
      </c>
      <c r="BE37" s="1244">
        <v>2033</v>
      </c>
    </row>
    <row customHeight="1" ht="11.25">
      <c r="A38" s="1198" t="s">
        <v>2008</v>
      </c>
      <c r="E38" s="531" t="s">
        <v>2009</v>
      </c>
      <c r="F38" s="1239" t="s">
        <v>1029</v>
      </c>
      <c r="G38" s="531" t="s">
        <v>2010</v>
      </c>
      <c r="O38" s="1198" t="s">
        <v>1794</v>
      </c>
      <c r="AX38" s="1244" t="s">
        <v>2011</v>
      </c>
      <c r="AZ38" s="1244" t="s">
        <v>1704</v>
      </c>
      <c r="BE38" s="1244">
        <v>2034</v>
      </c>
      <c r="BH38" s="1191" t="s">
        <v>2012</v>
      </c>
      <c r="BJ38" s="1191" t="s">
        <v>2013</v>
      </c>
      <c r="BL38" s="1191" t="s">
        <v>2014</v>
      </c>
      <c r="BN38" s="1191" t="s">
        <v>2015</v>
      </c>
    </row>
    <row customHeight="1" ht="11.25">
      <c r="A39" s="1198" t="s">
        <v>2016</v>
      </c>
      <c r="E39" s="531" t="s">
        <v>2017</v>
      </c>
      <c r="F39" s="1239" t="s">
        <v>1082</v>
      </c>
      <c r="G39" s="531" t="s">
        <v>2018</v>
      </c>
      <c r="O39" s="1198" t="s">
        <v>1809</v>
      </c>
      <c r="AX39" s="1244" t="s">
        <v>2019</v>
      </c>
      <c r="AZ39" s="1244" t="s">
        <v>1737</v>
      </c>
      <c r="BE39" s="1244">
        <v>2035</v>
      </c>
      <c r="BH39" s="1192" t="s">
        <v>2020</v>
      </c>
      <c r="BJ39" s="1341" t="s">
        <v>2020</v>
      </c>
      <c r="BL39" s="1341" t="s">
        <v>2020</v>
      </c>
      <c r="BN39" s="1192" t="s">
        <v>2021</v>
      </c>
    </row>
    <row customHeight="1" ht="11.25">
      <c r="A40" s="1198" t="s">
        <v>2022</v>
      </c>
      <c r="E40" s="531" t="s">
        <v>2023</v>
      </c>
      <c r="F40" s="1239" t="s">
        <v>1069</v>
      </c>
      <c r="G40" s="531" t="s">
        <v>2024</v>
      </c>
      <c r="O40" s="1198" t="s">
        <v>1824</v>
      </c>
      <c r="AX40" s="1244" t="s">
        <v>2025</v>
      </c>
      <c r="BE40" s="1244">
        <v>2036</v>
      </c>
      <c r="BH40" s="1192" t="s">
        <v>2026</v>
      </c>
      <c r="BJ40" s="1341" t="s">
        <v>1452</v>
      </c>
      <c r="BL40" s="1341" t="s">
        <v>1452</v>
      </c>
      <c r="BN40" s="1192" t="s">
        <v>1486</v>
      </c>
    </row>
    <row customHeight="1" ht="11.25">
      <c r="A41" s="1198" t="s">
        <v>2027</v>
      </c>
      <c r="E41" s="531" t="s">
        <v>2028</v>
      </c>
      <c r="F41" s="1239" t="s">
        <v>2029</v>
      </c>
      <c r="G41" s="531" t="s">
        <v>2028</v>
      </c>
      <c r="O41" s="1198" t="s">
        <v>1839</v>
      </c>
      <c r="AX41" s="1244" t="s">
        <v>2030</v>
      </c>
      <c r="AZ41" s="1191" t="s">
        <v>2031</v>
      </c>
      <c r="BE41" s="1244">
        <v>2037</v>
      </c>
      <c r="BH41" s="1192" t="s">
        <v>2032</v>
      </c>
      <c r="BJ41" s="1341" t="s">
        <v>1448</v>
      </c>
      <c r="BL41" s="1341" t="s">
        <v>1448</v>
      </c>
      <c r="BN41" s="1192" t="s">
        <v>1473</v>
      </c>
    </row>
    <row customHeight="1" ht="11.25">
      <c r="A42" s="1198" t="s">
        <v>2033</v>
      </c>
      <c r="AX42" s="1244" t="s">
        <v>2034</v>
      </c>
      <c r="AZ42" s="1244" t="s">
        <v>1643</v>
      </c>
      <c r="BE42" s="1244">
        <v>2038</v>
      </c>
      <c r="BH42" s="1192" t="s">
        <v>1470</v>
      </c>
      <c r="BJ42" s="1341" t="s">
        <v>1450</v>
      </c>
      <c r="BL42" s="1341" t="s">
        <v>1450</v>
      </c>
      <c r="BN42" s="1192" t="s">
        <v>2035</v>
      </c>
    </row>
    <row customHeight="1" ht="11.25">
      <c r="A43" s="1198" t="s">
        <v>2036</v>
      </c>
      <c r="AX43" s="1244" t="s">
        <v>2037</v>
      </c>
      <c r="AZ43" s="1244" t="s">
        <v>1667</v>
      </c>
      <c r="BE43" s="1244">
        <v>2039</v>
      </c>
      <c r="BH43" s="1192" t="s">
        <v>2038</v>
      </c>
      <c r="BJ43" s="1341" t="s">
        <v>2032</v>
      </c>
      <c r="BL43" s="1341" t="s">
        <v>2032</v>
      </c>
      <c r="BN43" s="1192" t="s">
        <v>2039</v>
      </c>
    </row>
    <row customHeight="1" ht="11.25">
      <c r="A44" s="1198" t="s">
        <v>2040</v>
      </c>
      <c r="G44" s="1218">
        <f>YEAR(TODAY())</f>
        <v>2025</v>
      </c>
      <c r="I44" s="923" t="s">
        <v>2041</v>
      </c>
      <c r="J44" s="1213" t="s">
        <v>2042</v>
      </c>
      <c r="K44" s="1213" t="s">
        <v>2043</v>
      </c>
      <c r="AX44" s="1244" t="s">
        <v>2044</v>
      </c>
      <c r="AZ44" s="1244" t="s">
        <v>1703</v>
      </c>
      <c r="BE44" s="1244">
        <v>2040</v>
      </c>
      <c r="BH44" s="1192" t="s">
        <v>2045</v>
      </c>
      <c r="BJ44" s="1341" t="s">
        <v>1470</v>
      </c>
      <c r="BL44" s="1341" t="s">
        <v>1470</v>
      </c>
      <c r="BN44" s="1192" t="s">
        <v>2046</v>
      </c>
    </row>
    <row customHeight="1" ht="11.25">
      <c r="A45" s="1198" t="s">
        <v>2047</v>
      </c>
      <c r="D45" s="1235" t="s">
        <v>2048</v>
      </c>
      <c r="E45" s="1236" t="s">
        <v>2049</v>
      </c>
      <c r="F45" s="921" t="s">
        <v>2050</v>
      </c>
      <c r="G45" s="920" t="s">
        <v>2051</v>
      </c>
      <c r="H45" s="923" t="s">
        <v>2052</v>
      </c>
      <c r="I45" s="1864">
        <f>INDEX(PeriodIsEmptyList,MATCH(TEMPLATE_GROUP,CodeTemplateList,0),1)</f>
        <v>0</v>
      </c>
      <c r="J45" s="18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8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244" t="s">
        <v>2053</v>
      </c>
      <c r="AZ45" s="1244" t="s">
        <v>1736</v>
      </c>
      <c r="BE45" s="1244">
        <v>2041</v>
      </c>
      <c r="BH45" s="1192" t="s">
        <v>2054</v>
      </c>
      <c r="BJ45" s="1341" t="s">
        <v>1464</v>
      </c>
      <c r="BL45" s="1341" t="s">
        <v>1464</v>
      </c>
      <c r="BN45" s="1192" t="s">
        <v>2055</v>
      </c>
    </row>
    <row customHeight="1" ht="11.25">
      <c r="A46" s="1198" t="s">
        <v>2056</v>
      </c>
      <c r="E46" s="531" t="s">
        <v>27</v>
      </c>
      <c r="F46" s="1238" t="s">
        <v>2057</v>
      </c>
      <c r="G46" s="1240" t="str">
        <f>_xlfn.IFERROR(IF(TITLE_DATE_FIL="","01.01."&amp;CURRENT_YEAR,"01.01."&amp;YEAR(TITLE_DATE_FIL)),"01.01."&amp;CURRENT_YEAR)</f>
        <v>01.01.2025</v>
      </c>
      <c r="H46" s="1240" t="str">
        <f>_xlfn.IFERROR(IF(TITLE_DATE_FIL="","31.12."&amp;CURRENT_YEAR,"31.12."&amp;YEAR(TITLE_DATE_FIL)),"31.12."&amp;CURRENT_YEAR)</f>
        <v>31.12.2025</v>
      </c>
      <c r="I46" s="1865">
        <f>IF(TITLE_DATE_FIL="",TRUE,FALSE)</f>
        <v>1</v>
      </c>
      <c r="J46" s="1868" t="str">
        <f>"Общая информация о регулируемой организации ("&amp;TEMPLATE_SPHERE_RUS&amp;")"</f>
        <v>Общая информация о регулируемой организации (теплоснабжения)</v>
      </c>
      <c r="K46" s="1869"/>
      <c r="AX46" s="1244" t="s">
        <v>2058</v>
      </c>
      <c r="AZ46" s="1244" t="s">
        <v>1759</v>
      </c>
      <c r="BE46" s="1244">
        <v>2042</v>
      </c>
      <c r="BH46" s="1192" t="s">
        <v>1473</v>
      </c>
      <c r="BJ46" s="1341" t="s">
        <v>1454</v>
      </c>
      <c r="BL46" s="1341" t="s">
        <v>1454</v>
      </c>
      <c r="BN46" s="1192" t="s">
        <v>2059</v>
      </c>
    </row>
    <row customHeight="1" ht="11.25">
      <c r="A47" s="1198" t="s">
        <v>2060</v>
      </c>
      <c r="E47" s="531" t="s">
        <v>33</v>
      </c>
      <c r="F47" s="1239" t="s">
        <v>2061</v>
      </c>
      <c r="G47" s="1240" t="str">
        <f>_xlfn.IFERROR(IF(f_year="","01.01."&amp;CURRENT_YEAR,IF(LEN(f_quart)=0,"01.01."&amp;f_year,IF(f_quart="I квартал","01.01."&amp;f_year,IF(f_quart="II квартал","01.04."&amp;f_year,(IF(f_quart="III квартал","01.07."&amp;f_year,"01.10."&amp;f_year)))))),"01.01."&amp;CURRENT_YEAR)</f>
        <v>01.01.2024</v>
      </c>
      <c r="H47" s="1240" t="str">
        <f>_xlfn.IFERROR(IF(f_year="","31.12."&amp;CURRENT_YEAR,IF(LEN(f_quart)=0,"31.12."&amp;f_year,IF(f_quart="I квартал","31.03."&amp;f_year,IF(f_quart="II квартал","30.06."&amp;f_year,(IF(f_quart="III квартал","30.09."&amp;f_year,"31.12."&amp;f_year)))))),"31.12."&amp;CURRENT_YEAR)</f>
        <v>31.12.2024</v>
      </c>
      <c r="I47" s="1866">
        <f>IF(OR(f_year="",f_quart=""),TRUE,FALSE)</f>
        <v>1</v>
      </c>
      <c r="J47" s="18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869"/>
      <c r="AX47" s="1244" t="s">
        <v>2062</v>
      </c>
      <c r="AZ47" s="1244" t="s">
        <v>1778</v>
      </c>
      <c r="BE47" s="1244">
        <v>2043</v>
      </c>
      <c r="BH47" s="1192" t="s">
        <v>2035</v>
      </c>
      <c r="BJ47" s="1341" t="s">
        <v>1456</v>
      </c>
      <c r="BL47" s="1341" t="s">
        <v>1456</v>
      </c>
      <c r="BN47" s="1192" t="s">
        <v>2063</v>
      </c>
    </row>
    <row customHeight="1" ht="11.25">
      <c r="A48" s="1198" t="s">
        <v>2064</v>
      </c>
      <c r="E48" s="531" t="s">
        <v>2065</v>
      </c>
      <c r="F48" s="1239" t="s">
        <v>2049</v>
      </c>
      <c r="G48" s="1240" t="str">
        <f>_xlfn.IFERROR(IF(f_year="","01.01."&amp;CURRENT_YEAR,"01.01."&amp;f_year),"01.01."&amp;CURRENT_YEAR)</f>
        <v>01.01.2024</v>
      </c>
      <c r="H48" s="1240" t="str">
        <f>_xlfn.IFERROR(IF(f_year="","31.12."&amp;CURRENT_YEAR,"31.12."&amp;f_year),"31.12."&amp;CURRENT_YEAR)</f>
        <v>31.12.2024</v>
      </c>
      <c r="I48" s="1865">
        <f>IF(f_year="",TRUE,FALSE)</f>
        <v>0</v>
      </c>
      <c r="J48" s="1868" t="s">
        <v>2066</v>
      </c>
      <c r="K48" s="1869"/>
      <c r="AX48" s="1244" t="s">
        <v>2067</v>
      </c>
      <c r="AZ48" s="1244" t="s">
        <v>1794</v>
      </c>
      <c r="BE48" s="1244">
        <v>2044</v>
      </c>
      <c r="BH48" s="1192" t="s">
        <v>2039</v>
      </c>
      <c r="BJ48" s="1341" t="s">
        <v>1458</v>
      </c>
      <c r="BL48" s="1341" t="s">
        <v>1458</v>
      </c>
      <c r="BN48" s="1192" t="s">
        <v>2068</v>
      </c>
    </row>
    <row customHeight="1" ht="11.25">
      <c r="A49" s="1198" t="s">
        <v>2069</v>
      </c>
      <c r="E49" s="531" t="s">
        <v>2070</v>
      </c>
      <c r="F49" s="1239" t="s">
        <v>2071</v>
      </c>
      <c r="G49" s="1240" t="str">
        <f>_xlfn.IFERROR(IF(f_year="","01.01."&amp;CURRENT_YEAR,"01.01."&amp;f_year),"01.01."&amp;CURRENT_YEAR)</f>
        <v>01.01.2024</v>
      </c>
      <c r="H49" s="1240" t="str">
        <f>_xlfn.IFERROR(IF(f_year="","31.12."&amp;CURRENT_YEAR,"31.12."&amp;f_year),"31.12."&amp;CURRENT_YEAR)</f>
        <v>31.12.2024</v>
      </c>
      <c r="I49" s="1865">
        <f>IF(f_year="",TRUE,FALSE)</f>
        <v>0</v>
      </c>
      <c r="J49" s="18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869"/>
      <c r="AX49" s="1244" t="s">
        <v>2072</v>
      </c>
      <c r="AZ49" s="1244" t="s">
        <v>1809</v>
      </c>
      <c r="BE49" s="1244">
        <v>2045</v>
      </c>
      <c r="BH49" s="1192" t="s">
        <v>1474</v>
      </c>
      <c r="BJ49" s="1341" t="s">
        <v>1460</v>
      </c>
      <c r="BL49" s="1341" t="s">
        <v>1460</v>
      </c>
    </row>
    <row customHeight="1" ht="11.25">
      <c r="A50" s="1198" t="s">
        <v>2073</v>
      </c>
      <c r="E50" s="531" t="s">
        <v>2074</v>
      </c>
      <c r="F50" s="1239" t="s">
        <v>1444</v>
      </c>
      <c r="G50" s="1240" t="str">
        <f>_xlfn.IFERROR(IF(f_year="","01.01."&amp;CURRENT_YEAR,"01.01."&amp;f_year),"01.01."&amp;CURRENT_YEAR)</f>
        <v>01.01.2024</v>
      </c>
      <c r="H50" s="1240" t="str">
        <f>_xlfn.IFERROR(IF(f_year="","31.12."&amp;CURRENT_YEAR,"31.12."&amp;f_year),"31.12."&amp;CURRENT_YEAR)</f>
        <v>31.12.2024</v>
      </c>
      <c r="I50" s="1865">
        <f>IF(f_year="",TRUE,FALSE)</f>
        <v>0</v>
      </c>
      <c r="J50" s="18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869"/>
      <c r="AX50" s="1244" t="s">
        <v>2075</v>
      </c>
      <c r="AZ50" s="1244" t="s">
        <v>1824</v>
      </c>
      <c r="BE50" s="1244">
        <v>2046</v>
      </c>
      <c r="BH50" s="1192" t="s">
        <v>2046</v>
      </c>
      <c r="BJ50" s="1341" t="s">
        <v>1462</v>
      </c>
      <c r="BL50" s="1341" t="s">
        <v>1462</v>
      </c>
    </row>
    <row customHeight="1" ht="11.25">
      <c r="A51" s="1198" t="s">
        <v>2076</v>
      </c>
      <c r="E51" s="531" t="s">
        <v>2077</v>
      </c>
      <c r="F51" s="1239" t="s">
        <v>2078</v>
      </c>
      <c r="G51" s="1240" t="str">
        <f>_xlfn.IFERROR(IF(TITLE_PERIOD_START="","01.01."&amp;CURRENT_YEAR,"01.01."&amp;YEAR(TITLE_PERIOD_START)),"01.01."&amp;CURRENT_YEAR)</f>
        <v>01.01.2025</v>
      </c>
      <c r="H51" s="1240" t="str">
        <f>_xlfn.IFERROR(IF(TITLE_PERIOD_END="","31.12."&amp;CURRENT_YEAR,"31.12."&amp;YEAR(TITLE_PERIOD_END)),"31.12."&amp;CURRENT_YEAR)</f>
        <v>31.12.2025</v>
      </c>
      <c r="I51" s="1866">
        <f>IF(OR(TITLE_PERIOD_START="",TITLE_PERIOD_END=""),TRUE,FALSE)</f>
        <v>1</v>
      </c>
      <c r="J51" s="18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69"/>
      <c r="AX51" s="1244" t="s">
        <v>2079</v>
      </c>
      <c r="AZ51" s="1244" t="s">
        <v>1839</v>
      </c>
      <c r="BE51" s="1244">
        <v>2047</v>
      </c>
      <c r="BH51" s="1192" t="s">
        <v>2055</v>
      </c>
      <c r="BJ51" s="1341" t="s">
        <v>2080</v>
      </c>
      <c r="BL51" s="1341" t="s">
        <v>2080</v>
      </c>
    </row>
    <row customHeight="1" ht="11.25">
      <c r="A52" s="1198" t="s">
        <v>2081</v>
      </c>
      <c r="E52" s="531" t="s">
        <v>2082</v>
      </c>
      <c r="F52" s="1239" t="s">
        <v>2083</v>
      </c>
      <c r="G52" s="1240" t="str">
        <f>_xlfn.IFERROR(IF(TITLE_PERIOD_START="","01.01."&amp;CURRENT_YEAR,"01.01."&amp;YEAR(TITLE_PERIOD_START)),"01.01."&amp;CURRENT_YEAR)</f>
        <v>01.01.2025</v>
      </c>
      <c r="H52" s="1240" t="str">
        <f>_xlfn.IFERROR(IF(TITLE_PERIOD_END="","31.12."&amp;CURRENT_YEAR,"31.12."&amp;YEAR(TITLE_PERIOD_END)),"31.12."&amp;CURRENT_YEAR)</f>
        <v>31.12.2025</v>
      </c>
      <c r="I52" s="1866">
        <f>IF(OR(TITLE_PERIOD_START="",TITLE_PERIOD_END=""),TRUE,FALSE)</f>
        <v>1</v>
      </c>
      <c r="J52" s="1868" t="str">
        <f>"Показатели, подлежащие раскрытию в сфере "&amp;TEMPLATE_SPHERE_RUS&amp;" (цены и тарифы)"</f>
        <v>Показатели, подлежащие раскрытию в сфере теплоснабжения (цены и тарифы)</v>
      </c>
      <c r="K52" s="1869"/>
      <c r="AX52" s="1244" t="s">
        <v>2084</v>
      </c>
      <c r="AZ52" s="1244" t="s">
        <v>1644</v>
      </c>
      <c r="BE52" s="1244">
        <v>2048</v>
      </c>
      <c r="BH52" s="1192" t="s">
        <v>2059</v>
      </c>
      <c r="BJ52" s="1341" t="s">
        <v>1473</v>
      </c>
      <c r="BL52" s="1341" t="s">
        <v>1473</v>
      </c>
    </row>
    <row customHeight="1" ht="11.25">
      <c r="A53" s="1198" t="s">
        <v>2085</v>
      </c>
      <c r="E53" s="531" t="s">
        <v>2086</v>
      </c>
      <c r="F53" s="1239" t="s">
        <v>2086</v>
      </c>
      <c r="G53" s="1240" t="str">
        <f>_xlfn.IFERROR(IF(f_year="","01.01."&amp;CURRENT_YEAR,"01.01."&amp;f_year),"01.01."&amp;CURRENT_YEAR)</f>
        <v>01.01.2024</v>
      </c>
      <c r="H53" s="1240" t="str">
        <f>_xlfn.IFERROR(IF(f_year="","31.12."&amp;CURRENT_YEAR,"31.12."&amp;f_year),"31.12."&amp;CURRENT_YEAR)</f>
        <v>31.12.2024</v>
      </c>
      <c r="I53" s="1865">
        <f>IF(AND(f_year="",TITLE_DATE_FIL=""),TRUE,FALSE)</f>
        <v>0</v>
      </c>
      <c r="J53" s="1868" t="s">
        <v>2087</v>
      </c>
      <c r="K53" s="1869"/>
      <c r="AX53" s="1244" t="s">
        <v>2088</v>
      </c>
      <c r="BE53" s="1244">
        <v>2049</v>
      </c>
      <c r="BH53" s="1192" t="s">
        <v>2063</v>
      </c>
      <c r="BJ53" s="1341" t="s">
        <v>2035</v>
      </c>
      <c r="BL53" s="1341" t="s">
        <v>2035</v>
      </c>
    </row>
    <row customHeight="1" ht="11.25">
      <c r="A54" s="1198" t="s">
        <v>2089</v>
      </c>
      <c r="AX54" s="1244" t="s">
        <v>2090</v>
      </c>
      <c r="AZ54" s="1191" t="s">
        <v>2091</v>
      </c>
      <c r="BE54" s="1244">
        <v>2050</v>
      </c>
      <c r="BH54" s="1192" t="s">
        <v>2068</v>
      </c>
      <c r="BJ54" s="1341" t="s">
        <v>2039</v>
      </c>
      <c r="BL54" s="1341" t="s">
        <v>2039</v>
      </c>
    </row>
    <row customHeight="1" ht="11.25">
      <c r="A55" s="1198" t="s">
        <v>2092</v>
      </c>
      <c r="AX55" s="1244" t="s">
        <v>2093</v>
      </c>
      <c r="AZ55" s="1244" t="s">
        <v>1646</v>
      </c>
      <c r="BE55" s="1244">
        <v>2051</v>
      </c>
      <c r="BH55" s="1194" t="s">
        <v>22</v>
      </c>
      <c r="BJ55" s="1341" t="s">
        <v>1474</v>
      </c>
      <c r="BL55" s="1341" t="s">
        <v>1474</v>
      </c>
    </row>
    <row customHeight="1" ht="11.25">
      <c r="A56" s="1198" t="s">
        <v>2094</v>
      </c>
      <c r="D56" s="1242" t="s">
        <v>2095</v>
      </c>
      <c r="E56" s="1219" t="s">
        <v>2096</v>
      </c>
      <c r="F56" s="1198" t="s">
        <v>2097</v>
      </c>
      <c r="AX56" s="1244" t="s">
        <v>2098</v>
      </c>
      <c r="AZ56" s="1244" t="s">
        <v>1671</v>
      </c>
      <c r="BE56" s="1244">
        <v>2052</v>
      </c>
      <c r="BH56" s="1194" t="s">
        <v>22</v>
      </c>
      <c r="BJ56" s="1341" t="s">
        <v>2046</v>
      </c>
      <c r="BL56" s="1341" t="s">
        <v>2046</v>
      </c>
    </row>
    <row customHeight="1" ht="11.25">
      <c r="A57" s="1198" t="s">
        <v>2099</v>
      </c>
      <c r="D57" s="1242" t="s">
        <v>2100</v>
      </c>
      <c r="E57" s="1219" t="s">
        <v>2101</v>
      </c>
      <c r="F57" s="1198" t="s">
        <v>2097</v>
      </c>
      <c r="AX57" s="1244" t="s">
        <v>2102</v>
      </c>
      <c r="AZ57" s="1244" t="s">
        <v>1706</v>
      </c>
      <c r="BE57" s="1244">
        <v>2053</v>
      </c>
      <c r="BJ57" s="1341" t="s">
        <v>2055</v>
      </c>
      <c r="BL57" s="1341" t="s">
        <v>2055</v>
      </c>
    </row>
    <row customHeight="1" ht="11.25">
      <c r="A58" s="1198" t="s">
        <v>2103</v>
      </c>
      <c r="D58" s="1242" t="s">
        <v>2104</v>
      </c>
      <c r="E58" s="1219" t="s">
        <v>2105</v>
      </c>
      <c r="F58" s="1198" t="s">
        <v>2097</v>
      </c>
      <c r="AX58" s="1244" t="s">
        <v>2106</v>
      </c>
      <c r="BE58" s="1244">
        <v>2054</v>
      </c>
      <c r="BJ58" s="1341" t="s">
        <v>2059</v>
      </c>
      <c r="BL58" s="1341" t="s">
        <v>2059</v>
      </c>
    </row>
    <row customHeight="1" ht="11.25">
      <c r="A59" s="1198" t="s">
        <v>2107</v>
      </c>
      <c r="D59" s="1242" t="s">
        <v>251</v>
      </c>
      <c r="E59" s="1219" t="s">
        <v>1992</v>
      </c>
      <c r="F59" s="1198" t="s">
        <v>2108</v>
      </c>
      <c r="AX59" s="1244" t="s">
        <v>2109</v>
      </c>
      <c r="AZ59" s="1191" t="s">
        <v>2110</v>
      </c>
      <c r="BE59" s="1244">
        <v>2055</v>
      </c>
      <c r="BJ59" s="1341" t="s">
        <v>2063</v>
      </c>
      <c r="BL59" s="1341" t="s">
        <v>2063</v>
      </c>
    </row>
    <row customHeight="1" ht="11.25">
      <c r="A60" s="1198" t="s">
        <v>2111</v>
      </c>
      <c r="D60" s="1242" t="s">
        <v>2112</v>
      </c>
      <c r="E60" s="1219" t="s">
        <v>1992</v>
      </c>
      <c r="F60" s="1198" t="s">
        <v>2108</v>
      </c>
      <c r="AX60" s="1244" t="s">
        <v>2113</v>
      </c>
      <c r="AZ60" s="1244" t="s">
        <v>1647</v>
      </c>
      <c r="BE60" s="1244">
        <v>2056</v>
      </c>
      <c r="BJ60" s="1341" t="s">
        <v>2068</v>
      </c>
      <c r="BL60" s="1341" t="s">
        <v>2068</v>
      </c>
    </row>
    <row customHeight="1" ht="11.25">
      <c r="A61" s="1198" t="s">
        <v>2114</v>
      </c>
      <c r="D61" s="1242" t="s">
        <v>2115</v>
      </c>
      <c r="E61" s="1219" t="s">
        <v>1992</v>
      </c>
      <c r="F61" s="1198" t="s">
        <v>2108</v>
      </c>
      <c r="AX61" s="1244" t="s">
        <v>109</v>
      </c>
      <c r="AZ61" s="1244" t="s">
        <v>1672</v>
      </c>
      <c r="BE61" s="1244">
        <v>2057</v>
      </c>
      <c r="BL61" s="1341" t="s">
        <v>1466</v>
      </c>
    </row>
    <row customHeight="1" ht="11.25">
      <c r="A62" s="1198" t="s">
        <v>2116</v>
      </c>
      <c r="D62" s="1242" t="s">
        <v>250</v>
      </c>
      <c r="E62" s="1219">
        <v>30</v>
      </c>
      <c r="F62" s="1198" t="s">
        <v>2108</v>
      </c>
      <c r="AZ62" s="1244" t="s">
        <v>1707</v>
      </c>
      <c r="BE62" s="1244">
        <v>2058</v>
      </c>
      <c r="BL62" s="1341" t="s">
        <v>1468</v>
      </c>
    </row>
    <row customHeight="1" ht="11.25">
      <c r="A63" s="1198" t="s">
        <v>2117</v>
      </c>
      <c r="D63" s="1242" t="s">
        <v>2118</v>
      </c>
      <c r="E63" s="1219">
        <v>30</v>
      </c>
      <c r="F63" s="1198" t="s">
        <v>2108</v>
      </c>
      <c r="AZ63" s="1244" t="s">
        <v>1739</v>
      </c>
      <c r="BE63" s="1244">
        <v>2059</v>
      </c>
    </row>
    <row customHeight="1" ht="11.25">
      <c r="A64" s="1198" t="s">
        <v>2119</v>
      </c>
      <c r="D64" s="1242" t="s">
        <v>2120</v>
      </c>
      <c r="E64" s="1219">
        <v>30</v>
      </c>
      <c r="F64" s="1198" t="s">
        <v>2108</v>
      </c>
      <c r="AZ64" s="1244" t="s">
        <v>1760</v>
      </c>
      <c r="BE64" s="1244">
        <v>2060</v>
      </c>
    </row>
    <row customHeight="1" ht="11.25">
      <c r="A65" s="1198" t="s">
        <v>2121</v>
      </c>
      <c r="D65" s="1198"/>
      <c r="BE65" s="1244">
        <v>2061</v>
      </c>
    </row>
    <row customHeight="1" ht="11.25">
      <c r="A66" s="1198" t="s">
        <v>2122</v>
      </c>
      <c r="AZ66" s="1191" t="s">
        <v>2123</v>
      </c>
      <c r="BE66" s="1244">
        <v>2062</v>
      </c>
    </row>
    <row customHeight="1" ht="11.25">
      <c r="A67" s="1198" t="s">
        <v>2124</v>
      </c>
      <c r="AZ67" s="1244" t="s">
        <v>1648</v>
      </c>
      <c r="BE67" s="1244">
        <v>2063</v>
      </c>
    </row>
    <row customHeight="1" ht="11.25">
      <c r="A68" s="1198" t="s">
        <v>2125</v>
      </c>
      <c r="AZ68" s="1244" t="s">
        <v>1673</v>
      </c>
      <c r="BE68" s="1244">
        <v>2064</v>
      </c>
      <c r="BH68" s="1191" t="s">
        <v>2126</v>
      </c>
      <c r="BJ68" s="1191" t="s">
        <v>2127</v>
      </c>
      <c r="BL68" s="1191" t="s">
        <v>2128</v>
      </c>
      <c r="BN68" s="1191" t="s">
        <v>2129</v>
      </c>
    </row>
    <row customHeight="1" ht="11.25">
      <c r="A69" s="1198" t="s">
        <v>2130</v>
      </c>
      <c r="AZ69" s="1244" t="s">
        <v>1708</v>
      </c>
      <c r="BE69" s="1244">
        <v>2065</v>
      </c>
      <c r="BH69" s="1192" t="s">
        <v>2131</v>
      </c>
      <c r="BI69" s="1241" t="s">
        <v>210</v>
      </c>
      <c r="BJ69" s="1192" t="s">
        <v>2132</v>
      </c>
      <c r="BK69" s="1241" t="s">
        <v>210</v>
      </c>
      <c r="BL69" s="1192" t="s">
        <v>2133</v>
      </c>
      <c r="BM69" s="1194" t="s">
        <v>210</v>
      </c>
      <c r="BN69" s="1192" t="s">
        <v>2134</v>
      </c>
    </row>
    <row customHeight="1" ht="11.25">
      <c r="A70" s="1198" t="s">
        <v>16</v>
      </c>
      <c r="AZ70" s="1244" t="s">
        <v>1740</v>
      </c>
      <c r="BE70" s="1244">
        <v>2066</v>
      </c>
      <c r="BH70" s="1192" t="s">
        <v>2135</v>
      </c>
      <c r="BJ70" s="1192" t="s">
        <v>2136</v>
      </c>
      <c r="BL70" s="1192" t="s">
        <v>2137</v>
      </c>
      <c r="BN70" s="1192" t="s">
        <v>2138</v>
      </c>
    </row>
    <row customHeight="1" ht="11.25">
      <c r="A71" s="1198" t="s">
        <v>2139</v>
      </c>
      <c r="AZ71" s="1244" t="s">
        <v>1742</v>
      </c>
      <c r="BE71" s="1244">
        <v>2067</v>
      </c>
      <c r="BH71" s="1192" t="s">
        <v>2140</v>
      </c>
      <c r="BI71" s="1241" t="s">
        <v>90</v>
      </c>
      <c r="BJ71" s="1192" t="s">
        <v>2141</v>
      </c>
      <c r="BK71" s="1241" t="s">
        <v>90</v>
      </c>
      <c r="BL71" s="1192" t="s">
        <v>2142</v>
      </c>
      <c r="BM71" s="1194" t="s">
        <v>90</v>
      </c>
      <c r="BN71" s="1192" t="s">
        <v>2143</v>
      </c>
    </row>
    <row customHeight="1" ht="11.25">
      <c r="A72" s="1198" t="s">
        <v>2144</v>
      </c>
      <c r="AZ72" s="1244" t="s">
        <v>19</v>
      </c>
      <c r="BE72" s="1244">
        <v>2068</v>
      </c>
      <c r="BH72" s="1192" t="s">
        <v>2145</v>
      </c>
      <c r="BJ72" s="1192" t="s">
        <v>2145</v>
      </c>
      <c r="BL72" s="1192" t="s">
        <v>2145</v>
      </c>
      <c r="BN72" s="1192" t="s">
        <v>2146</v>
      </c>
    </row>
    <row customHeight="1" ht="11.25">
      <c r="A73" s="1198" t="s">
        <v>2147</v>
      </c>
      <c r="BE73" s="1244">
        <v>2069</v>
      </c>
      <c r="BH73" s="1192" t="s">
        <v>2148</v>
      </c>
      <c r="BI73" s="1241" t="s">
        <v>116</v>
      </c>
      <c r="BJ73" s="1192" t="s">
        <v>2149</v>
      </c>
      <c r="BK73" s="1241" t="s">
        <v>116</v>
      </c>
      <c r="BL73" s="1192" t="s">
        <v>2150</v>
      </c>
      <c r="BM73" s="1194" t="s">
        <v>116</v>
      </c>
      <c r="BN73" s="1192" t="s">
        <v>2151</v>
      </c>
    </row>
    <row customHeight="1" ht="11.25">
      <c r="A74" s="1198" t="s">
        <v>2152</v>
      </c>
      <c r="BE74" s="1244">
        <v>2070</v>
      </c>
      <c r="BH74" s="1192" t="s">
        <v>2153</v>
      </c>
      <c r="BJ74" s="1192" t="s">
        <v>2154</v>
      </c>
      <c r="BL74" s="1192" t="s">
        <v>2155</v>
      </c>
      <c r="BN74" s="1192" t="s">
        <v>2156</v>
      </c>
    </row>
    <row customHeight="1" ht="11.25">
      <c r="A75" s="1198" t="s">
        <v>2157</v>
      </c>
      <c r="AZ75" s="1191" t="s">
        <v>2158</v>
      </c>
      <c r="BH75" s="1192" t="s">
        <v>2159</v>
      </c>
      <c r="BJ75" s="1192" t="s">
        <v>2159</v>
      </c>
      <c r="BL75" s="1192" t="s">
        <v>2159</v>
      </c>
    </row>
    <row customHeight="1" ht="11.25">
      <c r="A76" s="1198" t="s">
        <v>2160</v>
      </c>
      <c r="AZ76" s="1244" t="s">
        <v>1657</v>
      </c>
      <c r="BH76" s="1192" t="s">
        <v>2161</v>
      </c>
      <c r="BJ76" s="1192" t="s">
        <v>2162</v>
      </c>
      <c r="BL76" s="1192" t="s">
        <v>2163</v>
      </c>
    </row>
    <row customHeight="1" ht="11.25">
      <c r="A77" s="1198" t="s">
        <v>2164</v>
      </c>
      <c r="AZ77" s="1244" t="s">
        <v>1683</v>
      </c>
    </row>
    <row customHeight="1" ht="11.25">
      <c r="A78" s="1198" t="s">
        <v>2165</v>
      </c>
      <c r="AZ78" s="1244" t="s">
        <v>1715</v>
      </c>
    </row>
    <row customHeight="1" ht="11.25">
      <c r="A79" s="1198" t="s">
        <v>2166</v>
      </c>
      <c r="AZ79" s="1244" t="s">
        <v>1746</v>
      </c>
      <c r="BH79" s="1191" t="s">
        <v>2167</v>
      </c>
      <c r="BJ79" s="1191" t="s">
        <v>2168</v>
      </c>
      <c r="BL79" s="1191" t="s">
        <v>2169</v>
      </c>
    </row>
    <row customHeight="1" ht="11.25">
      <c r="A80" s="1198" t="s">
        <v>2170</v>
      </c>
      <c r="AZ80" s="1244" t="s">
        <v>1765</v>
      </c>
      <c r="BH80" s="1192" t="s">
        <v>2171</v>
      </c>
      <c r="BJ80" s="1192" t="s">
        <v>2172</v>
      </c>
      <c r="BL80" s="1192" t="s">
        <v>2173</v>
      </c>
    </row>
    <row customHeight="1" ht="11.25">
      <c r="A81" s="1198" t="s">
        <v>2174</v>
      </c>
      <c r="AZ81" s="1244" t="s">
        <v>1782</v>
      </c>
      <c r="BH81" s="1192" t="s">
        <v>2175</v>
      </c>
      <c r="BJ81" s="1192" t="s">
        <v>2176</v>
      </c>
      <c r="BL81" s="1192" t="s">
        <v>2177</v>
      </c>
    </row>
    <row customHeight="1" ht="11.25">
      <c r="A82" s="1198" t="s">
        <v>2178</v>
      </c>
      <c r="AZ82" s="1244" t="s">
        <v>1796</v>
      </c>
      <c r="BH82" s="1192" t="s">
        <v>2179</v>
      </c>
      <c r="BJ82" s="1192" t="s">
        <v>2180</v>
      </c>
      <c r="BL82" s="1192" t="s">
        <v>2181</v>
      </c>
    </row>
    <row customHeight="1" ht="11.25">
      <c r="A83" s="1198" t="s">
        <v>2182</v>
      </c>
      <c r="BH83" s="1192" t="s">
        <v>2183</v>
      </c>
      <c r="BJ83" s="1192" t="s">
        <v>2184</v>
      </c>
      <c r="BL83" s="1192" t="s">
        <v>2185</v>
      </c>
    </row>
    <row customHeight="1" ht="11.25">
      <c r="A84" s="1198" t="s">
        <v>2186</v>
      </c>
      <c r="AZ84" s="1191" t="s">
        <v>2187</v>
      </c>
    </row>
    <row customHeight="1" ht="11.25">
      <c r="A85" s="1991" t="s">
        <v>2188</v>
      </c>
      <c r="AZ85" s="1244" t="s">
        <v>2189</v>
      </c>
    </row>
    <row customHeight="1" ht="11.25">
      <c r="A86" s="1198" t="s">
        <v>2190</v>
      </c>
      <c r="AZ86" s="1244" t="s">
        <v>2191</v>
      </c>
      <c r="BH86" s="1191" t="s">
        <v>2192</v>
      </c>
      <c r="BJ86" s="1191" t="s">
        <v>2193</v>
      </c>
      <c r="BL86" s="1191" t="s">
        <v>2194</v>
      </c>
    </row>
    <row customHeight="1" ht="11.25">
      <c r="A87" s="1198" t="s">
        <v>2195</v>
      </c>
      <c r="AZ87" s="1244" t="s">
        <v>2196</v>
      </c>
      <c r="BH87" s="1192" t="s">
        <v>2197</v>
      </c>
      <c r="BJ87" s="1192" t="s">
        <v>2198</v>
      </c>
      <c r="BL87" s="1192" t="s">
        <v>2199</v>
      </c>
    </row>
    <row customHeight="1" ht="11.25">
      <c r="A88" s="1198" t="s">
        <v>2200</v>
      </c>
      <c r="AZ88" s="1730"/>
      <c r="BH88" s="1192" t="s">
        <v>2201</v>
      </c>
      <c r="BJ88" s="1192" t="s">
        <v>2202</v>
      </c>
      <c r="BL88" s="1192" t="s">
        <v>2203</v>
      </c>
    </row>
    <row customHeight="1" ht="11.25">
      <c r="A89" s="1198" t="s">
        <v>2204</v>
      </c>
      <c r="AZ89" s="1191" t="s">
        <v>2205</v>
      </c>
    </row>
    <row customHeight="1" ht="11.25">
      <c r="A90" s="1198" t="s">
        <v>2206</v>
      </c>
      <c r="AZ90" s="1244" t="s">
        <v>1444</v>
      </c>
    </row>
    <row customHeight="1" ht="11.25">
      <c r="A91" s="1198" t="s">
        <v>2207</v>
      </c>
      <c r="AZ91" s="1244" t="s">
        <v>1480</v>
      </c>
      <c r="BH91" s="1191" t="s">
        <v>2208</v>
      </c>
      <c r="BJ91" s="1191" t="s">
        <v>2209</v>
      </c>
      <c r="BL91" s="1191" t="s">
        <v>2210</v>
      </c>
    </row>
    <row customHeight="1" ht="11.25">
      <c r="AZ92" s="1244" t="s">
        <v>2211</v>
      </c>
      <c r="BH92" s="1192" t="s">
        <v>2212</v>
      </c>
      <c r="BJ92" s="1192" t="s">
        <v>2213</v>
      </c>
      <c r="BL92" s="1192" t="s">
        <v>2214</v>
      </c>
    </row>
    <row customHeight="1" ht="11.25">
      <c r="AZ93" s="1244" t="s">
        <v>2215</v>
      </c>
      <c r="BH93" s="1192" t="s">
        <v>2216</v>
      </c>
      <c r="BJ93" s="1192" t="s">
        <v>2217</v>
      </c>
      <c r="BL93" s="1192" t="s">
        <v>2218</v>
      </c>
    </row>
    <row customHeight="1" ht="11.25">
      <c r="AZ94" s="1244" t="s">
        <v>2219</v>
      </c>
    </row>
    <row r="96" customHeight="1" ht="11.25">
      <c r="AZ96" s="1191" t="s">
        <v>2220</v>
      </c>
      <c r="BH96" s="1191" t="s">
        <v>2221</v>
      </c>
      <c r="BJ96" s="1191" t="s">
        <v>2222</v>
      </c>
      <c r="BL96" s="1191" t="s">
        <v>2223</v>
      </c>
      <c r="BN96" s="1191" t="s">
        <v>2224</v>
      </c>
    </row>
    <row customHeight="1" ht="11.25">
      <c r="AZ97" s="2022" t="s">
        <v>2225</v>
      </c>
      <c r="BA97" s="2023" t="s">
        <v>2226</v>
      </c>
      <c r="BH97" s="1192" t="s">
        <v>2227</v>
      </c>
      <c r="BJ97" s="1192" t="s">
        <v>2228</v>
      </c>
      <c r="BL97" s="1192" t="s">
        <v>2229</v>
      </c>
      <c r="BN97" s="1192" t="s">
        <v>2230</v>
      </c>
    </row>
    <row customHeight="1" ht="11.25">
      <c r="AZ98" s="2022" t="s">
        <v>2231</v>
      </c>
      <c r="BA98" s="2023" t="s">
        <v>2232</v>
      </c>
      <c r="BH98" s="1192" t="s">
        <v>2233</v>
      </c>
      <c r="BJ98" s="1192" t="s">
        <v>2234</v>
      </c>
      <c r="BL98" s="1192" t="s">
        <v>2235</v>
      </c>
      <c r="BN98" s="1192" t="s">
        <v>2236</v>
      </c>
    </row>
    <row customHeight="1" ht="22.5">
      <c r="AZ99" s="2022" t="s">
        <v>2237</v>
      </c>
      <c r="BA99" s="20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192" t="s">
        <v>2238</v>
      </c>
      <c r="BJ99" s="1192" t="s">
        <v>2239</v>
      </c>
      <c r="BL99" s="1192" t="s">
        <v>2240</v>
      </c>
      <c r="BN99" s="1192" t="s">
        <v>2241</v>
      </c>
    </row>
    <row customHeight="1" ht="22.5">
      <c r="AZ100" s="2022" t="s">
        <v>2242</v>
      </c>
      <c r="BA100" s="20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192" t="s">
        <v>1839</v>
      </c>
      <c r="BL100" s="1192" t="s">
        <v>1839</v>
      </c>
      <c r="BN100" s="1192" t="s">
        <v>2243</v>
      </c>
    </row>
    <row customHeight="1" ht="22.5">
      <c r="AZ101" s="2022" t="s">
        <v>2244</v>
      </c>
      <c r="BA101" s="2023" t="s">
        <v>2245</v>
      </c>
      <c r="BN101" s="1192" t="s">
        <v>2246</v>
      </c>
    </row>
    <row customHeight="1" ht="22.5">
      <c r="AZ102" s="2022" t="s">
        <v>2247</v>
      </c>
      <c r="BA102" s="20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192" t="s">
        <v>2248</v>
      </c>
    </row>
    <row customHeight="1" ht="11.25">
      <c r="AZ103" s="2022" t="s">
        <v>2249</v>
      </c>
      <c r="BA103" s="2023" t="s">
        <v>2250</v>
      </c>
      <c r="BN103" s="1192" t="s">
        <v>2251</v>
      </c>
    </row>
    <row customHeight="1" ht="11.25">
      <c r="BN104" s="1192" t="s">
        <v>2252</v>
      </c>
    </row>
    <row customHeight="1" ht="11.25">
      <c r="AZ105" s="1815" t="s">
        <v>2253</v>
      </c>
    </row>
    <row customHeight="1" ht="11.25">
      <c r="AZ106" s="1244" t="s">
        <v>2254</v>
      </c>
    </row>
    <row customHeight="1" ht="11.25">
      <c r="AZ107" s="1244" t="s">
        <v>2255</v>
      </c>
      <c r="BH107" s="1191" t="s">
        <v>2256</v>
      </c>
      <c r="BJ107" s="1191" t="s">
        <v>2257</v>
      </c>
      <c r="BL107" s="1191" t="s">
        <v>2258</v>
      </c>
      <c r="BN107" s="1191" t="s">
        <v>2259</v>
      </c>
    </row>
    <row customHeight="1" ht="11.25">
      <c r="AZ108" s="1244" t="s">
        <v>689</v>
      </c>
      <c r="BH108" s="1192" t="s">
        <v>2260</v>
      </c>
      <c r="BJ108" s="1192" t="s">
        <v>2261</v>
      </c>
      <c r="BL108" s="1192" t="s">
        <v>1920</v>
      </c>
      <c r="BN108" s="1192" t="s">
        <v>2262</v>
      </c>
    </row>
    <row customHeight="1" ht="11.25">
      <c r="BH109" s="1192" t="s">
        <v>2263</v>
      </c>
    </row>
    <row customHeight="1" ht="11.25">
      <c r="AZ110" s="1815" t="s">
        <v>2264</v>
      </c>
      <c r="BH110" s="1192" t="s">
        <v>2263</v>
      </c>
    </row>
    <row customHeight="1" ht="11.25">
      <c r="AZ111" s="2022" t="s">
        <v>2225</v>
      </c>
      <c r="BA111" s="2023" t="s">
        <v>2226</v>
      </c>
    </row>
    <row customHeight="1" ht="11.25">
      <c r="AZ112" s="2022" t="s">
        <v>2231</v>
      </c>
      <c r="BA112" s="2023" t="s">
        <v>2232</v>
      </c>
    </row>
    <row customHeight="1" ht="22.5">
      <c r="AZ113" s="2022" t="s">
        <v>2237</v>
      </c>
      <c r="BA113" s="202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22" t="s">
        <v>2242</v>
      </c>
      <c r="BA114" s="20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191" t="s">
        <v>2265</v>
      </c>
    </row>
    <row customHeight="1" ht="22.5">
      <c r="AZ115" s="2022" t="s">
        <v>2247</v>
      </c>
      <c r="BA115" s="20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192" t="s">
        <v>1644</v>
      </c>
    </row>
    <row customHeight="1" ht="11.25">
      <c r="AZ116" s="2022" t="s">
        <v>2249</v>
      </c>
      <c r="BA116" s="2023" t="s">
        <v>2250</v>
      </c>
      <c r="BH116" s="1192" t="s">
        <v>1669</v>
      </c>
    </row>
    <row customHeight="1" ht="11.25">
      <c r="BH117" s="1192" t="s">
        <v>1704</v>
      </c>
    </row>
    <row customHeight="1" ht="11.25">
      <c r="BH118" s="1192" t="s">
        <v>1737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23E8C8-A798-4151-D4B8-005848912F24}"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920" width="15.00390625" hidden="1" customWidth="1"/>
    <col min="3" max="3" style="5964" width="3.00390625" customWidth="1"/>
    <col min="4" max="4" style="5965" width="6.00390625" customWidth="1"/>
    <col min="5" max="5" style="5964" width="52.00390625" customWidth="1"/>
    <col min="6" max="6" style="5964" width="48.00390625" customWidth="1"/>
    <col min="7" max="7" style="5964" width="93.00390625" customWidth="1"/>
    <col min="8" max="8" style="5964" width="8.00390625" customWidth="1"/>
    <col min="9" max="9" style="5964" width="64.00390625" customWidth="1"/>
    <col min="10" max="10" style="5964" width="9.140625" hidden="1"/>
  </cols>
  <sheetData>
    <row customHeight="1" ht="11.25" hidden="1">
      <c r="A1" s="625" t="s">
        <v>411</v>
      </c>
      <c r="J1" s="579" t="s">
        <v>14</v>
      </c>
    </row>
    <row customHeight="1" ht="22.5" hidden="1">
      <c r="A2" s="626"/>
      <c r="B2" s="626"/>
      <c r="C2" s="1853" t="s">
        <v>103</v>
      </c>
      <c r="D2" s="1644"/>
      <c r="E2" s="1650"/>
      <c r="F2" s="1673"/>
      <c r="H2" s="599"/>
      <c r="J2" s="579">
        <v>0</v>
      </c>
    </row>
    <row customHeight="1" ht="11.25" hidden="1">
      <c r="J3" s="579">
        <v>0</v>
      </c>
    </row>
    <row customHeight="1" ht="11.549999999999999">
      <c r="A4" s="1674"/>
      <c r="B4" s="1674"/>
      <c r="J4" s="579">
        <v>11</v>
      </c>
    </row>
    <row customHeight="1" ht="27.299999999999997">
      <c r="D5" s="237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76"/>
      <c r="F5" s="2377"/>
      <c r="I5" s="839"/>
      <c r="J5" s="579">
        <v>26</v>
      </c>
    </row>
    <row customHeight="1" ht="18">
      <c r="D6" s="2313" t="str">
        <f>IF(region_name=0,"Не определено",region_name)</f>
        <v>Самарская область</v>
      </c>
      <c r="E6" s="2313"/>
      <c r="F6" s="2313"/>
      <c r="I6" s="839"/>
      <c r="J6" s="579">
        <v>17</v>
      </c>
    </row>
    <row s="5882" customFormat="1" customHeight="1" ht="11.549999999999999">
      <c r="A7" s="625"/>
      <c r="B7" s="625"/>
      <c r="D7" s="838"/>
      <c r="E7" s="838"/>
      <c r="F7" s="876"/>
      <c r="G7" s="838"/>
      <c r="J7" s="601">
        <v>11</v>
      </c>
    </row>
    <row customHeight="1" ht="11.25" hidden="1">
      <c r="A8" s="626"/>
      <c r="B8" s="626"/>
      <c r="C8" s="581"/>
      <c r="D8" s="587"/>
      <c r="E8" s="2344"/>
      <c r="F8" s="2344"/>
      <c r="J8" s="579">
        <v>0</v>
      </c>
    </row>
    <row customHeight="1" ht="11.549999999999999">
      <c r="A9" s="626"/>
      <c r="B9" s="626"/>
      <c r="C9" s="581"/>
      <c r="D9" s="2341" t="s">
        <v>412</v>
      </c>
      <c r="E9" s="2342"/>
      <c r="F9" s="2342"/>
      <c r="G9" s="2345" t="s">
        <v>413</v>
      </c>
      <c r="J9" s="579">
        <v>11</v>
      </c>
    </row>
    <row customHeight="1" ht="11.549999999999999">
      <c r="A10" s="626"/>
      <c r="B10" s="626"/>
      <c r="C10" s="581"/>
      <c r="D10" s="1598" t="s">
        <v>88</v>
      </c>
      <c r="E10" s="1600" t="s">
        <v>414</v>
      </c>
      <c r="F10" s="1600" t="s">
        <v>415</v>
      </c>
      <c r="G10" s="2346"/>
      <c r="J10" s="579">
        <v>11</v>
      </c>
    </row>
    <row customHeight="1" ht="1.05">
      <c r="A11" s="626"/>
      <c r="B11" s="626"/>
      <c r="C11" s="581"/>
      <c r="D11" s="588"/>
      <c r="E11" s="588"/>
      <c r="F11" s="588"/>
      <c r="G11" s="588"/>
      <c r="J11" s="579">
        <v>1</v>
      </c>
    </row>
    <row customHeight="1" ht="24">
      <c r="A12" s="626"/>
      <c r="B12" s="626"/>
      <c r="C12" s="581"/>
      <c r="D12" s="1644">
        <v>1</v>
      </c>
      <c r="E12" s="59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029" t="str">
        <f>IF(org="","",org)</f>
        <v>ООО "СамРЭК-Эксплуатация"</v>
      </c>
      <c r="G12" s="59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657"/>
      <c r="J12" s="579">
        <v>23</v>
      </c>
    </row>
    <row customHeight="1" ht="19.95">
      <c r="A13" s="626"/>
      <c r="B13" s="626"/>
      <c r="C13" s="581"/>
      <c r="D13" s="1644">
        <v>2</v>
      </c>
      <c r="E13" s="1651" t="s">
        <v>2266</v>
      </c>
      <c r="F13" s="1645" t="s">
        <v>418</v>
      </c>
      <c r="G13" s="598"/>
      <c r="H13" s="1657"/>
      <c r="J13" s="579">
        <v>19</v>
      </c>
    </row>
    <row customHeight="1" ht="19.95">
      <c r="A14" s="626"/>
      <c r="B14" s="626"/>
      <c r="C14" s="581"/>
      <c r="D14" s="1647" t="s">
        <v>865</v>
      </c>
      <c r="E14" s="1648" t="s">
        <v>2267</v>
      </c>
      <c r="F14" s="1650"/>
      <c r="G14" s="1649" t="s">
        <v>2268</v>
      </c>
      <c r="H14" s="1657"/>
      <c r="J14" s="579">
        <v>19</v>
      </c>
    </row>
    <row customHeight="1" ht="19.95">
      <c r="A15" s="626"/>
      <c r="B15" s="626"/>
      <c r="C15" s="581"/>
      <c r="D15" s="1647" t="s">
        <v>419</v>
      </c>
      <c r="E15" s="1648" t="s">
        <v>2269</v>
      </c>
      <c r="F15" s="1650"/>
      <c r="G15" s="1649" t="s">
        <v>2270</v>
      </c>
      <c r="H15" s="1657"/>
      <c r="J15" s="579">
        <v>19</v>
      </c>
    </row>
    <row customHeight="1" ht="24">
      <c r="A16" s="626"/>
      <c r="B16" s="626"/>
      <c r="C16" s="581"/>
      <c r="D16" s="1647" t="s">
        <v>422</v>
      </c>
      <c r="E16" s="1646" t="s">
        <v>2271</v>
      </c>
      <c r="F16" s="1655"/>
      <c r="G16" s="598" t="s">
        <v>2272</v>
      </c>
      <c r="H16" s="1657"/>
      <c r="J16" s="579">
        <v>23</v>
      </c>
    </row>
    <row customHeight="1" ht="48.29999999999999">
      <c r="A17" s="626"/>
      <c r="B17" s="626"/>
      <c r="C17" s="581"/>
      <c r="D17" s="1644">
        <v>3</v>
      </c>
      <c r="E17" s="1651" t="s">
        <v>2273</v>
      </c>
      <c r="F17" s="1650"/>
      <c r="G17" s="598" t="s">
        <v>2274</v>
      </c>
      <c r="H17" s="1657"/>
      <c r="J17" s="579">
        <v>46</v>
      </c>
    </row>
    <row customHeight="1" ht="48.29999999999999">
      <c r="A18" s="1599">
        <v>1</v>
      </c>
      <c r="B18" s="626"/>
      <c r="C18" s="1601"/>
      <c r="D18" s="1644" t="s">
        <v>91</v>
      </c>
      <c r="E18" s="1651" t="s">
        <v>2275</v>
      </c>
      <c r="F18" s="1650"/>
      <c r="G18" s="598" t="s">
        <v>2274</v>
      </c>
      <c r="H18" s="1657"/>
      <c r="I18" s="976"/>
      <c r="J18" s="579">
        <v>46</v>
      </c>
    </row>
    <row customHeight="1" ht="23.25">
      <c r="A19" s="626"/>
      <c r="B19" s="626"/>
      <c r="C19" s="581"/>
      <c r="D19" s="1644" t="s">
        <v>116</v>
      </c>
      <c r="E19" s="1651" t="s">
        <v>2276</v>
      </c>
      <c r="F19" s="1645" t="s">
        <v>418</v>
      </c>
      <c r="G19" s="2608" t="s">
        <v>2277</v>
      </c>
      <c r="H19" s="599"/>
      <c r="J19" s="579">
        <v>22</v>
      </c>
    </row>
    <row s="7381" customFormat="1" customHeight="1" ht="5.25" hidden="1">
      <c r="A20" s="626"/>
      <c r="B20" s="626"/>
      <c r="C20" s="1653"/>
      <c r="D20" s="1652" t="s">
        <v>1543</v>
      </c>
      <c r="E20" s="1138"/>
      <c r="F20" s="1137"/>
      <c r="G20" s="2609"/>
      <c r="J20" s="1654">
        <v>0</v>
      </c>
    </row>
    <row customHeight="1" ht="15.75">
      <c r="A21" s="626"/>
      <c r="B21" s="626"/>
      <c r="C21" s="581"/>
      <c r="D21" s="591"/>
      <c r="E21" s="539" t="s">
        <v>451</v>
      </c>
      <c r="F21" s="593"/>
      <c r="G21" s="2610"/>
      <c r="H21" s="1657"/>
      <c r="J21" s="579">
        <v>15</v>
      </c>
    </row>
    <row s="5920" customFormat="1" customHeight="1" ht="26.25">
      <c r="A22" s="626"/>
      <c r="B22" s="626"/>
      <c r="C22" s="626"/>
      <c r="D22" s="1644" t="s">
        <v>92</v>
      </c>
      <c r="E22" s="598" t="s">
        <v>2278</v>
      </c>
      <c r="F22" s="1650"/>
      <c r="G22" s="598" t="s">
        <v>2279</v>
      </c>
      <c r="H22" s="1656"/>
      <c r="J22" s="625">
        <v>25</v>
      </c>
    </row>
    <row s="5920" customFormat="1" customHeight="1" ht="19.95">
      <c r="A23" s="626"/>
      <c r="B23" s="626"/>
      <c r="C23" s="626"/>
      <c r="D23" s="1644" t="s">
        <v>93</v>
      </c>
      <c r="E23" s="1651" t="s">
        <v>2280</v>
      </c>
      <c r="F23" s="1655"/>
      <c r="G23" s="598" t="s">
        <v>2281</v>
      </c>
      <c r="H23" s="1656"/>
      <c r="J23" s="625">
        <v>19</v>
      </c>
    </row>
    <row s="5920" customFormat="1" customHeight="1" ht="144" hidden="1">
      <c r="A24" s="626"/>
      <c r="B24" s="626"/>
      <c r="C24" s="626"/>
      <c r="D24" s="1644" t="s">
        <v>129</v>
      </c>
      <c r="E24" s="20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019"/>
      <c r="G24" s="20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656"/>
      <c r="J24" s="625">
        <v>0</v>
      </c>
    </row>
    <row customHeight="1" ht="11.25" hidden="1">
      <c r="A25" s="625" t="s">
        <v>82</v>
      </c>
      <c r="B25" s="625">
        <v>0</v>
      </c>
      <c r="C25" s="579">
        <v>3</v>
      </c>
      <c r="D25" s="580">
        <v>6</v>
      </c>
      <c r="E25" s="579">
        <v>52</v>
      </c>
      <c r="F25" s="579">
        <v>48</v>
      </c>
      <c r="G25" s="579">
        <v>93</v>
      </c>
      <c r="H25" s="579">
        <v>8</v>
      </c>
      <c r="I25" s="579">
        <v>64</v>
      </c>
      <c r="J25" s="57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6E749B-12B7-2A98-4F88-0FAC0463DD99}"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7213" width="9.140625" hidden="1"/>
    <col min="2" max="2" style="7158" width="9.140625" hidden="1"/>
    <col min="3" max="3" style="7213" width="3.7109375" hidden="1" customWidth="1"/>
    <col min="4" max="4" style="7736" width="3.00390625" customWidth="1"/>
    <col min="5" max="5" style="7213" width="6.00390625" customWidth="1"/>
    <col min="6" max="6" style="7213" width="46.00390625" customWidth="1"/>
    <col min="7" max="8" style="7213" width="16.00390625" customWidth="1"/>
    <col min="9" max="9" style="7213" width="35.00390625" customWidth="1"/>
    <col min="10" max="10" style="7213" width="89.00390625" customWidth="1"/>
    <col min="11" max="11" style="7161" width="3.00390625" customWidth="1"/>
    <col min="12" max="14" style="7161" width="8.00390625" customWidth="1"/>
    <col min="15" max="15" style="7161" width="25.00390625" customWidth="1"/>
    <col min="16" max="16" style="7161" width="14.00390625" customWidth="1"/>
    <col min="17" max="20" style="5583" width="8.00390625" customWidth="1"/>
    <col min="21" max="254" style="7213" width="8.00390625" customWidth="1"/>
    <col min="255" max="255" style="7213" width="9.140625" hidden="1"/>
  </cols>
  <sheetData>
    <row customHeight="1" ht="22.5" hidden="1">
      <c r="F1" s="1755" t="s">
        <v>2282</v>
      </c>
      <c r="G1" s="1755" t="s">
        <v>47</v>
      </c>
      <c r="H1" s="1755" t="s">
        <v>49</v>
      </c>
      <c r="IU1" s="1279" t="s">
        <v>14</v>
      </c>
    </row>
    <row s="7954" customFormat="1" customHeight="1" ht="22.5" hidden="1">
      <c r="A2" s="955"/>
      <c r="B2" s="1284">
        <v>1</v>
      </c>
      <c r="C2" s="1284"/>
      <c r="D2" s="2049" t="s">
        <v>103</v>
      </c>
      <c r="E2" s="1608"/>
      <c r="F2" s="1615"/>
      <c r="G2" s="1615"/>
      <c r="H2" s="1615"/>
      <c r="I2" s="2105"/>
      <c r="J2" s="2106"/>
      <c r="K2" s="1659"/>
      <c r="L2" s="635"/>
      <c r="M2" s="635"/>
      <c r="N2" s="624" t="str">
        <f t="array" ref="N2:N2">IF(ISERROR(MATCH(MID(O2,1,250),MID(note_ter,1,250),0)),"n","y")</f>
        <v>n</v>
      </c>
      <c r="O2" s="635"/>
      <c r="P2" s="624" t="str">
        <f>G2&amp;"("&amp;J2&amp;")"</f>
        <v>()</v>
      </c>
      <c r="Q2" s="1284"/>
      <c r="R2" s="1284"/>
      <c r="S2" s="544"/>
      <c r="T2" s="1284"/>
      <c r="U2" s="1284"/>
      <c r="V2" s="1284"/>
      <c r="W2" s="546"/>
      <c r="X2" s="546"/>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6"/>
      <c r="BU2" s="546"/>
      <c r="BV2" s="546"/>
      <c r="BW2" s="546"/>
      <c r="BX2" s="546"/>
      <c r="BY2" s="546"/>
      <c r="BZ2" s="546"/>
      <c r="CA2" s="546"/>
      <c r="CB2" s="546"/>
      <c r="CC2" s="546"/>
      <c r="IU2" s="547">
        <v>0</v>
      </c>
    </row>
    <row s="6698" customFormat="1" customHeight="1" ht="4.2">
      <c r="A3" s="620"/>
      <c r="D3" s="618"/>
      <c r="F3" s="371" t="s">
        <v>83</v>
      </c>
      <c r="G3" s="618" t="s">
        <v>84</v>
      </c>
      <c r="H3" s="618"/>
      <c r="I3" s="618"/>
      <c r="J3" s="351" t="s">
        <v>85</v>
      </c>
      <c r="K3" s="371" t="s">
        <v>83</v>
      </c>
      <c r="L3" s="371"/>
      <c r="M3" s="371"/>
      <c r="N3" s="371"/>
      <c r="O3" s="372"/>
      <c r="P3" s="371"/>
      <c r="Q3" s="371"/>
      <c r="R3" s="371"/>
      <c r="S3" s="371"/>
      <c r="T3" s="37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635">
        <v>4</v>
      </c>
    </row>
    <row s="6033" customFormat="1" customHeight="1" ht="14.699999999999998">
      <c r="A4" s="1279"/>
      <c r="B4" s="1284"/>
      <c r="C4" s="1279"/>
      <c r="D4" s="1619"/>
      <c r="E4" s="633"/>
      <c r="F4" s="1766"/>
      <c r="G4" s="633"/>
      <c r="H4" s="633"/>
      <c r="I4" s="633"/>
      <c r="J4" s="290"/>
      <c r="K4" s="371"/>
      <c r="L4" s="624"/>
      <c r="M4" s="624"/>
      <c r="N4" s="624"/>
      <c r="O4" s="350"/>
      <c r="P4" s="624"/>
      <c r="Q4" s="349"/>
      <c r="R4" s="349"/>
      <c r="S4" s="349"/>
      <c r="T4" s="349"/>
      <c r="IU4" s="631">
        <v>14</v>
      </c>
    </row>
    <row s="6033" customFormat="1" customHeight="1" ht="27.299999999999997">
      <c r="A5" s="1279"/>
      <c r="B5" s="1284"/>
      <c r="C5" s="1279"/>
      <c r="D5" s="1619"/>
      <c r="E5" s="22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7"/>
      <c r="G5" s="2237"/>
      <c r="H5" s="2237"/>
      <c r="I5" s="2237"/>
      <c r="J5" s="2237"/>
      <c r="K5" s="371"/>
      <c r="L5" s="624"/>
      <c r="M5" s="624"/>
      <c r="N5" s="624"/>
      <c r="O5" s="350"/>
      <c r="P5" s="624"/>
      <c r="Q5" s="349"/>
      <c r="R5" s="349"/>
      <c r="S5" s="349"/>
      <c r="T5" s="349"/>
      <c r="IU5" s="631">
        <v>26</v>
      </c>
    </row>
    <row s="6033" customFormat="1" customHeight="1" ht="14.699999999999998">
      <c r="A6" s="1279"/>
      <c r="B6" s="1284"/>
      <c r="C6" s="1279"/>
      <c r="D6" s="1619"/>
      <c r="E6" s="633"/>
      <c r="F6" s="291"/>
      <c r="G6" s="291"/>
      <c r="H6" s="291"/>
      <c r="I6" s="291"/>
      <c r="J6" s="292"/>
      <c r="K6" s="624"/>
      <c r="L6" s="624"/>
      <c r="M6" s="624"/>
      <c r="N6" s="624"/>
      <c r="O6" s="350"/>
      <c r="P6" s="624"/>
      <c r="Q6" s="349"/>
      <c r="R6" s="349"/>
      <c r="S6" s="349"/>
      <c r="T6" s="349"/>
      <c r="IU6" s="631">
        <v>14</v>
      </c>
    </row>
    <row s="6033" customFormat="1" customHeight="1" ht="14.699999999999998">
      <c r="A7" s="1279"/>
      <c r="B7" s="1284"/>
      <c r="C7" s="1279"/>
      <c r="D7" s="1619"/>
      <c r="E7" s="2238" t="s">
        <v>412</v>
      </c>
      <c r="F7" s="2239"/>
      <c r="G7" s="2239"/>
      <c r="H7" s="2239"/>
      <c r="I7" s="2239"/>
      <c r="J7" s="2611" t="s">
        <v>413</v>
      </c>
      <c r="K7" s="624"/>
      <c r="L7" s="624"/>
      <c r="M7" s="624"/>
      <c r="N7" s="624"/>
      <c r="O7" s="350"/>
      <c r="P7" s="624"/>
      <c r="Q7" s="349"/>
      <c r="R7" s="349"/>
      <c r="S7" s="349"/>
      <c r="T7" s="349"/>
      <c r="IU7" s="631">
        <v>14</v>
      </c>
    </row>
    <row s="6033" customFormat="1" customHeight="1" ht="21">
      <c r="A8" s="1279"/>
      <c r="B8" s="1284"/>
      <c r="C8" s="1279"/>
      <c r="D8" s="1619"/>
      <c r="E8" s="1672" t="s">
        <v>88</v>
      </c>
      <c r="F8" s="1664" t="s">
        <v>2282</v>
      </c>
      <c r="G8" s="1664" t="s">
        <v>47</v>
      </c>
      <c r="H8" s="1664" t="s">
        <v>49</v>
      </c>
      <c r="I8" s="1664" t="s">
        <v>2283</v>
      </c>
      <c r="J8" s="2612"/>
      <c r="K8" s="624"/>
      <c r="L8" s="624"/>
      <c r="M8" s="624"/>
      <c r="N8" s="624"/>
      <c r="O8" s="350"/>
      <c r="P8" s="624"/>
      <c r="Q8" s="349"/>
      <c r="R8" s="349"/>
      <c r="S8" s="349"/>
      <c r="T8" s="349"/>
      <c r="IU8" s="631">
        <v>20</v>
      </c>
    </row>
    <row s="7954" customFormat="1" customHeight="1" ht="23.25">
      <c r="A9" s="1755"/>
      <c r="B9" s="1284">
        <v>1</v>
      </c>
      <c r="C9" s="1284"/>
      <c r="D9" s="925"/>
      <c r="E9" s="1608">
        <v>1</v>
      </c>
      <c r="F9" s="1671"/>
      <c r="G9" s="1615"/>
      <c r="H9" s="1615"/>
      <c r="I9" s="1662"/>
      <c r="J9" s="230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59"/>
      <c r="L9" s="635"/>
      <c r="M9" s="635"/>
      <c r="N9" s="624" t="str">
        <f t="array" ref="N9:N9">IF(ISERROR(MATCH(MID(O9,1,250),MID(note_ter,1,250),0)),"n","y")</f>
        <v>n</v>
      </c>
      <c r="O9" s="635"/>
      <c r="P9" s="62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84"/>
      <c r="R9" s="1284"/>
      <c r="S9" s="544"/>
      <c r="T9" s="1284"/>
      <c r="U9" s="1284"/>
      <c r="V9" s="1284"/>
      <c r="W9" s="546"/>
      <c r="X9" s="546"/>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6"/>
      <c r="BU9" s="546"/>
      <c r="BV9" s="546"/>
      <c r="BW9" s="546"/>
      <c r="BX9" s="546"/>
      <c r="BY9" s="546"/>
      <c r="BZ9" s="546"/>
      <c r="CA9" s="546"/>
      <c r="CB9" s="546"/>
      <c r="CC9" s="546"/>
      <c r="IU9" s="547">
        <v>22</v>
      </c>
    </row>
    <row s="7954" customFormat="1" customHeight="1" ht="15.75">
      <c r="A10" s="1755"/>
      <c r="B10" s="1284"/>
      <c r="C10" s="536"/>
      <c r="D10" s="925"/>
      <c r="E10" s="1665"/>
      <c r="F10" s="1624" t="s">
        <v>2284</v>
      </c>
      <c r="G10" s="1666"/>
      <c r="H10" s="1666"/>
      <c r="I10" s="2020"/>
      <c r="J10" s="2308"/>
      <c r="K10" s="1660"/>
      <c r="L10" s="635"/>
      <c r="M10" s="635"/>
      <c r="N10" s="635"/>
      <c r="O10" s="624"/>
      <c r="P10" s="635"/>
      <c r="Q10" s="1284"/>
      <c r="R10" s="1284"/>
      <c r="S10" s="544"/>
      <c r="T10" s="1284"/>
      <c r="U10" s="1284"/>
      <c r="V10" s="1284"/>
      <c r="W10" s="546"/>
      <c r="X10" s="546"/>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6"/>
      <c r="BU10" s="546"/>
      <c r="BV10" s="546"/>
      <c r="BW10" s="546"/>
      <c r="BX10" s="546"/>
      <c r="BY10" s="546"/>
      <c r="BZ10" s="546"/>
      <c r="CA10" s="546"/>
      <c r="CB10" s="546"/>
      <c r="CC10" s="546"/>
      <c r="IU10" s="547">
        <v>15</v>
      </c>
    </row>
    <row s="6033" customFormat="1" customHeight="1" ht="22.049999999999997">
      <c r="A11" s="1279"/>
      <c r="B11" s="1284"/>
      <c r="C11" s="1279"/>
      <c r="D11" s="575"/>
      <c r="E11" s="304"/>
      <c r="F11" s="304"/>
      <c r="G11" s="304"/>
      <c r="H11" s="304"/>
      <c r="I11" s="304"/>
      <c r="J11" s="304"/>
      <c r="K11" s="624"/>
      <c r="L11" s="624"/>
      <c r="M11" s="624"/>
      <c r="N11" s="624"/>
      <c r="O11" s="350"/>
      <c r="P11" s="624"/>
      <c r="Q11" s="349"/>
      <c r="R11" s="349"/>
      <c r="S11" s="349"/>
      <c r="T11" s="349"/>
      <c r="IU11" s="631">
        <v>21</v>
      </c>
    </row>
    <row s="6033" customFormat="1" customHeight="1" ht="14.699999999999998">
      <c r="A12" s="1279"/>
      <c r="B12" s="1284"/>
      <c r="C12" s="1279"/>
      <c r="D12" s="575"/>
      <c r="E12" s="1279"/>
      <c r="F12" s="1279"/>
      <c r="G12" s="1279"/>
      <c r="H12" s="1279"/>
      <c r="I12" s="1279"/>
      <c r="J12" s="1279"/>
      <c r="K12" s="624"/>
      <c r="L12" s="624"/>
      <c r="M12" s="624"/>
      <c r="N12" s="624"/>
      <c r="O12" s="350"/>
      <c r="P12" s="624"/>
      <c r="Q12" s="349"/>
      <c r="R12" s="349"/>
      <c r="S12" s="349"/>
      <c r="T12" s="349"/>
      <c r="IU12" s="631">
        <v>14</v>
      </c>
    </row>
    <row s="6033" customFormat="1" customHeight="1" ht="1.05">
      <c r="A13" s="1279"/>
      <c r="B13" s="1284"/>
      <c r="C13" s="1279"/>
      <c r="D13" s="575"/>
      <c r="E13" s="1279"/>
      <c r="F13" s="1279"/>
      <c r="G13" s="1279"/>
      <c r="H13" s="1279"/>
      <c r="I13" s="1279"/>
      <c r="J13" s="1279"/>
      <c r="K13" s="624"/>
      <c r="L13" s="624"/>
      <c r="M13" s="624"/>
      <c r="N13" s="624"/>
      <c r="O13" s="350"/>
      <c r="P13" s="624"/>
      <c r="Q13" s="349"/>
      <c r="R13" s="349"/>
      <c r="S13" s="349"/>
      <c r="T13" s="349"/>
      <c r="IU13" s="631">
        <v>1</v>
      </c>
    </row>
    <row s="7116" customFormat="1" customHeight="1" ht="10.5">
      <c r="B14" s="958"/>
      <c r="D14" s="306"/>
      <c r="K14" s="624"/>
      <c r="L14" s="624"/>
      <c r="M14" s="624"/>
      <c r="N14" s="624"/>
      <c r="O14" s="350"/>
      <c r="P14" s="624"/>
      <c r="Q14" s="349"/>
      <c r="R14" s="349"/>
      <c r="S14" s="349"/>
      <c r="T14" s="349"/>
      <c r="IU14" s="305">
        <v>10</v>
      </c>
    </row>
    <row s="7116" customFormat="1" customHeight="1" ht="10.5">
      <c r="B15" s="958"/>
      <c r="D15" s="306"/>
      <c r="K15" s="624"/>
      <c r="L15" s="624"/>
      <c r="M15" s="624"/>
      <c r="N15" s="624"/>
      <c r="O15" s="350"/>
      <c r="P15" s="624"/>
      <c r="Q15" s="349"/>
      <c r="R15" s="349"/>
      <c r="S15" s="349"/>
      <c r="T15" s="349"/>
      <c r="IU15" s="305">
        <v>10</v>
      </c>
    </row>
    <row customHeight="1" ht="14.699999999999998">
      <c r="IU16" s="1279">
        <v>14</v>
      </c>
    </row>
    <row customHeight="1" ht="14.699999999999998">
      <c r="IU17" s="1279">
        <v>14</v>
      </c>
    </row>
    <row customHeight="1" ht="14.699999999999998">
      <c r="IU18" s="1279">
        <v>14</v>
      </c>
    </row>
    <row customHeight="1" ht="14.699999999999998">
      <c r="G19" s="497"/>
      <c r="H19" s="497"/>
      <c r="I19" s="497"/>
      <c r="IU19" s="1279">
        <v>14</v>
      </c>
    </row>
    <row customHeight="1" ht="14.699999999999998">
      <c r="IU20" s="1279">
        <v>14</v>
      </c>
    </row>
    <row customHeight="1" ht="14.699999999999998">
      <c r="IU21" s="1279">
        <v>14</v>
      </c>
    </row>
    <row customHeight="1" ht="14.699999999999998">
      <c r="IU22" s="1279">
        <v>14</v>
      </c>
    </row>
    <row customHeight="1" ht="14.699999999999998">
      <c r="K23" s="1279"/>
      <c r="L23" s="1279"/>
      <c r="M23" s="1279"/>
      <c r="IU23" s="1279">
        <v>14</v>
      </c>
    </row>
    <row customHeight="1" ht="22.5" hidden="1">
      <c r="A24" s="1279" t="s">
        <v>82</v>
      </c>
      <c r="B24" s="1284">
        <v>0</v>
      </c>
      <c r="C24" s="1279">
        <v>0</v>
      </c>
      <c r="D24" s="575">
        <v>3</v>
      </c>
      <c r="E24" s="1279">
        <v>6</v>
      </c>
      <c r="F24" s="1279">
        <v>46</v>
      </c>
      <c r="G24" s="1279">
        <v>16</v>
      </c>
      <c r="H24" s="1279">
        <v>16</v>
      </c>
      <c r="I24" s="1279">
        <v>35</v>
      </c>
      <c r="J24" s="1279">
        <v>89</v>
      </c>
      <c r="K24" s="624">
        <v>3</v>
      </c>
      <c r="L24" s="624">
        <v>8</v>
      </c>
      <c r="M24" s="624">
        <v>8</v>
      </c>
      <c r="N24" s="624">
        <v>8</v>
      </c>
      <c r="O24" s="350">
        <v>25</v>
      </c>
      <c r="P24" s="624">
        <v>14</v>
      </c>
      <c r="Q24" s="349">
        <v>8</v>
      </c>
      <c r="R24" s="349">
        <v>8</v>
      </c>
      <c r="S24" s="349">
        <v>8</v>
      </c>
      <c r="T24" s="349">
        <v>8</v>
      </c>
      <c r="U24" s="1279">
        <v>8</v>
      </c>
      <c r="V24" s="1279">
        <v>8</v>
      </c>
      <c r="W24" s="1279">
        <v>8</v>
      </c>
      <c r="X24" s="1279">
        <v>8</v>
      </c>
      <c r="Y24" s="1279">
        <v>8</v>
      </c>
      <c r="Z24" s="1279">
        <v>8</v>
      </c>
      <c r="AA24" s="1279">
        <v>8</v>
      </c>
      <c r="AB24" s="1279">
        <v>8</v>
      </c>
      <c r="AC24" s="1279">
        <v>8</v>
      </c>
      <c r="AD24" s="1279">
        <v>8</v>
      </c>
      <c r="AE24" s="1279">
        <v>8</v>
      </c>
      <c r="AF24" s="1279">
        <v>8</v>
      </c>
      <c r="AG24" s="1279">
        <v>8</v>
      </c>
      <c r="AH24" s="1279">
        <v>8</v>
      </c>
      <c r="AI24" s="1279">
        <v>8</v>
      </c>
      <c r="AJ24" s="1279">
        <v>8</v>
      </c>
      <c r="AK24" s="1279">
        <v>8</v>
      </c>
      <c r="AL24" s="1279">
        <v>8</v>
      </c>
      <c r="AM24" s="1279">
        <v>8</v>
      </c>
      <c r="AN24" s="1279">
        <v>8</v>
      </c>
      <c r="AO24" s="1279">
        <v>8</v>
      </c>
      <c r="AP24" s="1279">
        <v>8</v>
      </c>
      <c r="AQ24" s="1279">
        <v>8</v>
      </c>
      <c r="AR24" s="1279">
        <v>8</v>
      </c>
      <c r="AS24" s="1279">
        <v>8</v>
      </c>
      <c r="AT24" s="1279">
        <v>8</v>
      </c>
      <c r="AU24" s="1279">
        <v>8</v>
      </c>
      <c r="AV24" s="1279">
        <v>8</v>
      </c>
      <c r="AW24" s="1279">
        <v>8</v>
      </c>
      <c r="AX24" s="1279">
        <v>8</v>
      </c>
      <c r="AY24" s="1279">
        <v>8</v>
      </c>
      <c r="AZ24" s="1279">
        <v>8</v>
      </c>
      <c r="BA24" s="1279">
        <v>8</v>
      </c>
      <c r="BB24" s="1279">
        <v>8</v>
      </c>
      <c r="BC24" s="1279">
        <v>8</v>
      </c>
      <c r="BD24" s="1279">
        <v>8</v>
      </c>
      <c r="BE24" s="1279">
        <v>8</v>
      </c>
      <c r="BF24" s="1279">
        <v>8</v>
      </c>
      <c r="BG24" s="1279">
        <v>8</v>
      </c>
      <c r="BH24" s="1279">
        <v>8</v>
      </c>
      <c r="BI24" s="1279">
        <v>8</v>
      </c>
      <c r="BJ24" s="1279">
        <v>8</v>
      </c>
      <c r="BK24" s="1279">
        <v>8</v>
      </c>
      <c r="BL24" s="1279">
        <v>8</v>
      </c>
      <c r="BM24" s="1279">
        <v>8</v>
      </c>
      <c r="BN24" s="1279">
        <v>8</v>
      </c>
      <c r="BO24" s="1279">
        <v>8</v>
      </c>
      <c r="BP24" s="1279">
        <v>8</v>
      </c>
      <c r="BQ24" s="1279">
        <v>8</v>
      </c>
      <c r="BR24" s="1279">
        <v>8</v>
      </c>
      <c r="BS24" s="1279">
        <v>8</v>
      </c>
      <c r="BT24" s="1279">
        <v>8</v>
      </c>
      <c r="BU24" s="1279">
        <v>8</v>
      </c>
      <c r="BV24" s="1279">
        <v>8</v>
      </c>
      <c r="BW24" s="1279">
        <v>8</v>
      </c>
      <c r="BX24" s="1279">
        <v>8</v>
      </c>
      <c r="BY24" s="1279">
        <v>8</v>
      </c>
      <c r="BZ24" s="1279">
        <v>8</v>
      </c>
      <c r="CA24" s="1279">
        <v>8</v>
      </c>
      <c r="CB24" s="1279">
        <v>8</v>
      </c>
      <c r="CC24" s="1279">
        <v>8</v>
      </c>
      <c r="CD24" s="1279">
        <v>8</v>
      </c>
      <c r="CE24" s="1279">
        <v>8</v>
      </c>
      <c r="CF24" s="1279">
        <v>8</v>
      </c>
      <c r="CG24" s="1279">
        <v>8</v>
      </c>
      <c r="CH24" s="1279">
        <v>8</v>
      </c>
      <c r="CI24" s="1279">
        <v>8</v>
      </c>
      <c r="CJ24" s="1279">
        <v>8</v>
      </c>
      <c r="CK24" s="1279">
        <v>8</v>
      </c>
      <c r="CL24" s="1279">
        <v>8</v>
      </c>
      <c r="CM24" s="1279">
        <v>8</v>
      </c>
      <c r="CN24" s="1279">
        <v>8</v>
      </c>
      <c r="CO24" s="1279">
        <v>8</v>
      </c>
      <c r="CP24" s="1279">
        <v>8</v>
      </c>
      <c r="CQ24" s="1279">
        <v>8</v>
      </c>
      <c r="CR24" s="1279">
        <v>8</v>
      </c>
      <c r="CS24" s="1279">
        <v>8</v>
      </c>
      <c r="CT24" s="1279">
        <v>8</v>
      </c>
      <c r="CU24" s="1279">
        <v>8</v>
      </c>
      <c r="CV24" s="1279">
        <v>8</v>
      </c>
      <c r="CW24" s="1279">
        <v>8</v>
      </c>
      <c r="CX24" s="1279">
        <v>8</v>
      </c>
      <c r="CY24" s="1279">
        <v>8</v>
      </c>
      <c r="CZ24" s="1279">
        <v>8</v>
      </c>
      <c r="DA24" s="1279">
        <v>8</v>
      </c>
      <c r="DB24" s="1279">
        <v>8</v>
      </c>
      <c r="DC24" s="1279">
        <v>8</v>
      </c>
      <c r="DD24" s="1279">
        <v>8</v>
      </c>
      <c r="DE24" s="1279">
        <v>8</v>
      </c>
      <c r="DF24" s="1279">
        <v>8</v>
      </c>
      <c r="DG24" s="1279">
        <v>8</v>
      </c>
      <c r="DH24" s="1279">
        <v>8</v>
      </c>
      <c r="DI24" s="1279">
        <v>8</v>
      </c>
      <c r="DJ24" s="1279">
        <v>8</v>
      </c>
      <c r="DK24" s="1279">
        <v>8</v>
      </c>
      <c r="DL24" s="1279">
        <v>8</v>
      </c>
      <c r="DM24" s="1279">
        <v>8</v>
      </c>
      <c r="DN24" s="1279">
        <v>8</v>
      </c>
      <c r="DO24" s="1279">
        <v>8</v>
      </c>
      <c r="DP24" s="1279">
        <v>8</v>
      </c>
      <c r="DQ24" s="1279">
        <v>8</v>
      </c>
      <c r="DR24" s="1279">
        <v>8</v>
      </c>
      <c r="DS24" s="1279">
        <v>8</v>
      </c>
      <c r="DT24" s="1279">
        <v>8</v>
      </c>
      <c r="DU24" s="1279">
        <v>8</v>
      </c>
      <c r="DV24" s="1279">
        <v>8</v>
      </c>
      <c r="DW24" s="1279">
        <v>8</v>
      </c>
      <c r="DX24" s="1279">
        <v>8</v>
      </c>
      <c r="DY24" s="1279">
        <v>8</v>
      </c>
      <c r="DZ24" s="1279">
        <v>8</v>
      </c>
      <c r="EA24" s="1279">
        <v>8</v>
      </c>
      <c r="EB24" s="1279">
        <v>8</v>
      </c>
      <c r="EC24" s="1279">
        <v>8</v>
      </c>
      <c r="ED24" s="1279">
        <v>8</v>
      </c>
      <c r="EE24" s="1279">
        <v>8</v>
      </c>
      <c r="EF24" s="1279">
        <v>8</v>
      </c>
      <c r="EG24" s="1279">
        <v>8</v>
      </c>
      <c r="EH24" s="1279">
        <v>8</v>
      </c>
      <c r="EI24" s="1279">
        <v>8</v>
      </c>
      <c r="EJ24" s="1279">
        <v>8</v>
      </c>
      <c r="EK24" s="1279">
        <v>8</v>
      </c>
      <c r="EL24" s="1279">
        <v>8</v>
      </c>
      <c r="EM24" s="1279">
        <v>8</v>
      </c>
      <c r="EN24" s="1279">
        <v>8</v>
      </c>
      <c r="EO24" s="1279">
        <v>8</v>
      </c>
      <c r="EP24" s="1279">
        <v>8</v>
      </c>
      <c r="EQ24" s="1279">
        <v>8</v>
      </c>
      <c r="ER24" s="1279">
        <v>8</v>
      </c>
      <c r="ES24" s="1279">
        <v>8</v>
      </c>
      <c r="ET24" s="1279">
        <v>8</v>
      </c>
      <c r="EU24" s="1279">
        <v>8</v>
      </c>
      <c r="EV24" s="1279">
        <v>8</v>
      </c>
      <c r="EW24" s="1279">
        <v>8</v>
      </c>
      <c r="EX24" s="1279">
        <v>8</v>
      </c>
      <c r="EY24" s="1279">
        <v>8</v>
      </c>
      <c r="EZ24" s="1279">
        <v>8</v>
      </c>
      <c r="FA24" s="1279">
        <v>8</v>
      </c>
      <c r="FB24" s="1279">
        <v>8</v>
      </c>
      <c r="FC24" s="1279">
        <v>8</v>
      </c>
      <c r="FD24" s="1279">
        <v>8</v>
      </c>
      <c r="FE24" s="1279">
        <v>8</v>
      </c>
      <c r="FF24" s="1279">
        <v>8</v>
      </c>
      <c r="FG24" s="1279">
        <v>8</v>
      </c>
      <c r="FH24" s="1279">
        <v>8</v>
      </c>
      <c r="FI24" s="1279">
        <v>8</v>
      </c>
      <c r="FJ24" s="1279">
        <v>8</v>
      </c>
      <c r="FK24" s="1279">
        <v>8</v>
      </c>
      <c r="FL24" s="1279">
        <v>8</v>
      </c>
      <c r="FM24" s="1279">
        <v>8</v>
      </c>
      <c r="FN24" s="1279">
        <v>8</v>
      </c>
      <c r="FO24" s="1279">
        <v>8</v>
      </c>
      <c r="FP24" s="1279">
        <v>8</v>
      </c>
      <c r="FQ24" s="1279">
        <v>8</v>
      </c>
      <c r="FR24" s="1279">
        <v>8</v>
      </c>
      <c r="FS24" s="1279">
        <v>8</v>
      </c>
      <c r="FT24" s="1279">
        <v>8</v>
      </c>
      <c r="FU24" s="1279">
        <v>8</v>
      </c>
      <c r="FV24" s="1279">
        <v>8</v>
      </c>
      <c r="FW24" s="1279">
        <v>8</v>
      </c>
      <c r="FX24" s="1279">
        <v>8</v>
      </c>
      <c r="FY24" s="1279">
        <v>8</v>
      </c>
      <c r="FZ24" s="1279">
        <v>8</v>
      </c>
      <c r="GA24" s="1279">
        <v>8</v>
      </c>
      <c r="GB24" s="1279">
        <v>8</v>
      </c>
      <c r="GC24" s="1279">
        <v>8</v>
      </c>
      <c r="GD24" s="1279">
        <v>8</v>
      </c>
      <c r="GE24" s="1279">
        <v>8</v>
      </c>
      <c r="GF24" s="1279">
        <v>8</v>
      </c>
      <c r="GG24" s="1279">
        <v>8</v>
      </c>
      <c r="GH24" s="1279">
        <v>8</v>
      </c>
      <c r="GI24" s="1279">
        <v>8</v>
      </c>
      <c r="GJ24" s="1279">
        <v>8</v>
      </c>
      <c r="GK24" s="1279">
        <v>8</v>
      </c>
      <c r="GL24" s="1279">
        <v>8</v>
      </c>
      <c r="GM24" s="1279">
        <v>8</v>
      </c>
      <c r="GN24" s="1279">
        <v>8</v>
      </c>
      <c r="GO24" s="1279">
        <v>8</v>
      </c>
      <c r="GP24" s="1279">
        <v>8</v>
      </c>
      <c r="GQ24" s="1279">
        <v>8</v>
      </c>
      <c r="GR24" s="1279">
        <v>8</v>
      </c>
      <c r="GS24" s="1279">
        <v>8</v>
      </c>
      <c r="GT24" s="1279">
        <v>8</v>
      </c>
      <c r="GU24" s="1279">
        <v>8</v>
      </c>
      <c r="GV24" s="1279">
        <v>8</v>
      </c>
      <c r="GW24" s="1279">
        <v>8</v>
      </c>
      <c r="GX24" s="1279">
        <v>8</v>
      </c>
      <c r="GY24" s="1279">
        <v>8</v>
      </c>
      <c r="GZ24" s="1279">
        <v>8</v>
      </c>
      <c r="HA24" s="1279">
        <v>8</v>
      </c>
      <c r="HB24" s="1279">
        <v>8</v>
      </c>
      <c r="HC24" s="1279">
        <v>8</v>
      </c>
      <c r="HD24" s="1279">
        <v>8</v>
      </c>
      <c r="HE24" s="1279">
        <v>8</v>
      </c>
      <c r="HF24" s="1279">
        <v>8</v>
      </c>
      <c r="HG24" s="1279">
        <v>8</v>
      </c>
      <c r="HH24" s="1279">
        <v>8</v>
      </c>
      <c r="HI24" s="1279">
        <v>8</v>
      </c>
      <c r="HJ24" s="1279">
        <v>8</v>
      </c>
      <c r="HK24" s="1279">
        <v>8</v>
      </c>
      <c r="HL24" s="1279">
        <v>8</v>
      </c>
      <c r="HM24" s="1279">
        <v>8</v>
      </c>
      <c r="HN24" s="1279">
        <v>8</v>
      </c>
      <c r="HO24" s="1279">
        <v>8</v>
      </c>
      <c r="HP24" s="1279">
        <v>8</v>
      </c>
      <c r="HQ24" s="1279">
        <v>8</v>
      </c>
      <c r="HR24" s="1279">
        <v>8</v>
      </c>
      <c r="HS24" s="1279">
        <v>8</v>
      </c>
      <c r="HT24" s="1279">
        <v>8</v>
      </c>
      <c r="HU24" s="1279">
        <v>8</v>
      </c>
      <c r="HV24" s="1279">
        <v>8</v>
      </c>
      <c r="HW24" s="1279">
        <v>8</v>
      </c>
      <c r="HX24" s="1279">
        <v>8</v>
      </c>
      <c r="HY24" s="1279">
        <v>8</v>
      </c>
      <c r="HZ24" s="1279">
        <v>8</v>
      </c>
      <c r="IA24" s="1279">
        <v>8</v>
      </c>
      <c r="IB24" s="1279">
        <v>8</v>
      </c>
      <c r="IC24" s="1279">
        <v>8</v>
      </c>
      <c r="ID24" s="1279">
        <v>8</v>
      </c>
      <c r="IE24" s="1279">
        <v>8</v>
      </c>
      <c r="IF24" s="1279">
        <v>8</v>
      </c>
      <c r="IG24" s="1279">
        <v>8</v>
      </c>
      <c r="IH24" s="1279">
        <v>8</v>
      </c>
      <c r="II24" s="1279">
        <v>8</v>
      </c>
      <c r="IJ24" s="1279">
        <v>8</v>
      </c>
      <c r="IK24" s="1279">
        <v>8</v>
      </c>
      <c r="IL24" s="1279">
        <v>8</v>
      </c>
      <c r="IM24" s="1279">
        <v>8</v>
      </c>
      <c r="IN24" s="1279">
        <v>8</v>
      </c>
      <c r="IO24" s="1279">
        <v>8</v>
      </c>
      <c r="IP24" s="1279">
        <v>8</v>
      </c>
      <c r="IQ24" s="1279">
        <v>8</v>
      </c>
      <c r="IR24" s="1279">
        <v>8</v>
      </c>
      <c r="IS24" s="1279">
        <v>8</v>
      </c>
      <c r="IT24" s="1279">
        <v>8</v>
      </c>
      <c r="IU24" s="127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00DFF2-DE07-B0D8-01F8-FBC017DC295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7213" width="9.140625" hidden="1"/>
    <col min="2" max="2" style="7158" width="9.140625" hidden="1"/>
    <col min="3" max="3" style="7213" width="3.7109375" hidden="1" customWidth="1"/>
    <col min="4" max="4" style="7736" width="3.00390625" customWidth="1"/>
    <col min="5" max="5" style="7213" width="6.00390625" customWidth="1"/>
    <col min="6" max="6" style="7213" width="27.00390625" customWidth="1"/>
    <col min="7" max="7" style="7213" width="16.00390625" customWidth="1"/>
    <col min="8" max="8" style="7213" width="12.00390625" customWidth="1"/>
    <col min="9" max="9" style="7213" width="32.00390625" customWidth="1"/>
    <col min="10" max="11" style="7213" width="41.00390625" customWidth="1"/>
    <col min="12" max="12" style="7213" width="89.00390625" customWidth="1"/>
    <col min="13" max="13" style="7161" width="3.00390625" customWidth="1"/>
    <col min="14" max="16" style="7161" width="8.00390625" customWidth="1"/>
    <col min="17" max="17" style="7161" width="25.00390625" customWidth="1"/>
    <col min="18" max="18" style="7161" width="14.00390625" customWidth="1"/>
    <col min="19" max="22" style="5583" width="8.00390625" customWidth="1"/>
    <col min="23" max="256" style="7213" width="8.00390625" customWidth="1"/>
    <col min="257" max="257" style="7213" width="9.140625" hidden="1"/>
  </cols>
  <sheetData>
    <row customHeight="1" ht="22.5" hidden="1">
      <c r="IW1" s="1279" t="s">
        <v>14</v>
      </c>
    </row>
    <row s="7954" customFormat="1" customHeight="1" ht="22.5" hidden="1">
      <c r="A2" s="955"/>
      <c r="B2" s="1284">
        <v>1</v>
      </c>
      <c r="C2" s="1284"/>
      <c r="D2" s="2049" t="s">
        <v>103</v>
      </c>
      <c r="E2" s="2010"/>
      <c r="F2" s="2013" t="str">
        <f>IF(ROIV_INFO_NAME="","",ROIV_INFO_NAME)</f>
        <v>ООО "СамРЭК-Эксплуатация"</v>
      </c>
      <c r="G2" s="2038" t="s">
        <v>22</v>
      </c>
      <c r="H2" s="2037"/>
      <c r="I2" s="1662"/>
      <c r="J2" s="942"/>
      <c r="K2" s="942"/>
      <c r="L2" s="352"/>
      <c r="M2" s="1659">
        <f>MERGEVALUE(F2)</f>
      </c>
      <c r="N2" s="635"/>
      <c r="O2" s="635"/>
      <c r="P2" s="624" t="str">
        <f t="array" ref="P2:P2">IF(ISERROR(MATCH(MID(Q2,1,250),MID(note_ter,1,250),0)),"n","y")</f>
        <v>n</v>
      </c>
      <c r="Q2" s="635"/>
      <c r="R2" s="624" t="str">
        <f>G2&amp;"("&amp;L2&amp;")"</f>
        <v>()</v>
      </c>
      <c r="S2" s="1284"/>
      <c r="T2" s="1284"/>
      <c r="U2" s="544"/>
      <c r="V2" s="1284"/>
      <c r="W2" s="1284"/>
      <c r="X2" s="1284"/>
      <c r="Y2" s="546"/>
      <c r="Z2" s="546"/>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6"/>
      <c r="BW2" s="546"/>
      <c r="BX2" s="546"/>
      <c r="BY2" s="546"/>
      <c r="BZ2" s="546"/>
      <c r="CA2" s="546"/>
      <c r="CB2" s="546"/>
      <c r="CC2" s="546"/>
      <c r="CD2" s="546"/>
      <c r="CE2" s="546"/>
      <c r="IW2" s="547">
        <v>0</v>
      </c>
    </row>
    <row s="6698" customFormat="1" customHeight="1" ht="5.25" hidden="1">
      <c r="A3" s="620"/>
      <c r="D3" s="618"/>
      <c r="F3" s="371" t="s">
        <v>83</v>
      </c>
      <c r="G3" s="1858" t="s">
        <v>84</v>
      </c>
      <c r="H3" s="618"/>
      <c r="I3" s="618"/>
      <c r="J3" s="618"/>
      <c r="K3" s="618"/>
      <c r="L3" s="351" t="s">
        <v>85</v>
      </c>
      <c r="M3" s="371" t="s">
        <v>83</v>
      </c>
      <c r="N3" s="371"/>
      <c r="O3" s="371"/>
      <c r="P3" s="371"/>
      <c r="Q3" s="372"/>
      <c r="R3" s="371"/>
      <c r="S3" s="371"/>
      <c r="T3" s="371"/>
      <c r="U3" s="371"/>
      <c r="V3" s="37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c r="IW3" s="635">
        <v>0</v>
      </c>
    </row>
    <row s="6033" customFormat="1" customHeight="1" ht="14.699999999999998">
      <c r="A4" s="1279"/>
      <c r="B4" s="1284"/>
      <c r="C4" s="1279"/>
      <c r="D4" s="1619"/>
      <c r="E4" s="633"/>
      <c r="F4" s="633"/>
      <c r="G4" s="633"/>
      <c r="H4" s="633"/>
      <c r="I4" s="633"/>
      <c r="J4" s="633"/>
      <c r="K4" s="633"/>
      <c r="L4" s="290"/>
      <c r="M4" s="371"/>
      <c r="N4" s="624"/>
      <c r="O4" s="624"/>
      <c r="P4" s="624"/>
      <c r="Q4" s="350"/>
      <c r="R4" s="624"/>
      <c r="S4" s="349"/>
      <c r="T4" s="349"/>
      <c r="U4" s="349"/>
      <c r="V4" s="349"/>
      <c r="IW4" s="631">
        <v>14</v>
      </c>
    </row>
    <row s="6033" customFormat="1" customHeight="1" ht="27.299999999999997">
      <c r="A5" s="1279"/>
      <c r="B5" s="1284"/>
      <c r="C5" s="1279"/>
      <c r="D5" s="1619"/>
      <c r="E5" s="22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7"/>
      <c r="G5" s="2237"/>
      <c r="H5" s="2237"/>
      <c r="I5" s="2237"/>
      <c r="J5" s="2237"/>
      <c r="K5" s="2237"/>
      <c r="L5" s="712"/>
      <c r="M5" s="371"/>
      <c r="N5" s="624"/>
      <c r="O5" s="624"/>
      <c r="P5" s="624"/>
      <c r="Q5" s="350"/>
      <c r="R5" s="624"/>
      <c r="S5" s="349"/>
      <c r="T5" s="349"/>
      <c r="U5" s="349"/>
      <c r="V5" s="349"/>
      <c r="IW5" s="631">
        <v>26</v>
      </c>
    </row>
    <row s="6033" customFormat="1" customHeight="1" ht="14.699999999999998">
      <c r="A6" s="1279"/>
      <c r="B6" s="1284"/>
      <c r="C6" s="1279"/>
      <c r="D6" s="1619"/>
      <c r="E6" s="633"/>
      <c r="F6" s="291"/>
      <c r="G6" s="291"/>
      <c r="H6" s="291"/>
      <c r="I6" s="291"/>
      <c r="J6" s="291"/>
      <c r="K6" s="291"/>
      <c r="L6" s="292"/>
      <c r="M6" s="624"/>
      <c r="N6" s="624"/>
      <c r="O6" s="624"/>
      <c r="P6" s="624"/>
      <c r="Q6" s="350"/>
      <c r="R6" s="624"/>
      <c r="S6" s="349"/>
      <c r="T6" s="349"/>
      <c r="U6" s="349"/>
      <c r="V6" s="349"/>
      <c r="IW6" s="631">
        <v>14</v>
      </c>
    </row>
    <row s="6033" customFormat="1" customHeight="1" ht="14.699999999999998">
      <c r="A7" s="1279"/>
      <c r="B7" s="1284"/>
      <c r="C7" s="1279"/>
      <c r="D7" s="1619"/>
      <c r="E7" s="2238" t="s">
        <v>412</v>
      </c>
      <c r="F7" s="2239"/>
      <c r="G7" s="2239"/>
      <c r="H7" s="2239"/>
      <c r="I7" s="2239"/>
      <c r="J7" s="2239"/>
      <c r="K7" s="2239"/>
      <c r="L7" s="2611" t="s">
        <v>413</v>
      </c>
      <c r="M7" s="624"/>
      <c r="N7" s="624"/>
      <c r="O7" s="624"/>
      <c r="P7" s="624"/>
      <c r="Q7" s="350"/>
      <c r="R7" s="624"/>
      <c r="S7" s="349"/>
      <c r="T7" s="349"/>
      <c r="U7" s="349"/>
      <c r="V7" s="349"/>
      <c r="IW7" s="631">
        <v>14</v>
      </c>
    </row>
    <row s="6033" customFormat="1" customHeight="1" ht="67.2">
      <c r="A8" s="1279"/>
      <c r="B8" s="1284"/>
      <c r="C8" s="1279"/>
      <c r="D8" s="1619"/>
      <c r="E8" s="2615" t="s">
        <v>88</v>
      </c>
      <c r="F8" s="261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1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18"/>
      <c r="I8" s="2619"/>
      <c r="J8" s="261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13"/>
      <c r="M8" s="624"/>
      <c r="N8" s="624"/>
      <c r="O8" s="624"/>
      <c r="P8" s="624"/>
      <c r="Q8" s="350"/>
      <c r="R8" s="624"/>
      <c r="S8" s="349"/>
      <c r="T8" s="349"/>
      <c r="U8" s="349"/>
      <c r="V8" s="349"/>
      <c r="IW8" s="631">
        <v>64</v>
      </c>
    </row>
    <row s="6033" customFormat="1" customHeight="1" ht="29.25">
      <c r="A9" s="1279"/>
      <c r="B9" s="1284"/>
      <c r="C9" s="1279"/>
      <c r="D9" s="1619"/>
      <c r="E9" s="2616"/>
      <c r="F9" s="2616"/>
      <c r="G9" s="1661" t="s">
        <v>2285</v>
      </c>
      <c r="H9" s="1661" t="s">
        <v>2286</v>
      </c>
      <c r="I9" s="1661" t="s">
        <v>2287</v>
      </c>
      <c r="J9" s="2616"/>
      <c r="K9" s="2616"/>
      <c r="L9" s="2612"/>
      <c r="M9" s="624"/>
      <c r="N9" s="624"/>
      <c r="O9" s="624"/>
      <c r="P9" s="624"/>
      <c r="Q9" s="350"/>
      <c r="R9" s="624"/>
      <c r="S9" s="349"/>
      <c r="T9" s="349"/>
      <c r="U9" s="349"/>
      <c r="V9" s="349"/>
      <c r="IW9" s="631">
        <v>28</v>
      </c>
    </row>
    <row s="7954" customFormat="1" customHeight="1" ht="23.25">
      <c r="A10" s="2236"/>
      <c r="B10" s="1284">
        <v>1</v>
      </c>
      <c r="C10" s="1284"/>
      <c r="D10" s="924"/>
      <c r="E10" s="922">
        <v>1</v>
      </c>
      <c r="F10" s="1663" t="str">
        <f>IF(ROIV_INFO_NAME="","",ROIV_INFO_NAME)</f>
        <v>ООО "СамРЭК-Эксплуатация"</v>
      </c>
      <c r="G10" s="1855" t="s">
        <v>22</v>
      </c>
      <c r="H10" s="2037"/>
      <c r="I10" s="1658"/>
      <c r="J10" s="942"/>
      <c r="K10" s="942"/>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59">
        <f>MERGEVALUE(F10)</f>
      </c>
      <c r="N10" s="635"/>
      <c r="O10" s="635"/>
      <c r="P10" s="624" t="str">
        <f t="array" ref="P10:P10">IF(ISERROR(MATCH(MID(Q10,1,250),MID(note_ter,1,250),0)),"n","y")</f>
        <v>n</v>
      </c>
      <c r="Q10" s="635"/>
      <c r="R10" s="62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544"/>
      <c r="V10" s="1284"/>
      <c r="W10" s="1284"/>
      <c r="X10" s="1284"/>
      <c r="Y10" s="546"/>
      <c r="Z10" s="546"/>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6"/>
      <c r="BW10" s="546"/>
      <c r="BX10" s="546"/>
      <c r="BY10" s="546"/>
      <c r="BZ10" s="546"/>
      <c r="CA10" s="546"/>
      <c r="CB10" s="546"/>
      <c r="CC10" s="546"/>
      <c r="CD10" s="546"/>
      <c r="CE10" s="546"/>
      <c r="IW10" s="547">
        <v>22</v>
      </c>
    </row>
    <row s="7954" customFormat="1" customHeight="1" ht="15.75">
      <c r="A11" s="2236"/>
      <c r="B11" s="1284"/>
      <c r="C11" s="536"/>
      <c r="D11" s="925"/>
      <c r="E11" s="545"/>
      <c r="F11" s="540" t="s">
        <v>2288</v>
      </c>
      <c r="G11" s="311"/>
      <c r="H11" s="311"/>
      <c r="I11" s="311"/>
      <c r="J11" s="311"/>
      <c r="K11" s="548"/>
      <c r="L11" s="2614"/>
      <c r="M11" s="1660"/>
      <c r="N11" s="635"/>
      <c r="O11" s="635"/>
      <c r="P11" s="635"/>
      <c r="Q11" s="624"/>
      <c r="R11" s="635"/>
      <c r="S11" s="1284"/>
      <c r="T11" s="1284"/>
      <c r="U11" s="544"/>
      <c r="V11" s="1284"/>
      <c r="W11" s="1284"/>
      <c r="X11" s="1284"/>
      <c r="Y11" s="546"/>
      <c r="Z11" s="546"/>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6"/>
      <c r="BW11" s="546"/>
      <c r="BX11" s="546"/>
      <c r="BY11" s="546"/>
      <c r="BZ11" s="546"/>
      <c r="CA11" s="546"/>
      <c r="CB11" s="546"/>
      <c r="CC11" s="546"/>
      <c r="CD11" s="546"/>
      <c r="CE11" s="546"/>
      <c r="IW11" s="547">
        <v>15</v>
      </c>
    </row>
    <row s="6033" customFormat="1" customHeight="1" ht="22.049999999999997">
      <c r="A12" s="1279"/>
      <c r="B12" s="1284"/>
      <c r="C12" s="1279"/>
      <c r="D12" s="575"/>
      <c r="E12" s="304"/>
      <c r="F12" s="304"/>
      <c r="G12" s="304"/>
      <c r="H12" s="304"/>
      <c r="I12" s="304"/>
      <c r="J12" s="304"/>
      <c r="K12" s="304"/>
      <c r="L12" s="304"/>
      <c r="M12" s="624"/>
      <c r="N12" s="624"/>
      <c r="O12" s="624"/>
      <c r="P12" s="624"/>
      <c r="Q12" s="350"/>
      <c r="R12" s="624"/>
      <c r="S12" s="349"/>
      <c r="T12" s="349"/>
      <c r="U12" s="349"/>
      <c r="V12" s="349"/>
      <c r="IW12" s="631">
        <v>21</v>
      </c>
    </row>
    <row s="6033" customFormat="1" customHeight="1" ht="14.699999999999998">
      <c r="A13" s="1279"/>
      <c r="B13" s="1284"/>
      <c r="C13" s="1279"/>
      <c r="D13" s="575"/>
      <c r="E13" s="1279"/>
      <c r="F13" s="1279"/>
      <c r="G13" s="1279"/>
      <c r="H13" s="1279"/>
      <c r="I13" s="1279"/>
      <c r="J13" s="1279"/>
      <c r="K13" s="1279"/>
      <c r="L13" s="1279"/>
      <c r="M13" s="624"/>
      <c r="N13" s="624"/>
      <c r="O13" s="624"/>
      <c r="P13" s="624"/>
      <c r="Q13" s="350"/>
      <c r="R13" s="624"/>
      <c r="S13" s="349"/>
      <c r="T13" s="349"/>
      <c r="U13" s="349"/>
      <c r="V13" s="349"/>
      <c r="IW13" s="631">
        <v>14</v>
      </c>
    </row>
    <row s="6033" customFormat="1" customHeight="1" ht="1.05">
      <c r="A14" s="1279"/>
      <c r="B14" s="1284"/>
      <c r="C14" s="1279"/>
      <c r="D14" s="575"/>
      <c r="E14" s="1279"/>
      <c r="F14" s="1279"/>
      <c r="G14" s="1279"/>
      <c r="H14" s="1279"/>
      <c r="I14" s="1279"/>
      <c r="J14" s="1279"/>
      <c r="K14" s="1279"/>
      <c r="L14" s="1279"/>
      <c r="M14" s="624"/>
      <c r="N14" s="624"/>
      <c r="O14" s="624"/>
      <c r="P14" s="624"/>
      <c r="Q14" s="350"/>
      <c r="R14" s="624"/>
      <c r="S14" s="349"/>
      <c r="T14" s="349"/>
      <c r="U14" s="349"/>
      <c r="V14" s="349"/>
      <c r="IW14" s="631">
        <v>1</v>
      </c>
    </row>
    <row customHeight="1" ht="22.5" hidden="1">
      <c r="A15" s="1279" t="s">
        <v>82</v>
      </c>
      <c r="B15" s="1284">
        <v>0</v>
      </c>
      <c r="C15" s="1279">
        <v>0</v>
      </c>
      <c r="D15" s="575">
        <v>3</v>
      </c>
      <c r="E15" s="1279">
        <v>6</v>
      </c>
      <c r="F15" s="1279">
        <v>27</v>
      </c>
      <c r="G15" s="1279">
        <v>16</v>
      </c>
      <c r="H15" s="1279">
        <v>12</v>
      </c>
      <c r="I15" s="1279">
        <v>32</v>
      </c>
      <c r="J15" s="1279">
        <v>41</v>
      </c>
      <c r="K15" s="1279">
        <v>41</v>
      </c>
      <c r="L15" s="1279">
        <v>89</v>
      </c>
      <c r="M15" s="624">
        <v>3</v>
      </c>
      <c r="N15" s="624">
        <v>8</v>
      </c>
      <c r="O15" s="624">
        <v>8</v>
      </c>
      <c r="P15" s="624">
        <v>8</v>
      </c>
      <c r="Q15" s="350">
        <v>25</v>
      </c>
      <c r="R15" s="624">
        <v>14</v>
      </c>
      <c r="S15" s="349">
        <v>8</v>
      </c>
      <c r="T15" s="349">
        <v>8</v>
      </c>
      <c r="U15" s="349">
        <v>8</v>
      </c>
      <c r="V15" s="349">
        <v>8</v>
      </c>
      <c r="W15" s="1279">
        <v>8</v>
      </c>
      <c r="X15" s="1279">
        <v>8</v>
      </c>
      <c r="Y15" s="1279">
        <v>8</v>
      </c>
      <c r="Z15" s="1279">
        <v>8</v>
      </c>
      <c r="AA15" s="1279">
        <v>8</v>
      </c>
      <c r="AB15" s="1279">
        <v>8</v>
      </c>
      <c r="AC15" s="1279">
        <v>8</v>
      </c>
      <c r="AD15" s="1279">
        <v>8</v>
      </c>
      <c r="AE15" s="1279">
        <v>8</v>
      </c>
      <c r="AF15" s="1279">
        <v>8</v>
      </c>
      <c r="AG15" s="1279">
        <v>8</v>
      </c>
      <c r="AH15" s="1279">
        <v>8</v>
      </c>
      <c r="AI15" s="1279">
        <v>8</v>
      </c>
      <c r="AJ15" s="1279">
        <v>8</v>
      </c>
      <c r="AK15" s="1279">
        <v>8</v>
      </c>
      <c r="AL15" s="1279">
        <v>8</v>
      </c>
      <c r="AM15" s="1279">
        <v>8</v>
      </c>
      <c r="AN15" s="1279">
        <v>8</v>
      </c>
      <c r="AO15" s="1279">
        <v>8</v>
      </c>
      <c r="AP15" s="1279">
        <v>8</v>
      </c>
      <c r="AQ15" s="1279">
        <v>8</v>
      </c>
      <c r="AR15" s="1279">
        <v>8</v>
      </c>
      <c r="AS15" s="1279">
        <v>8</v>
      </c>
      <c r="AT15" s="1279">
        <v>8</v>
      </c>
      <c r="AU15" s="1279">
        <v>8</v>
      </c>
      <c r="AV15" s="1279">
        <v>8</v>
      </c>
      <c r="AW15" s="1279">
        <v>8</v>
      </c>
      <c r="AX15" s="1279">
        <v>8</v>
      </c>
      <c r="AY15" s="1279">
        <v>8</v>
      </c>
      <c r="AZ15" s="1279">
        <v>8</v>
      </c>
      <c r="BA15" s="1279">
        <v>8</v>
      </c>
      <c r="BB15" s="1279">
        <v>8</v>
      </c>
      <c r="BC15" s="1279">
        <v>8</v>
      </c>
      <c r="BD15" s="1279">
        <v>8</v>
      </c>
      <c r="BE15" s="1279">
        <v>8</v>
      </c>
      <c r="BF15" s="1279">
        <v>8</v>
      </c>
      <c r="BG15" s="1279">
        <v>8</v>
      </c>
      <c r="BH15" s="1279">
        <v>8</v>
      </c>
      <c r="BI15" s="1279">
        <v>8</v>
      </c>
      <c r="BJ15" s="1279">
        <v>8</v>
      </c>
      <c r="BK15" s="1279">
        <v>8</v>
      </c>
      <c r="BL15" s="1279">
        <v>8</v>
      </c>
      <c r="BM15" s="1279">
        <v>8</v>
      </c>
      <c r="BN15" s="1279">
        <v>8</v>
      </c>
      <c r="BO15" s="1279">
        <v>8</v>
      </c>
      <c r="BP15" s="1279">
        <v>8</v>
      </c>
      <c r="BQ15" s="1279">
        <v>8</v>
      </c>
      <c r="BR15" s="1279">
        <v>8</v>
      </c>
      <c r="BS15" s="1279">
        <v>8</v>
      </c>
      <c r="BT15" s="1279">
        <v>8</v>
      </c>
      <c r="BU15" s="1279">
        <v>8</v>
      </c>
      <c r="BV15" s="1279">
        <v>8</v>
      </c>
      <c r="BW15" s="1279">
        <v>8</v>
      </c>
      <c r="BX15" s="1279">
        <v>8</v>
      </c>
      <c r="BY15" s="1279">
        <v>8</v>
      </c>
      <c r="BZ15" s="1279">
        <v>8</v>
      </c>
      <c r="CA15" s="1279">
        <v>8</v>
      </c>
      <c r="CB15" s="1279">
        <v>8</v>
      </c>
      <c r="CC15" s="1279">
        <v>8</v>
      </c>
      <c r="CD15" s="1279">
        <v>8</v>
      </c>
      <c r="CE15" s="1279">
        <v>8</v>
      </c>
      <c r="CF15" s="1279">
        <v>8</v>
      </c>
      <c r="CG15" s="1279">
        <v>8</v>
      </c>
      <c r="CH15" s="1279">
        <v>8</v>
      </c>
      <c r="CI15" s="1279">
        <v>8</v>
      </c>
      <c r="CJ15" s="1279">
        <v>8</v>
      </c>
      <c r="CK15" s="1279">
        <v>8</v>
      </c>
      <c r="CL15" s="1279">
        <v>8</v>
      </c>
      <c r="CM15" s="1279">
        <v>8</v>
      </c>
      <c r="CN15" s="1279">
        <v>8</v>
      </c>
      <c r="CO15" s="1279">
        <v>8</v>
      </c>
      <c r="CP15" s="1279">
        <v>8</v>
      </c>
      <c r="CQ15" s="1279">
        <v>8</v>
      </c>
      <c r="CR15" s="1279">
        <v>8</v>
      </c>
      <c r="CS15" s="1279">
        <v>8</v>
      </c>
      <c r="CT15" s="1279">
        <v>8</v>
      </c>
      <c r="CU15" s="1279">
        <v>8</v>
      </c>
      <c r="CV15" s="1279">
        <v>8</v>
      </c>
      <c r="CW15" s="1279">
        <v>8</v>
      </c>
      <c r="CX15" s="1279">
        <v>8</v>
      </c>
      <c r="CY15" s="1279">
        <v>8</v>
      </c>
      <c r="CZ15" s="1279">
        <v>8</v>
      </c>
      <c r="DA15" s="1279">
        <v>8</v>
      </c>
      <c r="DB15" s="1279">
        <v>8</v>
      </c>
      <c r="DC15" s="1279">
        <v>8</v>
      </c>
      <c r="DD15" s="1279">
        <v>8</v>
      </c>
      <c r="DE15" s="1279">
        <v>8</v>
      </c>
      <c r="DF15" s="1279">
        <v>8</v>
      </c>
      <c r="DG15" s="1279">
        <v>8</v>
      </c>
      <c r="DH15" s="1279">
        <v>8</v>
      </c>
      <c r="DI15" s="1279">
        <v>8</v>
      </c>
      <c r="DJ15" s="1279">
        <v>8</v>
      </c>
      <c r="DK15" s="1279">
        <v>8</v>
      </c>
      <c r="DL15" s="1279">
        <v>8</v>
      </c>
      <c r="DM15" s="1279">
        <v>8</v>
      </c>
      <c r="DN15" s="1279">
        <v>8</v>
      </c>
      <c r="DO15" s="1279">
        <v>8</v>
      </c>
      <c r="DP15" s="1279">
        <v>8</v>
      </c>
      <c r="DQ15" s="1279">
        <v>8</v>
      </c>
      <c r="DR15" s="1279">
        <v>8</v>
      </c>
      <c r="DS15" s="1279">
        <v>8</v>
      </c>
      <c r="DT15" s="1279">
        <v>8</v>
      </c>
      <c r="DU15" s="1279">
        <v>8</v>
      </c>
      <c r="DV15" s="1279">
        <v>8</v>
      </c>
      <c r="DW15" s="1279">
        <v>8</v>
      </c>
      <c r="DX15" s="1279">
        <v>8</v>
      </c>
      <c r="DY15" s="1279">
        <v>8</v>
      </c>
      <c r="DZ15" s="1279">
        <v>8</v>
      </c>
      <c r="EA15" s="1279">
        <v>8</v>
      </c>
      <c r="EB15" s="1279">
        <v>8</v>
      </c>
      <c r="EC15" s="1279">
        <v>8</v>
      </c>
      <c r="ED15" s="1279">
        <v>8</v>
      </c>
      <c r="EE15" s="1279">
        <v>8</v>
      </c>
      <c r="EF15" s="1279">
        <v>8</v>
      </c>
      <c r="EG15" s="1279">
        <v>8</v>
      </c>
      <c r="EH15" s="1279">
        <v>8</v>
      </c>
      <c r="EI15" s="1279">
        <v>8</v>
      </c>
      <c r="EJ15" s="1279">
        <v>8</v>
      </c>
      <c r="EK15" s="1279">
        <v>8</v>
      </c>
      <c r="EL15" s="1279">
        <v>8</v>
      </c>
      <c r="EM15" s="1279">
        <v>8</v>
      </c>
      <c r="EN15" s="1279">
        <v>8</v>
      </c>
      <c r="EO15" s="1279">
        <v>8</v>
      </c>
      <c r="EP15" s="1279">
        <v>8</v>
      </c>
      <c r="EQ15" s="1279">
        <v>8</v>
      </c>
      <c r="ER15" s="1279">
        <v>8</v>
      </c>
      <c r="ES15" s="1279">
        <v>8</v>
      </c>
      <c r="ET15" s="1279">
        <v>8</v>
      </c>
      <c r="EU15" s="1279">
        <v>8</v>
      </c>
      <c r="EV15" s="1279">
        <v>8</v>
      </c>
      <c r="EW15" s="1279">
        <v>8</v>
      </c>
      <c r="EX15" s="1279">
        <v>8</v>
      </c>
      <c r="EY15" s="1279">
        <v>8</v>
      </c>
      <c r="EZ15" s="1279">
        <v>8</v>
      </c>
      <c r="FA15" s="1279">
        <v>8</v>
      </c>
      <c r="FB15" s="1279">
        <v>8</v>
      </c>
      <c r="FC15" s="1279">
        <v>8</v>
      </c>
      <c r="FD15" s="1279">
        <v>8</v>
      </c>
      <c r="FE15" s="1279">
        <v>8</v>
      </c>
      <c r="FF15" s="1279">
        <v>8</v>
      </c>
      <c r="FG15" s="1279">
        <v>8</v>
      </c>
      <c r="FH15" s="1279">
        <v>8</v>
      </c>
      <c r="FI15" s="1279">
        <v>8</v>
      </c>
      <c r="FJ15" s="1279">
        <v>8</v>
      </c>
      <c r="FK15" s="1279">
        <v>8</v>
      </c>
      <c r="FL15" s="1279">
        <v>8</v>
      </c>
      <c r="FM15" s="1279">
        <v>8</v>
      </c>
      <c r="FN15" s="1279">
        <v>8</v>
      </c>
      <c r="FO15" s="1279">
        <v>8</v>
      </c>
      <c r="FP15" s="1279">
        <v>8</v>
      </c>
      <c r="FQ15" s="1279">
        <v>8</v>
      </c>
      <c r="FR15" s="1279">
        <v>8</v>
      </c>
      <c r="FS15" s="1279">
        <v>8</v>
      </c>
      <c r="FT15" s="1279">
        <v>8</v>
      </c>
      <c r="FU15" s="1279">
        <v>8</v>
      </c>
      <c r="FV15" s="1279">
        <v>8</v>
      </c>
      <c r="FW15" s="1279">
        <v>8</v>
      </c>
      <c r="FX15" s="1279">
        <v>8</v>
      </c>
      <c r="FY15" s="1279">
        <v>8</v>
      </c>
      <c r="FZ15" s="1279">
        <v>8</v>
      </c>
      <c r="GA15" s="1279">
        <v>8</v>
      </c>
      <c r="GB15" s="1279">
        <v>8</v>
      </c>
      <c r="GC15" s="1279">
        <v>8</v>
      </c>
      <c r="GD15" s="1279">
        <v>8</v>
      </c>
      <c r="GE15" s="1279">
        <v>8</v>
      </c>
      <c r="GF15" s="1279">
        <v>8</v>
      </c>
      <c r="GG15" s="1279">
        <v>8</v>
      </c>
      <c r="GH15" s="1279">
        <v>8</v>
      </c>
      <c r="GI15" s="1279">
        <v>8</v>
      </c>
      <c r="GJ15" s="1279">
        <v>8</v>
      </c>
      <c r="GK15" s="1279">
        <v>8</v>
      </c>
      <c r="GL15" s="1279">
        <v>8</v>
      </c>
      <c r="GM15" s="1279">
        <v>8</v>
      </c>
      <c r="GN15" s="1279">
        <v>8</v>
      </c>
      <c r="GO15" s="1279">
        <v>8</v>
      </c>
      <c r="GP15" s="1279">
        <v>8</v>
      </c>
      <c r="GQ15" s="1279">
        <v>8</v>
      </c>
      <c r="GR15" s="1279">
        <v>8</v>
      </c>
      <c r="GS15" s="1279">
        <v>8</v>
      </c>
      <c r="GT15" s="1279">
        <v>8</v>
      </c>
      <c r="GU15" s="1279">
        <v>8</v>
      </c>
      <c r="GV15" s="1279">
        <v>8</v>
      </c>
      <c r="GW15" s="1279">
        <v>8</v>
      </c>
      <c r="GX15" s="1279">
        <v>8</v>
      </c>
      <c r="GY15" s="1279">
        <v>8</v>
      </c>
      <c r="GZ15" s="1279">
        <v>8</v>
      </c>
      <c r="HA15" s="1279">
        <v>8</v>
      </c>
      <c r="HB15" s="1279">
        <v>8</v>
      </c>
      <c r="HC15" s="1279">
        <v>8</v>
      </c>
      <c r="HD15" s="1279">
        <v>8</v>
      </c>
      <c r="HE15" s="1279">
        <v>8</v>
      </c>
      <c r="HF15" s="1279">
        <v>8</v>
      </c>
      <c r="HG15" s="1279">
        <v>8</v>
      </c>
      <c r="HH15" s="1279">
        <v>8</v>
      </c>
      <c r="HI15" s="1279">
        <v>8</v>
      </c>
      <c r="HJ15" s="1279">
        <v>8</v>
      </c>
      <c r="HK15" s="1279">
        <v>8</v>
      </c>
      <c r="HL15" s="1279">
        <v>8</v>
      </c>
      <c r="HM15" s="1279">
        <v>8</v>
      </c>
      <c r="HN15" s="1279">
        <v>8</v>
      </c>
      <c r="HO15" s="1279">
        <v>8</v>
      </c>
      <c r="HP15" s="1279">
        <v>8</v>
      </c>
      <c r="HQ15" s="1279">
        <v>8</v>
      </c>
      <c r="HR15" s="1279">
        <v>8</v>
      </c>
      <c r="HS15" s="1279">
        <v>8</v>
      </c>
      <c r="HT15" s="1279">
        <v>8</v>
      </c>
      <c r="HU15" s="1279">
        <v>8</v>
      </c>
      <c r="HV15" s="1279">
        <v>8</v>
      </c>
      <c r="HW15" s="1279">
        <v>8</v>
      </c>
      <c r="HX15" s="1279">
        <v>8</v>
      </c>
      <c r="HY15" s="1279">
        <v>8</v>
      </c>
      <c r="HZ15" s="1279">
        <v>8</v>
      </c>
      <c r="IA15" s="1279">
        <v>8</v>
      </c>
      <c r="IB15" s="1279">
        <v>8</v>
      </c>
      <c r="IC15" s="1279">
        <v>8</v>
      </c>
      <c r="ID15" s="1279">
        <v>8</v>
      </c>
      <c r="IE15" s="1279">
        <v>8</v>
      </c>
      <c r="IF15" s="1279">
        <v>8</v>
      </c>
      <c r="IG15" s="1279">
        <v>8</v>
      </c>
      <c r="IH15" s="1279">
        <v>8</v>
      </c>
      <c r="II15" s="1279">
        <v>8</v>
      </c>
      <c r="IJ15" s="1279">
        <v>8</v>
      </c>
      <c r="IK15" s="1279">
        <v>8</v>
      </c>
      <c r="IL15" s="1279">
        <v>8</v>
      </c>
      <c r="IM15" s="1279">
        <v>8</v>
      </c>
      <c r="IN15" s="1279">
        <v>8</v>
      </c>
      <c r="IO15" s="1279">
        <v>8</v>
      </c>
      <c r="IP15" s="1279">
        <v>8</v>
      </c>
      <c r="IQ15" s="1279">
        <v>8</v>
      </c>
      <c r="IR15" s="1279">
        <v>8</v>
      </c>
      <c r="IS15" s="1279">
        <v>8</v>
      </c>
      <c r="IT15" s="1279">
        <v>8</v>
      </c>
      <c r="IU15" s="1279">
        <v>8</v>
      </c>
      <c r="IV15" s="1279">
        <v>8</v>
      </c>
      <c r="IW15" s="127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F68E58-4866-7FF8-2D53-69C62048DE8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7213" width="9.140625" hidden="1"/>
    <col min="2" max="2" style="7158" width="9.140625" hidden="1"/>
    <col min="3" max="3" style="7213" width="3.7109375" hidden="1" customWidth="1"/>
    <col min="4" max="4" style="7736" width="3.00390625" customWidth="1"/>
    <col min="5" max="5" style="7213" width="6.00390625" customWidth="1"/>
    <col min="6" max="6" style="7213" width="27.00390625" customWidth="1"/>
    <col min="7" max="7" style="7213" width="16.00390625" customWidth="1"/>
    <col min="8" max="8" style="7213" width="12.00390625" customWidth="1"/>
    <col min="9" max="9" style="7213" width="32.00390625" customWidth="1"/>
    <col min="10" max="11" style="7213" width="41.00390625" customWidth="1"/>
    <col min="12" max="12" style="7213" width="89.00390625" customWidth="1"/>
    <col min="13" max="13" style="7161" width="3.00390625" customWidth="1"/>
    <col min="14" max="16" style="7161" width="8.00390625" customWidth="1"/>
    <col min="17" max="17" style="7161" width="25.00390625" customWidth="1"/>
    <col min="18" max="18" style="7161" width="14.00390625" customWidth="1"/>
    <col min="19" max="22" style="5583" width="8.00390625" customWidth="1"/>
    <col min="23" max="256" style="7213" width="8.00390625" customWidth="1"/>
    <col min="257" max="257" style="7213" width="9.140625" hidden="1"/>
  </cols>
  <sheetData>
    <row customHeight="1" ht="22.5" hidden="1">
      <c r="IW1" s="1755" t="s">
        <v>14</v>
      </c>
    </row>
    <row s="7954" customFormat="1" customHeight="1" ht="22.5" hidden="1">
      <c r="A2" s="955"/>
      <c r="B2" s="1490">
        <v>1</v>
      </c>
      <c r="C2" s="1490"/>
      <c r="D2" s="2049" t="s">
        <v>103</v>
      </c>
      <c r="E2" s="2025"/>
      <c r="F2" s="2027" t="str">
        <f>IF(ROIV_INFO_NAME="","",ROIV_INFO_NAME)</f>
        <v>ООО "СамРЭК-Эксплуатация"</v>
      </c>
      <c r="G2" s="1855" t="s">
        <v>22</v>
      </c>
      <c r="H2" s="2037"/>
      <c r="I2" s="1662"/>
      <c r="J2" s="942"/>
      <c r="K2" s="942"/>
      <c r="L2" s="352"/>
      <c r="M2" s="1659">
        <f>MERGEVALUE(F2)</f>
      </c>
      <c r="N2" s="1760"/>
      <c r="O2" s="1760"/>
      <c r="P2" s="1748" t="str">
        <f t="array" ref="P2:P2">IF(ISERROR(MATCH(MID(Q2,1,250),MID(note_ter,1,250),0)),"n","y")</f>
        <v>n</v>
      </c>
      <c r="Q2" s="1760"/>
      <c r="R2" s="1748" t="str">
        <f>G2&amp;"("&amp;L2&amp;")"</f>
        <v>()</v>
      </c>
      <c r="S2" s="1490"/>
      <c r="T2" s="1490"/>
      <c r="U2" s="544"/>
      <c r="V2" s="1490"/>
      <c r="W2" s="1490"/>
      <c r="X2" s="1490"/>
      <c r="Y2" s="957"/>
      <c r="Z2" s="957"/>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957"/>
      <c r="BW2" s="957"/>
      <c r="BX2" s="957"/>
      <c r="BY2" s="957"/>
      <c r="BZ2" s="957"/>
      <c r="CA2" s="957"/>
      <c r="CB2" s="957"/>
      <c r="CC2" s="957"/>
      <c r="CD2" s="957"/>
      <c r="CE2" s="957"/>
      <c r="IW2" s="748">
        <v>0</v>
      </c>
    </row>
    <row s="6698" customFormat="1" customHeight="1" ht="5.25" hidden="1">
      <c r="A3" s="1765"/>
      <c r="D3" s="2014"/>
      <c r="F3" s="372" t="s">
        <v>83</v>
      </c>
      <c r="G3" s="1858" t="s">
        <v>84</v>
      </c>
      <c r="H3" s="2014"/>
      <c r="I3" s="2014"/>
      <c r="J3" s="2014"/>
      <c r="K3" s="2014"/>
      <c r="L3" s="351" t="s">
        <v>85</v>
      </c>
      <c r="M3" s="372" t="s">
        <v>83</v>
      </c>
      <c r="N3" s="372"/>
      <c r="O3" s="372"/>
      <c r="P3" s="372"/>
      <c r="Q3" s="372"/>
      <c r="R3" s="372"/>
      <c r="S3" s="372"/>
      <c r="T3" s="372"/>
      <c r="U3" s="372"/>
      <c r="V3" s="372"/>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c r="IW3" s="1760">
        <v>0</v>
      </c>
    </row>
    <row s="6033" customFormat="1" customHeight="1" ht="14.699999999999998">
      <c r="A4" s="1755"/>
      <c r="B4" s="1490"/>
      <c r="C4" s="1755"/>
      <c r="D4" s="1639"/>
      <c r="E4" s="1759"/>
      <c r="F4" s="1759"/>
      <c r="G4" s="1759"/>
      <c r="H4" s="1759"/>
      <c r="I4" s="1759"/>
      <c r="J4" s="1759"/>
      <c r="K4" s="1759"/>
      <c r="L4" s="2016"/>
      <c r="M4" s="372"/>
      <c r="N4" s="1748"/>
      <c r="O4" s="1748"/>
      <c r="P4" s="1748"/>
      <c r="Q4" s="1748"/>
      <c r="R4" s="1748"/>
      <c r="S4" s="349"/>
      <c r="T4" s="349"/>
      <c r="U4" s="349"/>
      <c r="V4" s="349"/>
      <c r="IW4" s="1733">
        <v>14</v>
      </c>
    </row>
    <row s="6033" customFormat="1" customHeight="1" ht="27.299999999999997">
      <c r="A5" s="1755"/>
      <c r="B5" s="1490"/>
      <c r="C5" s="1755"/>
      <c r="D5" s="1639"/>
      <c r="E5" s="22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7"/>
      <c r="G5" s="2237"/>
      <c r="H5" s="2237"/>
      <c r="I5" s="2237"/>
      <c r="J5" s="2237"/>
      <c r="K5" s="2237"/>
      <c r="L5" s="1759"/>
      <c r="M5" s="372"/>
      <c r="N5" s="1748"/>
      <c r="O5" s="1748"/>
      <c r="P5" s="1748"/>
      <c r="Q5" s="1748"/>
      <c r="R5" s="1748"/>
      <c r="S5" s="349"/>
      <c r="T5" s="349"/>
      <c r="U5" s="349"/>
      <c r="V5" s="349"/>
      <c r="IW5" s="1733">
        <v>26</v>
      </c>
    </row>
    <row s="6033" customFormat="1" customHeight="1" ht="14.699999999999998">
      <c r="A6" s="1755"/>
      <c r="B6" s="1490"/>
      <c r="C6" s="1755"/>
      <c r="D6" s="1639"/>
      <c r="E6" s="1759"/>
      <c r="F6" s="740"/>
      <c r="G6" s="740"/>
      <c r="H6" s="740"/>
      <c r="I6" s="740"/>
      <c r="J6" s="740"/>
      <c r="K6" s="740"/>
      <c r="L6" s="1376"/>
      <c r="M6" s="1748"/>
      <c r="N6" s="1748"/>
      <c r="O6" s="1748"/>
      <c r="P6" s="1748"/>
      <c r="Q6" s="1748"/>
      <c r="R6" s="1748"/>
      <c r="S6" s="349"/>
      <c r="T6" s="349"/>
      <c r="U6" s="349"/>
      <c r="V6" s="349"/>
      <c r="IW6" s="1733">
        <v>14</v>
      </c>
    </row>
    <row s="6033" customFormat="1" customHeight="1" ht="14.699999999999998">
      <c r="A7" s="1755"/>
      <c r="B7" s="1490"/>
      <c r="C7" s="1755"/>
      <c r="D7" s="1639"/>
      <c r="E7" s="2238" t="s">
        <v>412</v>
      </c>
      <c r="F7" s="2239"/>
      <c r="G7" s="2239"/>
      <c r="H7" s="2239"/>
      <c r="I7" s="2239"/>
      <c r="J7" s="2239"/>
      <c r="K7" s="2239"/>
      <c r="L7" s="2611" t="s">
        <v>413</v>
      </c>
      <c r="M7" s="1748"/>
      <c r="N7" s="1748"/>
      <c r="O7" s="1748"/>
      <c r="P7" s="1748"/>
      <c r="Q7" s="1748"/>
      <c r="R7" s="1748"/>
      <c r="S7" s="349"/>
      <c r="T7" s="349"/>
      <c r="U7" s="349"/>
      <c r="V7" s="349"/>
      <c r="IW7" s="1733">
        <v>14</v>
      </c>
    </row>
    <row s="6033" customFormat="1" customHeight="1" ht="67.2">
      <c r="A8" s="1755"/>
      <c r="B8" s="1490"/>
      <c r="C8" s="1755"/>
      <c r="D8" s="1639"/>
      <c r="E8" s="2615" t="s">
        <v>88</v>
      </c>
      <c r="F8" s="2615" t="s">
        <v>2289</v>
      </c>
      <c r="G8" s="2617" t="s">
        <v>2290</v>
      </c>
      <c r="H8" s="2618"/>
      <c r="I8" s="2619"/>
      <c r="J8" s="2615" t="s">
        <v>2291</v>
      </c>
      <c r="K8" s="26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13"/>
      <c r="M8" s="1748"/>
      <c r="N8" s="1748"/>
      <c r="O8" s="1748"/>
      <c r="P8" s="1748"/>
      <c r="Q8" s="1748"/>
      <c r="R8" s="1748"/>
      <c r="S8" s="349"/>
      <c r="T8" s="349"/>
      <c r="U8" s="349"/>
      <c r="V8" s="349"/>
      <c r="IW8" s="1733">
        <v>64</v>
      </c>
    </row>
    <row s="6033" customFormat="1" customHeight="1" ht="29.25">
      <c r="A9" s="1755"/>
      <c r="B9" s="1490"/>
      <c r="C9" s="1755"/>
      <c r="D9" s="1639"/>
      <c r="E9" s="2616"/>
      <c r="F9" s="2616"/>
      <c r="G9" s="2015" t="s">
        <v>2285</v>
      </c>
      <c r="H9" s="2015" t="s">
        <v>2286</v>
      </c>
      <c r="I9" s="2015" t="s">
        <v>2287</v>
      </c>
      <c r="J9" s="2616"/>
      <c r="K9" s="2616"/>
      <c r="L9" s="2612"/>
      <c r="M9" s="1748"/>
      <c r="N9" s="1748"/>
      <c r="O9" s="1748"/>
      <c r="P9" s="1748"/>
      <c r="Q9" s="1748"/>
      <c r="R9" s="1748"/>
      <c r="S9" s="349"/>
      <c r="T9" s="349"/>
      <c r="U9" s="349"/>
      <c r="V9" s="349"/>
      <c r="IW9" s="1733">
        <v>28</v>
      </c>
    </row>
    <row s="7954" customFormat="1" customHeight="1" ht="1.05">
      <c r="A10" s="2236"/>
      <c r="B10" s="1490">
        <v>1</v>
      </c>
      <c r="C10" s="1490"/>
      <c r="D10" s="924"/>
      <c r="E10" s="919">
        <v>0</v>
      </c>
      <c r="F10" s="2012" t="str">
        <f>IF(ROIV_INFO_NAME="","",ROIV_INFO_NAME)</f>
        <v>ООО "СамРЭК-Эксплуатация"</v>
      </c>
      <c r="G10" s="1856" t="s">
        <v>22</v>
      </c>
      <c r="H10" s="2024"/>
      <c r="I10" s="2024"/>
      <c r="J10" s="643"/>
      <c r="K10" s="643"/>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59">
        <f>MERGEVALUE(F10)</f>
      </c>
      <c r="N10" s="1760"/>
      <c r="O10" s="1760"/>
      <c r="P10" s="1748" t="str">
        <f t="array" ref="P10:P10">IF(ISERROR(MATCH(MID(Q10,1,250),MID(note_ter,1,250),0)),"n","y")</f>
        <v>n</v>
      </c>
      <c r="Q10" s="1760"/>
      <c r="R10" s="17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90"/>
      <c r="T10" s="1490"/>
      <c r="U10" s="544"/>
      <c r="V10" s="1490"/>
      <c r="W10" s="1490"/>
      <c r="X10" s="1490"/>
      <c r="Y10" s="957"/>
      <c r="Z10" s="957"/>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751"/>
      <c r="BC10" s="751"/>
      <c r="BD10" s="751"/>
      <c r="BE10" s="751"/>
      <c r="BF10" s="751"/>
      <c r="BG10" s="751"/>
      <c r="BH10" s="751"/>
      <c r="BI10" s="751"/>
      <c r="BJ10" s="751"/>
      <c r="BK10" s="751"/>
      <c r="BL10" s="751"/>
      <c r="BM10" s="751"/>
      <c r="BN10" s="751"/>
      <c r="BO10" s="751"/>
      <c r="BP10" s="751"/>
      <c r="BQ10" s="751"/>
      <c r="BR10" s="751"/>
      <c r="BS10" s="751"/>
      <c r="BT10" s="751"/>
      <c r="BU10" s="751"/>
      <c r="BV10" s="957"/>
      <c r="BW10" s="957"/>
      <c r="BX10" s="957"/>
      <c r="BY10" s="957"/>
      <c r="BZ10" s="957"/>
      <c r="CA10" s="957"/>
      <c r="CB10" s="957"/>
      <c r="CC10" s="957"/>
      <c r="CD10" s="957"/>
      <c r="CE10" s="957"/>
      <c r="IW10" s="748">
        <v>1</v>
      </c>
    </row>
    <row s="7954" customFormat="1" customHeight="1" ht="15.75">
      <c r="A11" s="2236"/>
      <c r="B11" s="1490"/>
      <c r="C11" s="536"/>
      <c r="D11" s="925"/>
      <c r="E11" s="545"/>
      <c r="F11" s="775" t="s">
        <v>2288</v>
      </c>
      <c r="G11" s="311"/>
      <c r="H11" s="311"/>
      <c r="I11" s="311"/>
      <c r="J11" s="311"/>
      <c r="K11" s="548"/>
      <c r="L11" s="2614"/>
      <c r="M11" s="1660"/>
      <c r="N11" s="1760"/>
      <c r="O11" s="1760"/>
      <c r="P11" s="1760"/>
      <c r="Q11" s="1748"/>
      <c r="R11" s="1760"/>
      <c r="S11" s="1490"/>
      <c r="T11" s="1490"/>
      <c r="U11" s="544"/>
      <c r="V11" s="1490"/>
      <c r="W11" s="1490"/>
      <c r="X11" s="1490"/>
      <c r="Y11" s="957"/>
      <c r="Z11" s="957"/>
      <c r="AA11" s="751"/>
      <c r="AB11" s="751"/>
      <c r="AC11" s="751"/>
      <c r="AD11" s="751"/>
      <c r="AE11" s="751"/>
      <c r="AF11" s="751"/>
      <c r="AG11" s="751"/>
      <c r="AH11" s="751"/>
      <c r="AI11" s="751"/>
      <c r="AJ11" s="751"/>
      <c r="AK11" s="751"/>
      <c r="AL11" s="751"/>
      <c r="AM11" s="751"/>
      <c r="AN11" s="751"/>
      <c r="AO11" s="751"/>
      <c r="AP11" s="751"/>
      <c r="AQ11" s="751"/>
      <c r="AR11" s="751"/>
      <c r="AS11" s="751"/>
      <c r="AT11" s="751"/>
      <c r="AU11" s="751"/>
      <c r="AV11" s="751"/>
      <c r="AW11" s="751"/>
      <c r="AX11" s="751"/>
      <c r="AY11" s="751"/>
      <c r="AZ11" s="751"/>
      <c r="BA11" s="751"/>
      <c r="BB11" s="751"/>
      <c r="BC11" s="751"/>
      <c r="BD11" s="751"/>
      <c r="BE11" s="751"/>
      <c r="BF11" s="751"/>
      <c r="BG11" s="751"/>
      <c r="BH11" s="751"/>
      <c r="BI11" s="751"/>
      <c r="BJ11" s="751"/>
      <c r="BK11" s="751"/>
      <c r="BL11" s="751"/>
      <c r="BM11" s="751"/>
      <c r="BN11" s="751"/>
      <c r="BO11" s="751"/>
      <c r="BP11" s="751"/>
      <c r="BQ11" s="751"/>
      <c r="BR11" s="751"/>
      <c r="BS11" s="751"/>
      <c r="BT11" s="751"/>
      <c r="BU11" s="751"/>
      <c r="BV11" s="957"/>
      <c r="BW11" s="957"/>
      <c r="BX11" s="957"/>
      <c r="BY11" s="957"/>
      <c r="BZ11" s="957"/>
      <c r="CA11" s="957"/>
      <c r="CB11" s="957"/>
      <c r="CC11" s="957"/>
      <c r="CD11" s="957"/>
      <c r="CE11" s="957"/>
      <c r="IW11" s="748">
        <v>15</v>
      </c>
    </row>
    <row s="6033" customFormat="1" customHeight="1" ht="22.049999999999997">
      <c r="A12" s="1755"/>
      <c r="B12" s="1490"/>
      <c r="C12" s="1755"/>
      <c r="D12" s="1757"/>
      <c r="E12" s="304"/>
      <c r="F12" s="304"/>
      <c r="G12" s="304"/>
      <c r="H12" s="304"/>
      <c r="I12" s="304"/>
      <c r="J12" s="304"/>
      <c r="K12" s="304"/>
      <c r="L12" s="304"/>
      <c r="M12" s="1748"/>
      <c r="N12" s="1748"/>
      <c r="O12" s="1748"/>
      <c r="P12" s="1748"/>
      <c r="Q12" s="1748"/>
      <c r="R12" s="1748"/>
      <c r="S12" s="349"/>
      <c r="T12" s="349"/>
      <c r="U12" s="349"/>
      <c r="V12" s="349"/>
      <c r="IW12" s="1733">
        <v>21</v>
      </c>
    </row>
    <row s="6033" customFormat="1" customHeight="1" ht="14.699999999999998">
      <c r="A13" s="1755"/>
      <c r="B13" s="1490"/>
      <c r="C13" s="1755"/>
      <c r="D13" s="1757"/>
      <c r="E13" s="1755"/>
      <c r="F13" s="1755"/>
      <c r="G13" s="1755"/>
      <c r="H13" s="1755"/>
      <c r="I13" s="1755"/>
      <c r="J13" s="1755"/>
      <c r="K13" s="1755"/>
      <c r="L13" s="1755"/>
      <c r="M13" s="1748"/>
      <c r="N13" s="1748"/>
      <c r="O13" s="1748"/>
      <c r="P13" s="1748"/>
      <c r="Q13" s="1748"/>
      <c r="R13" s="1748"/>
      <c r="S13" s="349"/>
      <c r="T13" s="349"/>
      <c r="U13" s="349"/>
      <c r="V13" s="349"/>
      <c r="IW13" s="1733">
        <v>14</v>
      </c>
    </row>
    <row s="6033" customFormat="1" customHeight="1" ht="1.05">
      <c r="A14" s="1755"/>
      <c r="B14" s="1490"/>
      <c r="C14" s="1755"/>
      <c r="D14" s="1757"/>
      <c r="E14" s="1755"/>
      <c r="F14" s="1755"/>
      <c r="G14" s="1755"/>
      <c r="H14" s="1755"/>
      <c r="I14" s="1755"/>
      <c r="J14" s="1755"/>
      <c r="K14" s="1755"/>
      <c r="L14" s="1755"/>
      <c r="M14" s="1748"/>
      <c r="N14" s="1748"/>
      <c r="O14" s="1748"/>
      <c r="P14" s="1748"/>
      <c r="Q14" s="1748"/>
      <c r="R14" s="1748"/>
      <c r="S14" s="349"/>
      <c r="T14" s="349"/>
      <c r="U14" s="349"/>
      <c r="V14" s="349"/>
      <c r="IW14" s="1733">
        <v>1</v>
      </c>
    </row>
    <row customHeight="1" ht="22.5" hidden="1">
      <c r="A15" s="1755" t="s">
        <v>82</v>
      </c>
      <c r="B15" s="1490">
        <v>0</v>
      </c>
      <c r="C15" s="1755">
        <v>0</v>
      </c>
      <c r="D15" s="1757">
        <v>3</v>
      </c>
      <c r="E15" s="1755">
        <v>6</v>
      </c>
      <c r="F15" s="1755">
        <v>27</v>
      </c>
      <c r="G15" s="1755">
        <v>16</v>
      </c>
      <c r="H15" s="1755">
        <v>12</v>
      </c>
      <c r="I15" s="1755">
        <v>32</v>
      </c>
      <c r="J15" s="1755">
        <v>41</v>
      </c>
      <c r="K15" s="1755">
        <v>41</v>
      </c>
      <c r="L15" s="1755">
        <v>89</v>
      </c>
      <c r="M15" s="1748">
        <v>3</v>
      </c>
      <c r="N15" s="1748">
        <v>8</v>
      </c>
      <c r="O15" s="1748">
        <v>8</v>
      </c>
      <c r="P15" s="1748">
        <v>8</v>
      </c>
      <c r="Q15" s="1748">
        <v>25</v>
      </c>
      <c r="R15" s="1748">
        <v>14</v>
      </c>
      <c r="S15" s="349">
        <v>8</v>
      </c>
      <c r="T15" s="349">
        <v>8</v>
      </c>
      <c r="U15" s="349">
        <v>8</v>
      </c>
      <c r="V15" s="349">
        <v>8</v>
      </c>
      <c r="W15" s="1755">
        <v>8</v>
      </c>
      <c r="X15" s="1755">
        <v>8</v>
      </c>
      <c r="Y15" s="1755">
        <v>8</v>
      </c>
      <c r="Z15" s="1755">
        <v>8</v>
      </c>
      <c r="AA15" s="1755">
        <v>8</v>
      </c>
      <c r="AB15" s="1755">
        <v>8</v>
      </c>
      <c r="AC15" s="1755">
        <v>8</v>
      </c>
      <c r="AD15" s="1755">
        <v>8</v>
      </c>
      <c r="AE15" s="1755">
        <v>8</v>
      </c>
      <c r="AF15" s="1755">
        <v>8</v>
      </c>
      <c r="AG15" s="1755">
        <v>8</v>
      </c>
      <c r="AH15" s="1755">
        <v>8</v>
      </c>
      <c r="AI15" s="1755">
        <v>8</v>
      </c>
      <c r="AJ15" s="1755">
        <v>8</v>
      </c>
      <c r="AK15" s="1755">
        <v>8</v>
      </c>
      <c r="AL15" s="1755">
        <v>8</v>
      </c>
      <c r="AM15" s="1755">
        <v>8</v>
      </c>
      <c r="AN15" s="1755">
        <v>8</v>
      </c>
      <c r="AO15" s="1755">
        <v>8</v>
      </c>
      <c r="AP15" s="1755">
        <v>8</v>
      </c>
      <c r="AQ15" s="1755">
        <v>8</v>
      </c>
      <c r="AR15" s="1755">
        <v>8</v>
      </c>
      <c r="AS15" s="1755">
        <v>8</v>
      </c>
      <c r="AT15" s="1755">
        <v>8</v>
      </c>
      <c r="AU15" s="1755">
        <v>8</v>
      </c>
      <c r="AV15" s="1755">
        <v>8</v>
      </c>
      <c r="AW15" s="1755">
        <v>8</v>
      </c>
      <c r="AX15" s="1755">
        <v>8</v>
      </c>
      <c r="AY15" s="1755">
        <v>8</v>
      </c>
      <c r="AZ15" s="1755">
        <v>8</v>
      </c>
      <c r="BA15" s="1755">
        <v>8</v>
      </c>
      <c r="BB15" s="1755">
        <v>8</v>
      </c>
      <c r="BC15" s="1755">
        <v>8</v>
      </c>
      <c r="BD15" s="1755">
        <v>8</v>
      </c>
      <c r="BE15" s="1755">
        <v>8</v>
      </c>
      <c r="BF15" s="1755">
        <v>8</v>
      </c>
      <c r="BG15" s="1755">
        <v>8</v>
      </c>
      <c r="BH15" s="1755">
        <v>8</v>
      </c>
      <c r="BI15" s="1755">
        <v>8</v>
      </c>
      <c r="BJ15" s="1755">
        <v>8</v>
      </c>
      <c r="BK15" s="1755">
        <v>8</v>
      </c>
      <c r="BL15" s="1755">
        <v>8</v>
      </c>
      <c r="BM15" s="1755">
        <v>8</v>
      </c>
      <c r="BN15" s="1755">
        <v>8</v>
      </c>
      <c r="BO15" s="1755">
        <v>8</v>
      </c>
      <c r="BP15" s="1755">
        <v>8</v>
      </c>
      <c r="BQ15" s="1755">
        <v>8</v>
      </c>
      <c r="BR15" s="1755">
        <v>8</v>
      </c>
      <c r="BS15" s="1755">
        <v>8</v>
      </c>
      <c r="BT15" s="1755">
        <v>8</v>
      </c>
      <c r="BU15" s="1755">
        <v>8</v>
      </c>
      <c r="BV15" s="1755">
        <v>8</v>
      </c>
      <c r="BW15" s="1755">
        <v>8</v>
      </c>
      <c r="BX15" s="1755">
        <v>8</v>
      </c>
      <c r="BY15" s="1755">
        <v>8</v>
      </c>
      <c r="BZ15" s="1755">
        <v>8</v>
      </c>
      <c r="CA15" s="1755">
        <v>8</v>
      </c>
      <c r="CB15" s="1755">
        <v>8</v>
      </c>
      <c r="CC15" s="1755">
        <v>8</v>
      </c>
      <c r="CD15" s="1755">
        <v>8</v>
      </c>
      <c r="CE15" s="1755">
        <v>8</v>
      </c>
      <c r="CF15" s="1755">
        <v>8</v>
      </c>
      <c r="CG15" s="1755">
        <v>8</v>
      </c>
      <c r="CH15" s="1755">
        <v>8</v>
      </c>
      <c r="CI15" s="1755">
        <v>8</v>
      </c>
      <c r="CJ15" s="1755">
        <v>8</v>
      </c>
      <c r="CK15" s="1755">
        <v>8</v>
      </c>
      <c r="CL15" s="1755">
        <v>8</v>
      </c>
      <c r="CM15" s="1755">
        <v>8</v>
      </c>
      <c r="CN15" s="1755">
        <v>8</v>
      </c>
      <c r="CO15" s="1755">
        <v>8</v>
      </c>
      <c r="CP15" s="1755">
        <v>8</v>
      </c>
      <c r="CQ15" s="1755">
        <v>8</v>
      </c>
      <c r="CR15" s="1755">
        <v>8</v>
      </c>
      <c r="CS15" s="1755">
        <v>8</v>
      </c>
      <c r="CT15" s="1755">
        <v>8</v>
      </c>
      <c r="CU15" s="1755">
        <v>8</v>
      </c>
      <c r="CV15" s="1755">
        <v>8</v>
      </c>
      <c r="CW15" s="1755">
        <v>8</v>
      </c>
      <c r="CX15" s="1755">
        <v>8</v>
      </c>
      <c r="CY15" s="1755">
        <v>8</v>
      </c>
      <c r="CZ15" s="1755">
        <v>8</v>
      </c>
      <c r="DA15" s="1755">
        <v>8</v>
      </c>
      <c r="DB15" s="1755">
        <v>8</v>
      </c>
      <c r="DC15" s="1755">
        <v>8</v>
      </c>
      <c r="DD15" s="1755">
        <v>8</v>
      </c>
      <c r="DE15" s="1755">
        <v>8</v>
      </c>
      <c r="DF15" s="1755">
        <v>8</v>
      </c>
      <c r="DG15" s="1755">
        <v>8</v>
      </c>
      <c r="DH15" s="1755">
        <v>8</v>
      </c>
      <c r="DI15" s="1755">
        <v>8</v>
      </c>
      <c r="DJ15" s="1755">
        <v>8</v>
      </c>
      <c r="DK15" s="1755">
        <v>8</v>
      </c>
      <c r="DL15" s="1755">
        <v>8</v>
      </c>
      <c r="DM15" s="1755">
        <v>8</v>
      </c>
      <c r="DN15" s="1755">
        <v>8</v>
      </c>
      <c r="DO15" s="1755">
        <v>8</v>
      </c>
      <c r="DP15" s="1755">
        <v>8</v>
      </c>
      <c r="DQ15" s="1755">
        <v>8</v>
      </c>
      <c r="DR15" s="1755">
        <v>8</v>
      </c>
      <c r="DS15" s="1755">
        <v>8</v>
      </c>
      <c r="DT15" s="1755">
        <v>8</v>
      </c>
      <c r="DU15" s="1755">
        <v>8</v>
      </c>
      <c r="DV15" s="1755">
        <v>8</v>
      </c>
      <c r="DW15" s="1755">
        <v>8</v>
      </c>
      <c r="DX15" s="1755">
        <v>8</v>
      </c>
      <c r="DY15" s="1755">
        <v>8</v>
      </c>
      <c r="DZ15" s="1755">
        <v>8</v>
      </c>
      <c r="EA15" s="1755">
        <v>8</v>
      </c>
      <c r="EB15" s="1755">
        <v>8</v>
      </c>
      <c r="EC15" s="1755">
        <v>8</v>
      </c>
      <c r="ED15" s="1755">
        <v>8</v>
      </c>
      <c r="EE15" s="1755">
        <v>8</v>
      </c>
      <c r="EF15" s="1755">
        <v>8</v>
      </c>
      <c r="EG15" s="1755">
        <v>8</v>
      </c>
      <c r="EH15" s="1755">
        <v>8</v>
      </c>
      <c r="EI15" s="1755">
        <v>8</v>
      </c>
      <c r="EJ15" s="1755">
        <v>8</v>
      </c>
      <c r="EK15" s="1755">
        <v>8</v>
      </c>
      <c r="EL15" s="1755">
        <v>8</v>
      </c>
      <c r="EM15" s="1755">
        <v>8</v>
      </c>
      <c r="EN15" s="1755">
        <v>8</v>
      </c>
      <c r="EO15" s="1755">
        <v>8</v>
      </c>
      <c r="EP15" s="1755">
        <v>8</v>
      </c>
      <c r="EQ15" s="1755">
        <v>8</v>
      </c>
      <c r="ER15" s="1755">
        <v>8</v>
      </c>
      <c r="ES15" s="1755">
        <v>8</v>
      </c>
      <c r="ET15" s="1755">
        <v>8</v>
      </c>
      <c r="EU15" s="1755">
        <v>8</v>
      </c>
      <c r="EV15" s="1755">
        <v>8</v>
      </c>
      <c r="EW15" s="1755">
        <v>8</v>
      </c>
      <c r="EX15" s="1755">
        <v>8</v>
      </c>
      <c r="EY15" s="1755">
        <v>8</v>
      </c>
      <c r="EZ15" s="1755">
        <v>8</v>
      </c>
      <c r="FA15" s="1755">
        <v>8</v>
      </c>
      <c r="FB15" s="1755">
        <v>8</v>
      </c>
      <c r="FC15" s="1755">
        <v>8</v>
      </c>
      <c r="FD15" s="1755">
        <v>8</v>
      </c>
      <c r="FE15" s="1755">
        <v>8</v>
      </c>
      <c r="FF15" s="1755">
        <v>8</v>
      </c>
      <c r="FG15" s="1755">
        <v>8</v>
      </c>
      <c r="FH15" s="1755">
        <v>8</v>
      </c>
      <c r="FI15" s="1755">
        <v>8</v>
      </c>
      <c r="FJ15" s="1755">
        <v>8</v>
      </c>
      <c r="FK15" s="1755">
        <v>8</v>
      </c>
      <c r="FL15" s="1755">
        <v>8</v>
      </c>
      <c r="FM15" s="1755">
        <v>8</v>
      </c>
      <c r="FN15" s="1755">
        <v>8</v>
      </c>
      <c r="FO15" s="1755">
        <v>8</v>
      </c>
      <c r="FP15" s="1755">
        <v>8</v>
      </c>
      <c r="FQ15" s="1755">
        <v>8</v>
      </c>
      <c r="FR15" s="1755">
        <v>8</v>
      </c>
      <c r="FS15" s="1755">
        <v>8</v>
      </c>
      <c r="FT15" s="1755">
        <v>8</v>
      </c>
      <c r="FU15" s="1755">
        <v>8</v>
      </c>
      <c r="FV15" s="1755">
        <v>8</v>
      </c>
      <c r="FW15" s="1755">
        <v>8</v>
      </c>
      <c r="FX15" s="1755">
        <v>8</v>
      </c>
      <c r="FY15" s="1755">
        <v>8</v>
      </c>
      <c r="FZ15" s="1755">
        <v>8</v>
      </c>
      <c r="GA15" s="1755">
        <v>8</v>
      </c>
      <c r="GB15" s="1755">
        <v>8</v>
      </c>
      <c r="GC15" s="1755">
        <v>8</v>
      </c>
      <c r="GD15" s="1755">
        <v>8</v>
      </c>
      <c r="GE15" s="1755">
        <v>8</v>
      </c>
      <c r="GF15" s="1755">
        <v>8</v>
      </c>
      <c r="GG15" s="1755">
        <v>8</v>
      </c>
      <c r="GH15" s="1755">
        <v>8</v>
      </c>
      <c r="GI15" s="1755">
        <v>8</v>
      </c>
      <c r="GJ15" s="1755">
        <v>8</v>
      </c>
      <c r="GK15" s="1755">
        <v>8</v>
      </c>
      <c r="GL15" s="1755">
        <v>8</v>
      </c>
      <c r="GM15" s="1755">
        <v>8</v>
      </c>
      <c r="GN15" s="1755">
        <v>8</v>
      </c>
      <c r="GO15" s="1755">
        <v>8</v>
      </c>
      <c r="GP15" s="1755">
        <v>8</v>
      </c>
      <c r="GQ15" s="1755">
        <v>8</v>
      </c>
      <c r="GR15" s="1755">
        <v>8</v>
      </c>
      <c r="GS15" s="1755">
        <v>8</v>
      </c>
      <c r="GT15" s="1755">
        <v>8</v>
      </c>
      <c r="GU15" s="1755">
        <v>8</v>
      </c>
      <c r="GV15" s="1755">
        <v>8</v>
      </c>
      <c r="GW15" s="1755">
        <v>8</v>
      </c>
      <c r="GX15" s="1755">
        <v>8</v>
      </c>
      <c r="GY15" s="1755">
        <v>8</v>
      </c>
      <c r="GZ15" s="1755">
        <v>8</v>
      </c>
      <c r="HA15" s="1755">
        <v>8</v>
      </c>
      <c r="HB15" s="1755">
        <v>8</v>
      </c>
      <c r="HC15" s="1755">
        <v>8</v>
      </c>
      <c r="HD15" s="1755">
        <v>8</v>
      </c>
      <c r="HE15" s="1755">
        <v>8</v>
      </c>
      <c r="HF15" s="1755">
        <v>8</v>
      </c>
      <c r="HG15" s="1755">
        <v>8</v>
      </c>
      <c r="HH15" s="1755">
        <v>8</v>
      </c>
      <c r="HI15" s="1755">
        <v>8</v>
      </c>
      <c r="HJ15" s="1755">
        <v>8</v>
      </c>
      <c r="HK15" s="1755">
        <v>8</v>
      </c>
      <c r="HL15" s="1755">
        <v>8</v>
      </c>
      <c r="HM15" s="1755">
        <v>8</v>
      </c>
      <c r="HN15" s="1755">
        <v>8</v>
      </c>
      <c r="HO15" s="1755">
        <v>8</v>
      </c>
      <c r="HP15" s="1755">
        <v>8</v>
      </c>
      <c r="HQ15" s="1755">
        <v>8</v>
      </c>
      <c r="HR15" s="1755">
        <v>8</v>
      </c>
      <c r="HS15" s="1755">
        <v>8</v>
      </c>
      <c r="HT15" s="1755">
        <v>8</v>
      </c>
      <c r="HU15" s="1755">
        <v>8</v>
      </c>
      <c r="HV15" s="1755">
        <v>8</v>
      </c>
      <c r="HW15" s="1755">
        <v>8</v>
      </c>
      <c r="HX15" s="1755">
        <v>8</v>
      </c>
      <c r="HY15" s="1755">
        <v>8</v>
      </c>
      <c r="HZ15" s="1755">
        <v>8</v>
      </c>
      <c r="IA15" s="1755">
        <v>8</v>
      </c>
      <c r="IB15" s="1755">
        <v>8</v>
      </c>
      <c r="IC15" s="1755">
        <v>8</v>
      </c>
      <c r="ID15" s="1755">
        <v>8</v>
      </c>
      <c r="IE15" s="1755">
        <v>8</v>
      </c>
      <c r="IF15" s="1755">
        <v>8</v>
      </c>
      <c r="IG15" s="1755">
        <v>8</v>
      </c>
      <c r="IH15" s="1755">
        <v>8</v>
      </c>
      <c r="II15" s="1755">
        <v>8</v>
      </c>
      <c r="IJ15" s="1755">
        <v>8</v>
      </c>
      <c r="IK15" s="1755">
        <v>8</v>
      </c>
      <c r="IL15" s="1755">
        <v>8</v>
      </c>
      <c r="IM15" s="1755">
        <v>8</v>
      </c>
      <c r="IN15" s="1755">
        <v>8</v>
      </c>
      <c r="IO15" s="1755">
        <v>8</v>
      </c>
      <c r="IP15" s="1755">
        <v>8</v>
      </c>
      <c r="IQ15" s="1755">
        <v>8</v>
      </c>
      <c r="IR15" s="1755">
        <v>8</v>
      </c>
      <c r="IS15" s="1755">
        <v>8</v>
      </c>
      <c r="IT15" s="1755">
        <v>8</v>
      </c>
      <c r="IU15" s="1755">
        <v>8</v>
      </c>
      <c r="IV15" s="1755">
        <v>8</v>
      </c>
      <c r="IW15" s="175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FC8B48-33CD-862C-D99E-1779A6317E94}"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7213" width="9.140625" hidden="1"/>
    <col min="2" max="2" style="7158" width="9.140625" hidden="1"/>
    <col min="3" max="3" style="7213" width="3.7109375" hidden="1" customWidth="1"/>
    <col min="4" max="4" style="7736" width="3.00390625" customWidth="1"/>
    <col min="5" max="5" style="7213" width="6.00390625" customWidth="1"/>
    <col min="6" max="6" style="7213" width="27.00390625" customWidth="1"/>
    <col min="7" max="7" style="7213" width="29.00390625" customWidth="1"/>
    <col min="8" max="8" style="7213" width="25.00390625" customWidth="1"/>
    <col min="9" max="9" style="7213" width="5.00390625" customWidth="1"/>
    <col min="10" max="10" style="7213" width="6.00390625" customWidth="1"/>
    <col min="11" max="11" style="7213" width="41.00390625" customWidth="1"/>
    <col min="12" max="12" style="7213" width="42.00390625" customWidth="1"/>
    <col min="13" max="13" style="7213" width="41.00390625" customWidth="1"/>
    <col min="14" max="14" style="7213" width="89.00390625" customWidth="1"/>
    <col min="15" max="15" style="7161" width="3.00390625" customWidth="1"/>
    <col min="16" max="16" style="7161" width="8.00390625" customWidth="1"/>
    <col min="17" max="17" style="7213" width="9.140625" hidden="1"/>
  </cols>
  <sheetData>
    <row customHeight="1" ht="22.5" hidden="1">
      <c r="Q1" s="1279" t="s">
        <v>14</v>
      </c>
    </row>
    <row s="7954" customFormat="1" customHeight="1" ht="22.5" hidden="1">
      <c r="A2" s="620"/>
      <c r="B2" s="1284">
        <v>1</v>
      </c>
      <c r="C2" s="1284"/>
      <c r="D2" s="2049" t="s">
        <v>103</v>
      </c>
      <c r="E2" s="2264">
        <v>1</v>
      </c>
      <c r="F2" s="2440" t="str">
        <f>IF(region_name="","",region_name)</f>
        <v>Самарская область</v>
      </c>
      <c r="G2" s="2620"/>
      <c r="H2" s="2621"/>
      <c r="I2" s="598"/>
      <c r="J2" s="2031">
        <v>1</v>
      </c>
      <c r="K2" s="2033"/>
      <c r="L2" s="2033"/>
      <c r="M2" s="2033"/>
      <c r="N2" s="616"/>
      <c r="O2" s="1659"/>
      <c r="P2" s="635"/>
      <c r="Q2" s="547">
        <v>0</v>
      </c>
    </row>
    <row s="7954" customFormat="1" customHeight="1" ht="22.5" hidden="1">
      <c r="A3" s="955"/>
      <c r="B3" s="1284"/>
      <c r="C3" s="1284"/>
      <c r="D3" s="925"/>
      <c r="E3" s="2264"/>
      <c r="F3" s="2440"/>
      <c r="G3" s="2620"/>
      <c r="H3" s="2622"/>
      <c r="I3" s="545"/>
      <c r="J3" s="1624"/>
      <c r="K3" s="1624" t="s">
        <v>2292</v>
      </c>
      <c r="L3" s="1667"/>
      <c r="M3" s="2041"/>
      <c r="N3" s="2034"/>
      <c r="O3" s="1659"/>
      <c r="P3" s="635"/>
      <c r="Q3" s="547">
        <v>0</v>
      </c>
    </row>
    <row s="6698" customFormat="1" customHeight="1" ht="5.25" hidden="1">
      <c r="A4" s="620"/>
      <c r="D4" s="618"/>
      <c r="F4" s="371" t="s">
        <v>83</v>
      </c>
      <c r="G4" s="618" t="s">
        <v>84</v>
      </c>
      <c r="H4" s="618"/>
      <c r="I4" s="2044"/>
      <c r="J4" s="1668"/>
      <c r="K4" s="2032"/>
      <c r="L4" s="2032"/>
      <c r="M4" s="2032"/>
      <c r="N4" s="2028"/>
      <c r="O4" s="371" t="s">
        <v>83</v>
      </c>
      <c r="P4" s="371"/>
      <c r="Q4" s="635">
        <v>0</v>
      </c>
    </row>
    <row s="7954" customFormat="1" customHeight="1" ht="22.5" hidden="1">
      <c r="A5" s="1765"/>
      <c r="B5" s="1490">
        <v>1</v>
      </c>
      <c r="C5" s="1490"/>
      <c r="D5" s="925"/>
      <c r="E5" s="2034"/>
      <c r="F5" s="2034"/>
      <c r="G5" s="2034"/>
      <c r="H5" s="2045"/>
      <c r="I5" s="2050" t="s">
        <v>103</v>
      </c>
      <c r="J5" s="2043">
        <v>1</v>
      </c>
      <c r="K5" s="2033"/>
      <c r="L5" s="2033"/>
      <c r="M5" s="2033"/>
      <c r="N5" s="616"/>
      <c r="O5" s="1659"/>
      <c r="P5" s="1760"/>
      <c r="Q5" s="748">
        <v>0</v>
      </c>
    </row>
    <row s="6033" customFormat="1" customHeight="1" ht="14.699999999999998">
      <c r="A6" s="1279"/>
      <c r="B6" s="1284"/>
      <c r="C6" s="1279"/>
      <c r="D6" s="1619"/>
      <c r="E6" s="633"/>
      <c r="F6" s="633"/>
      <c r="G6" s="633"/>
      <c r="H6" s="633"/>
      <c r="I6" s="633"/>
      <c r="J6" s="633"/>
      <c r="K6" s="633"/>
      <c r="L6" s="633"/>
      <c r="M6" s="633"/>
      <c r="N6" s="1759"/>
      <c r="O6" s="371"/>
      <c r="P6" s="624"/>
      <c r="Q6" s="631">
        <v>14</v>
      </c>
    </row>
    <row s="6033" customFormat="1" customHeight="1" ht="27.299999999999997">
      <c r="A7" s="1279"/>
      <c r="B7" s="1284"/>
      <c r="C7" s="1279"/>
      <c r="D7" s="1619"/>
      <c r="E7" s="262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27"/>
      <c r="G7" s="2627"/>
      <c r="H7" s="2627"/>
      <c r="I7" s="2627"/>
      <c r="J7" s="2627"/>
      <c r="K7" s="2627"/>
      <c r="L7" s="2627"/>
      <c r="M7" s="2627"/>
      <c r="N7" s="1376"/>
      <c r="O7" s="371"/>
      <c r="P7" s="624"/>
      <c r="Q7" s="631">
        <v>26</v>
      </c>
    </row>
    <row s="6033" customFormat="1" customHeight="1" ht="14.699999999999998">
      <c r="A8" s="1279"/>
      <c r="B8" s="1284"/>
      <c r="C8" s="1279"/>
      <c r="D8" s="1619"/>
      <c r="E8" s="633"/>
      <c r="F8" s="291"/>
      <c r="G8" s="291"/>
      <c r="H8" s="291"/>
      <c r="I8" s="291"/>
      <c r="J8" s="291"/>
      <c r="K8" s="291"/>
      <c r="L8" s="291"/>
      <c r="M8" s="291"/>
      <c r="N8" s="740"/>
      <c r="O8" s="624"/>
      <c r="P8" s="624"/>
      <c r="Q8" s="631">
        <v>14</v>
      </c>
    </row>
    <row s="7450" customFormat="1" customHeight="1" ht="14.25" hidden="1">
      <c r="A9" s="1592"/>
      <c r="B9" s="1602"/>
      <c r="C9" s="1592"/>
      <c r="D9" s="1619"/>
      <c r="E9" s="2035"/>
      <c r="F9" s="2035"/>
      <c r="G9" s="2035"/>
      <c r="H9" s="2035"/>
      <c r="I9" s="2630"/>
      <c r="J9" s="2630"/>
      <c r="K9" s="2630"/>
      <c r="L9" s="2035"/>
      <c r="M9" s="2036"/>
      <c r="O9" s="1669"/>
      <c r="P9" s="1669"/>
      <c r="Q9" s="1670">
        <v>0</v>
      </c>
    </row>
    <row s="6033" customFormat="1" customHeight="1" ht="14.699999999999998">
      <c r="A10" s="1279"/>
      <c r="B10" s="1284"/>
      <c r="C10" s="1279"/>
      <c r="D10" s="1619"/>
      <c r="E10" s="2264" t="s">
        <v>412</v>
      </c>
      <c r="F10" s="2264"/>
      <c r="G10" s="2264"/>
      <c r="H10" s="2264"/>
      <c r="I10" s="2264"/>
      <c r="J10" s="2264"/>
      <c r="K10" s="2264"/>
      <c r="L10" s="2264"/>
      <c r="M10" s="2238"/>
      <c r="N10" s="2615" t="s">
        <v>413</v>
      </c>
      <c r="O10" s="624"/>
      <c r="P10" s="624"/>
      <c r="Q10" s="631">
        <v>14</v>
      </c>
    </row>
    <row s="6033" customFormat="1" customHeight="1" ht="44.25">
      <c r="A11" s="1755"/>
      <c r="B11" s="1490"/>
      <c r="C11" s="1755"/>
      <c r="D11" s="1639"/>
      <c r="E11" s="2629" t="s">
        <v>88</v>
      </c>
      <c r="F11" s="2629" t="s">
        <v>416</v>
      </c>
      <c r="G11" s="2629" t="s">
        <v>2293</v>
      </c>
      <c r="H11" s="2629"/>
      <c r="I11" s="2629" t="s">
        <v>2294</v>
      </c>
      <c r="J11" s="2629"/>
      <c r="K11" s="2629"/>
      <c r="L11" s="2629" t="s">
        <v>2295</v>
      </c>
      <c r="M11" s="2617" t="s">
        <v>2296</v>
      </c>
      <c r="N11" s="2628"/>
      <c r="O11" s="1748"/>
      <c r="P11" s="1748"/>
      <c r="Q11" s="1733">
        <v>42</v>
      </c>
    </row>
    <row s="6033" customFormat="1" customHeight="1" ht="29.25">
      <c r="A12" s="1279"/>
      <c r="B12" s="1284"/>
      <c r="C12" s="1279"/>
      <c r="D12" s="1619"/>
      <c r="E12" s="2615"/>
      <c r="F12" s="2629"/>
      <c r="G12" s="2030" t="s">
        <v>2297</v>
      </c>
      <c r="H12" s="2030" t="s">
        <v>420</v>
      </c>
      <c r="I12" s="2629"/>
      <c r="J12" s="2629"/>
      <c r="K12" s="2629"/>
      <c r="L12" s="2629"/>
      <c r="M12" s="2617"/>
      <c r="N12" s="2616"/>
      <c r="O12" s="624"/>
      <c r="P12" s="624"/>
      <c r="Q12" s="631">
        <v>28</v>
      </c>
    </row>
    <row s="7954" customFormat="1" customHeight="1" ht="23.25">
      <c r="A13" s="2236">
        <v>26379339</v>
      </c>
      <c r="B13" s="1284">
        <v>1</v>
      </c>
      <c r="C13" s="1284"/>
      <c r="D13" s="925"/>
      <c r="E13" s="2264">
        <v>1</v>
      </c>
      <c r="F13" s="2623" t="str">
        <f>IF(region_name="","",region_name)</f>
        <v>Самарская область</v>
      </c>
      <c r="G13" s="2624"/>
      <c r="H13" s="2631"/>
      <c r="I13" s="598"/>
      <c r="J13" s="2026">
        <v>1</v>
      </c>
      <c r="K13" s="2039"/>
      <c r="L13" s="2040"/>
      <c r="M13" s="2040"/>
      <c r="N13" s="2625" t="s">
        <v>2298</v>
      </c>
      <c r="O13" s="1659"/>
      <c r="P13" s="635"/>
      <c r="Q13" s="547">
        <v>22</v>
      </c>
    </row>
    <row s="7954" customFormat="1" customHeight="1" ht="23.25">
      <c r="A14" s="2236"/>
      <c r="B14" s="1284"/>
      <c r="C14" s="1284"/>
      <c r="D14" s="925"/>
      <c r="E14" s="2264"/>
      <c r="F14" s="2623"/>
      <c r="G14" s="2624"/>
      <c r="H14" s="2632"/>
      <c r="I14" s="545"/>
      <c r="J14" s="1624"/>
      <c r="K14" s="1624" t="s">
        <v>2292</v>
      </c>
      <c r="L14" s="1667"/>
      <c r="M14" s="1667"/>
      <c r="N14" s="2626"/>
      <c r="O14" s="1659"/>
      <c r="P14" s="635"/>
      <c r="Q14" s="547">
        <v>22</v>
      </c>
    </row>
    <row s="7954" customFormat="1" customHeight="1" ht="23.25">
      <c r="A15" s="2236"/>
      <c r="B15" s="1284"/>
      <c r="C15" s="536"/>
      <c r="D15" s="925"/>
      <c r="E15" s="545"/>
      <c r="F15" s="1624" t="s">
        <v>2284</v>
      </c>
      <c r="G15" s="1666"/>
      <c r="H15" s="1666"/>
      <c r="I15" s="311"/>
      <c r="J15" s="311"/>
      <c r="K15" s="311"/>
      <c r="L15" s="311"/>
      <c r="M15" s="311"/>
      <c r="N15" s="2626"/>
      <c r="O15" s="1660"/>
      <c r="P15" s="635"/>
      <c r="Q15" s="547">
        <v>22</v>
      </c>
    </row>
    <row s="6033" customFormat="1" customHeight="1" ht="22.049999999999997">
      <c r="A16" s="1279"/>
      <c r="B16" s="1284"/>
      <c r="C16" s="1279"/>
      <c r="D16" s="575"/>
      <c r="E16" s="304"/>
      <c r="F16" s="304"/>
      <c r="G16" s="304"/>
      <c r="H16" s="304"/>
      <c r="I16" s="304"/>
      <c r="J16" s="304"/>
      <c r="K16" s="304"/>
      <c r="L16" s="304"/>
      <c r="M16" s="633"/>
      <c r="N16" s="1759"/>
      <c r="O16" s="624"/>
      <c r="P16" s="624"/>
      <c r="Q16" s="631">
        <v>21</v>
      </c>
    </row>
    <row s="6033" customFormat="1" customHeight="1" ht="14.699999999999998">
      <c r="A17" s="1279"/>
      <c r="B17" s="1284"/>
      <c r="C17" s="1279"/>
      <c r="D17" s="575"/>
      <c r="E17" s="1279"/>
      <c r="F17" s="1279"/>
      <c r="G17" s="1279"/>
      <c r="H17" s="1279"/>
      <c r="I17" s="1279"/>
      <c r="J17" s="1279"/>
      <c r="K17" s="1279"/>
      <c r="L17" s="1279"/>
      <c r="M17" s="1279"/>
      <c r="N17" s="1755"/>
      <c r="O17" s="624"/>
      <c r="P17" s="624"/>
      <c r="Q17" s="631">
        <v>14</v>
      </c>
    </row>
    <row s="6033" customFormat="1" customHeight="1" ht="1.05">
      <c r="A18" s="1279"/>
      <c r="B18" s="1284"/>
      <c r="C18" s="1279"/>
      <c r="D18" s="575"/>
      <c r="E18" s="1279"/>
      <c r="F18" s="1279"/>
      <c r="G18" s="1279"/>
      <c r="H18" s="1279"/>
      <c r="I18" s="1279"/>
      <c r="J18" s="1279"/>
      <c r="K18" s="1279"/>
      <c r="L18" s="1279"/>
      <c r="M18" s="1279"/>
      <c r="N18" s="1755"/>
      <c r="O18" s="624"/>
      <c r="P18" s="624"/>
      <c r="Q18" s="631">
        <v>1</v>
      </c>
    </row>
    <row customHeight="1" ht="22.5" hidden="1">
      <c r="A19" s="1279" t="s">
        <v>82</v>
      </c>
      <c r="B19" s="1284">
        <v>0</v>
      </c>
      <c r="C19" s="1279">
        <v>0</v>
      </c>
      <c r="D19" s="575">
        <v>3</v>
      </c>
      <c r="E19" s="1279">
        <v>6</v>
      </c>
      <c r="F19" s="1279">
        <v>27</v>
      </c>
      <c r="G19" s="1279">
        <v>29</v>
      </c>
      <c r="H19" s="1279">
        <v>25</v>
      </c>
      <c r="I19" s="1279">
        <v>5</v>
      </c>
      <c r="J19" s="1279">
        <v>6</v>
      </c>
      <c r="K19" s="1279">
        <v>41</v>
      </c>
      <c r="L19" s="1279">
        <v>42</v>
      </c>
      <c r="M19" s="1279">
        <v>41</v>
      </c>
      <c r="N19" s="1755">
        <v>89</v>
      </c>
      <c r="O19" s="624">
        <v>3</v>
      </c>
      <c r="P19" s="624">
        <v>8</v>
      </c>
      <c r="Q19" s="127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692448-42C3-7CF8-870B-BD9AD600D85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7906" width="9.140625" hidden="1"/>
    <col min="2" max="2" style="7689" width="9.140625" hidden="1"/>
    <col min="3" max="3" style="7484" width="3.00390625" customWidth="1"/>
    <col min="4" max="4" style="7689" width="6.00390625" customWidth="1"/>
    <col min="5" max="5" style="7689" width="22.00390625" customWidth="1"/>
    <col min="6" max="6" style="7689" width="15.00390625" customWidth="1"/>
    <col min="7" max="7" style="7689" width="14.00390625" customWidth="1"/>
    <col min="8" max="8" style="7689" width="47.00390625" customWidth="1"/>
    <col min="9" max="9" style="7689" width="115.00390625" customWidth="1"/>
    <col min="10" max="10" style="7689" width="3.00390625" customWidth="1"/>
    <col min="11" max="12" style="7689" width="8.00390625" customWidth="1"/>
    <col min="13" max="13" style="7689" width="9.140625" hidden="1"/>
  </cols>
  <sheetData>
    <row customHeight="1" ht="14.25" hidden="1">
      <c r="M1" s="245" t="s">
        <v>14</v>
      </c>
    </row>
    <row customHeight="1" ht="14.25" hidden="1">
      <c r="M2" s="245">
        <v>0</v>
      </c>
    </row>
    <row customHeight="1" ht="14.25" hidden="1">
      <c r="M3" s="245">
        <v>0</v>
      </c>
    </row>
    <row customHeight="1" ht="3">
      <c r="M4" s="245">
        <v>3</v>
      </c>
    </row>
    <row s="7213" customFormat="1" customHeight="1" ht="31.5">
      <c r="A5" s="239"/>
      <c r="C5" s="214"/>
      <c r="D5" s="2237" t="s">
        <v>2299</v>
      </c>
      <c r="E5" s="2237"/>
      <c r="F5" s="2237"/>
      <c r="G5" s="2237"/>
      <c r="H5" s="2237"/>
      <c r="I5" s="389"/>
      <c r="M5" s="207">
        <v>30</v>
      </c>
    </row>
    <row customHeight="1" ht="3" hidden="1">
      <c r="D6" s="246"/>
      <c r="E6" s="246"/>
      <c r="F6" s="246"/>
      <c r="G6" s="246"/>
      <c r="H6" s="246"/>
      <c r="I6" s="246"/>
      <c r="M6" s="245">
        <v>0</v>
      </c>
    </row>
    <row s="7906" customFormat="1" customHeight="1" ht="14.699999999999998">
      <c r="B7" s="243"/>
      <c r="C7" s="244"/>
      <c r="D7" s="247"/>
      <c r="E7" s="247"/>
      <c r="F7" s="247"/>
      <c r="G7" s="247"/>
      <c r="H7" s="876"/>
      <c r="I7" s="247"/>
      <c r="J7" s="248"/>
      <c r="M7" s="242">
        <v>14</v>
      </c>
    </row>
    <row customHeight="1" ht="14.699999999999998">
      <c r="D8" s="2346" t="s">
        <v>412</v>
      </c>
      <c r="E8" s="2346"/>
      <c r="F8" s="2346"/>
      <c r="G8" s="2346"/>
      <c r="H8" s="2346"/>
      <c r="I8" s="2346" t="s">
        <v>413</v>
      </c>
      <c r="M8" s="245">
        <v>14</v>
      </c>
    </row>
    <row customHeight="1" ht="29.25">
      <c r="D9" s="2346" t="s">
        <v>88</v>
      </c>
      <c r="E9" s="2346" t="s">
        <v>2300</v>
      </c>
      <c r="F9" s="2346"/>
      <c r="G9" s="2346"/>
      <c r="H9" s="2346"/>
      <c r="I9" s="2346"/>
      <c r="M9" s="245">
        <v>28</v>
      </c>
    </row>
    <row customHeight="1" ht="24">
      <c r="D10" s="2346"/>
      <c r="E10" s="251" t="s">
        <v>2301</v>
      </c>
      <c r="F10" s="251" t="s">
        <v>2302</v>
      </c>
      <c r="G10" s="251" t="s">
        <v>2303</v>
      </c>
      <c r="H10" s="251" t="s">
        <v>502</v>
      </c>
      <c r="I10" s="2346"/>
      <c r="M10" s="245">
        <v>23</v>
      </c>
    </row>
    <row customHeight="1" ht="12" hidden="1">
      <c r="D11" s="211" t="s">
        <v>210</v>
      </c>
      <c r="E11" s="211" t="s">
        <v>91</v>
      </c>
      <c r="F11" s="211" t="s">
        <v>116</v>
      </c>
      <c r="G11" s="211" t="s">
        <v>92</v>
      </c>
      <c r="H11" s="211" t="s">
        <v>93</v>
      </c>
      <c r="I11" s="211" t="s">
        <v>129</v>
      </c>
      <c r="M11" s="245">
        <v>0</v>
      </c>
    </row>
    <row s="7689" customFormat="1" customHeight="1" ht="26.25">
      <c r="A12" s="269" t="s">
        <v>90</v>
      </c>
      <c r="B12" s="249" t="s">
        <v>22</v>
      </c>
      <c r="C12" s="250"/>
      <c r="D12" s="252" t="s">
        <v>210</v>
      </c>
      <c r="E12" s="505"/>
      <c r="F12" s="505"/>
      <c r="G12" s="1857" t="s">
        <v>22</v>
      </c>
      <c r="H12" s="506"/>
      <c r="I12" s="2306" t="s">
        <v>2304</v>
      </c>
      <c r="K12" s="396"/>
      <c r="L12" s="397"/>
      <c r="M12" s="241">
        <v>25</v>
      </c>
    </row>
    <row customHeight="1" ht="15.75">
      <c r="A13" s="245"/>
      <c r="B13" s="245"/>
      <c r="C13" s="245"/>
      <c r="D13" s="233"/>
      <c r="E13" s="254" t="s">
        <v>580</v>
      </c>
      <c r="F13" s="253"/>
      <c r="G13" s="253"/>
      <c r="H13" s="338"/>
      <c r="I13" s="2308"/>
      <c r="M13" s="245">
        <v>15</v>
      </c>
    </row>
    <row customHeight="1" ht="3">
      <c r="A14" s="245"/>
      <c r="B14" s="245"/>
      <c r="C14" s="245"/>
      <c r="M14" s="245">
        <v>3</v>
      </c>
    </row>
    <row customHeight="1" ht="29.25">
      <c r="E15" s="2633" t="s">
        <v>2305</v>
      </c>
      <c r="F15" s="2633"/>
      <c r="G15" s="2633"/>
      <c r="H15" s="2633"/>
      <c r="M15" s="245">
        <v>28</v>
      </c>
    </row>
    <row customHeight="1" ht="14.25" hidden="1">
      <c r="A16" s="242" t="s">
        <v>82</v>
      </c>
      <c r="B16" s="243">
        <v>0</v>
      </c>
      <c r="C16" s="244">
        <v>3</v>
      </c>
      <c r="D16" s="245">
        <v>6</v>
      </c>
      <c r="E16" s="245">
        <v>22</v>
      </c>
      <c r="F16" s="245">
        <v>15</v>
      </c>
      <c r="G16" s="245">
        <v>14</v>
      </c>
      <c r="H16" s="245">
        <v>47</v>
      </c>
      <c r="I16" s="245">
        <v>115</v>
      </c>
      <c r="J16" s="245">
        <v>3</v>
      </c>
      <c r="K16" s="245">
        <v>8</v>
      </c>
      <c r="L16" s="245">
        <v>8</v>
      </c>
      <c r="M16" s="24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1A245E-1A88-EC48-3A28-DE52EFE9B771}"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7505" width="9.140625" hidden="1"/>
    <col min="3" max="3" style="7504" width="3.00390625" customWidth="1"/>
    <col min="4" max="4" style="7505" width="6.00390625" customWidth="1"/>
    <col min="5" max="5" style="7505" width="94.00390625" customWidth="1"/>
    <col min="6" max="9" style="7505" width="8.00390625" customWidth="1"/>
    <col min="10" max="10" style="7505" width="9.140625" hidden="1"/>
  </cols>
  <sheetData>
    <row customHeight="1" ht="14.25" hidden="1">
      <c r="J1" s="193" t="s">
        <v>14</v>
      </c>
    </row>
    <row customHeight="1" ht="14.25" hidden="1">
      <c r="J2" s="193">
        <v>0</v>
      </c>
    </row>
    <row customHeight="1" ht="14.25" hidden="1">
      <c r="J3" s="193">
        <v>0</v>
      </c>
    </row>
    <row customHeight="1" ht="14.25" hidden="1">
      <c r="J4" s="193">
        <v>0</v>
      </c>
    </row>
    <row customHeight="1" ht="14.25" hidden="1">
      <c r="J5" s="193">
        <v>0</v>
      </c>
    </row>
    <row customHeight="1" ht="3">
      <c r="C6" s="216"/>
      <c r="D6" s="194"/>
      <c r="E6" s="194"/>
      <c r="J6" s="193">
        <v>3</v>
      </c>
    </row>
    <row customHeight="1" ht="23.25">
      <c r="C7" s="216"/>
      <c r="D7" s="2634" t="s">
        <v>2306</v>
      </c>
      <c r="E7" s="2635"/>
      <c r="F7" s="391"/>
      <c r="J7" s="193">
        <v>22</v>
      </c>
    </row>
    <row customHeight="1" ht="3">
      <c r="C8" s="216"/>
      <c r="D8" s="194"/>
      <c r="E8" s="194"/>
      <c r="J8" s="193">
        <v>3</v>
      </c>
    </row>
    <row customHeight="1" ht="16.8">
      <c r="C9" s="216"/>
      <c r="D9" s="229" t="s">
        <v>88</v>
      </c>
      <c r="E9" s="384" t="s">
        <v>2307</v>
      </c>
      <c r="J9" s="193">
        <v>16</v>
      </c>
    </row>
    <row customHeight="1" ht="1.05">
      <c r="C10" s="216"/>
      <c r="D10" s="211"/>
      <c r="E10" s="211"/>
      <c r="J10" s="193">
        <v>1</v>
      </c>
    </row>
    <row customHeight="1" ht="11.25" hidden="1">
      <c r="C11" s="216"/>
      <c r="D11" s="274">
        <v>0</v>
      </c>
      <c r="E11" s="385"/>
      <c r="J11" s="193">
        <v>0</v>
      </c>
    </row>
    <row customHeight="1" ht="15.75">
      <c r="C12" s="260"/>
      <c r="D12" s="237">
        <v>1</v>
      </c>
      <c r="E12" s="501"/>
      <c r="J12" s="193">
        <v>15</v>
      </c>
    </row>
    <row customHeight="1" ht="12.75">
      <c r="C13" s="216"/>
      <c r="D13" s="386"/>
      <c r="E13" s="387" t="s">
        <v>2308</v>
      </c>
      <c r="J13" s="193">
        <v>12</v>
      </c>
    </row>
    <row customHeight="1" ht="3">
      <c r="J14" s="193">
        <v>3</v>
      </c>
    </row>
    <row customHeight="1" ht="23.25">
      <c r="C15" s="261"/>
      <c r="D15" s="2636" t="s">
        <v>2309</v>
      </c>
      <c r="E15" s="2636"/>
      <c r="F15" s="262"/>
      <c r="G15" s="262"/>
      <c r="H15" s="262"/>
      <c r="I15" s="262"/>
      <c r="J15" s="193">
        <v>22</v>
      </c>
    </row>
    <row customHeight="1" ht="14.25" hidden="1">
      <c r="A16" s="193" t="s">
        <v>82</v>
      </c>
      <c r="B16" s="193">
        <v>0</v>
      </c>
      <c r="C16" s="215">
        <v>3</v>
      </c>
      <c r="D16" s="193">
        <v>6</v>
      </c>
      <c r="E16" s="193">
        <v>94</v>
      </c>
      <c r="F16" s="193">
        <v>8</v>
      </c>
      <c r="G16" s="193">
        <v>8</v>
      </c>
      <c r="H16" s="193">
        <v>8</v>
      </c>
      <c r="I16" s="193">
        <v>8</v>
      </c>
      <c r="J16" s="19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A64808-D418-99D3-FF4B-C3181D6BFED7}"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7505" width="9.140625" hidden="1"/>
    <col min="3" max="3" style="7504" width="3.00390625" customWidth="1"/>
    <col min="4" max="4" style="7505" width="6.00390625" customWidth="1"/>
    <col min="5" max="5" style="7505" width="94.00390625" customWidth="1"/>
    <col min="6" max="12" style="7505" width="8.00390625" customWidth="1"/>
    <col min="13" max="13" style="7505" width="9.140625" hidden="1"/>
  </cols>
  <sheetData>
    <row customHeight="1" ht="14.25" hidden="1">
      <c r="L1" s="388"/>
      <c r="M1" s="193" t="s">
        <v>14</v>
      </c>
    </row>
    <row customHeight="1" ht="14.25" hidden="1">
      <c r="M2" s="193">
        <v>0</v>
      </c>
    </row>
    <row customHeight="1" ht="14.25" hidden="1">
      <c r="M3" s="193">
        <v>0</v>
      </c>
    </row>
    <row customHeight="1" ht="14.25" hidden="1">
      <c r="M4" s="193">
        <v>0</v>
      </c>
    </row>
    <row customHeight="1" ht="14.25" hidden="1">
      <c r="M5" s="193">
        <v>0</v>
      </c>
    </row>
    <row customHeight="1" ht="3">
      <c r="C6" s="216"/>
      <c r="D6" s="194"/>
      <c r="E6" s="194"/>
      <c r="M6" s="193">
        <v>3</v>
      </c>
    </row>
    <row customHeight="1" ht="23.25">
      <c r="C7" s="216"/>
      <c r="D7" s="2237" t="s">
        <v>2310</v>
      </c>
      <c r="E7" s="2237"/>
      <c r="F7" s="391"/>
      <c r="M7" s="193">
        <v>22</v>
      </c>
    </row>
    <row customHeight="1" ht="3">
      <c r="C8" s="216"/>
      <c r="D8" s="194"/>
      <c r="E8" s="194"/>
      <c r="M8" s="193">
        <v>3</v>
      </c>
    </row>
    <row customHeight="1" ht="16.8">
      <c r="C9" s="216"/>
      <c r="D9" s="229" t="s">
        <v>88</v>
      </c>
      <c r="E9" s="232" t="s">
        <v>399</v>
      </c>
      <c r="M9" s="193">
        <v>16</v>
      </c>
    </row>
    <row customHeight="1" ht="12.75">
      <c r="C10" s="216"/>
      <c r="D10" s="211" t="s">
        <v>210</v>
      </c>
      <c r="E10" s="211" t="s">
        <v>102</v>
      </c>
      <c r="M10" s="193">
        <v>12</v>
      </c>
    </row>
    <row customHeight="1" ht="15" hidden="1">
      <c r="C11" s="216"/>
      <c r="D11" s="237">
        <v>0</v>
      </c>
      <c r="E11" s="273"/>
      <c r="M11" s="193">
        <v>0</v>
      </c>
    </row>
    <row customHeight="1" ht="14.699999999999998">
      <c r="C12" s="216"/>
      <c r="D12" s="233"/>
      <c r="E12" s="231" t="s">
        <v>2308</v>
      </c>
      <c r="M12" s="193">
        <v>14</v>
      </c>
    </row>
    <row customHeight="1" ht="14.25" hidden="1">
      <c r="A13" s="193" t="s">
        <v>82</v>
      </c>
      <c r="B13" s="193">
        <v>0</v>
      </c>
      <c r="C13" s="215">
        <v>3</v>
      </c>
      <c r="D13" s="193">
        <v>6</v>
      </c>
      <c r="E13" s="193">
        <v>94</v>
      </c>
      <c r="F13" s="193">
        <v>8</v>
      </c>
      <c r="G13" s="193">
        <v>8</v>
      </c>
      <c r="H13" s="193">
        <v>8</v>
      </c>
      <c r="I13" s="193">
        <v>8</v>
      </c>
      <c r="J13" s="193">
        <v>8</v>
      </c>
      <c r="K13" s="193">
        <v>8</v>
      </c>
      <c r="L13" s="193">
        <v>8</v>
      </c>
      <c r="M13" s="19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49C126-D378-F22F-EBD8-018AAA2CF1F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7954" width="9.140625" hidden="1"/>
    <col min="3" max="4" style="7954" width="3.00390625" customWidth="1"/>
    <col min="5" max="6" style="7954" width="15.00390625" customWidth="1"/>
    <col min="7" max="7" style="7954" width="11.57421875" customWidth="1"/>
    <col min="8" max="9" style="7954" width="3.00390625" customWidth="1"/>
    <col min="10" max="10" style="7954" width="12.00390625" customWidth="1"/>
    <col min="11" max="11" style="7954" width="0.28125" customWidth="1"/>
    <col min="12" max="13" style="7954" width="10.00390625" customWidth="1"/>
    <col min="14" max="15" style="7954" width="3.00390625" customWidth="1"/>
    <col min="16" max="16" style="7954" width="19.00390625" customWidth="1"/>
    <col min="17" max="17" style="7954" width="0.28125" customWidth="1"/>
    <col min="18" max="19" style="7954" width="10.00390625" customWidth="1"/>
    <col min="20" max="21" style="7954" width="3.00390625" customWidth="1"/>
    <col min="22" max="22" style="7954" width="25.00390625" customWidth="1"/>
    <col min="23" max="23" style="7954" width="0.28125" customWidth="1"/>
    <col min="24" max="25" style="7954" width="10.00390625" customWidth="1"/>
    <col min="26" max="27" style="7954" width="3.00390625" customWidth="1"/>
    <col min="28" max="28" style="7954" width="16.00390625" customWidth="1"/>
    <col min="29" max="29" style="7954" width="0.28125" customWidth="1"/>
    <col min="30" max="31" style="7954" width="10.00390625" customWidth="1"/>
    <col min="32" max="33" style="7954" width="3.00390625" customWidth="1"/>
    <col min="34" max="34" style="7954" width="8.00390625" customWidth="1"/>
    <col min="35" max="35" style="7954" width="21.00390625" customWidth="1"/>
    <col min="36" max="36" style="7954" width="8.00390625" customWidth="1"/>
    <col min="37" max="37" style="7906" width="8.00390625" customWidth="1"/>
    <col min="38" max="64" style="7954" width="8.00390625" customWidth="1"/>
    <col min="65" max="65" style="7954" width="9.140625" hidden="1"/>
  </cols>
  <sheetData>
    <row s="7914" customFormat="1" customHeight="1" ht="11.25" hidden="1">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3" t="s">
        <v>14</v>
      </c>
    </row>
    <row s="5802" customFormat="1" customHeight="1" ht="11.25" hidden="1">
      <c r="L2" s="1677" t="s">
        <v>391</v>
      </c>
      <c r="M2" s="1677" t="s">
        <v>392</v>
      </c>
      <c r="R2" s="1677" t="s">
        <v>393</v>
      </c>
      <c r="S2" s="1677" t="s">
        <v>392</v>
      </c>
      <c r="X2" s="1677" t="s">
        <v>391</v>
      </c>
      <c r="Y2" s="1677" t="s">
        <v>392</v>
      </c>
      <c r="AD2" s="1677" t="s">
        <v>391</v>
      </c>
      <c r="AE2" s="1677" t="s">
        <v>392</v>
      </c>
      <c r="AJ2" s="1699"/>
      <c r="AK2" s="1699"/>
      <c r="AL2" s="1699"/>
      <c r="AM2" s="1699"/>
      <c r="AN2" s="1699"/>
      <c r="AO2" s="1699"/>
      <c r="AP2" s="1699"/>
      <c r="AQ2" s="1699"/>
      <c r="AR2" s="1699"/>
      <c r="AS2" s="1699"/>
      <c r="AT2" s="1699"/>
      <c r="AU2" s="1699"/>
      <c r="AV2" s="1699"/>
      <c r="AW2" s="1699"/>
      <c r="AX2" s="1699"/>
      <c r="AY2" s="1699"/>
      <c r="AZ2" s="1699"/>
      <c r="BA2" s="1699"/>
      <c r="BB2" s="1699"/>
      <c r="BC2" s="1699"/>
      <c r="BD2" s="1699"/>
      <c r="BE2" s="1699"/>
      <c r="BF2" s="1699"/>
      <c r="BG2" s="1699"/>
      <c r="BH2" s="1699"/>
      <c r="BI2" s="1699"/>
      <c r="BJ2" s="1699"/>
      <c r="BK2" s="1699"/>
      <c r="BL2" s="1699"/>
      <c r="BM2" s="1677">
        <v>0</v>
      </c>
    </row>
    <row s="5807" customFormat="1" customHeight="1" ht="11.549999999999999">
      <c r="AJ3" s="1698"/>
      <c r="AK3" s="430"/>
      <c r="AL3" s="1698"/>
      <c r="AM3" s="1698"/>
      <c r="AN3" s="1698"/>
      <c r="AO3" s="1698"/>
      <c r="AP3" s="1698"/>
      <c r="AQ3" s="1698"/>
      <c r="AR3" s="1698"/>
      <c r="AS3" s="1698"/>
      <c r="AT3" s="1698"/>
      <c r="AU3" s="1698"/>
      <c r="AV3" s="1698"/>
      <c r="AW3" s="1698"/>
      <c r="AX3" s="1698"/>
      <c r="AY3" s="1698"/>
      <c r="AZ3" s="1698"/>
      <c r="BA3" s="1698"/>
      <c r="BB3" s="1698"/>
      <c r="BC3" s="1698"/>
      <c r="BD3" s="1698"/>
      <c r="BE3" s="1698"/>
      <c r="BF3" s="1698"/>
      <c r="BG3" s="1698"/>
      <c r="BH3" s="1698"/>
      <c r="BI3" s="1698"/>
      <c r="BJ3" s="1698"/>
      <c r="BK3" s="1698"/>
      <c r="BL3" s="1698"/>
      <c r="BM3" s="1678">
        <v>11</v>
      </c>
    </row>
    <row s="6033" customFormat="1" customHeight="1" ht="34.5">
      <c r="A4" s="1280"/>
      <c r="B4" s="1279"/>
      <c r="C4" s="1639"/>
      <c r="D4" s="2328" t="s">
        <v>394</v>
      </c>
      <c r="E4" s="2328"/>
      <c r="F4" s="2328"/>
      <c r="G4" s="2328"/>
      <c r="H4" s="2328"/>
      <c r="I4" s="2328"/>
      <c r="J4" s="2328"/>
      <c r="K4" s="823"/>
      <c r="T4" s="1679"/>
      <c r="AJ4" s="1700"/>
      <c r="AK4" s="1701"/>
      <c r="AL4" s="1700"/>
      <c r="AM4" s="1700"/>
      <c r="AN4" s="1700"/>
      <c r="AO4" s="1700"/>
      <c r="AP4" s="1700"/>
      <c r="AQ4" s="1700"/>
      <c r="AR4" s="1700"/>
      <c r="AS4" s="1700"/>
      <c r="AT4" s="1700"/>
      <c r="AU4" s="1700"/>
      <c r="AV4" s="1700"/>
      <c r="AW4" s="1700"/>
      <c r="AX4" s="1700"/>
      <c r="AY4" s="1700"/>
      <c r="AZ4" s="1700"/>
      <c r="BA4" s="1700"/>
      <c r="BB4" s="1700"/>
      <c r="BC4" s="1700"/>
      <c r="BD4" s="1700"/>
      <c r="BE4" s="1700"/>
      <c r="BF4" s="1700"/>
      <c r="BG4" s="1700"/>
      <c r="BH4" s="1700"/>
      <c r="BI4" s="1700"/>
      <c r="BJ4" s="1700"/>
      <c r="BK4" s="1700"/>
      <c r="BL4" s="1700"/>
      <c r="BM4" s="631">
        <v>33</v>
      </c>
    </row>
    <row s="6033" customFormat="1" customHeight="1" ht="14.699999999999998">
      <c r="A5" s="1756"/>
      <c r="B5" s="1755"/>
      <c r="C5" s="1639"/>
      <c r="D5" s="2313" t="str">
        <f>IF(org=0,"Не определено",org)</f>
        <v>ООО "СамРЭК-Эксплуатация"</v>
      </c>
      <c r="E5" s="2313"/>
      <c r="F5" s="2313"/>
      <c r="G5" s="2313"/>
      <c r="H5" s="2313"/>
      <c r="I5" s="2313"/>
      <c r="J5" s="2313"/>
      <c r="K5" s="823"/>
      <c r="T5" s="1679"/>
      <c r="AJ5" s="1700"/>
      <c r="AK5" s="1701"/>
      <c r="AL5" s="1700"/>
      <c r="AM5" s="1700"/>
      <c r="AN5" s="1700"/>
      <c r="AO5" s="1700"/>
      <c r="AP5" s="1700"/>
      <c r="AQ5" s="1700"/>
      <c r="AR5" s="1700"/>
      <c r="AS5" s="1700"/>
      <c r="AT5" s="1700"/>
      <c r="AU5" s="1700"/>
      <c r="AV5" s="1700"/>
      <c r="AW5" s="1700"/>
      <c r="AX5" s="1700"/>
      <c r="AY5" s="1700"/>
      <c r="AZ5" s="1700"/>
      <c r="BA5" s="1700"/>
      <c r="BB5" s="1700"/>
      <c r="BC5" s="1700"/>
      <c r="BD5" s="1700"/>
      <c r="BE5" s="1700"/>
      <c r="BF5" s="1700"/>
      <c r="BG5" s="1700"/>
      <c r="BH5" s="1700"/>
      <c r="BI5" s="1700"/>
      <c r="BJ5" s="1700"/>
      <c r="BK5" s="1700"/>
      <c r="BL5" s="1700"/>
      <c r="BM5" s="1733">
        <v>14</v>
      </c>
    </row>
    <row s="6033" customFormat="1" customHeight="1" ht="14.699999999999998">
      <c r="A6" s="1280"/>
      <c r="B6" s="1279"/>
      <c r="C6" s="1639"/>
      <c r="D6" s="823"/>
      <c r="E6" s="823"/>
      <c r="F6" s="823"/>
      <c r="G6" s="823"/>
      <c r="H6" s="823"/>
      <c r="I6" s="823"/>
      <c r="J6" s="823"/>
      <c r="K6" s="823"/>
      <c r="T6" s="1679"/>
      <c r="AJ6" s="1700"/>
      <c r="AK6" s="1701"/>
      <c r="AL6" s="1700"/>
      <c r="AM6" s="1700"/>
      <c r="AN6" s="1700"/>
      <c r="AO6" s="1700"/>
      <c r="AP6" s="1700"/>
      <c r="AQ6" s="1700"/>
      <c r="AR6" s="1700"/>
      <c r="AS6" s="1700"/>
      <c r="AT6" s="1700"/>
      <c r="AU6" s="1700"/>
      <c r="AV6" s="1700"/>
      <c r="AW6" s="1700"/>
      <c r="AX6" s="1700"/>
      <c r="AY6" s="1700"/>
      <c r="AZ6" s="1700"/>
      <c r="BA6" s="1700"/>
      <c r="BB6" s="1700"/>
      <c r="BC6" s="1700"/>
      <c r="BD6" s="1700"/>
      <c r="BE6" s="1700"/>
      <c r="BF6" s="1700"/>
      <c r="BG6" s="1700"/>
      <c r="BH6" s="1700"/>
      <c r="BI6" s="1700"/>
      <c r="BJ6" s="1700"/>
      <c r="BK6" s="1700"/>
      <c r="BL6" s="1700"/>
      <c r="BM6" s="631">
        <v>14</v>
      </c>
    </row>
    <row s="7914" customFormat="1" customHeight="1" ht="1.05">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3">
        <v>1</v>
      </c>
    </row>
    <row customHeight="1" ht="33.75">
      <c r="D8" s="2264" t="s">
        <v>88</v>
      </c>
      <c r="E8" s="2264" t="s">
        <v>206</v>
      </c>
      <c r="F8" s="2329" t="s">
        <v>242</v>
      </c>
      <c r="G8" s="2330"/>
      <c r="H8" s="2329" t="s">
        <v>88</v>
      </c>
      <c r="I8" s="2330"/>
      <c r="J8" s="2264" t="s">
        <v>243</v>
      </c>
      <c r="K8" s="1680"/>
      <c r="L8" s="2333" t="s">
        <v>395</v>
      </c>
      <c r="M8" s="2333"/>
      <c r="N8" s="2333"/>
      <c r="O8" s="2333"/>
      <c r="P8" s="2333"/>
      <c r="Q8" s="1681"/>
      <c r="R8" s="2233" t="s">
        <v>396</v>
      </c>
      <c r="S8" s="2334"/>
      <c r="T8" s="2334"/>
      <c r="U8" s="2334"/>
      <c r="V8" s="2334"/>
      <c r="W8" s="1681"/>
      <c r="X8" s="2335" t="s">
        <v>397</v>
      </c>
      <c r="Y8" s="2335"/>
      <c r="Z8" s="2335"/>
      <c r="AA8" s="2335"/>
      <c r="AB8" s="2335"/>
      <c r="AC8" s="1682"/>
      <c r="AD8" s="2264" t="s">
        <v>398</v>
      </c>
      <c r="AE8" s="2264"/>
      <c r="AF8" s="2264"/>
      <c r="AG8" s="2264"/>
      <c r="AH8" s="2238"/>
      <c r="AI8" s="2264" t="s">
        <v>399</v>
      </c>
      <c r="AJ8" s="1698"/>
      <c r="BM8" s="417">
        <v>32</v>
      </c>
    </row>
    <row customHeight="1" ht="23.25">
      <c r="D9" s="2264"/>
      <c r="E9" s="2264"/>
      <c r="F9" s="2312" t="s">
        <v>89</v>
      </c>
      <c r="G9" s="2312" t="s">
        <v>248</v>
      </c>
      <c r="H9" s="2331"/>
      <c r="I9" s="2332"/>
      <c r="J9" s="2238"/>
      <c r="K9" s="1683"/>
      <c r="L9" s="2264" t="s">
        <v>400</v>
      </c>
      <c r="M9" s="2238"/>
      <c r="N9" s="2329" t="s">
        <v>88</v>
      </c>
      <c r="O9" s="2330"/>
      <c r="P9" s="2264" t="s">
        <v>249</v>
      </c>
      <c r="Q9" s="1680"/>
      <c r="R9" s="2264" t="s">
        <v>400</v>
      </c>
      <c r="S9" s="2238"/>
      <c r="T9" s="2329" t="s">
        <v>88</v>
      </c>
      <c r="U9" s="2330"/>
      <c r="V9" s="2264" t="s">
        <v>249</v>
      </c>
      <c r="W9" s="1680"/>
      <c r="X9" s="2264" t="s">
        <v>400</v>
      </c>
      <c r="Y9" s="2238"/>
      <c r="Z9" s="2329" t="s">
        <v>88</v>
      </c>
      <c r="AA9" s="2330"/>
      <c r="AB9" s="2264" t="s">
        <v>401</v>
      </c>
      <c r="AC9" s="1680"/>
      <c r="AD9" s="2264" t="s">
        <v>400</v>
      </c>
      <c r="AE9" s="2238"/>
      <c r="AF9" s="2329" t="s">
        <v>88</v>
      </c>
      <c r="AG9" s="2330"/>
      <c r="AH9" s="2238" t="s">
        <v>401</v>
      </c>
      <c r="AI9" s="2264"/>
      <c r="AJ9" s="1698"/>
      <c r="BM9" s="417">
        <v>22</v>
      </c>
    </row>
    <row customHeight="1" ht="24">
      <c r="D10" s="2312"/>
      <c r="E10" s="2312"/>
      <c r="F10" s="2336"/>
      <c r="G10" s="2336"/>
      <c r="H10" s="2337"/>
      <c r="I10" s="2338"/>
      <c r="J10" s="2329"/>
      <c r="K10" s="1683"/>
      <c r="L10" s="1702" t="s">
        <v>402</v>
      </c>
      <c r="M10" s="1697" t="s">
        <v>403</v>
      </c>
      <c r="N10" s="2331"/>
      <c r="O10" s="2332"/>
      <c r="P10" s="2312"/>
      <c r="Q10" s="1680"/>
      <c r="R10" s="1702" t="s">
        <v>402</v>
      </c>
      <c r="S10" s="1697" t="s">
        <v>403</v>
      </c>
      <c r="T10" s="2331"/>
      <c r="U10" s="2332"/>
      <c r="V10" s="2312"/>
      <c r="W10" s="1680"/>
      <c r="X10" s="1702" t="s">
        <v>402</v>
      </c>
      <c r="Y10" s="1697" t="s">
        <v>403</v>
      </c>
      <c r="Z10" s="2331"/>
      <c r="AA10" s="2332"/>
      <c r="AB10" s="2312"/>
      <c r="AC10" s="1680"/>
      <c r="AD10" s="1702" t="s">
        <v>402</v>
      </c>
      <c r="AE10" s="1697" t="s">
        <v>403</v>
      </c>
      <c r="AF10" s="2331"/>
      <c r="AG10" s="2332"/>
      <c r="AH10" s="2329"/>
      <c r="AI10" s="2312"/>
      <c r="AJ10" s="1698"/>
      <c r="AK10" s="378" t="s">
        <v>404</v>
      </c>
      <c r="AL10" s="378" t="s">
        <v>250</v>
      </c>
      <c r="BM10" s="417">
        <v>23</v>
      </c>
    </row>
    <row customHeight="1" ht="15">
      <c r="D11" s="2320" t="s">
        <v>210</v>
      </c>
      <c r="E11" s="2316" t="s">
        <v>405</v>
      </c>
      <c r="F11" s="2316" t="s">
        <v>406</v>
      </c>
      <c r="G11" s="2322" t="s">
        <v>19</v>
      </c>
      <c r="H11" s="1723"/>
      <c r="I11" s="2318"/>
      <c r="J11" s="2289"/>
      <c r="K11" s="1638"/>
      <c r="L11" s="2274"/>
      <c r="M11" s="2274"/>
      <c r="N11" s="1708"/>
      <c r="O11" s="2274"/>
      <c r="P11" s="2289"/>
      <c r="Q11" s="1709"/>
      <c r="R11" s="2274"/>
      <c r="S11" s="2274"/>
      <c r="T11" s="1710"/>
      <c r="U11" s="2274"/>
      <c r="V11" s="2289"/>
      <c r="W11" s="1711"/>
      <c r="X11" s="2274"/>
      <c r="Y11" s="2274"/>
      <c r="Z11" s="1708"/>
      <c r="AA11" s="2274"/>
      <c r="AB11" s="2289"/>
      <c r="AC11" s="1712"/>
      <c r="AD11" s="2274"/>
      <c r="AE11" s="2274"/>
      <c r="AF11" s="1637"/>
      <c r="AG11" s="1637"/>
      <c r="AH11" s="1713"/>
      <c r="AI11" s="1420"/>
      <c r="AJ11" s="1698"/>
      <c r="BM11" s="417">
        <v>14</v>
      </c>
    </row>
    <row customHeight="1" ht="14.699999999999998">
      <c r="D12" s="2320"/>
      <c r="E12" s="2316"/>
      <c r="F12" s="2316"/>
      <c r="G12" s="2323"/>
      <c r="H12" s="1724"/>
      <c r="I12" s="2319"/>
      <c r="J12" s="2290"/>
      <c r="K12" s="1734"/>
      <c r="L12" s="2275"/>
      <c r="M12" s="2275"/>
      <c r="N12" s="1714"/>
      <c r="O12" s="2275"/>
      <c r="P12" s="2290"/>
      <c r="Q12" s="1715"/>
      <c r="R12" s="2275"/>
      <c r="S12" s="2275"/>
      <c r="T12" s="1716"/>
      <c r="U12" s="2275"/>
      <c r="V12" s="2290"/>
      <c r="W12" s="1717"/>
      <c r="X12" s="2275"/>
      <c r="Y12" s="2275"/>
      <c r="Z12" s="1714"/>
      <c r="AA12" s="2275"/>
      <c r="AB12" s="2290"/>
      <c r="AC12" s="1718"/>
      <c r="AD12" s="2275"/>
      <c r="AE12" s="2275"/>
      <c r="AF12" s="1719"/>
      <c r="AG12" s="1719"/>
      <c r="AH12" s="2314"/>
      <c r="AI12" s="2315"/>
      <c r="AJ12" s="1698"/>
      <c r="BM12" s="417">
        <v>14</v>
      </c>
    </row>
    <row customHeight="1" ht="14.699999999999998">
      <c r="D13" s="2320"/>
      <c r="E13" s="2316"/>
      <c r="F13" s="2316"/>
      <c r="G13" s="2323"/>
      <c r="H13" s="1724"/>
      <c r="I13" s="2319"/>
      <c r="J13" s="2290"/>
      <c r="K13" s="1734"/>
      <c r="L13" s="2275"/>
      <c r="M13" s="2275"/>
      <c r="N13" s="1714"/>
      <c r="O13" s="2275"/>
      <c r="P13" s="2290"/>
      <c r="Q13" s="1715"/>
      <c r="R13" s="2275"/>
      <c r="S13" s="2275"/>
      <c r="T13" s="1716"/>
      <c r="U13" s="2275"/>
      <c r="V13" s="2290"/>
      <c r="W13" s="1717"/>
      <c r="X13" s="2275"/>
      <c r="Y13" s="2275"/>
      <c r="Z13" s="1636"/>
      <c r="AA13" s="1719"/>
      <c r="AB13" s="2314"/>
      <c r="AC13" s="2314"/>
      <c r="AD13" s="2314"/>
      <c r="AE13" s="2314"/>
      <c r="AF13" s="2314"/>
      <c r="AG13" s="2314"/>
      <c r="AH13" s="2314"/>
      <c r="AI13" s="2315"/>
      <c r="AJ13" s="1698"/>
      <c r="BM13" s="417">
        <v>14</v>
      </c>
    </row>
    <row customHeight="1" ht="14.699999999999998">
      <c r="D14" s="2320"/>
      <c r="E14" s="2316"/>
      <c r="F14" s="2316"/>
      <c r="G14" s="2323"/>
      <c r="H14" s="1724"/>
      <c r="I14" s="2319"/>
      <c r="J14" s="2290"/>
      <c r="K14" s="1734"/>
      <c r="L14" s="2275"/>
      <c r="M14" s="2275"/>
      <c r="N14" s="1714"/>
      <c r="O14" s="2275"/>
      <c r="P14" s="2290"/>
      <c r="Q14" s="1715"/>
      <c r="R14" s="2275"/>
      <c r="S14" s="2275"/>
      <c r="T14" s="1720"/>
      <c r="U14" s="1721"/>
      <c r="V14" s="2314"/>
      <c r="W14" s="2314"/>
      <c r="X14" s="2314"/>
      <c r="Y14" s="2314"/>
      <c r="Z14" s="2314"/>
      <c r="AA14" s="2314"/>
      <c r="AB14" s="2314"/>
      <c r="AC14" s="2314"/>
      <c r="AD14" s="2314"/>
      <c r="AE14" s="2314"/>
      <c r="AF14" s="2314"/>
      <c r="AG14" s="2314"/>
      <c r="AH14" s="2314"/>
      <c r="AI14" s="2315"/>
      <c r="AJ14" s="1698"/>
      <c r="BM14" s="417">
        <v>14</v>
      </c>
    </row>
    <row customHeight="1" ht="11.549999999999999">
      <c r="D15" s="2320"/>
      <c r="E15" s="2316"/>
      <c r="F15" s="2316"/>
      <c r="G15" s="2323"/>
      <c r="H15" s="1725"/>
      <c r="I15" s="2319"/>
      <c r="J15" s="2290"/>
      <c r="K15" s="1734"/>
      <c r="L15" s="2275"/>
      <c r="M15" s="2275"/>
      <c r="N15" s="1719"/>
      <c r="O15" s="1719"/>
      <c r="P15" s="2314"/>
      <c r="Q15" s="2314"/>
      <c r="R15" s="2314"/>
      <c r="S15" s="2314"/>
      <c r="T15" s="2314"/>
      <c r="U15" s="2314"/>
      <c r="V15" s="2314"/>
      <c r="W15" s="2314"/>
      <c r="X15" s="2314"/>
      <c r="Y15" s="2314"/>
      <c r="Z15" s="2314"/>
      <c r="AA15" s="2314"/>
      <c r="AB15" s="2314"/>
      <c r="AC15" s="2314"/>
      <c r="AD15" s="2314"/>
      <c r="AE15" s="2314"/>
      <c r="AF15" s="2314"/>
      <c r="AG15" s="2314"/>
      <c r="AH15" s="2314"/>
      <c r="AI15" s="2315"/>
      <c r="AJ15" s="1698"/>
      <c r="BM15" s="417">
        <v>11</v>
      </c>
    </row>
    <row s="5807" customFormat="1" customHeight="1" ht="11.549999999999999">
      <c r="D16" s="2326"/>
      <c r="E16" s="2327"/>
      <c r="F16" s="2317"/>
      <c r="G16" s="2249"/>
      <c r="H16" s="1722"/>
      <c r="I16" s="1726"/>
      <c r="J16" s="2324"/>
      <c r="K16" s="2324"/>
      <c r="L16" s="2324"/>
      <c r="M16" s="2324"/>
      <c r="N16" s="2324"/>
      <c r="O16" s="2324"/>
      <c r="P16" s="2324"/>
      <c r="Q16" s="2324"/>
      <c r="R16" s="2324"/>
      <c r="S16" s="2324"/>
      <c r="T16" s="2324"/>
      <c r="U16" s="2324"/>
      <c r="V16" s="2324"/>
      <c r="W16" s="2324"/>
      <c r="X16" s="2324"/>
      <c r="Y16" s="2324"/>
      <c r="Z16" s="2324"/>
      <c r="AA16" s="2324"/>
      <c r="AB16" s="2324"/>
      <c r="AC16" s="2324"/>
      <c r="AD16" s="2324"/>
      <c r="AE16" s="2324"/>
      <c r="AF16" s="2324"/>
      <c r="AG16" s="2324"/>
      <c r="AH16" s="2324"/>
      <c r="AI16" s="2325"/>
      <c r="AJ16" s="1698"/>
      <c r="AK16" s="430"/>
      <c r="AL16" s="1698"/>
      <c r="AM16" s="1698"/>
      <c r="AN16" s="1698"/>
      <c r="AO16" s="1698"/>
      <c r="AP16" s="1698"/>
      <c r="AQ16" s="1698"/>
      <c r="AR16" s="1698"/>
      <c r="AS16" s="1698"/>
      <c r="AT16" s="1698"/>
      <c r="AU16" s="1698"/>
      <c r="AV16" s="1698"/>
      <c r="AW16" s="1698"/>
      <c r="AX16" s="1698"/>
      <c r="AY16" s="1698"/>
      <c r="AZ16" s="1698"/>
      <c r="BA16" s="1698"/>
      <c r="BB16" s="1698"/>
      <c r="BC16" s="1698"/>
      <c r="BD16" s="1698"/>
      <c r="BE16" s="1698"/>
      <c r="BF16" s="1698"/>
      <c r="BG16" s="1698"/>
      <c r="BH16" s="1698"/>
      <c r="BI16" s="1698"/>
      <c r="BJ16" s="1698"/>
      <c r="BK16" s="1698"/>
      <c r="BL16" s="1698"/>
      <c r="BM16" s="1678">
        <v>11</v>
      </c>
    </row>
    <row customHeight="1" ht="15">
      <c r="D17" s="2320" t="s">
        <v>102</v>
      </c>
      <c r="E17" s="2316" t="s">
        <v>405</v>
      </c>
      <c r="F17" s="2316" t="s">
        <v>407</v>
      </c>
      <c r="G17" s="2322" t="s">
        <v>19</v>
      </c>
      <c r="H17" s="1723"/>
      <c r="I17" s="2318"/>
      <c r="J17" s="2289"/>
      <c r="K17" s="1638"/>
      <c r="L17" s="2274"/>
      <c r="M17" s="2274"/>
      <c r="N17" s="1708"/>
      <c r="O17" s="2274"/>
      <c r="P17" s="2289"/>
      <c r="Q17" s="1709"/>
      <c r="R17" s="2274"/>
      <c r="S17" s="2274"/>
      <c r="T17" s="1710"/>
      <c r="U17" s="2274"/>
      <c r="V17" s="2289"/>
      <c r="W17" s="1711"/>
      <c r="X17" s="2274"/>
      <c r="Y17" s="2274"/>
      <c r="Z17" s="1708"/>
      <c r="AA17" s="2274"/>
      <c r="AB17" s="2289"/>
      <c r="AC17" s="1712"/>
      <c r="AD17" s="2274"/>
      <c r="AE17" s="2274"/>
      <c r="AF17" s="1637"/>
      <c r="AG17" s="1637"/>
      <c r="AH17" s="1713"/>
      <c r="AI17" s="1420"/>
      <c r="AJ17" s="1698"/>
      <c r="BM17" s="417">
        <v>14</v>
      </c>
    </row>
    <row customHeight="1" ht="14.699999999999998">
      <c r="D18" s="2320"/>
      <c r="E18" s="2316"/>
      <c r="F18" s="2316"/>
      <c r="G18" s="2323"/>
      <c r="H18" s="1724"/>
      <c r="I18" s="2319"/>
      <c r="J18" s="2290"/>
      <c r="K18" s="1707"/>
      <c r="L18" s="2275"/>
      <c r="M18" s="2275"/>
      <c r="N18" s="1714"/>
      <c r="O18" s="2275"/>
      <c r="P18" s="2290"/>
      <c r="Q18" s="1715"/>
      <c r="R18" s="2275"/>
      <c r="S18" s="2275"/>
      <c r="T18" s="1716"/>
      <c r="U18" s="2275"/>
      <c r="V18" s="2290"/>
      <c r="W18" s="1717"/>
      <c r="X18" s="2275"/>
      <c r="Y18" s="2275"/>
      <c r="Z18" s="1714"/>
      <c r="AA18" s="2275"/>
      <c r="AB18" s="2290"/>
      <c r="AC18" s="1718"/>
      <c r="AD18" s="2275"/>
      <c r="AE18" s="2275"/>
      <c r="AF18" s="1719"/>
      <c r="AG18" s="1719"/>
      <c r="AH18" s="2314"/>
      <c r="AI18" s="2315"/>
      <c r="AJ18" s="1698"/>
      <c r="BM18" s="417">
        <v>14</v>
      </c>
    </row>
    <row customHeight="1" ht="14.699999999999998">
      <c r="D19" s="2320"/>
      <c r="E19" s="2316"/>
      <c r="F19" s="2316"/>
      <c r="G19" s="2323"/>
      <c r="H19" s="1724"/>
      <c r="I19" s="2319"/>
      <c r="J19" s="2290"/>
      <c r="K19" s="1707"/>
      <c r="L19" s="2275"/>
      <c r="M19" s="2275"/>
      <c r="N19" s="1714"/>
      <c r="O19" s="2275"/>
      <c r="P19" s="2290"/>
      <c r="Q19" s="1715"/>
      <c r="R19" s="2275"/>
      <c r="S19" s="2275"/>
      <c r="T19" s="1716"/>
      <c r="U19" s="2275"/>
      <c r="V19" s="2290"/>
      <c r="W19" s="1717"/>
      <c r="X19" s="2275"/>
      <c r="Y19" s="2275"/>
      <c r="Z19" s="1636"/>
      <c r="AA19" s="1719"/>
      <c r="AB19" s="2314"/>
      <c r="AC19" s="2314"/>
      <c r="AD19" s="2314"/>
      <c r="AE19" s="2314"/>
      <c r="AF19" s="2314"/>
      <c r="AG19" s="2314"/>
      <c r="AH19" s="2314"/>
      <c r="AI19" s="2315"/>
      <c r="AJ19" s="1698"/>
      <c r="BM19" s="417">
        <v>14</v>
      </c>
    </row>
    <row customHeight="1" ht="14.699999999999998">
      <c r="D20" s="2320"/>
      <c r="E20" s="2316"/>
      <c r="F20" s="2316"/>
      <c r="G20" s="2323"/>
      <c r="H20" s="1724"/>
      <c r="I20" s="2319"/>
      <c r="J20" s="2290"/>
      <c r="K20" s="1707"/>
      <c r="L20" s="2275"/>
      <c r="M20" s="2275"/>
      <c r="N20" s="1714"/>
      <c r="O20" s="2275"/>
      <c r="P20" s="2290"/>
      <c r="Q20" s="1715"/>
      <c r="R20" s="2275"/>
      <c r="S20" s="2275"/>
      <c r="T20" s="1720"/>
      <c r="U20" s="1721"/>
      <c r="V20" s="2314"/>
      <c r="W20" s="2314"/>
      <c r="X20" s="2314"/>
      <c r="Y20" s="2314"/>
      <c r="Z20" s="2314"/>
      <c r="AA20" s="2314"/>
      <c r="AB20" s="2314"/>
      <c r="AC20" s="2314"/>
      <c r="AD20" s="2314"/>
      <c r="AE20" s="2314"/>
      <c r="AF20" s="2314"/>
      <c r="AG20" s="2314"/>
      <c r="AH20" s="2314"/>
      <c r="AI20" s="2315"/>
      <c r="AJ20" s="1698"/>
      <c r="BM20" s="417">
        <v>14</v>
      </c>
    </row>
    <row customHeight="1" ht="11.549999999999999">
      <c r="D21" s="2320"/>
      <c r="E21" s="2316"/>
      <c r="F21" s="2316"/>
      <c r="G21" s="2323"/>
      <c r="H21" s="1725"/>
      <c r="I21" s="2319"/>
      <c r="J21" s="2290"/>
      <c r="K21" s="1707"/>
      <c r="L21" s="2275"/>
      <c r="M21" s="2275"/>
      <c r="N21" s="1719"/>
      <c r="O21" s="1719"/>
      <c r="P21" s="2314"/>
      <c r="Q21" s="2314"/>
      <c r="R21" s="2314"/>
      <c r="S21" s="2314"/>
      <c r="T21" s="2314"/>
      <c r="U21" s="2314"/>
      <c r="V21" s="2314"/>
      <c r="W21" s="2314"/>
      <c r="X21" s="2314"/>
      <c r="Y21" s="2314"/>
      <c r="Z21" s="2314"/>
      <c r="AA21" s="2314"/>
      <c r="AB21" s="2314"/>
      <c r="AC21" s="2314"/>
      <c r="AD21" s="2314"/>
      <c r="AE21" s="2314"/>
      <c r="AF21" s="2314"/>
      <c r="AG21" s="2314"/>
      <c r="AH21" s="2314"/>
      <c r="AI21" s="2315"/>
      <c r="AJ21" s="1698"/>
      <c r="BM21" s="417">
        <v>11</v>
      </c>
    </row>
    <row s="5807" customFormat="1" customHeight="1" ht="11.549999999999999">
      <c r="D22" s="2326"/>
      <c r="E22" s="2327"/>
      <c r="F22" s="2317"/>
      <c r="G22" s="2249"/>
      <c r="H22" s="1722"/>
      <c r="I22" s="1726"/>
      <c r="J22" s="2324"/>
      <c r="K22" s="2324"/>
      <c r="L22" s="2324"/>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5"/>
      <c r="AJ22" s="1698"/>
      <c r="AK22" s="430"/>
      <c r="AL22" s="1698"/>
      <c r="AM22" s="1698"/>
      <c r="AN22" s="1698"/>
      <c r="AO22" s="1698"/>
      <c r="AP22" s="1698"/>
      <c r="AQ22" s="1698"/>
      <c r="AR22" s="1698"/>
      <c r="AS22" s="1698"/>
      <c r="AT22" s="1698"/>
      <c r="AU22" s="1698"/>
      <c r="AV22" s="1698"/>
      <c r="AW22" s="1698"/>
      <c r="AX22" s="1698"/>
      <c r="AY22" s="1698"/>
      <c r="AZ22" s="1698"/>
      <c r="BA22" s="1698"/>
      <c r="BB22" s="1698"/>
      <c r="BC22" s="1698"/>
      <c r="BD22" s="1698"/>
      <c r="BE22" s="1698"/>
      <c r="BF22" s="1698"/>
      <c r="BG22" s="1698"/>
      <c r="BH22" s="1698"/>
      <c r="BI22" s="1698"/>
      <c r="BJ22" s="1698"/>
      <c r="BK22" s="1698"/>
      <c r="BL22" s="1698"/>
      <c r="BM22" s="1678">
        <v>11</v>
      </c>
    </row>
    <row customHeight="1" ht="15">
      <c r="D23" s="2320" t="s">
        <v>90</v>
      </c>
      <c r="E23" s="2316" t="s">
        <v>405</v>
      </c>
      <c r="F23" s="2316" t="s">
        <v>408</v>
      </c>
      <c r="G23" s="2322" t="s">
        <v>19</v>
      </c>
      <c r="H23" s="1723"/>
      <c r="I23" s="2318"/>
      <c r="J23" s="2289"/>
      <c r="K23" s="1638"/>
      <c r="L23" s="2274"/>
      <c r="M23" s="2274"/>
      <c r="N23" s="1708"/>
      <c r="O23" s="2274"/>
      <c r="P23" s="2289"/>
      <c r="Q23" s="1709"/>
      <c r="R23" s="2274"/>
      <c r="S23" s="2274"/>
      <c r="T23" s="1710"/>
      <c r="U23" s="2274"/>
      <c r="V23" s="2289"/>
      <c r="W23" s="1711"/>
      <c r="X23" s="2274"/>
      <c r="Y23" s="2274"/>
      <c r="Z23" s="1708"/>
      <c r="AA23" s="2274"/>
      <c r="AB23" s="2289"/>
      <c r="AC23" s="1712"/>
      <c r="AD23" s="2274"/>
      <c r="AE23" s="2274"/>
      <c r="AF23" s="1637"/>
      <c r="AG23" s="1637"/>
      <c r="AH23" s="1713"/>
      <c r="AI23" s="1420"/>
      <c r="AJ23" s="1698"/>
      <c r="AK23" s="430" t="s">
        <v>98</v>
      </c>
      <c r="BM23" s="417">
        <v>14</v>
      </c>
    </row>
    <row customHeight="1" ht="14.699999999999998">
      <c r="D24" s="2320"/>
      <c r="E24" s="2316"/>
      <c r="F24" s="2316"/>
      <c r="G24" s="2323"/>
      <c r="H24" s="1724"/>
      <c r="I24" s="2319"/>
      <c r="J24" s="2290"/>
      <c r="K24" s="1734"/>
      <c r="L24" s="2275"/>
      <c r="M24" s="2275"/>
      <c r="N24" s="1714"/>
      <c r="O24" s="2275"/>
      <c r="P24" s="2290"/>
      <c r="Q24" s="1715"/>
      <c r="R24" s="2275"/>
      <c r="S24" s="2275"/>
      <c r="T24" s="1716"/>
      <c r="U24" s="2275"/>
      <c r="V24" s="2290"/>
      <c r="W24" s="1717"/>
      <c r="X24" s="2275"/>
      <c r="Y24" s="2275"/>
      <c r="Z24" s="1714"/>
      <c r="AA24" s="2275"/>
      <c r="AB24" s="2290"/>
      <c r="AC24" s="1718"/>
      <c r="AD24" s="2275"/>
      <c r="AE24" s="2275"/>
      <c r="AF24" s="1719"/>
      <c r="AG24" s="1719"/>
      <c r="AH24" s="2314"/>
      <c r="AI24" s="2315"/>
      <c r="AJ24" s="1698"/>
      <c r="BM24" s="417">
        <v>14</v>
      </c>
    </row>
    <row customHeight="1" ht="14.699999999999998">
      <c r="D25" s="2320"/>
      <c r="E25" s="2316"/>
      <c r="F25" s="2316"/>
      <c r="G25" s="2323"/>
      <c r="H25" s="1724"/>
      <c r="I25" s="2319"/>
      <c r="J25" s="2290"/>
      <c r="K25" s="1734"/>
      <c r="L25" s="2275"/>
      <c r="M25" s="2275"/>
      <c r="N25" s="1714"/>
      <c r="O25" s="2275"/>
      <c r="P25" s="2290"/>
      <c r="Q25" s="1715"/>
      <c r="R25" s="2275"/>
      <c r="S25" s="2275"/>
      <c r="T25" s="1716"/>
      <c r="U25" s="2275"/>
      <c r="V25" s="2290"/>
      <c r="W25" s="1717"/>
      <c r="X25" s="2275"/>
      <c r="Y25" s="2275"/>
      <c r="Z25" s="1636"/>
      <c r="AA25" s="1719"/>
      <c r="AB25" s="2314"/>
      <c r="AC25" s="2314"/>
      <c r="AD25" s="2314"/>
      <c r="AE25" s="2314"/>
      <c r="AF25" s="2314"/>
      <c r="AG25" s="2314"/>
      <c r="AH25" s="2314"/>
      <c r="AI25" s="2315"/>
      <c r="AJ25" s="1698"/>
      <c r="BM25" s="417">
        <v>14</v>
      </c>
    </row>
    <row customHeight="1" ht="14.699999999999998">
      <c r="D26" s="2320"/>
      <c r="E26" s="2316"/>
      <c r="F26" s="2316"/>
      <c r="G26" s="2323"/>
      <c r="H26" s="1724"/>
      <c r="I26" s="2319"/>
      <c r="J26" s="2290"/>
      <c r="K26" s="1734"/>
      <c r="L26" s="2275"/>
      <c r="M26" s="2275"/>
      <c r="N26" s="1714"/>
      <c r="O26" s="2275"/>
      <c r="P26" s="2290"/>
      <c r="Q26" s="1715"/>
      <c r="R26" s="2275"/>
      <c r="S26" s="2275"/>
      <c r="T26" s="1720"/>
      <c r="U26" s="1721"/>
      <c r="V26" s="2314"/>
      <c r="W26" s="2314"/>
      <c r="X26" s="2314"/>
      <c r="Y26" s="2314"/>
      <c r="Z26" s="2314"/>
      <c r="AA26" s="2314"/>
      <c r="AB26" s="2314"/>
      <c r="AC26" s="2314"/>
      <c r="AD26" s="2314"/>
      <c r="AE26" s="2314"/>
      <c r="AF26" s="2314"/>
      <c r="AG26" s="2314"/>
      <c r="AH26" s="2314"/>
      <c r="AI26" s="2315"/>
      <c r="AJ26" s="1698"/>
      <c r="BM26" s="417">
        <v>14</v>
      </c>
    </row>
    <row customHeight="1" ht="11.549999999999999">
      <c r="D27" s="2320"/>
      <c r="E27" s="2316"/>
      <c r="F27" s="2316"/>
      <c r="G27" s="2323"/>
      <c r="H27" s="1725"/>
      <c r="I27" s="2319"/>
      <c r="J27" s="2290"/>
      <c r="K27" s="1734"/>
      <c r="L27" s="2275"/>
      <c r="M27" s="2275"/>
      <c r="N27" s="1719"/>
      <c r="O27" s="1719"/>
      <c r="P27" s="2314"/>
      <c r="Q27" s="2314"/>
      <c r="R27" s="2314"/>
      <c r="S27" s="2314"/>
      <c r="T27" s="2314"/>
      <c r="U27" s="2314"/>
      <c r="V27" s="2314"/>
      <c r="W27" s="2314"/>
      <c r="X27" s="2314"/>
      <c r="Y27" s="2314"/>
      <c r="Z27" s="2314"/>
      <c r="AA27" s="2314"/>
      <c r="AB27" s="2314"/>
      <c r="AC27" s="2314"/>
      <c r="AD27" s="2314"/>
      <c r="AE27" s="2314"/>
      <c r="AF27" s="2314"/>
      <c r="AG27" s="2314"/>
      <c r="AH27" s="2314"/>
      <c r="AI27" s="2315"/>
      <c r="AJ27" s="1698"/>
      <c r="BM27" s="417">
        <v>11</v>
      </c>
    </row>
    <row s="5807" customFormat="1" customHeight="1" ht="11.549999999999999">
      <c r="D28" s="2326"/>
      <c r="E28" s="2327"/>
      <c r="F28" s="2317"/>
      <c r="G28" s="2249"/>
      <c r="H28" s="1722"/>
      <c r="I28" s="1726"/>
      <c r="J28" s="2324"/>
      <c r="K28" s="2324"/>
      <c r="L28" s="2324"/>
      <c r="M28" s="2324"/>
      <c r="N28" s="2324"/>
      <c r="O28" s="2324"/>
      <c r="P28" s="2324"/>
      <c r="Q28" s="2324"/>
      <c r="R28" s="2324"/>
      <c r="S28" s="2324"/>
      <c r="T28" s="2324"/>
      <c r="U28" s="2324"/>
      <c r="V28" s="2324"/>
      <c r="W28" s="2324"/>
      <c r="X28" s="2324"/>
      <c r="Y28" s="2324"/>
      <c r="Z28" s="2324"/>
      <c r="AA28" s="2324"/>
      <c r="AB28" s="2324"/>
      <c r="AC28" s="2324"/>
      <c r="AD28" s="2324"/>
      <c r="AE28" s="2324"/>
      <c r="AF28" s="2324"/>
      <c r="AG28" s="2324"/>
      <c r="AH28" s="2324"/>
      <c r="AI28" s="2325"/>
      <c r="AJ28" s="1698"/>
      <c r="AK28" s="430"/>
      <c r="AL28" s="1698"/>
      <c r="AM28" s="1698"/>
      <c r="AN28" s="1698"/>
      <c r="AO28" s="1698"/>
      <c r="AP28" s="1698"/>
      <c r="AQ28" s="1698"/>
      <c r="AR28" s="1698"/>
      <c r="AS28" s="1698"/>
      <c r="AT28" s="1698"/>
      <c r="AU28" s="1698"/>
      <c r="AV28" s="1698"/>
      <c r="AW28" s="1698"/>
      <c r="AX28" s="1698"/>
      <c r="AY28" s="1698"/>
      <c r="AZ28" s="1698"/>
      <c r="BA28" s="1698"/>
      <c r="BB28" s="1698"/>
      <c r="BC28" s="1698"/>
      <c r="BD28" s="1698"/>
      <c r="BE28" s="1698"/>
      <c r="BF28" s="1698"/>
      <c r="BG28" s="1698"/>
      <c r="BH28" s="1698"/>
      <c r="BI28" s="1698"/>
      <c r="BJ28" s="1698"/>
      <c r="BK28" s="1698"/>
      <c r="BL28" s="1698"/>
      <c r="BM28" s="1678">
        <v>11</v>
      </c>
    </row>
    <row customHeight="1" ht="15">
      <c r="D29" s="2320" t="s">
        <v>91</v>
      </c>
      <c r="E29" s="2316" t="s">
        <v>405</v>
      </c>
      <c r="F29" s="2316" t="s">
        <v>409</v>
      </c>
      <c r="G29" s="2322" t="s">
        <v>19</v>
      </c>
      <c r="H29" s="1723"/>
      <c r="I29" s="2318"/>
      <c r="J29" s="2289"/>
      <c r="K29" s="1638"/>
      <c r="L29" s="2274"/>
      <c r="M29" s="2274"/>
      <c r="N29" s="1708"/>
      <c r="O29" s="2274"/>
      <c r="P29" s="2289"/>
      <c r="Q29" s="1709"/>
      <c r="R29" s="2274"/>
      <c r="S29" s="2274"/>
      <c r="T29" s="1710"/>
      <c r="U29" s="2274"/>
      <c r="V29" s="2289"/>
      <c r="W29" s="1711"/>
      <c r="X29" s="2274"/>
      <c r="Y29" s="2274"/>
      <c r="Z29" s="1708"/>
      <c r="AA29" s="2274"/>
      <c r="AB29" s="2289"/>
      <c r="AC29" s="1712"/>
      <c r="AD29" s="2274"/>
      <c r="AE29" s="2274"/>
      <c r="AF29" s="1637"/>
      <c r="AG29" s="1637"/>
      <c r="AH29" s="1713"/>
      <c r="AI29" s="1420"/>
      <c r="AJ29" s="1698"/>
      <c r="BM29" s="417">
        <v>14</v>
      </c>
    </row>
    <row customHeight="1" ht="14.699999999999998">
      <c r="D30" s="2320"/>
      <c r="E30" s="2316"/>
      <c r="F30" s="2316"/>
      <c r="G30" s="2323"/>
      <c r="H30" s="1724"/>
      <c r="I30" s="2319"/>
      <c r="J30" s="2290"/>
      <c r="K30" s="1707"/>
      <c r="L30" s="2275"/>
      <c r="M30" s="2275"/>
      <c r="N30" s="1714"/>
      <c r="O30" s="2275"/>
      <c r="P30" s="2290"/>
      <c r="Q30" s="1715"/>
      <c r="R30" s="2275"/>
      <c r="S30" s="2275"/>
      <c r="T30" s="1716"/>
      <c r="U30" s="2275"/>
      <c r="V30" s="2290"/>
      <c r="W30" s="1717"/>
      <c r="X30" s="2275"/>
      <c r="Y30" s="2275"/>
      <c r="Z30" s="1714"/>
      <c r="AA30" s="2275"/>
      <c r="AB30" s="2290"/>
      <c r="AC30" s="1718"/>
      <c r="AD30" s="2275"/>
      <c r="AE30" s="2275"/>
      <c r="AF30" s="1719"/>
      <c r="AG30" s="1719"/>
      <c r="AH30" s="2314"/>
      <c r="AI30" s="2315"/>
      <c r="AJ30" s="1698"/>
      <c r="BM30" s="417">
        <v>14</v>
      </c>
    </row>
    <row customHeight="1" ht="14.699999999999998">
      <c r="D31" s="2320"/>
      <c r="E31" s="2316"/>
      <c r="F31" s="2316"/>
      <c r="G31" s="2323"/>
      <c r="H31" s="1724"/>
      <c r="I31" s="2319"/>
      <c r="J31" s="2290"/>
      <c r="K31" s="1707"/>
      <c r="L31" s="2275"/>
      <c r="M31" s="2275"/>
      <c r="N31" s="1714"/>
      <c r="O31" s="2275"/>
      <c r="P31" s="2290"/>
      <c r="Q31" s="1715"/>
      <c r="R31" s="2275"/>
      <c r="S31" s="2275"/>
      <c r="T31" s="1716"/>
      <c r="U31" s="2275"/>
      <c r="V31" s="2290"/>
      <c r="W31" s="1717"/>
      <c r="X31" s="2275"/>
      <c r="Y31" s="2275"/>
      <c r="Z31" s="1636"/>
      <c r="AA31" s="1719"/>
      <c r="AB31" s="2314"/>
      <c r="AC31" s="2314"/>
      <c r="AD31" s="2314"/>
      <c r="AE31" s="2314"/>
      <c r="AF31" s="2314"/>
      <c r="AG31" s="2314"/>
      <c r="AH31" s="2314"/>
      <c r="AI31" s="2315"/>
      <c r="AJ31" s="1698"/>
      <c r="BM31" s="417">
        <v>14</v>
      </c>
    </row>
    <row customHeight="1" ht="14.699999999999998">
      <c r="D32" s="2320"/>
      <c r="E32" s="2316"/>
      <c r="F32" s="2316"/>
      <c r="G32" s="2323"/>
      <c r="H32" s="1724"/>
      <c r="I32" s="2319"/>
      <c r="J32" s="2290"/>
      <c r="K32" s="1707"/>
      <c r="L32" s="2275"/>
      <c r="M32" s="2275"/>
      <c r="N32" s="1714"/>
      <c r="O32" s="2275"/>
      <c r="P32" s="2290"/>
      <c r="Q32" s="1715"/>
      <c r="R32" s="2275"/>
      <c r="S32" s="2275"/>
      <c r="T32" s="1720"/>
      <c r="U32" s="1721"/>
      <c r="V32" s="2314"/>
      <c r="W32" s="2314"/>
      <c r="X32" s="2314"/>
      <c r="Y32" s="2314"/>
      <c r="Z32" s="2314"/>
      <c r="AA32" s="2314"/>
      <c r="AB32" s="2314"/>
      <c r="AC32" s="2314"/>
      <c r="AD32" s="2314"/>
      <c r="AE32" s="2314"/>
      <c r="AF32" s="2314"/>
      <c r="AG32" s="2314"/>
      <c r="AH32" s="2314"/>
      <c r="AI32" s="2315"/>
      <c r="AJ32" s="1698"/>
      <c r="BM32" s="417">
        <v>14</v>
      </c>
    </row>
    <row customHeight="1" ht="11.549999999999999">
      <c r="D33" s="2320"/>
      <c r="E33" s="2316"/>
      <c r="F33" s="2316"/>
      <c r="G33" s="2323"/>
      <c r="H33" s="1725"/>
      <c r="I33" s="2319"/>
      <c r="J33" s="2290"/>
      <c r="K33" s="1707"/>
      <c r="L33" s="2275"/>
      <c r="M33" s="2275"/>
      <c r="N33" s="1719"/>
      <c r="O33" s="1719"/>
      <c r="P33" s="2314"/>
      <c r="Q33" s="2314"/>
      <c r="R33" s="2314"/>
      <c r="S33" s="2314"/>
      <c r="T33" s="2314"/>
      <c r="U33" s="2314"/>
      <c r="V33" s="2314"/>
      <c r="W33" s="2314"/>
      <c r="X33" s="2314"/>
      <c r="Y33" s="2314"/>
      <c r="Z33" s="2314"/>
      <c r="AA33" s="2314"/>
      <c r="AB33" s="2314"/>
      <c r="AC33" s="2314"/>
      <c r="AD33" s="2314"/>
      <c r="AE33" s="2314"/>
      <c r="AF33" s="2314"/>
      <c r="AG33" s="2314"/>
      <c r="AH33" s="2314"/>
      <c r="AI33" s="2315"/>
      <c r="AJ33" s="1698"/>
      <c r="BM33" s="417">
        <v>11</v>
      </c>
    </row>
    <row s="5807" customFormat="1" customHeight="1" ht="11.549999999999999">
      <c r="D34" s="2326"/>
      <c r="E34" s="2327"/>
      <c r="F34" s="2317"/>
      <c r="G34" s="2249"/>
      <c r="H34" s="1722"/>
      <c r="I34" s="1726"/>
      <c r="J34" s="2324"/>
      <c r="K34" s="2324"/>
      <c r="L34" s="2324"/>
      <c r="M34" s="2324"/>
      <c r="N34" s="2324"/>
      <c r="O34" s="2324"/>
      <c r="P34" s="2324"/>
      <c r="Q34" s="2324"/>
      <c r="R34" s="2324"/>
      <c r="S34" s="2324"/>
      <c r="T34" s="2324"/>
      <c r="U34" s="2324"/>
      <c r="V34" s="2324"/>
      <c r="W34" s="2324"/>
      <c r="X34" s="2324"/>
      <c r="Y34" s="2324"/>
      <c r="Z34" s="2324"/>
      <c r="AA34" s="2324"/>
      <c r="AB34" s="2324"/>
      <c r="AC34" s="2324"/>
      <c r="AD34" s="2324"/>
      <c r="AE34" s="2324"/>
      <c r="AF34" s="2324"/>
      <c r="AG34" s="2324"/>
      <c r="AH34" s="2324"/>
      <c r="AI34" s="2325"/>
      <c r="AJ34" s="1698"/>
      <c r="AK34" s="430"/>
      <c r="AL34" s="1698"/>
      <c r="AM34" s="1698"/>
      <c r="AN34" s="1698"/>
      <c r="AO34" s="1698"/>
      <c r="AP34" s="1698"/>
      <c r="AQ34" s="1698"/>
      <c r="AR34" s="1698"/>
      <c r="AS34" s="1698"/>
      <c r="AT34" s="1698"/>
      <c r="AU34" s="1698"/>
      <c r="AV34" s="1698"/>
      <c r="AW34" s="1698"/>
      <c r="AX34" s="1698"/>
      <c r="AY34" s="1698"/>
      <c r="AZ34" s="1698"/>
      <c r="BA34" s="1698"/>
      <c r="BB34" s="1698"/>
      <c r="BC34" s="1698"/>
      <c r="BD34" s="1698"/>
      <c r="BE34" s="1698"/>
      <c r="BF34" s="1698"/>
      <c r="BG34" s="1698"/>
      <c r="BH34" s="1698"/>
      <c r="BI34" s="1698"/>
      <c r="BJ34" s="1698"/>
      <c r="BK34" s="1698"/>
      <c r="BL34" s="1698"/>
      <c r="BM34" s="1678">
        <v>11</v>
      </c>
    </row>
    <row customHeight="1" ht="15">
      <c r="D35" s="2320" t="s">
        <v>116</v>
      </c>
      <c r="E35" s="2316" t="s">
        <v>405</v>
      </c>
      <c r="F35" s="2316" t="s">
        <v>410</v>
      </c>
      <c r="G35" s="2322" t="s">
        <v>19</v>
      </c>
      <c r="H35" s="1723"/>
      <c r="I35" s="2318"/>
      <c r="J35" s="2289"/>
      <c r="K35" s="1638"/>
      <c r="L35" s="2274"/>
      <c r="M35" s="2274"/>
      <c r="N35" s="1708"/>
      <c r="O35" s="2274"/>
      <c r="P35" s="2289"/>
      <c r="Q35" s="1709"/>
      <c r="R35" s="2274"/>
      <c r="S35" s="2274"/>
      <c r="T35" s="1710"/>
      <c r="U35" s="2274"/>
      <c r="V35" s="2289"/>
      <c r="W35" s="1711"/>
      <c r="X35" s="2274"/>
      <c r="Y35" s="2274"/>
      <c r="Z35" s="1708"/>
      <c r="AA35" s="2274"/>
      <c r="AB35" s="2289"/>
      <c r="AC35" s="1712"/>
      <c r="AD35" s="2274"/>
      <c r="AE35" s="2274"/>
      <c r="AF35" s="1637"/>
      <c r="AG35" s="1637"/>
      <c r="AH35" s="1713"/>
      <c r="AI35" s="1420"/>
      <c r="AJ35" s="1698"/>
      <c r="BM35" s="417">
        <v>14</v>
      </c>
    </row>
    <row customHeight="1" ht="14.699999999999998">
      <c r="D36" s="2320"/>
      <c r="E36" s="2316"/>
      <c r="F36" s="2316"/>
      <c r="G36" s="2323"/>
      <c r="H36" s="1724"/>
      <c r="I36" s="2319"/>
      <c r="J36" s="2290"/>
      <c r="K36" s="1707"/>
      <c r="L36" s="2275"/>
      <c r="M36" s="2275"/>
      <c r="N36" s="1714"/>
      <c r="O36" s="2275"/>
      <c r="P36" s="2290"/>
      <c r="Q36" s="1715"/>
      <c r="R36" s="2275"/>
      <c r="S36" s="2275"/>
      <c r="T36" s="1716"/>
      <c r="U36" s="2275"/>
      <c r="V36" s="2290"/>
      <c r="W36" s="1717"/>
      <c r="X36" s="2275"/>
      <c r="Y36" s="2275"/>
      <c r="Z36" s="1714"/>
      <c r="AA36" s="2275"/>
      <c r="AB36" s="2290"/>
      <c r="AC36" s="1718"/>
      <c r="AD36" s="2275"/>
      <c r="AE36" s="2275"/>
      <c r="AF36" s="1719"/>
      <c r="AG36" s="1719"/>
      <c r="AH36" s="2314"/>
      <c r="AI36" s="2315"/>
      <c r="AJ36" s="1698"/>
      <c r="BM36" s="417">
        <v>14</v>
      </c>
    </row>
    <row customHeight="1" ht="14.699999999999998">
      <c r="D37" s="2320"/>
      <c r="E37" s="2316"/>
      <c r="F37" s="2316"/>
      <c r="G37" s="2323"/>
      <c r="H37" s="1724"/>
      <c r="I37" s="2319"/>
      <c r="J37" s="2290"/>
      <c r="K37" s="1707"/>
      <c r="L37" s="2275"/>
      <c r="M37" s="2275"/>
      <c r="N37" s="1714"/>
      <c r="O37" s="2275"/>
      <c r="P37" s="2290"/>
      <c r="Q37" s="1715"/>
      <c r="R37" s="2275"/>
      <c r="S37" s="2275"/>
      <c r="T37" s="1716"/>
      <c r="U37" s="2275"/>
      <c r="V37" s="2290"/>
      <c r="W37" s="1717"/>
      <c r="X37" s="2275"/>
      <c r="Y37" s="2275"/>
      <c r="Z37" s="1636"/>
      <c r="AA37" s="1719"/>
      <c r="AB37" s="2314"/>
      <c r="AC37" s="2314"/>
      <c r="AD37" s="2314"/>
      <c r="AE37" s="2314"/>
      <c r="AF37" s="2314"/>
      <c r="AG37" s="2314"/>
      <c r="AH37" s="2314"/>
      <c r="AI37" s="2315"/>
      <c r="AJ37" s="1698"/>
      <c r="BM37" s="417">
        <v>14</v>
      </c>
    </row>
    <row customHeight="1" ht="14.699999999999998">
      <c r="D38" s="2320"/>
      <c r="E38" s="2316"/>
      <c r="F38" s="2316"/>
      <c r="G38" s="2323"/>
      <c r="H38" s="1724"/>
      <c r="I38" s="2319"/>
      <c r="J38" s="2290"/>
      <c r="K38" s="1707"/>
      <c r="L38" s="2275"/>
      <c r="M38" s="2275"/>
      <c r="N38" s="1714"/>
      <c r="O38" s="2275"/>
      <c r="P38" s="2290"/>
      <c r="Q38" s="1715"/>
      <c r="R38" s="2275"/>
      <c r="S38" s="2275"/>
      <c r="T38" s="1720"/>
      <c r="U38" s="1721"/>
      <c r="V38" s="2314"/>
      <c r="W38" s="2314"/>
      <c r="X38" s="2314"/>
      <c r="Y38" s="2314"/>
      <c r="Z38" s="2314"/>
      <c r="AA38" s="2314"/>
      <c r="AB38" s="2314"/>
      <c r="AC38" s="2314"/>
      <c r="AD38" s="2314"/>
      <c r="AE38" s="2314"/>
      <c r="AF38" s="2314"/>
      <c r="AG38" s="2314"/>
      <c r="AH38" s="2314"/>
      <c r="AI38" s="2315"/>
      <c r="AJ38" s="1698"/>
      <c r="BM38" s="417">
        <v>14</v>
      </c>
    </row>
    <row customHeight="1" ht="11.549999999999999">
      <c r="D39" s="2320"/>
      <c r="E39" s="2316"/>
      <c r="F39" s="2316"/>
      <c r="G39" s="2323"/>
      <c r="H39" s="1725"/>
      <c r="I39" s="2319"/>
      <c r="J39" s="2290"/>
      <c r="K39" s="1707"/>
      <c r="L39" s="2275"/>
      <c r="M39" s="2275"/>
      <c r="N39" s="1719"/>
      <c r="O39" s="1719"/>
      <c r="P39" s="2314"/>
      <c r="Q39" s="2314"/>
      <c r="R39" s="2314"/>
      <c r="S39" s="2314"/>
      <c r="T39" s="2314"/>
      <c r="U39" s="2314"/>
      <c r="V39" s="2314"/>
      <c r="W39" s="2314"/>
      <c r="X39" s="2314"/>
      <c r="Y39" s="2314"/>
      <c r="Z39" s="2314"/>
      <c r="AA39" s="2314"/>
      <c r="AB39" s="2314"/>
      <c r="AC39" s="2314"/>
      <c r="AD39" s="2314"/>
      <c r="AE39" s="2314"/>
      <c r="AF39" s="2314"/>
      <c r="AG39" s="2314"/>
      <c r="AH39" s="2314"/>
      <c r="AI39" s="2315"/>
      <c r="AJ39" s="1698"/>
      <c r="BM39" s="417">
        <v>11</v>
      </c>
    </row>
    <row s="5807" customFormat="1" customHeight="1" ht="11.549999999999999">
      <c r="D40" s="2320"/>
      <c r="E40" s="2316"/>
      <c r="F40" s="2321"/>
      <c r="G40" s="2249"/>
      <c r="H40" s="1722"/>
      <c r="I40" s="1726"/>
      <c r="J40" s="2324"/>
      <c r="K40" s="2324"/>
      <c r="L40" s="2324"/>
      <c r="M40" s="2324"/>
      <c r="N40" s="2324"/>
      <c r="O40" s="2324"/>
      <c r="P40" s="2324"/>
      <c r="Q40" s="2324"/>
      <c r="R40" s="2324"/>
      <c r="S40" s="2324"/>
      <c r="T40" s="2324"/>
      <c r="U40" s="2324"/>
      <c r="V40" s="2324"/>
      <c r="W40" s="2324"/>
      <c r="X40" s="2324"/>
      <c r="Y40" s="2324"/>
      <c r="Z40" s="2324"/>
      <c r="AA40" s="2324"/>
      <c r="AB40" s="2324"/>
      <c r="AC40" s="2324"/>
      <c r="AD40" s="2324"/>
      <c r="AE40" s="2324"/>
      <c r="AF40" s="2324"/>
      <c r="AG40" s="2324"/>
      <c r="AH40" s="2324"/>
      <c r="AI40" s="2325"/>
      <c r="AJ40" s="1698"/>
      <c r="AK40" s="430"/>
      <c r="AL40" s="1698"/>
      <c r="AM40" s="1698"/>
      <c r="AN40" s="1698"/>
      <c r="AO40" s="1698"/>
      <c r="AP40" s="1698"/>
      <c r="AQ40" s="1698"/>
      <c r="AR40" s="1698"/>
      <c r="AS40" s="1698"/>
      <c r="AT40" s="1698"/>
      <c r="AU40" s="1698"/>
      <c r="AV40" s="1698"/>
      <c r="AW40" s="1698"/>
      <c r="AX40" s="1698"/>
      <c r="AY40" s="1698"/>
      <c r="AZ40" s="1698"/>
      <c r="BA40" s="1698"/>
      <c r="BB40" s="1698"/>
      <c r="BC40" s="1698"/>
      <c r="BD40" s="1698"/>
      <c r="BE40" s="1698"/>
      <c r="BF40" s="1698"/>
      <c r="BG40" s="1698"/>
      <c r="BH40" s="1698"/>
      <c r="BI40" s="1698"/>
      <c r="BJ40" s="1698"/>
      <c r="BK40" s="1698"/>
      <c r="BL40" s="1698"/>
      <c r="BM40" s="1678">
        <v>11</v>
      </c>
    </row>
    <row customHeight="1" ht="11.549999999999999">
      <c r="AK41" s="547"/>
      <c r="BM41" s="417">
        <v>11</v>
      </c>
    </row>
    <row customHeight="1" ht="11.549999999999999">
      <c r="AK42" s="547"/>
      <c r="BM42" s="417">
        <v>11</v>
      </c>
    </row>
    <row customHeight="1" ht="11.549999999999999">
      <c r="AK43" s="547"/>
      <c r="BM43" s="417">
        <v>11</v>
      </c>
    </row>
    <row customHeight="1" ht="11.549999999999999">
      <c r="AK44" s="547"/>
      <c r="BM44" s="417">
        <v>11</v>
      </c>
    </row>
    <row customHeight="1" ht="11.549999999999999">
      <c r="AK45" s="547"/>
      <c r="BM45" s="417">
        <v>11</v>
      </c>
    </row>
    <row customHeight="1" ht="11.549999999999999">
      <c r="AK46" s="547"/>
      <c r="BM46" s="417">
        <v>11</v>
      </c>
    </row>
    <row customHeight="1" ht="11.549999999999999">
      <c r="AK47" s="547"/>
      <c r="BM47" s="417">
        <v>11</v>
      </c>
    </row>
    <row customHeight="1" ht="11.549999999999999">
      <c r="AK48" s="547"/>
      <c r="BM48" s="417">
        <v>11</v>
      </c>
    </row>
    <row customHeight="1" ht="11.549999999999999">
      <c r="AK49" s="547"/>
      <c r="BM49" s="417">
        <v>11</v>
      </c>
    </row>
    <row customHeight="1" ht="11.25" hidden="1">
      <c r="A50" s="417" t="s">
        <v>82</v>
      </c>
      <c r="B50" s="417">
        <v>0</v>
      </c>
      <c r="C50" s="417">
        <v>3</v>
      </c>
      <c r="D50" s="417">
        <v>3</v>
      </c>
      <c r="E50" s="417">
        <v>15</v>
      </c>
      <c r="F50" s="417">
        <v>15</v>
      </c>
      <c r="G50" s="417">
        <v>11</v>
      </c>
      <c r="H50" s="417">
        <v>3</v>
      </c>
      <c r="I50" s="417">
        <v>3</v>
      </c>
      <c r="J50" s="417">
        <v>12</v>
      </c>
      <c r="K50" s="417">
        <v>0</v>
      </c>
      <c r="L50" s="417">
        <v>10</v>
      </c>
      <c r="M50" s="417">
        <v>10</v>
      </c>
      <c r="N50" s="417">
        <v>3</v>
      </c>
      <c r="O50" s="417">
        <v>3</v>
      </c>
      <c r="P50" s="417">
        <v>19</v>
      </c>
      <c r="Q50" s="417">
        <v>0</v>
      </c>
      <c r="R50" s="417">
        <v>10</v>
      </c>
      <c r="S50" s="417">
        <v>10</v>
      </c>
      <c r="T50" s="417">
        <v>3</v>
      </c>
      <c r="U50" s="417">
        <v>3</v>
      </c>
      <c r="V50" s="417">
        <v>25</v>
      </c>
      <c r="W50" s="417">
        <v>0</v>
      </c>
      <c r="X50" s="417">
        <v>10</v>
      </c>
      <c r="Y50" s="417">
        <v>10</v>
      </c>
      <c r="Z50" s="417">
        <v>3</v>
      </c>
      <c r="AA50" s="417">
        <v>3</v>
      </c>
      <c r="AB50" s="417">
        <v>16</v>
      </c>
      <c r="AC50" s="417">
        <v>0</v>
      </c>
      <c r="AD50" s="417">
        <v>10</v>
      </c>
      <c r="AE50" s="417">
        <v>10</v>
      </c>
      <c r="AF50" s="417">
        <v>3</v>
      </c>
      <c r="AG50" s="417">
        <v>3</v>
      </c>
      <c r="AH50" s="417">
        <v>8</v>
      </c>
      <c r="AI50" s="417">
        <v>21</v>
      </c>
      <c r="AJ50" s="547">
        <v>8</v>
      </c>
      <c r="AK50" s="430">
        <v>8</v>
      </c>
      <c r="AL50" s="547">
        <v>8</v>
      </c>
      <c r="AM50" s="547">
        <v>8</v>
      </c>
      <c r="AN50" s="547">
        <v>8</v>
      </c>
      <c r="AO50" s="547">
        <v>8</v>
      </c>
      <c r="AP50" s="547">
        <v>8</v>
      </c>
      <c r="AQ50" s="547">
        <v>8</v>
      </c>
      <c r="AR50" s="547">
        <v>8</v>
      </c>
      <c r="AS50" s="547">
        <v>8</v>
      </c>
      <c r="AT50" s="547">
        <v>8</v>
      </c>
      <c r="AU50" s="547">
        <v>8</v>
      </c>
      <c r="AV50" s="547">
        <v>8</v>
      </c>
      <c r="AW50" s="547">
        <v>8</v>
      </c>
      <c r="AX50" s="547">
        <v>8</v>
      </c>
      <c r="AY50" s="547">
        <v>8</v>
      </c>
      <c r="AZ50" s="547">
        <v>8</v>
      </c>
      <c r="BA50" s="547">
        <v>8</v>
      </c>
      <c r="BB50" s="547">
        <v>8</v>
      </c>
      <c r="BC50" s="547">
        <v>8</v>
      </c>
      <c r="BD50" s="547">
        <v>8</v>
      </c>
      <c r="BE50" s="547">
        <v>8</v>
      </c>
      <c r="BF50" s="547">
        <v>8</v>
      </c>
      <c r="BG50" s="547">
        <v>8</v>
      </c>
      <c r="BH50" s="547">
        <v>8</v>
      </c>
      <c r="BI50" s="547">
        <v>8</v>
      </c>
      <c r="BJ50" s="547">
        <v>8</v>
      </c>
      <c r="BK50" s="547">
        <v>8</v>
      </c>
      <c r="BL50" s="547">
        <v>8</v>
      </c>
      <c r="BM50" s="41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E6FB08-1468-D218-24AA-502F0D4CB7CF}"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7954" width="1.7109375" customWidth="1"/>
    <col min="2" max="2" style="7954" width="34.57421875" customWidth="1"/>
    <col min="3" max="3" style="7954" width="85.00390625" customWidth="1"/>
    <col min="4" max="4" style="7954" width="17.00390625" customWidth="1"/>
    <col min="5" max="5" style="7954" width="8.00390625" customWidth="1"/>
    <col min="6" max="6" style="7954" width="9.140625" hidden="1"/>
  </cols>
  <sheetData>
    <row customHeight="1" ht="3">
      <c r="F1" s="213" t="s">
        <v>14</v>
      </c>
    </row>
    <row customHeight="1" ht="22.5">
      <c r="B2" s="2751" t="s">
        <v>2311</v>
      </c>
      <c r="C2" s="2637"/>
      <c r="D2" s="2637"/>
      <c r="E2" s="392"/>
      <c r="F2" s="213">
        <v>22</v>
      </c>
    </row>
    <row customHeight="1" ht="3">
      <c r="F3" s="213">
        <v>3</v>
      </c>
    </row>
    <row customHeight="1" ht="23.25">
      <c r="B4" s="2752" t="s">
        <v>2312</v>
      </c>
      <c r="C4" s="507" t="s">
        <v>2313</v>
      </c>
      <c r="D4" s="507" t="s">
        <v>2314</v>
      </c>
      <c r="F4" s="213">
        <v>22</v>
      </c>
    </row>
    <row customHeight="1" ht="11.25" hidden="1">
      <c r="A5" s="213" t="s">
        <v>82</v>
      </c>
      <c r="B5" s="213">
        <v>34</v>
      </c>
      <c r="C5" s="213">
        <v>85</v>
      </c>
      <c r="D5" s="213">
        <v>17</v>
      </c>
      <c r="E5" s="213">
        <v>8</v>
      </c>
      <c r="F5" s="213">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D28AC8-B05F-FC48-2128-F264543CB12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7954" width="26.57421875" customWidth="1"/>
    <col min="2" max="2" style="7954" width="10.00390625" customWidth="1"/>
    <col min="3" max="3" style="7954" width="9.140625"/>
    <col min="4" max="4" style="7954" width="11.140625" customWidth="1"/>
    <col min="5" max="5" style="7954" width="16.57421875" customWidth="1"/>
    <col min="6" max="6" style="7954" width="16.28125" customWidth="1"/>
    <col min="7" max="7" style="7954" width="19.140625" customWidth="1"/>
    <col min="8" max="11" style="7954" width="10.00390625" customWidth="1"/>
    <col min="12" max="12" style="7954" width="12.7109375" customWidth="1"/>
    <col min="13" max="13" style="7954" width="61.28125" customWidth="1"/>
    <col min="14" max="14" style="7954" width="10.00390625" customWidth="1"/>
    <col min="15" max="17" style="7954" width="23.7109375" customWidth="1"/>
    <col min="18" max="18" style="7954" width="11.7109375" customWidth="1"/>
    <col min="19" max="19" style="7954" width="8.57421875" customWidth="1"/>
    <col min="20" max="20" style="7954" width="11.7109375" customWidth="1"/>
    <col min="21" max="21" style="7954" width="8.57421875" customWidth="1"/>
    <col min="22" max="22" style="7954" width="4.7109375" customWidth="1"/>
    <col min="23" max="23" style="7954" width="115.7109375" customWidth="1"/>
    <col min="24" max="24" style="7954" width="115.28125" customWidth="1"/>
    <col min="25" max="27" style="7954" width="9.140625"/>
    <col min="28" max="28" style="7954" width="115.7109375" customWidth="1"/>
    <col min="29" max="29" style="7954" width="9.140625"/>
    <col min="30" max="90" style="7954" width="115.7109375" customWidth="1"/>
    <col min="91" max="184" style="7954" width="9.140625"/>
  </cols>
  <sheetData>
    <row r="2" s="7515" customFormat="1" customHeight="1" ht="17.25">
      <c r="A2" s="1938" t="s">
        <v>2315</v>
      </c>
    </row>
    <row r="4" s="7505" customFormat="1" customHeight="1" ht="15">
      <c r="C4" s="1939"/>
      <c r="D4" s="237"/>
      <c r="E4" s="501"/>
    </row>
    <row r="6" s="7515" customFormat="1" customHeight="1" ht="17.25">
      <c r="A6" s="1938" t="s">
        <v>2316</v>
      </c>
    </row>
    <row r="8" s="7505" customFormat="1" customHeight="1" ht="17.25">
      <c r="C8" s="1940"/>
      <c r="D8" s="237"/>
      <c r="E8" s="238"/>
    </row>
    <row r="11" s="7515" customFormat="1" customHeight="1" ht="17.25">
      <c r="A11" s="1938" t="s">
        <v>2317</v>
      </c>
    </row>
    <row r="13" s="6033" customFormat="1" customHeight="1" ht="15">
      <c r="A13" s="2354">
        <v>1</v>
      </c>
      <c r="B13" s="1284"/>
      <c r="C13" s="925" t="s">
        <v>103</v>
      </c>
      <c r="D13" s="1941"/>
      <c r="E13" s="1928">
        <f>A13</f>
        <v>1</v>
      </c>
      <c r="F13" s="928"/>
      <c r="G13" s="664" t="str">
        <f>"Территория "&amp;E13</f>
        <v>Территория 1</v>
      </c>
      <c r="H13" s="916"/>
      <c r="I13" s="916"/>
      <c r="J13" s="913"/>
      <c r="K13" s="1748"/>
      <c r="L13" s="1748"/>
      <c r="M13" s="1748"/>
      <c r="N13" s="350"/>
      <c r="O13" s="1748"/>
      <c r="P13" s="349"/>
      <c r="Q13" s="349"/>
      <c r="R13" s="349"/>
      <c r="S13" s="349"/>
    </row>
    <row s="7954" customFormat="1" customHeight="1" ht="15">
      <c r="A14" s="2354"/>
      <c r="B14" s="1284">
        <v>1</v>
      </c>
      <c r="C14" s="1284"/>
      <c r="D14" s="924"/>
      <c r="E14" s="1936" t="str">
        <f>A13&amp;"."&amp;B14</f>
        <v>1.1</v>
      </c>
      <c r="F14" s="927">
        <f>$F$20</f>
        <v>0</v>
      </c>
      <c r="G14" s="917"/>
      <c r="H14" s="917"/>
      <c r="I14" s="915"/>
      <c r="J14" s="1748"/>
      <c r="K14" s="1760"/>
      <c r="L14" s="1760"/>
      <c r="M14" s="1748" t="str">
        <f t="array" ref="M14:M14">IF(ISERROR(MATCH(MID(N14,1,250),MID(note_ter,1,250),0)),"n","y")</f>
        <v>n</v>
      </c>
      <c r="N14" s="1760"/>
      <c r="O14" s="1748" t="str">
        <f>H14&amp;"("&amp;I14&amp;")"</f>
        <v>()</v>
      </c>
      <c r="P14" s="1284"/>
      <c r="Q14" s="1284"/>
      <c r="R14" s="544"/>
      <c r="S14" s="1284"/>
      <c r="T14" s="1284"/>
      <c r="U14" s="1284"/>
      <c r="V14" s="546"/>
      <c r="W14" s="546"/>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6"/>
      <c r="BT14" s="546"/>
      <c r="BU14" s="546"/>
      <c r="BV14" s="546"/>
      <c r="BW14" s="546"/>
      <c r="BX14" s="546"/>
      <c r="BY14" s="546"/>
      <c r="BZ14" s="546"/>
      <c r="CA14" s="546"/>
      <c r="CB14" s="546"/>
    </row>
    <row s="7954" customFormat="1" customHeight="1" ht="15">
      <c r="A15" s="2354"/>
      <c r="B15" s="1284"/>
      <c r="C15" s="536"/>
      <c r="D15" s="925"/>
      <c r="E15" s="545"/>
      <c r="F15" s="301"/>
      <c r="G15" s="539" t="s">
        <v>101</v>
      </c>
      <c r="H15" s="311"/>
      <c r="I15" s="548"/>
      <c r="J15" s="1760"/>
      <c r="K15" s="1760"/>
      <c r="L15" s="1760"/>
      <c r="M15" s="1760"/>
      <c r="N15" s="1748"/>
      <c r="O15" s="1760"/>
      <c r="P15" s="1284"/>
      <c r="Q15" s="1284"/>
      <c r="R15" s="544"/>
      <c r="S15" s="1284"/>
      <c r="T15" s="1284"/>
      <c r="U15" s="1284"/>
      <c r="V15" s="546"/>
      <c r="W15" s="546"/>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6"/>
      <c r="BT15" s="546"/>
      <c r="BU15" s="546"/>
      <c r="BV15" s="546"/>
      <c r="BW15" s="546"/>
      <c r="BX15" s="546"/>
      <c r="BY15" s="546"/>
      <c r="BZ15" s="546"/>
      <c r="CA15" s="546"/>
      <c r="CB15" s="546"/>
    </row>
    <row r="17" s="7515" customFormat="1" customHeight="1" ht="17.25">
      <c r="A17" s="1938" t="s">
        <v>2318</v>
      </c>
    </row>
    <row r="19" s="7954" customFormat="1" customHeight="1" ht="15">
      <c r="A19" s="2003"/>
      <c r="B19" s="1490">
        <v>1</v>
      </c>
      <c r="C19" s="1490"/>
      <c r="D19" s="924" t="s">
        <v>103</v>
      </c>
      <c r="E19" s="1999"/>
      <c r="F19" s="2004">
        <f>$F$20</f>
        <v>0</v>
      </c>
      <c r="G19" s="2008"/>
      <c r="H19" s="2008"/>
      <c r="I19" s="2006"/>
      <c r="J19" s="1748"/>
      <c r="K19" s="1760"/>
      <c r="L19" s="1760"/>
      <c r="M19" s="1748" t="str">
        <f t="array" ref="M19:M19">IF(ISERROR(MATCH(MID(N19,1,250),MID(note_ter,1,250),0)),"n","y")</f>
        <v>n</v>
      </c>
      <c r="N19" s="1760"/>
      <c r="O19" s="1748" t="str">
        <f>H19&amp;"("&amp;I19&amp;")"</f>
        <v>()</v>
      </c>
      <c r="P19" s="1490"/>
      <c r="Q19" s="1490"/>
      <c r="R19" s="544"/>
      <c r="S19" s="1490"/>
      <c r="T19" s="1490"/>
      <c r="U19" s="1490"/>
      <c r="V19" s="957"/>
      <c r="W19" s="957"/>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AT19" s="751"/>
      <c r="AU19" s="751"/>
      <c r="AV19" s="751"/>
      <c r="AW19" s="751"/>
      <c r="AX19" s="751"/>
      <c r="AY19" s="751"/>
      <c r="AZ19" s="751"/>
      <c r="BA19" s="751"/>
      <c r="BB19" s="751"/>
      <c r="BC19" s="751"/>
      <c r="BD19" s="751"/>
      <c r="BE19" s="751"/>
      <c r="BF19" s="751"/>
      <c r="BG19" s="751"/>
      <c r="BH19" s="751"/>
      <c r="BI19" s="751"/>
      <c r="BJ19" s="751"/>
      <c r="BK19" s="751"/>
      <c r="BL19" s="751"/>
      <c r="BM19" s="751"/>
      <c r="BN19" s="751"/>
      <c r="BO19" s="751"/>
      <c r="BP19" s="751"/>
      <c r="BQ19" s="751"/>
      <c r="BR19" s="751"/>
      <c r="BS19" s="957"/>
      <c r="BT19" s="957"/>
      <c r="BU19" s="957"/>
      <c r="BV19" s="957"/>
      <c r="BW19" s="957"/>
      <c r="BX19" s="957"/>
      <c r="BY19" s="957"/>
      <c r="BZ19" s="957"/>
      <c r="CA19" s="957"/>
      <c r="CB19" s="957"/>
    </row>
    <row r="21" s="7954" customFormat="1" customHeight="1" ht="15">
      <c r="A21" s="1938" t="s">
        <v>2319</v>
      </c>
      <c r="B21" s="1938"/>
      <c r="C21" s="1938"/>
      <c r="D21" s="1938"/>
      <c r="E21" s="1938"/>
      <c r="F21" s="1938"/>
      <c r="G21" s="1938"/>
      <c r="H21" s="1938"/>
      <c r="I21" s="1938"/>
      <c r="J21" s="1938"/>
      <c r="K21" s="1938"/>
      <c r="L21" s="1938"/>
      <c r="M21" s="1938"/>
      <c r="N21" s="1938"/>
      <c r="O21" s="1938"/>
      <c r="P21" s="1938"/>
      <c r="Q21" s="1938"/>
      <c r="R21" s="1938"/>
      <c r="S21" s="1938"/>
      <c r="T21" s="1938"/>
      <c r="U21" s="308"/>
      <c r="V21" s="1938"/>
      <c r="W21" s="1938"/>
    </row>
    <row s="7954" customFormat="1" customHeight="1" ht="15">
      <c r="U22" s="309"/>
    </row>
    <row s="7787" customFormat="1" customHeight="1" ht="15">
      <c r="A23" s="547"/>
      <c r="B23" s="547"/>
      <c r="C23" s="1851" t="s">
        <v>103</v>
      </c>
      <c r="D23" s="2245" t="s">
        <v>210</v>
      </c>
      <c r="E23" s="2246"/>
      <c r="F23" s="2244" t="s">
        <v>19</v>
      </c>
      <c r="G23" s="2694"/>
      <c r="H23" s="2264">
        <v>1</v>
      </c>
      <c r="I23" s="2696" t="str">
        <f>IF(U23="","",INDEX(TERRITORY_MR_LIST,MATCH(U23,TERRITORY_LIST_ID,0)))</f>
        <v/>
      </c>
      <c r="J23" s="2244" t="s">
        <v>19</v>
      </c>
      <c r="K23" s="956"/>
      <c r="L23" s="1905" t="s">
        <v>210</v>
      </c>
      <c r="M23" s="727"/>
      <c r="N23" s="728"/>
      <c r="O23" s="728"/>
      <c r="P23" s="728"/>
      <c r="Q23" s="728"/>
      <c r="R23" s="728"/>
      <c r="S23" s="728"/>
      <c r="T23" s="728"/>
      <c r="U23" s="729"/>
      <c r="V23" s="728"/>
      <c r="W23" s="728"/>
      <c r="X23" s="719"/>
      <c r="Y23" s="719" t="s">
        <v>217</v>
      </c>
      <c r="Z23" s="719">
        <v>1705000</v>
      </c>
      <c r="AA23" s="719"/>
      <c r="AB23" s="719"/>
      <c r="AC23" s="719"/>
      <c r="AD23" s="719"/>
      <c r="AE23" s="719"/>
      <c r="AF23" s="719"/>
      <c r="AG23" s="719"/>
      <c r="AH23" s="719"/>
      <c r="AI23" s="719"/>
      <c r="AJ23" s="719"/>
      <c r="AK23" s="719"/>
      <c r="AL23" s="719"/>
    </row>
    <row s="7787" customFormat="1" customHeight="1" ht="15">
      <c r="A24" s="547"/>
      <c r="B24" s="547"/>
      <c r="C24" s="300"/>
      <c r="D24" s="2245"/>
      <c r="E24" s="2247"/>
      <c r="F24" s="2244"/>
      <c r="G24" s="2695"/>
      <c r="H24" s="2264"/>
      <c r="I24" s="2697"/>
      <c r="J24" s="2244"/>
      <c r="K24" s="545"/>
      <c r="L24" s="301"/>
      <c r="M24" s="731" t="s">
        <v>218</v>
      </c>
      <c r="N24" s="728"/>
      <c r="O24" s="728"/>
      <c r="P24" s="728"/>
      <c r="Q24" s="728"/>
      <c r="R24" s="728"/>
      <c r="S24" s="728"/>
      <c r="T24" s="728"/>
      <c r="U24" s="729"/>
      <c r="V24" s="728"/>
      <c r="W24" s="728"/>
      <c r="X24" s="719"/>
      <c r="Y24" s="719"/>
      <c r="Z24" s="719"/>
      <c r="AA24" s="719"/>
      <c r="AB24" s="719"/>
      <c r="AC24" s="719"/>
      <c r="AD24" s="719"/>
      <c r="AE24" s="719"/>
      <c r="AF24" s="719"/>
      <c r="AG24" s="719"/>
      <c r="AH24" s="719"/>
      <c r="AI24" s="719"/>
      <c r="AJ24" s="719"/>
      <c r="AK24" s="719"/>
      <c r="AL24" s="719"/>
    </row>
    <row s="7787" customFormat="1" customHeight="1" ht="15">
      <c r="A25" s="547"/>
      <c r="B25" s="547"/>
      <c r="C25" s="300"/>
      <c r="D25" s="2245"/>
      <c r="E25" s="2248"/>
      <c r="F25" s="2244"/>
      <c r="G25" s="545"/>
      <c r="H25" s="301"/>
      <c r="I25" s="704" t="s">
        <v>240</v>
      </c>
      <c r="J25" s="301"/>
      <c r="K25" s="301"/>
      <c r="L25" s="301"/>
      <c r="M25" s="732"/>
      <c r="N25" s="728"/>
      <c r="O25" s="728"/>
      <c r="P25" s="728"/>
      <c r="Q25" s="728"/>
      <c r="R25" s="728"/>
      <c r="S25" s="728"/>
      <c r="T25" s="728"/>
      <c r="U25" s="729"/>
      <c r="V25" s="728"/>
      <c r="W25" s="728"/>
      <c r="X25" s="719"/>
      <c r="Y25" s="719"/>
      <c r="Z25" s="719"/>
      <c r="AA25" s="719"/>
      <c r="AB25" s="719"/>
      <c r="AC25" s="719"/>
      <c r="AD25" s="719"/>
      <c r="AE25" s="719"/>
      <c r="AF25" s="719"/>
      <c r="AG25" s="719"/>
      <c r="AH25" s="719"/>
      <c r="AI25" s="719"/>
      <c r="AJ25" s="719"/>
      <c r="AK25" s="719"/>
      <c r="AL25" s="719"/>
    </row>
    <row s="7954" customFormat="1" customHeight="1" ht="15">
      <c r="U26" s="309"/>
    </row>
    <row s="7954" customFormat="1" customHeight="1" ht="15">
      <c r="A27" s="1938" t="s">
        <v>2320</v>
      </c>
      <c r="B27" s="1938"/>
      <c r="C27" s="1938"/>
      <c r="D27" s="1938"/>
      <c r="E27" s="1938"/>
      <c r="F27" s="1938"/>
      <c r="G27" s="1938"/>
      <c r="H27" s="1938"/>
      <c r="I27" s="1938"/>
      <c r="J27" s="1938"/>
      <c r="K27" s="1938"/>
      <c r="L27" s="1938"/>
      <c r="M27" s="1938"/>
      <c r="N27" s="1938"/>
      <c r="O27" s="1938"/>
      <c r="P27" s="1938"/>
      <c r="Q27" s="1938"/>
      <c r="R27" s="1938"/>
      <c r="S27" s="1938"/>
      <c r="T27" s="1938"/>
      <c r="U27" s="308"/>
      <c r="V27" s="1938"/>
      <c r="W27" s="1938"/>
    </row>
    <row s="7954" customFormat="1" customHeight="1" ht="15">
      <c r="U28" s="309"/>
    </row>
    <row s="7787" customFormat="1" customHeight="1" ht="15">
      <c r="A29" s="547"/>
      <c r="B29" s="547"/>
      <c r="C29" s="300"/>
      <c r="D29" s="1944"/>
      <c r="E29" s="1944"/>
      <c r="F29" s="1944"/>
      <c r="G29" s="2698" t="s">
        <v>103</v>
      </c>
      <c r="H29" s="2240">
        <v>1</v>
      </c>
      <c r="I29" s="2699" t="str">
        <f>IF(U29="","",INDEX(TERRITORY_MR_LIST,MATCH(U29,TERRITORY_LIST_ID,0)))</f>
        <v/>
      </c>
      <c r="J29" s="2244" t="s">
        <v>19</v>
      </c>
      <c r="K29" s="956"/>
      <c r="L29" s="1905" t="s">
        <v>210</v>
      </c>
      <c r="M29" s="727"/>
      <c r="N29" s="728"/>
      <c r="O29" s="728"/>
      <c r="P29" s="728"/>
      <c r="Q29" s="728"/>
      <c r="R29" s="728"/>
      <c r="S29" s="728"/>
      <c r="T29" s="728"/>
      <c r="U29" s="729"/>
      <c r="V29" s="728"/>
      <c r="W29" s="728"/>
      <c r="X29" s="719"/>
      <c r="Y29" s="719" t="s">
        <v>217</v>
      </c>
      <c r="Z29" s="719">
        <v>1705000</v>
      </c>
      <c r="AA29" s="719"/>
      <c r="AB29" s="719"/>
      <c r="AC29" s="719"/>
      <c r="AD29" s="719"/>
      <c r="AE29" s="719"/>
      <c r="AF29" s="719"/>
      <c r="AG29" s="719"/>
      <c r="AH29" s="719"/>
      <c r="AI29" s="719"/>
      <c r="AJ29" s="719"/>
      <c r="AK29" s="719"/>
      <c r="AL29" s="719"/>
    </row>
    <row s="7787" customFormat="1" customHeight="1" ht="15">
      <c r="A30" s="547"/>
      <c r="B30" s="547"/>
      <c r="C30" s="300"/>
      <c r="D30" s="1944"/>
      <c r="E30" s="1944"/>
      <c r="F30" s="1944"/>
      <c r="G30" s="2698"/>
      <c r="H30" s="2240"/>
      <c r="I30" s="2699"/>
      <c r="J30" s="2244"/>
      <c r="K30" s="545"/>
      <c r="L30" s="301"/>
      <c r="M30" s="731" t="s">
        <v>218</v>
      </c>
      <c r="N30" s="728"/>
      <c r="O30" s="728"/>
      <c r="P30" s="728"/>
      <c r="Q30" s="728"/>
      <c r="R30" s="728"/>
      <c r="S30" s="728"/>
      <c r="T30" s="728"/>
      <c r="U30" s="729"/>
      <c r="V30" s="728"/>
      <c r="W30" s="728"/>
      <c r="X30" s="719"/>
      <c r="Y30" s="719"/>
      <c r="Z30" s="719"/>
      <c r="AA30" s="719"/>
      <c r="AB30" s="719"/>
      <c r="AC30" s="719"/>
      <c r="AD30" s="719"/>
      <c r="AE30" s="719"/>
      <c r="AF30" s="719"/>
      <c r="AG30" s="719"/>
      <c r="AH30" s="719"/>
      <c r="AI30" s="719"/>
      <c r="AJ30" s="719"/>
      <c r="AK30" s="719"/>
      <c r="AL30" s="719"/>
    </row>
    <row s="7954" customFormat="1" customHeight="1" ht="15">
      <c r="U31" s="309"/>
    </row>
    <row s="7954" customFormat="1" customHeight="1" ht="15">
      <c r="A32" s="1938" t="s">
        <v>2321</v>
      </c>
      <c r="B32" s="1938"/>
      <c r="C32" s="1938"/>
      <c r="D32" s="1938"/>
      <c r="E32" s="1938"/>
      <c r="F32" s="1938"/>
      <c r="G32" s="1938"/>
      <c r="H32" s="1938"/>
      <c r="I32" s="1938"/>
      <c r="J32" s="1938"/>
      <c r="K32" s="1938"/>
      <c r="L32" s="1938"/>
      <c r="M32" s="1938"/>
      <c r="N32" s="1938"/>
      <c r="O32" s="1938"/>
      <c r="P32" s="1938"/>
      <c r="Q32" s="1938"/>
      <c r="R32" s="1938"/>
      <c r="S32" s="1938"/>
      <c r="T32" s="1938"/>
      <c r="U32" s="308"/>
      <c r="V32" s="1938"/>
      <c r="W32" s="1938"/>
    </row>
    <row s="7954" customFormat="1" customHeight="1" ht="15">
      <c r="U33" s="309"/>
    </row>
    <row s="7787" customFormat="1" customHeight="1" ht="15">
      <c r="A34" s="547"/>
      <c r="B34" s="547"/>
      <c r="C34" s="300"/>
      <c r="D34" s="1944"/>
      <c r="E34" s="1944"/>
      <c r="F34" s="1944"/>
      <c r="G34" s="1944"/>
      <c r="H34" s="1944"/>
      <c r="I34" s="1944"/>
      <c r="J34" s="1944"/>
      <c r="K34" s="1922" t="s">
        <v>103</v>
      </c>
      <c r="L34" s="1852" t="s">
        <v>210</v>
      </c>
      <c r="M34" s="935"/>
      <c r="N34" s="936"/>
      <c r="O34" s="728"/>
      <c r="P34" s="728"/>
      <c r="Q34" s="728"/>
      <c r="R34" s="728"/>
      <c r="S34" s="728"/>
      <c r="T34" s="728"/>
      <c r="U34" s="729"/>
      <c r="V34" s="728"/>
      <c r="W34" s="728"/>
      <c r="X34" s="719"/>
      <c r="Y34" s="719" t="s">
        <v>217</v>
      </c>
      <c r="Z34" s="719">
        <v>1705000</v>
      </c>
      <c r="AA34" s="719"/>
      <c r="AB34" s="719"/>
      <c r="AC34" s="719"/>
      <c r="AD34" s="719"/>
      <c r="AE34" s="719"/>
      <c r="AF34" s="719"/>
      <c r="AG34" s="719"/>
      <c r="AH34" s="719"/>
      <c r="AI34" s="719"/>
      <c r="AJ34" s="719"/>
      <c r="AK34" s="719"/>
      <c r="AL34" s="719"/>
    </row>
    <row s="7954" customFormat="1" customHeight="1" ht="15">
      <c r="U35" s="309"/>
    </row>
    <row s="7954" customFormat="1" customHeight="1" ht="15">
      <c r="U36" s="309"/>
    </row>
    <row s="7515" customFormat="1" customHeight="1" ht="11.25">
      <c r="A37" s="1938" t="s">
        <v>2322</v>
      </c>
    </row>
    <row customHeight="1" ht="11.25"/>
    <row s="5964" customFormat="1" customHeight="1" ht="22.5">
      <c r="A39" s="1914"/>
      <c r="B39" s="581"/>
      <c r="C39" s="983"/>
      <c r="D39" s="564"/>
      <c r="E39" s="984"/>
      <c r="F39" s="1935"/>
      <c r="G39" s="1945"/>
      <c r="H39" s="599"/>
    </row>
    <row customHeight="1" ht="11.25"/>
    <row s="7515" customFormat="1" customHeight="1" ht="11.25">
      <c r="A41" s="1938" t="s">
        <v>2323</v>
      </c>
    </row>
    <row customHeight="1" ht="11.25"/>
    <row s="5964" customFormat="1" customHeight="1" ht="22.5">
      <c r="A43" s="581"/>
      <c r="B43" s="581"/>
      <c r="C43" s="581"/>
      <c r="D43" s="564"/>
      <c r="E43" s="984"/>
      <c r="F43" s="985"/>
      <c r="G43" s="1945"/>
      <c r="H43" s="599"/>
    </row>
    <row customHeight="1" ht="11.25"/>
    <row s="7515" customFormat="1" customHeight="1" ht="11.25">
      <c r="A45" s="1938" t="s">
        <v>2324</v>
      </c>
    </row>
    <row customHeight="1" ht="11.25"/>
    <row s="5964" customFormat="1" customHeight="1" ht="24">
      <c r="A47" s="2339" t="s">
        <v>425</v>
      </c>
      <c r="B47" s="626"/>
      <c r="C47" s="2350"/>
      <c r="D47" s="569" t="str">
        <f>A47</f>
        <v>5.1</v>
      </c>
      <c r="E47" s="566" t="s">
        <v>426</v>
      </c>
      <c r="F47" s="2097" t="s">
        <v>418</v>
      </c>
      <c r="G47" s="568" t="s">
        <v>427</v>
      </c>
      <c r="H47" s="599"/>
      <c r="I47" s="976"/>
    </row>
    <row s="5964" customFormat="1" customHeight="1" ht="22.5">
      <c r="A48" s="2339"/>
      <c r="B48" s="626"/>
      <c r="C48" s="2350"/>
      <c r="D48" s="564" t="str">
        <f>D47&amp;".1"</f>
        <v>5.1.1</v>
      </c>
      <c r="E48" s="563" t="s">
        <v>428</v>
      </c>
      <c r="F48" s="2098" t="s">
        <v>22</v>
      </c>
      <c r="G48" s="598"/>
      <c r="H48" s="599"/>
      <c r="I48" s="976"/>
    </row>
    <row s="5964" customFormat="1" customHeight="1" ht="22.5">
      <c r="A49" s="2339"/>
      <c r="B49" s="626"/>
      <c r="C49" s="2350"/>
      <c r="D49" s="564" t="str">
        <f>D47&amp;".2"</f>
        <v>5.1.2</v>
      </c>
      <c r="E49" s="563" t="s">
        <v>429</v>
      </c>
      <c r="F49" s="1855" t="s">
        <v>22</v>
      </c>
      <c r="G49" s="568" t="s">
        <v>430</v>
      </c>
      <c r="H49" s="599"/>
      <c r="I49" s="976"/>
    </row>
    <row s="5964" customFormat="1" customHeight="1" ht="22.5">
      <c r="A50" s="2339"/>
      <c r="B50" s="626"/>
      <c r="C50" s="2350"/>
      <c r="D50" s="564" t="str">
        <f>D47&amp;".3"</f>
        <v>5.1.3</v>
      </c>
      <c r="E50" s="563" t="s">
        <v>431</v>
      </c>
      <c r="F50" s="2098" t="s">
        <v>22</v>
      </c>
      <c r="G50" s="598"/>
      <c r="H50" s="599"/>
      <c r="I50" s="976"/>
    </row>
    <row s="5964" customFormat="1" customHeight="1" ht="22.5">
      <c r="A51" s="2339"/>
      <c r="B51" s="626"/>
      <c r="C51" s="2350"/>
      <c r="D51" s="564" t="str">
        <f>D47&amp;".4"</f>
        <v>5.1.4</v>
      </c>
      <c r="E51" s="563" t="s">
        <v>432</v>
      </c>
      <c r="F51" s="2098" t="s">
        <v>22</v>
      </c>
      <c r="G51" s="568" t="s">
        <v>433</v>
      </c>
      <c r="H51" s="599"/>
      <c r="I51" s="976"/>
    </row>
    <row r="54" s="7515" customFormat="1" customHeight="1" ht="17.25">
      <c r="A54" s="1938" t="s">
        <v>2325</v>
      </c>
    </row>
    <row r="56" s="6053" customFormat="1" customHeight="1" ht="18.75">
      <c r="A56" s="213"/>
      <c r="B56" s="1946"/>
      <c r="C56" s="1946"/>
      <c r="D56" s="1947"/>
      <c r="E56" s="1932"/>
      <c r="F56" s="992">
        <v>13</v>
      </c>
      <c r="G56" s="991"/>
      <c r="H56" s="917"/>
      <c r="I56" s="915"/>
      <c r="J56" s="644" t="s">
        <v>62</v>
      </c>
      <c r="K56" s="1948" t="s">
        <v>22</v>
      </c>
      <c r="L56" s="213"/>
      <c r="M56" s="1760"/>
      <c r="N56" s="1760"/>
      <c r="O56" s="1760"/>
      <c r="P56" s="640" t="s">
        <v>504</v>
      </c>
      <c r="Q56" s="640" t="s">
        <v>505</v>
      </c>
      <c r="R56" s="641" t="s">
        <v>506</v>
      </c>
      <c r="S56" s="1760" t="s">
        <v>507</v>
      </c>
      <c r="T56" s="1760"/>
      <c r="U56" s="1760"/>
      <c r="V56" s="1760"/>
    </row>
    <row r="58" s="7515" customFormat="1" customHeight="1" ht="11.25">
      <c r="A58" s="1938" t="s">
        <v>2326</v>
      </c>
    </row>
    <row r="60" s="7213" customFormat="1" customHeight="1" ht="14.25">
      <c r="C60" s="1811"/>
      <c r="D60" s="1990"/>
      <c r="E60" s="1900" t="s">
        <v>22</v>
      </c>
      <c r="F60" s="1989"/>
      <c r="G60" s="980"/>
      <c r="H60" s="1901"/>
      <c r="I60" s="1901"/>
      <c r="J60" s="557"/>
      <c r="K60" s="1984"/>
      <c r="L60" s="556"/>
      <c r="M60" s="1984"/>
      <c r="N60" s="557"/>
      <c r="O60" s="1984"/>
      <c r="P60" s="557"/>
      <c r="Q60" s="1984"/>
      <c r="R60" s="557"/>
      <c r="S60" s="978"/>
      <c r="T60" s="1901"/>
      <c r="U60" s="557"/>
      <c r="V60" s="557"/>
      <c r="W60" s="1988"/>
      <c r="X60" s="1901"/>
      <c r="Y60" s="557"/>
      <c r="Z60" s="557"/>
      <c r="AA60" s="1988"/>
      <c r="AB60" s="1901"/>
      <c r="AC60" s="557"/>
      <c r="AD60" s="1988"/>
      <c r="AE60" s="213"/>
      <c r="AF60" s="213"/>
      <c r="AG60" s="213"/>
      <c r="AH60" s="213"/>
      <c r="AJ60" s="1760"/>
      <c r="AK60" s="1760"/>
      <c r="AL60" s="1760"/>
      <c r="AM60" s="1760"/>
      <c r="AN60" s="1760"/>
      <c r="AO60" s="1760"/>
      <c r="AP60" s="1748" t="s">
        <v>493</v>
      </c>
      <c r="AQ60" s="1748" t="s">
        <v>493</v>
      </c>
      <c r="AR60" s="1760"/>
      <c r="AS60" s="1760"/>
    </row>
    <row r="62" s="7515" customFormat="1" customHeight="1" ht="11.25">
      <c r="A62" s="1938" t="s">
        <v>2327</v>
      </c>
    </row>
    <row r="64" s="7689" customFormat="1" customHeight="1" ht="15">
      <c r="A64" s="269" t="s">
        <v>90</v>
      </c>
      <c r="B64" s="249" t="s">
        <v>22</v>
      </c>
      <c r="C64" s="1949"/>
      <c r="D64" s="252"/>
      <c r="E64" s="505"/>
      <c r="F64" s="505"/>
      <c r="G64" s="1926"/>
      <c r="H64" s="1948"/>
      <c r="I64" s="1927"/>
      <c r="K64" s="396"/>
      <c r="L64" s="397"/>
    </row>
    <row r="66" s="7515" customFormat="1" customHeight="1" ht="11.25">
      <c r="A66" s="1938" t="s">
        <v>2328</v>
      </c>
    </row>
    <row r="68" s="7213" customFormat="1" customHeight="1" ht="14.25">
      <c r="A68" s="467"/>
      <c r="B68" s="1284"/>
      <c r="C68" s="500"/>
      <c r="D68" s="1933"/>
      <c r="E68" s="1010"/>
      <c r="F68" s="1948"/>
      <c r="G68" s="213"/>
      <c r="I68" s="1748"/>
      <c r="J68" s="1748"/>
    </row>
    <row r="70" s="7515" customFormat="1" customHeight="1" ht="11.25">
      <c r="A70" s="1938" t="s">
        <v>2329</v>
      </c>
    </row>
    <row r="72" s="7213" customFormat="1" customHeight="1" ht="27">
      <c r="A72" s="1290"/>
      <c r="B72" s="1290"/>
      <c r="C72" s="1290"/>
      <c r="D72" s="1284"/>
      <c r="E72" s="1950"/>
      <c r="F72" s="2718"/>
      <c r="G72" s="2719"/>
      <c r="H72" s="2720" t="s">
        <v>62</v>
      </c>
      <c r="I72" s="2722"/>
      <c r="J72" s="2685"/>
      <c r="K72" s="2724"/>
      <c r="L72" s="2687"/>
      <c r="M72" s="2687"/>
      <c r="N72" s="2688"/>
      <c r="O72" s="2688"/>
      <c r="P72" s="2689">
        <f>DATEDIF(DATEVALUE(N72),DATEVALUE(O72),"y")&amp;"г. "&amp;DATEDIF(DATEVALUE(N72),DATEVALUE(O72),"ym")&amp;"мес. "&amp;DATEVALUE(O72)-DATE(YEAR(DATEVALUE(O72)),MONTH(DATEVALUE(O72)),1)&amp;"дн. "</f>
      </c>
      <c r="Q72" s="2684"/>
      <c r="R72" s="2684"/>
      <c r="S72" s="2684"/>
      <c r="T72" s="2685"/>
      <c r="U72" s="2684"/>
      <c r="V72" s="2684"/>
      <c r="W72" s="2684"/>
      <c r="X72" s="2685"/>
      <c r="Y72" s="2682" t="s">
        <v>62</v>
      </c>
      <c r="Z72" s="1931"/>
      <c r="AA72" s="1915">
        <v>1</v>
      </c>
      <c r="AB72" s="1366"/>
      <c r="AD72" s="1760" t="s">
        <v>2330</v>
      </c>
    </row>
    <row s="7213" customFormat="1" customHeight="1" ht="10.5">
      <c r="A73" s="1290"/>
      <c r="B73" s="1290"/>
      <c r="C73" s="1290"/>
      <c r="D73" s="1284"/>
      <c r="E73" s="1071"/>
      <c r="F73" s="2718"/>
      <c r="G73" s="2719"/>
      <c r="H73" s="2721"/>
      <c r="I73" s="2723"/>
      <c r="J73" s="2686"/>
      <c r="K73" s="2724"/>
      <c r="L73" s="2687"/>
      <c r="M73" s="2687"/>
      <c r="N73" s="2688"/>
      <c r="O73" s="2688"/>
      <c r="P73" s="2689"/>
      <c r="Q73" s="2684"/>
      <c r="R73" s="2684"/>
      <c r="S73" s="2684"/>
      <c r="T73" s="2686"/>
      <c r="U73" s="2684"/>
      <c r="V73" s="2684"/>
      <c r="W73" s="2684"/>
      <c r="X73" s="2686"/>
      <c r="Y73" s="2683"/>
      <c r="Z73" s="471"/>
      <c r="AA73" s="696"/>
      <c r="AB73" s="776" t="s">
        <v>1170</v>
      </c>
    </row>
    <row r="75" s="7515" customFormat="1" customHeight="1" ht="11.25">
      <c r="A75" s="1938" t="s">
        <v>2331</v>
      </c>
    </row>
    <row r="77" s="7213" customFormat="1" customHeight="1" ht="27">
      <c r="A77" s="1290"/>
      <c r="B77" s="1290"/>
      <c r="C77" s="1290"/>
      <c r="D77" s="1284"/>
      <c r="E77" s="1950"/>
      <c r="F77" s="1920"/>
      <c r="G77" s="1870"/>
      <c r="H77" s="1871"/>
      <c r="I77" s="1872"/>
      <c r="J77" s="1873"/>
      <c r="K77" s="1874"/>
      <c r="L77" s="1875"/>
      <c r="M77" s="1875"/>
      <c r="N77" s="1876"/>
      <c r="O77" s="1876"/>
      <c r="P77" s="1877"/>
      <c r="Q77" s="1878"/>
      <c r="R77" s="1878"/>
      <c r="S77" s="1878"/>
      <c r="T77" s="1873"/>
      <c r="U77" s="1878"/>
      <c r="V77" s="1878"/>
      <c r="W77" s="1878"/>
      <c r="X77" s="1873"/>
      <c r="Y77" s="1871"/>
      <c r="Z77" s="1931"/>
      <c r="AA77" s="1915">
        <v>1</v>
      </c>
      <c r="AB77" s="1366"/>
      <c r="AD77" s="1760" t="s">
        <v>2330</v>
      </c>
    </row>
    <row r="79" s="7515" customFormat="1" customHeight="1" ht="11.25">
      <c r="A79" s="1938" t="s">
        <v>2332</v>
      </c>
    </row>
    <row customHeight="1" ht="17.25"/>
    <row s="7213" customFormat="1" customHeight="1" ht="21">
      <c r="A81" s="1291"/>
      <c r="B81" s="1290"/>
      <c r="C81" s="1290"/>
      <c r="D81" s="1284"/>
      <c r="E81" s="1294"/>
      <c r="F81" s="1246">
        <f>INDEX(IP_MAIN_LIST_NAME_IP,MATCH(A81,IP_MAIN_LIST_IP_ID,0))&amp;" ("&amp;INDEX(IP_MAIN_START_DATE,MATCH(A81,IP_MAIN_LIST_IP_ID,0))&amp;"-"&amp;INDEX(IP_MAIN_END_DATE,MATCH(A81,IP_MAIN_LIST_IP_ID,0))&amp;")"</f>
      </c>
      <c r="G81" s="1247"/>
      <c r="H81" s="1247"/>
      <c r="I81" s="1309"/>
      <c r="J81" s="1309"/>
      <c r="K81" s="1310"/>
      <c r="L81" s="1310"/>
      <c r="M81" s="1310"/>
      <c r="N81" s="1311"/>
      <c r="O81" s="1311"/>
      <c r="P81" s="1311"/>
      <c r="Q81" s="1311"/>
      <c r="R81" s="1311"/>
      <c r="S81" s="1311"/>
      <c r="T81" s="1311"/>
      <c r="U81" s="1311"/>
      <c r="V81" s="1311"/>
      <c r="W81" s="1311"/>
      <c r="X81" s="1311"/>
      <c r="Y81" s="1311"/>
      <c r="Z81" s="1311"/>
      <c r="AA81" s="1311"/>
      <c r="AB81" s="1311"/>
      <c r="AC81" s="1311"/>
      <c r="AD81" s="1311"/>
      <c r="AE81" s="1312"/>
      <c r="AF81" s="1310"/>
      <c r="AG81" s="1310"/>
      <c r="AH81" s="1310"/>
      <c r="AI81" s="1310"/>
      <c r="AJ81" s="1310"/>
      <c r="AK81" s="1310"/>
      <c r="AL81" s="2109"/>
      <c r="AM81" s="1946"/>
      <c r="AN81" s="1946"/>
      <c r="AO81" s="1946"/>
      <c r="AP81" s="1946"/>
      <c r="AQ81" s="1946"/>
      <c r="AR81" s="1946"/>
      <c r="AS81" s="1946"/>
      <c r="AT81" s="1946"/>
      <c r="AU81" s="1946"/>
      <c r="AV81" s="1946"/>
      <c r="AW81" s="1946"/>
      <c r="AX81" s="1946"/>
      <c r="AY81" s="1946"/>
      <c r="AZ81" s="1946"/>
      <c r="BA81" s="1946"/>
      <c r="BB81" s="1946"/>
      <c r="BC81" s="1946"/>
      <c r="BD81" s="1946"/>
      <c r="BE81" s="1946"/>
      <c r="BF81" s="1946"/>
    </row>
    <row s="7213" customFormat="1" customHeight="1" ht="0.75">
      <c r="A82" s="1290"/>
      <c r="B82" s="1290"/>
      <c r="C82" s="1290"/>
      <c r="D82" s="1284"/>
      <c r="E82" s="1294"/>
      <c r="F82" s="2673"/>
      <c r="G82" s="2652"/>
      <c r="H82" s="2677" t="s">
        <v>488</v>
      </c>
      <c r="I82" s="2678"/>
      <c r="J82" s="2679"/>
      <c r="K82" s="2679"/>
      <c r="L82" s="2671"/>
      <c r="M82" s="2405"/>
      <c r="N82" s="2157"/>
      <c r="O82" s="2156"/>
      <c r="P82" s="2157"/>
      <c r="Q82" s="2157"/>
      <c r="R82" s="2157"/>
      <c r="S82" s="2157"/>
      <c r="T82" s="2157"/>
      <c r="U82" s="2157"/>
      <c r="V82" s="2157"/>
      <c r="W82" s="2157"/>
      <c r="X82" s="2157"/>
      <c r="Y82" s="2157"/>
      <c r="Z82" s="2157"/>
      <c r="AA82" s="2157"/>
      <c r="AB82" s="2157"/>
      <c r="AC82" s="2157"/>
      <c r="AD82" s="2157"/>
      <c r="AE82" s="2157"/>
      <c r="AF82" s="2675"/>
      <c r="AG82" s="2671"/>
      <c r="AH82" s="2671"/>
      <c r="AI82" s="2675"/>
      <c r="AJ82" s="2671"/>
      <c r="AK82" s="2671"/>
      <c r="AL82" s="2109"/>
      <c r="AM82" s="1946"/>
      <c r="AN82" s="1946"/>
      <c r="AO82" s="1946"/>
      <c r="AP82" s="1946"/>
      <c r="AQ82" s="1946"/>
      <c r="AR82" s="1946"/>
      <c r="AS82" s="1946"/>
      <c r="AT82" s="1946"/>
      <c r="AU82" s="1946"/>
      <c r="AV82" s="1946"/>
      <c r="AW82" s="1946"/>
      <c r="AX82" s="1946"/>
      <c r="AY82" s="1946"/>
      <c r="AZ82" s="1946"/>
      <c r="BA82" s="1946"/>
      <c r="BB82" s="1946"/>
      <c r="BC82" s="1946"/>
      <c r="BD82" s="1946"/>
      <c r="BE82" s="1946"/>
      <c r="BF82" s="1946"/>
    </row>
    <row s="7213" customFormat="1" customHeight="1" ht="0.75">
      <c r="A83" s="1290"/>
      <c r="B83" s="1290"/>
      <c r="C83" s="1290"/>
      <c r="D83" s="1284"/>
      <c r="E83" s="1294"/>
      <c r="F83" s="2673"/>
      <c r="G83" s="2652"/>
      <c r="H83" s="2677"/>
      <c r="I83" s="2678"/>
      <c r="J83" s="2679"/>
      <c r="K83" s="2679"/>
      <c r="L83" s="2671"/>
      <c r="M83" s="2405"/>
      <c r="N83" s="2680"/>
      <c r="O83" s="2681"/>
      <c r="P83" s="2725"/>
      <c r="Q83" s="2676"/>
      <c r="R83" s="2676"/>
      <c r="S83" s="2676"/>
      <c r="T83" s="2676"/>
      <c r="U83" s="2676"/>
      <c r="V83" s="2676"/>
      <c r="W83" s="2676"/>
      <c r="X83" s="2676"/>
      <c r="Y83" s="2676"/>
      <c r="Z83" s="2158"/>
      <c r="AA83" s="2159"/>
      <c r="AB83" s="2159"/>
      <c r="AC83" s="2160"/>
      <c r="AD83" s="2160"/>
      <c r="AE83" s="2161"/>
      <c r="AF83" s="2675"/>
      <c r="AG83" s="2671"/>
      <c r="AH83" s="2671"/>
      <c r="AI83" s="2675"/>
      <c r="AJ83" s="2671"/>
      <c r="AK83" s="2671"/>
      <c r="AL83" s="2109"/>
      <c r="AM83" s="1946"/>
      <c r="AN83" s="1946"/>
      <c r="AO83" s="1946"/>
      <c r="AP83" s="1946"/>
      <c r="AQ83" s="1946"/>
      <c r="AR83" s="1946"/>
      <c r="AS83" s="1946"/>
      <c r="AT83" s="1946"/>
      <c r="AU83" s="1946"/>
      <c r="AV83" s="1946"/>
      <c r="AW83" s="1946"/>
      <c r="AX83" s="1946"/>
      <c r="AY83" s="1946"/>
      <c r="AZ83" s="1946"/>
      <c r="BA83" s="1946"/>
      <c r="BB83" s="1946"/>
      <c r="BC83" s="1946"/>
      <c r="BD83" s="1946"/>
      <c r="BE83" s="1946"/>
      <c r="BF83" s="1946"/>
    </row>
    <row s="7213" customFormat="1" customHeight="1" ht="0.75">
      <c r="A84" s="1290"/>
      <c r="B84" s="1290"/>
      <c r="C84" s="1290"/>
      <c r="D84" s="1284"/>
      <c r="E84" s="1294"/>
      <c r="F84" s="2673"/>
      <c r="G84" s="2652"/>
      <c r="H84" s="2677"/>
      <c r="I84" s="2678"/>
      <c r="J84" s="2679"/>
      <c r="K84" s="2679"/>
      <c r="L84" s="2671"/>
      <c r="M84" s="2405"/>
      <c r="N84" s="2680"/>
      <c r="O84" s="2681"/>
      <c r="P84" s="2726"/>
      <c r="Q84" s="2676"/>
      <c r="R84" s="2676"/>
      <c r="S84" s="2676"/>
      <c r="T84" s="2676"/>
      <c r="U84" s="2676"/>
      <c r="V84" s="2676"/>
      <c r="W84" s="2676"/>
      <c r="X84" s="2676"/>
      <c r="Y84" s="2676"/>
      <c r="Z84" s="2162"/>
      <c r="AA84" s="2163"/>
      <c r="AB84" s="2164"/>
      <c r="AC84" s="2165"/>
      <c r="AD84" s="2164"/>
      <c r="AE84" s="2165"/>
      <c r="AF84" s="2675"/>
      <c r="AG84" s="2671"/>
      <c r="AH84" s="2671"/>
      <c r="AI84" s="2675"/>
      <c r="AJ84" s="2671"/>
      <c r="AK84" s="2671"/>
      <c r="AL84" s="2109"/>
      <c r="AM84" s="1946"/>
      <c r="AN84" s="1946"/>
      <c r="AO84" s="1946"/>
      <c r="AP84" s="1946"/>
      <c r="AQ84" s="1946"/>
      <c r="AR84" s="1946"/>
      <c r="AS84" s="1946"/>
      <c r="AT84" s="1946"/>
      <c r="AU84" s="1946"/>
      <c r="AV84" s="1946"/>
      <c r="AW84" s="1946"/>
      <c r="AX84" s="1946"/>
      <c r="AY84" s="1946"/>
      <c r="AZ84" s="1946"/>
      <c r="BA84" s="1946"/>
      <c r="BB84" s="1946"/>
      <c r="BC84" s="1946"/>
      <c r="BD84" s="1946"/>
      <c r="BE84" s="1946"/>
      <c r="BF84" s="1946"/>
    </row>
    <row s="7213" customFormat="1" customHeight="1" ht="0.75">
      <c r="A85" s="1290"/>
      <c r="B85" s="1290"/>
      <c r="C85" s="1290"/>
      <c r="D85" s="1284"/>
      <c r="E85" s="1294"/>
      <c r="F85" s="2673"/>
      <c r="G85" s="2652"/>
      <c r="H85" s="2677"/>
      <c r="I85" s="2678"/>
      <c r="J85" s="2679"/>
      <c r="K85" s="2679"/>
      <c r="L85" s="2671"/>
      <c r="M85" s="2405"/>
      <c r="N85" s="2680"/>
      <c r="O85" s="2681"/>
      <c r="P85" s="2727"/>
      <c r="Q85" s="2676"/>
      <c r="R85" s="2676"/>
      <c r="S85" s="2676"/>
      <c r="T85" s="2676"/>
      <c r="U85" s="2676"/>
      <c r="V85" s="2676"/>
      <c r="W85" s="2676"/>
      <c r="X85" s="2676"/>
      <c r="Y85" s="2676"/>
      <c r="Z85" s="2158"/>
      <c r="AA85" s="2159"/>
      <c r="AB85" s="2166"/>
      <c r="AC85" s="2160"/>
      <c r="AD85" s="2160"/>
      <c r="AE85" s="2167"/>
      <c r="AF85" s="2675"/>
      <c r="AG85" s="2671"/>
      <c r="AH85" s="2671"/>
      <c r="AI85" s="2675"/>
      <c r="AJ85" s="2671"/>
      <c r="AK85" s="2671"/>
      <c r="AL85" s="2109"/>
      <c r="AM85" s="1946"/>
      <c r="AN85" s="1946"/>
      <c r="AO85" s="1946"/>
      <c r="AP85" s="1946"/>
      <c r="AQ85" s="1946"/>
      <c r="AR85" s="1946"/>
      <c r="AS85" s="1946"/>
      <c r="AT85" s="1946"/>
      <c r="AU85" s="1946"/>
      <c r="AV85" s="1946"/>
      <c r="AW85" s="1946"/>
      <c r="AX85" s="1946"/>
      <c r="AY85" s="1946"/>
      <c r="AZ85" s="1946"/>
      <c r="BA85" s="1946"/>
      <c r="BB85" s="1946"/>
      <c r="BC85" s="1946"/>
      <c r="BD85" s="1946"/>
      <c r="BE85" s="1946"/>
      <c r="BF85" s="1946"/>
    </row>
    <row s="7213" customFormat="1" customHeight="1" ht="0.75">
      <c r="A86" s="1290"/>
      <c r="B86" s="1290"/>
      <c r="C86" s="1290"/>
      <c r="D86" s="1284"/>
      <c r="E86" s="1294"/>
      <c r="F86" s="2673"/>
      <c r="G86" s="2652"/>
      <c r="H86" s="2677"/>
      <c r="I86" s="2678"/>
      <c r="J86" s="2679"/>
      <c r="K86" s="2679"/>
      <c r="L86" s="2671"/>
      <c r="M86" s="2405"/>
      <c r="N86" s="2159"/>
      <c r="O86" s="2159"/>
      <c r="P86" s="2166"/>
      <c r="Q86" s="2159"/>
      <c r="R86" s="2159"/>
      <c r="S86" s="2159"/>
      <c r="T86" s="2159"/>
      <c r="U86" s="2159"/>
      <c r="V86" s="2159"/>
      <c r="W86" s="2159"/>
      <c r="X86" s="2159"/>
      <c r="Y86" s="2159"/>
      <c r="Z86" s="2159"/>
      <c r="AA86" s="2159"/>
      <c r="AB86" s="2159"/>
      <c r="AC86" s="2159"/>
      <c r="AD86" s="2159"/>
      <c r="AE86" s="2168"/>
      <c r="AF86" s="2675"/>
      <c r="AG86" s="2671"/>
      <c r="AH86" s="2671"/>
      <c r="AI86" s="2675"/>
      <c r="AJ86" s="2671"/>
      <c r="AK86" s="2671"/>
      <c r="AL86" s="2109"/>
      <c r="AM86" s="1946"/>
      <c r="AN86" s="1946"/>
      <c r="AO86" s="1946"/>
      <c r="AP86" s="1946"/>
      <c r="AQ86" s="1946"/>
      <c r="AR86" s="1946"/>
      <c r="AS86" s="1946"/>
      <c r="AT86" s="1946"/>
      <c r="AU86" s="1946"/>
      <c r="AV86" s="1946"/>
      <c r="AW86" s="1946"/>
      <c r="AX86" s="1946"/>
      <c r="AY86" s="1946"/>
      <c r="AZ86" s="1946"/>
      <c r="BA86" s="1946"/>
      <c r="BB86" s="1946"/>
      <c r="BC86" s="1946"/>
      <c r="BD86" s="1946"/>
      <c r="BE86" s="1946"/>
      <c r="BF86" s="1946"/>
    </row>
    <row s="7213" customFormat="1" customHeight="1" ht="12">
      <c r="A87" s="1290"/>
      <c r="B87" s="1290"/>
      <c r="C87" s="1290"/>
      <c r="D87" s="1284"/>
      <c r="E87" s="1294"/>
      <c r="F87" s="2674"/>
      <c r="G87" s="1314"/>
      <c r="H87" s="1314"/>
      <c r="I87" s="2672" t="s">
        <v>1294</v>
      </c>
      <c r="J87" s="2672"/>
      <c r="K87" s="2672"/>
      <c r="L87" s="1297"/>
      <c r="M87" s="1297"/>
      <c r="N87" s="1298"/>
      <c r="O87" s="1298"/>
      <c r="P87" s="1298"/>
      <c r="Q87" s="1298"/>
      <c r="R87" s="1298"/>
      <c r="S87" s="1298"/>
      <c r="T87" s="1298"/>
      <c r="U87" s="1298"/>
      <c r="V87" s="1298"/>
      <c r="W87" s="1298"/>
      <c r="X87" s="1298"/>
      <c r="Y87" s="1298"/>
      <c r="Z87" s="1298"/>
      <c r="AA87" s="1298"/>
      <c r="AB87" s="1298"/>
      <c r="AC87" s="1298"/>
      <c r="AD87" s="1298"/>
      <c r="AE87" s="1298"/>
      <c r="AF87" s="1298"/>
      <c r="AG87" s="1297"/>
      <c r="AH87" s="1297"/>
      <c r="AI87" s="1298"/>
      <c r="AJ87" s="1297"/>
      <c r="AK87" s="1298"/>
      <c r="AL87" s="2109"/>
      <c r="AM87" s="1946"/>
      <c r="AN87" s="1946"/>
      <c r="AO87" s="1946"/>
      <c r="AP87" s="1946"/>
      <c r="AQ87" s="1946"/>
      <c r="AR87" s="1946"/>
      <c r="AS87" s="1946"/>
      <c r="AT87" s="1946"/>
      <c r="AU87" s="1946"/>
      <c r="AV87" s="1946"/>
      <c r="AW87" s="1946"/>
      <c r="AX87" s="1946"/>
      <c r="AY87" s="1946"/>
      <c r="AZ87" s="1946"/>
      <c r="BA87" s="1946"/>
      <c r="BB87" s="1946"/>
      <c r="BC87" s="1946"/>
      <c r="BD87" s="1946"/>
      <c r="BE87" s="1946"/>
      <c r="BF87" s="1946"/>
    </row>
    <row r="89" s="7515" customFormat="1" customHeight="1" ht="11.25">
      <c r="A89" s="1938" t="s">
        <v>2333</v>
      </c>
    </row>
    <row r="91" s="7213" customFormat="1" customHeight="1" ht="11.25">
      <c r="A91" s="1290"/>
      <c r="B91" s="1290"/>
      <c r="C91" s="1290"/>
      <c r="D91" s="1284"/>
      <c r="E91" s="1294"/>
      <c r="F91" s="1952"/>
      <c r="G91" s="1953"/>
      <c r="H91" s="1953"/>
      <c r="I91" s="1887"/>
      <c r="J91" s="1887"/>
      <c r="K91" s="1954"/>
      <c r="L91" s="1887"/>
      <c r="M91" s="1953"/>
      <c r="N91" s="2645"/>
      <c r="O91" s="2728">
        <v>1</v>
      </c>
      <c r="P91" s="2647" t="s">
        <v>19</v>
      </c>
      <c r="Q91" s="2650" t="s">
        <v>22</v>
      </c>
      <c r="R91" s="2650" t="s">
        <v>22</v>
      </c>
      <c r="S91" s="2650" t="s">
        <v>22</v>
      </c>
      <c r="T91" s="2650" t="s">
        <v>22</v>
      </c>
      <c r="U91" s="2650" t="s">
        <v>22</v>
      </c>
      <c r="V91" s="2650" t="s">
        <v>22</v>
      </c>
      <c r="W91" s="2650" t="s">
        <v>22</v>
      </c>
      <c r="X91" s="2650" t="s">
        <v>22</v>
      </c>
      <c r="Y91" s="2650"/>
      <c r="Z91" s="1299"/>
      <c r="AA91" s="1300"/>
      <c r="AB91" s="1300"/>
      <c r="AC91" s="1304"/>
      <c r="AD91" s="1304"/>
      <c r="AE91" s="1304"/>
      <c r="AF91" s="2211"/>
      <c r="AG91" s="1882"/>
      <c r="AH91" s="1882"/>
      <c r="AI91" s="2211"/>
      <c r="AJ91" s="1882"/>
      <c r="AK91" s="2108"/>
      <c r="AL91" s="2109"/>
      <c r="AM91" s="1946"/>
      <c r="AN91" s="1946"/>
      <c r="AO91" s="1946"/>
      <c r="AP91" s="1946"/>
      <c r="AQ91" s="1946"/>
      <c r="AR91" s="1946"/>
      <c r="AS91" s="1946"/>
      <c r="AT91" s="1946"/>
      <c r="AU91" s="1946"/>
      <c r="AV91" s="1946"/>
      <c r="AW91" s="1946"/>
      <c r="AX91" s="1946"/>
      <c r="AY91" s="1946"/>
      <c r="AZ91" s="1946"/>
      <c r="BA91" s="1946"/>
      <c r="BB91" s="1946"/>
      <c r="BC91" s="1946"/>
      <c r="BD91" s="1946"/>
      <c r="BE91" s="1946"/>
      <c r="BF91" s="1946"/>
    </row>
    <row s="7213" customFormat="1" customHeight="1" ht="11.25">
      <c r="A92" s="1290"/>
      <c r="B92" s="1290"/>
      <c r="C92" s="1290"/>
      <c r="D92" s="1284"/>
      <c r="E92" s="1294"/>
      <c r="F92" s="1952"/>
      <c r="G92" s="1953"/>
      <c r="H92" s="1953"/>
      <c r="I92" s="1888"/>
      <c r="J92" s="1888"/>
      <c r="K92" s="1954"/>
      <c r="L92" s="1888"/>
      <c r="M92" s="1953"/>
      <c r="N92" s="2645"/>
      <c r="O92" s="2728"/>
      <c r="P92" s="2648"/>
      <c r="Q92" s="2650"/>
      <c r="R92" s="2650"/>
      <c r="S92" s="2651"/>
      <c r="T92" s="2650"/>
      <c r="U92" s="2650"/>
      <c r="V92" s="2650"/>
      <c r="W92" s="2650"/>
      <c r="X92" s="2650"/>
      <c r="Y92" s="2650"/>
      <c r="Z92" s="1951"/>
      <c r="AA92" s="1917">
        <v>1</v>
      </c>
      <c r="AB92" s="1303"/>
      <c r="AC92" s="1293"/>
      <c r="AD92" s="1303">
        <f>AB92</f>
        <v>0</v>
      </c>
      <c r="AE92" s="848"/>
      <c r="AF92" s="2212"/>
      <c r="AG92" s="1882"/>
      <c r="AH92" s="1882"/>
      <c r="AI92" s="2212"/>
      <c r="AJ92" s="1882"/>
      <c r="AK92" s="2108"/>
      <c r="AL92" s="2109"/>
      <c r="AM92" s="1946"/>
      <c r="AN92" s="1946"/>
      <c r="AO92" s="1946"/>
      <c r="AP92" s="1946"/>
      <c r="AQ92" s="1946"/>
      <c r="AR92" s="1946"/>
      <c r="AS92" s="1946"/>
      <c r="AT92" s="1946"/>
      <c r="AU92" s="1946"/>
      <c r="AV92" s="1946"/>
      <c r="AW92" s="1946"/>
      <c r="AX92" s="1946"/>
      <c r="AY92" s="1946"/>
      <c r="AZ92" s="1946"/>
      <c r="BA92" s="1946"/>
      <c r="BB92" s="1946"/>
      <c r="BC92" s="1946"/>
      <c r="BD92" s="1946"/>
      <c r="BE92" s="1946"/>
      <c r="BF92" s="1946"/>
    </row>
    <row s="7213" customFormat="1" customHeight="1" ht="11.25">
      <c r="A93" s="1290"/>
      <c r="B93" s="1290"/>
      <c r="C93" s="1290"/>
      <c r="D93" s="1284"/>
      <c r="E93" s="1294"/>
      <c r="F93" s="1952"/>
      <c r="G93" s="1953"/>
      <c r="H93" s="1953"/>
      <c r="I93" s="1889"/>
      <c r="J93" s="1889"/>
      <c r="K93" s="1954"/>
      <c r="L93" s="1889"/>
      <c r="M93" s="1953"/>
      <c r="N93" s="2645"/>
      <c r="O93" s="2728"/>
      <c r="P93" s="2649"/>
      <c r="Q93" s="2650"/>
      <c r="R93" s="2650"/>
      <c r="S93" s="2651"/>
      <c r="T93" s="2650"/>
      <c r="U93" s="2650"/>
      <c r="V93" s="2650"/>
      <c r="W93" s="2650"/>
      <c r="X93" s="2650"/>
      <c r="Y93" s="2650"/>
      <c r="Z93" s="1299"/>
      <c r="AA93" s="1300"/>
      <c r="AB93" s="1365" t="s">
        <v>1309</v>
      </c>
      <c r="AC93" s="1304"/>
      <c r="AD93" s="1304"/>
      <c r="AE93" s="1304"/>
      <c r="AF93" s="2213"/>
      <c r="AG93" s="1882"/>
      <c r="AH93" s="1882"/>
      <c r="AI93" s="2213"/>
      <c r="AJ93" s="1882"/>
      <c r="AK93" s="2108"/>
      <c r="AL93" s="2109"/>
      <c r="AM93" s="1946"/>
      <c r="AN93" s="1946"/>
      <c r="AO93" s="1946"/>
      <c r="AP93" s="1946"/>
      <c r="AQ93" s="1946"/>
      <c r="AR93" s="1946"/>
      <c r="AS93" s="1946"/>
      <c r="AT93" s="1946"/>
      <c r="AU93" s="1946"/>
      <c r="AV93" s="1946"/>
      <c r="AW93" s="1946"/>
      <c r="AX93" s="1946"/>
      <c r="AY93" s="1946"/>
      <c r="AZ93" s="1946"/>
      <c r="BA93" s="1946"/>
      <c r="BB93" s="1946"/>
      <c r="BC93" s="1946"/>
      <c r="BD93" s="1946"/>
      <c r="BE93" s="1946"/>
      <c r="BF93" s="1946"/>
    </row>
    <row r="95" s="7515" customFormat="1" customHeight="1" ht="11.25">
      <c r="A95" s="1938" t="s">
        <v>2334</v>
      </c>
    </row>
    <row r="97" s="7213" customFormat="1" customHeight="1" ht="11.25">
      <c r="A97" s="1290"/>
      <c r="B97" s="1290"/>
      <c r="C97" s="1290"/>
      <c r="D97" s="1284"/>
      <c r="E97" s="1294"/>
      <c r="F97" s="1953"/>
      <c r="G97" s="1953"/>
      <c r="H97" s="1953"/>
      <c r="I97" s="1953"/>
      <c r="J97" s="1953"/>
      <c r="K97" s="1953"/>
      <c r="L97" s="1953"/>
      <c r="M97" s="1953"/>
      <c r="N97" s="1953"/>
      <c r="O97" s="1953"/>
      <c r="P97" s="1953"/>
      <c r="Q97" s="1953"/>
      <c r="R97" s="1953"/>
      <c r="S97" s="1953"/>
      <c r="T97" s="1953"/>
      <c r="U97" s="1953"/>
      <c r="V97" s="1953"/>
      <c r="W97" s="1953"/>
      <c r="X97" s="1953"/>
      <c r="Y97" s="1953"/>
      <c r="Z97" s="1955"/>
      <c r="AA97" s="1937">
        <v>1</v>
      </c>
      <c r="AB97" s="1303"/>
      <c r="AC97" s="1293"/>
      <c r="AD97" s="1303">
        <f>AB97</f>
        <v>0</v>
      </c>
      <c r="AE97" s="1293"/>
      <c r="AF97" s="2210"/>
      <c r="AG97" s="1882"/>
      <c r="AH97" s="1882"/>
      <c r="AI97" s="2210"/>
      <c r="AJ97" s="1882"/>
      <c r="AK97" s="2108"/>
      <c r="AL97" s="2109"/>
      <c r="AM97" s="1946"/>
      <c r="AN97" s="1946"/>
      <c r="AO97" s="1946"/>
      <c r="AP97" s="1946"/>
      <c r="AQ97" s="1946"/>
      <c r="AR97" s="1946"/>
      <c r="AS97" s="1946"/>
      <c r="AT97" s="1946"/>
      <c r="AU97" s="1946"/>
      <c r="AV97" s="1946"/>
      <c r="AW97" s="1946"/>
      <c r="AX97" s="1946"/>
      <c r="AY97" s="1946"/>
      <c r="AZ97" s="1946"/>
      <c r="BA97" s="1946"/>
      <c r="BB97" s="1946"/>
      <c r="BC97" s="1946"/>
      <c r="BD97" s="1946"/>
      <c r="BE97" s="1946"/>
      <c r="BF97" s="1946"/>
    </row>
    <row r="99" s="7515" customFormat="1" customHeight="1" ht="11.25">
      <c r="A99" s="1938" t="s">
        <v>2335</v>
      </c>
    </row>
    <row r="101" s="7213" customFormat="1" customHeight="1" ht="11.25">
      <c r="A101" s="1290"/>
      <c r="B101" s="1290"/>
      <c r="C101" s="1290"/>
      <c r="D101" s="1284"/>
      <c r="E101" s="1294"/>
      <c r="F101" s="1952"/>
      <c r="G101" s="1953"/>
      <c r="H101" s="2652" t="s">
        <v>210</v>
      </c>
      <c r="I101" s="2653"/>
      <c r="J101" s="2622"/>
      <c r="K101" s="2654"/>
      <c r="L101" s="2244" t="s">
        <v>19</v>
      </c>
      <c r="M101" s="2245"/>
      <c r="N101" s="2107"/>
      <c r="O101" s="1301" t="s">
        <v>488</v>
      </c>
      <c r="P101" s="1302"/>
      <c r="Q101" s="1302"/>
      <c r="R101" s="1302"/>
      <c r="S101" s="1302"/>
      <c r="T101" s="1302"/>
      <c r="U101" s="1302"/>
      <c r="V101" s="1302"/>
      <c r="W101" s="1302"/>
      <c r="X101" s="1302"/>
      <c r="Y101" s="1302"/>
      <c r="Z101" s="1302"/>
      <c r="AA101" s="1302"/>
      <c r="AB101" s="1302"/>
      <c r="AC101" s="1302"/>
      <c r="AD101" s="1302"/>
      <c r="AE101" s="1302"/>
      <c r="AF101" s="2643"/>
      <c r="AG101" s="2644"/>
      <c r="AH101" s="2644"/>
      <c r="AI101" s="2643"/>
      <c r="AJ101" s="2644"/>
      <c r="AK101" s="2644"/>
      <c r="AL101" s="2109"/>
      <c r="AM101" s="1946"/>
      <c r="AN101" s="1946"/>
      <c r="AO101" s="1946"/>
      <c r="AP101" s="1946"/>
      <c r="AQ101" s="1946"/>
      <c r="AR101" s="1946"/>
      <c r="AS101" s="1946"/>
      <c r="AT101" s="1946"/>
      <c r="AU101" s="1946"/>
      <c r="AV101" s="1946"/>
      <c r="AW101" s="1946"/>
      <c r="AX101" s="1946"/>
      <c r="AY101" s="1946"/>
      <c r="AZ101" s="1946"/>
      <c r="BA101" s="1946"/>
      <c r="BB101" s="1946"/>
      <c r="BC101" s="1946"/>
      <c r="BD101" s="1946"/>
      <c r="BE101" s="1946"/>
      <c r="BF101" s="1946"/>
    </row>
    <row s="7213" customFormat="1" customHeight="1" ht="11.25">
      <c r="A102" s="1290"/>
      <c r="B102" s="1290"/>
      <c r="C102" s="1290"/>
      <c r="D102" s="1284"/>
      <c r="E102" s="1294"/>
      <c r="F102" s="1952"/>
      <c r="G102" s="1953"/>
      <c r="H102" s="2652"/>
      <c r="I102" s="2653"/>
      <c r="J102" s="2622"/>
      <c r="K102" s="2654"/>
      <c r="L102" s="2244"/>
      <c r="M102" s="2245"/>
      <c r="N102" s="2645"/>
      <c r="O102" s="2646">
        <v>1</v>
      </c>
      <c r="P102" s="2647" t="s">
        <v>19</v>
      </c>
      <c r="Q102" s="2650" t="s">
        <v>22</v>
      </c>
      <c r="R102" s="2650" t="s">
        <v>22</v>
      </c>
      <c r="S102" s="2650" t="s">
        <v>22</v>
      </c>
      <c r="T102" s="2650" t="s">
        <v>22</v>
      </c>
      <c r="U102" s="2650" t="s">
        <v>22</v>
      </c>
      <c r="V102" s="2650" t="s">
        <v>22</v>
      </c>
      <c r="W102" s="2650" t="s">
        <v>22</v>
      </c>
      <c r="X102" s="2650" t="s">
        <v>22</v>
      </c>
      <c r="Y102" s="2650"/>
      <c r="Z102" s="1299"/>
      <c r="AA102" s="1300"/>
      <c r="AB102" s="1300"/>
      <c r="AC102" s="1304"/>
      <c r="AD102" s="1304"/>
      <c r="AE102" s="1305"/>
      <c r="AF102" s="2643"/>
      <c r="AG102" s="2644"/>
      <c r="AH102" s="2644"/>
      <c r="AI102" s="2643"/>
      <c r="AJ102" s="2644"/>
      <c r="AK102" s="2644"/>
      <c r="AL102" s="2109"/>
      <c r="AM102" s="1946"/>
      <c r="AN102" s="1946"/>
      <c r="AO102" s="1946"/>
      <c r="AP102" s="1946"/>
      <c r="AQ102" s="1946"/>
      <c r="AR102" s="1946"/>
      <c r="AS102" s="1946"/>
      <c r="AT102" s="1946"/>
      <c r="AU102" s="1946"/>
      <c r="AV102" s="1946"/>
      <c r="AW102" s="1946"/>
      <c r="AX102" s="1946"/>
      <c r="AY102" s="1946"/>
      <c r="AZ102" s="1946"/>
      <c r="BA102" s="1946"/>
      <c r="BB102" s="1946"/>
      <c r="BC102" s="1946"/>
      <c r="BD102" s="1946"/>
      <c r="BE102" s="1946"/>
      <c r="BF102" s="1946"/>
    </row>
    <row s="7213" customFormat="1" customHeight="1" ht="11.25">
      <c r="A103" s="1290"/>
      <c r="B103" s="1290"/>
      <c r="C103" s="1290"/>
      <c r="D103" s="1284"/>
      <c r="E103" s="1294"/>
      <c r="F103" s="1952"/>
      <c r="G103" s="1953"/>
      <c r="H103" s="2652"/>
      <c r="I103" s="2653"/>
      <c r="J103" s="2622"/>
      <c r="K103" s="2654"/>
      <c r="L103" s="2244"/>
      <c r="M103" s="2245"/>
      <c r="N103" s="2645"/>
      <c r="O103" s="2646"/>
      <c r="P103" s="2648"/>
      <c r="Q103" s="2650"/>
      <c r="R103" s="2650"/>
      <c r="S103" s="2651"/>
      <c r="T103" s="2650"/>
      <c r="U103" s="2650"/>
      <c r="V103" s="2650"/>
      <c r="W103" s="2650"/>
      <c r="X103" s="2650"/>
      <c r="Y103" s="2650"/>
      <c r="Z103" s="1951"/>
      <c r="AA103" s="1917">
        <v>1</v>
      </c>
      <c r="AB103" s="1303"/>
      <c r="AC103" s="1293"/>
      <c r="AD103" s="1303">
        <f>AB103</f>
        <v>0</v>
      </c>
      <c r="AE103" s="1293"/>
      <c r="AF103" s="2643"/>
      <c r="AG103" s="2644"/>
      <c r="AH103" s="2644"/>
      <c r="AI103" s="2643"/>
      <c r="AJ103" s="2644"/>
      <c r="AK103" s="2644"/>
      <c r="AL103" s="2109"/>
      <c r="AM103" s="1946"/>
      <c r="AN103" s="1946"/>
      <c r="AO103" s="1946"/>
      <c r="AP103" s="1946"/>
      <c r="AQ103" s="1946"/>
      <c r="AR103" s="1946"/>
      <c r="AS103" s="1946"/>
      <c r="AT103" s="1946"/>
      <c r="AU103" s="1946"/>
      <c r="AV103" s="1946"/>
      <c r="AW103" s="1946"/>
      <c r="AX103" s="1946"/>
      <c r="AY103" s="1946"/>
      <c r="AZ103" s="1946"/>
      <c r="BA103" s="1946"/>
      <c r="BB103" s="1946"/>
      <c r="BC103" s="1946"/>
      <c r="BD103" s="1946"/>
      <c r="BE103" s="1946"/>
      <c r="BF103" s="1946"/>
    </row>
    <row s="7213" customFormat="1" customHeight="1" ht="11.25">
      <c r="A104" s="1290"/>
      <c r="B104" s="1290"/>
      <c r="C104" s="1290"/>
      <c r="D104" s="1284"/>
      <c r="E104" s="1294"/>
      <c r="F104" s="1952"/>
      <c r="G104" s="1953"/>
      <c r="H104" s="2652"/>
      <c r="I104" s="2653"/>
      <c r="J104" s="2622"/>
      <c r="K104" s="2654"/>
      <c r="L104" s="2244"/>
      <c r="M104" s="2245"/>
      <c r="N104" s="2645"/>
      <c r="O104" s="2646"/>
      <c r="P104" s="2649"/>
      <c r="Q104" s="2650"/>
      <c r="R104" s="2650"/>
      <c r="S104" s="2651"/>
      <c r="T104" s="2650"/>
      <c r="U104" s="2650"/>
      <c r="V104" s="2650"/>
      <c r="W104" s="2650"/>
      <c r="X104" s="2650"/>
      <c r="Y104" s="2650"/>
      <c r="Z104" s="1299"/>
      <c r="AA104" s="1300"/>
      <c r="AB104" s="1365" t="s">
        <v>1309</v>
      </c>
      <c r="AC104" s="1304"/>
      <c r="AD104" s="1304"/>
      <c r="AE104" s="1306"/>
      <c r="AF104" s="2643"/>
      <c r="AG104" s="2644"/>
      <c r="AH104" s="2644"/>
      <c r="AI104" s="2643"/>
      <c r="AJ104" s="2644"/>
      <c r="AK104" s="2644"/>
      <c r="AL104" s="2109"/>
      <c r="AM104" s="1946"/>
      <c r="AN104" s="1946"/>
      <c r="AO104" s="1946"/>
      <c r="AP104" s="1946"/>
      <c r="AQ104" s="1946"/>
      <c r="AR104" s="1946"/>
      <c r="AS104" s="1946"/>
      <c r="AT104" s="1946"/>
      <c r="AU104" s="1946"/>
      <c r="AV104" s="1946"/>
      <c r="AW104" s="1946"/>
      <c r="AX104" s="1946"/>
      <c r="AY104" s="1946"/>
      <c r="AZ104" s="1946"/>
      <c r="BA104" s="1946"/>
      <c r="BB104" s="1946"/>
      <c r="BC104" s="1946"/>
      <c r="BD104" s="1946"/>
      <c r="BE104" s="1946"/>
      <c r="BF104" s="1946"/>
    </row>
    <row s="7213" customFormat="1" customHeight="1" ht="11.25">
      <c r="A105" s="1290"/>
      <c r="B105" s="1290"/>
      <c r="C105" s="1290"/>
      <c r="D105" s="1284"/>
      <c r="E105" s="1294"/>
      <c r="F105" s="1952"/>
      <c r="G105" s="1953"/>
      <c r="H105" s="2652"/>
      <c r="I105" s="2653"/>
      <c r="J105" s="2622"/>
      <c r="K105" s="2654"/>
      <c r="L105" s="2244"/>
      <c r="M105" s="2245"/>
      <c r="N105" s="1299"/>
      <c r="O105" s="1300"/>
      <c r="P105" s="1292" t="s">
        <v>1310</v>
      </c>
      <c r="Q105" s="1300"/>
      <c r="R105" s="1300"/>
      <c r="S105" s="1300"/>
      <c r="T105" s="1300"/>
      <c r="U105" s="1300"/>
      <c r="V105" s="1300"/>
      <c r="W105" s="1300"/>
      <c r="X105" s="1300"/>
      <c r="Y105" s="1300"/>
      <c r="Z105" s="1300"/>
      <c r="AA105" s="1300"/>
      <c r="AB105" s="1300"/>
      <c r="AC105" s="1300"/>
      <c r="AD105" s="1300"/>
      <c r="AE105" s="1307"/>
      <c r="AF105" s="2643"/>
      <c r="AG105" s="2644"/>
      <c r="AH105" s="2644"/>
      <c r="AI105" s="2643"/>
      <c r="AJ105" s="2644"/>
      <c r="AK105" s="2644"/>
      <c r="AL105" s="2109"/>
      <c r="AM105" s="1946"/>
      <c r="AN105" s="1946"/>
      <c r="AO105" s="1946"/>
      <c r="AP105" s="1946"/>
      <c r="AQ105" s="1946"/>
      <c r="AR105" s="1946"/>
      <c r="AS105" s="1946"/>
      <c r="AT105" s="1946"/>
      <c r="AU105" s="1946"/>
      <c r="AV105" s="1946"/>
      <c r="AW105" s="1946"/>
      <c r="AX105" s="1946"/>
      <c r="AY105" s="1946"/>
      <c r="AZ105" s="1946"/>
      <c r="BA105" s="1946"/>
      <c r="BB105" s="1946"/>
      <c r="BC105" s="1946"/>
      <c r="BD105" s="1946"/>
      <c r="BE105" s="1946"/>
      <c r="BF105" s="1946"/>
    </row>
    <row r="107" s="7515" customFormat="1" customHeight="1" ht="11.25">
      <c r="A107" s="1938" t="s">
        <v>2336</v>
      </c>
    </row>
    <row customHeight="1" ht="17.25"/>
    <row s="7048" customFormat="1" customHeight="1" ht="21">
      <c r="A109" s="1291"/>
      <c r="B109" s="1064"/>
      <c r="D109" s="1048"/>
      <c r="E109" s="1063" t="s">
        <v>22</v>
      </c>
      <c r="F109" s="1245">
        <f>INDEX(IP_MAIN_LIST_NAME_IP,MATCH(A109,IP_MAIN_LIST_IP_ID,0))&amp;" ("&amp;INDEX(IP_MAIN_START_DATE,MATCH(A109,IP_MAIN_LIST_IP_ID,0))&amp;"-"&amp;INDEX(IP_MAIN_END_DATE,MATCH(A109,IP_MAIN_LIST_IP_ID,0))&amp;")"</f>
      </c>
      <c r="G109" s="1327"/>
      <c r="H109" s="1328"/>
      <c r="I109" s="1328"/>
      <c r="J109" s="1328"/>
      <c r="K109" s="1328"/>
      <c r="L109" s="1328"/>
      <c r="M109" s="1328"/>
      <c r="N109" s="1328"/>
      <c r="O109" s="1327"/>
      <c r="P109" s="1327"/>
      <c r="Q109" s="1327"/>
      <c r="R109" s="1327"/>
      <c r="S109" s="1327"/>
      <c r="T109" s="1327"/>
      <c r="U109" s="1329"/>
      <c r="V109" s="1329"/>
      <c r="W109" s="1329"/>
      <c r="X109" s="1329"/>
      <c r="Y109" s="1329"/>
      <c r="Z109" s="1329"/>
      <c r="AA109" s="1329"/>
      <c r="AB109" s="1327"/>
      <c r="AC109" s="1328"/>
      <c r="AD109" s="1328"/>
      <c r="AE109" s="1328"/>
      <c r="AF109" s="1328"/>
      <c r="AG109" s="1328"/>
      <c r="AH109" s="1328"/>
      <c r="AI109" s="1328"/>
      <c r="AJ109" s="1328"/>
      <c r="AK109" s="1328"/>
      <c r="AL109" s="1328"/>
      <c r="AM109" s="1328"/>
      <c r="AN109" s="1328"/>
      <c r="AO109" s="1328"/>
      <c r="AP109" s="1328"/>
      <c r="AQ109" s="1328"/>
      <c r="AR109" s="1328"/>
      <c r="AS109" s="1328"/>
      <c r="AT109" s="1328"/>
      <c r="AU109" s="1328"/>
      <c r="AV109" s="1328"/>
      <c r="AW109" s="1328"/>
      <c r="AX109" s="1328"/>
      <c r="AY109" s="1328"/>
      <c r="AZ109" s="1328"/>
      <c r="BA109" s="1328"/>
      <c r="BB109" s="1328"/>
      <c r="BC109" s="1328"/>
      <c r="BD109" s="1328"/>
      <c r="BE109" s="1328"/>
      <c r="BF109" s="1328"/>
      <c r="BG109" s="1328"/>
      <c r="BH109" s="1328"/>
      <c r="BI109" s="1328"/>
      <c r="BJ109" s="1328"/>
      <c r="BK109" s="1328"/>
      <c r="BL109" s="1328"/>
      <c r="BM109" s="1328"/>
      <c r="BN109" s="1328"/>
      <c r="BO109" s="1328"/>
      <c r="BP109" s="1328"/>
      <c r="BQ109" s="1328"/>
      <c r="BR109" s="1328"/>
      <c r="BS109" s="1328"/>
      <c r="BT109" s="1328"/>
      <c r="BU109" s="1328"/>
      <c r="BV109" s="1328"/>
      <c r="BW109" s="1328"/>
      <c r="BX109" s="1328"/>
      <c r="BY109" s="1328"/>
      <c r="BZ109" s="1328"/>
      <c r="CA109" s="1328"/>
      <c r="CB109" s="1328"/>
      <c r="CC109" s="1328"/>
      <c r="CD109" s="1328"/>
      <c r="CE109" s="1328"/>
      <c r="CF109" s="1328"/>
      <c r="CG109" s="1328"/>
      <c r="CH109" s="1328"/>
      <c r="CI109" s="1328"/>
      <c r="CJ109" s="1328"/>
      <c r="CK109" s="1328"/>
      <c r="CL109" s="1330"/>
      <c r="CM109" s="1330"/>
      <c r="CN109" s="1330"/>
      <c r="CO109" s="1330"/>
      <c r="CP109" s="1330"/>
      <c r="CQ109" s="1330"/>
      <c r="CR109" s="1330"/>
      <c r="CS109" s="1330"/>
      <c r="CT109" s="1330"/>
      <c r="CU109" s="1330"/>
      <c r="CV109" s="1330"/>
      <c r="CW109" s="1330"/>
      <c r="CX109" s="1330"/>
      <c r="CY109" s="1330"/>
      <c r="CZ109" s="1330"/>
      <c r="DA109" s="1330"/>
      <c r="DB109" s="1330"/>
      <c r="DC109" s="1330"/>
      <c r="DD109" s="1330"/>
      <c r="DE109" s="1330"/>
      <c r="DF109" s="1330"/>
      <c r="DG109" s="1330"/>
      <c r="DH109" s="1330"/>
      <c r="DI109" s="1330"/>
      <c r="DJ109" s="1330"/>
      <c r="DK109" s="1330"/>
      <c r="DL109" s="1330"/>
      <c r="DM109" s="1330"/>
      <c r="DN109" s="1330"/>
      <c r="DO109" s="1330"/>
      <c r="DP109" s="1330"/>
      <c r="DQ109" s="1330"/>
      <c r="DR109" s="1330"/>
      <c r="DS109" s="1330"/>
      <c r="DT109" s="1330"/>
      <c r="DU109" s="1330"/>
      <c r="DV109" s="1330"/>
      <c r="DW109" s="1330"/>
      <c r="DX109" s="1330"/>
      <c r="DY109" s="1330"/>
      <c r="DZ109" s="1330"/>
      <c r="EA109" s="1330"/>
      <c r="EB109" s="1330"/>
      <c r="EC109" s="1330"/>
      <c r="ED109" s="1330"/>
      <c r="EE109" s="1330"/>
      <c r="EF109" s="1330"/>
      <c r="EG109" s="1330"/>
      <c r="EH109" s="1330"/>
      <c r="EI109" s="1330"/>
      <c r="EJ109" s="1330"/>
      <c r="EK109" s="1330"/>
      <c r="EL109" s="1330"/>
      <c r="EM109" s="1330"/>
      <c r="EN109" s="1330"/>
      <c r="EO109" s="1330"/>
      <c r="EP109" s="1330"/>
      <c r="EQ109" s="1330"/>
      <c r="ER109" s="1330"/>
      <c r="ES109" s="1330"/>
      <c r="ET109" s="1330"/>
      <c r="EU109" s="1330"/>
      <c r="EV109" s="1330"/>
      <c r="EW109" s="1330"/>
      <c r="EX109" s="1330"/>
      <c r="EY109" s="1330"/>
      <c r="EZ109" s="1330"/>
      <c r="FA109" s="1330"/>
      <c r="FB109" s="1330"/>
      <c r="FC109" s="1330"/>
      <c r="FD109" s="1330"/>
      <c r="FE109" s="1330"/>
      <c r="FF109" s="1330"/>
      <c r="FG109" s="1330"/>
      <c r="FH109" s="1330"/>
      <c r="FI109" s="1330"/>
      <c r="FJ109" s="1330"/>
      <c r="FK109" s="1330"/>
      <c r="FL109" s="1330"/>
      <c r="FM109" s="1330"/>
      <c r="FN109" s="1330"/>
      <c r="FO109" s="1330"/>
      <c r="FP109" s="1330"/>
      <c r="FQ109" s="1330"/>
      <c r="FR109" s="1330"/>
      <c r="FS109" s="1330"/>
      <c r="FT109" s="1330"/>
      <c r="FU109" s="1330"/>
      <c r="FV109" s="1331"/>
      <c r="FW109" s="1325"/>
      <c r="FX109" s="1326"/>
    </row>
    <row s="7048" customFormat="1" customHeight="1" ht="24.75">
      <c r="B110" s="1047"/>
      <c r="C110" s="1048"/>
      <c r="D110" s="1048"/>
      <c r="E110" s="1956"/>
      <c r="F110" s="1332">
        <v>1</v>
      </c>
      <c r="G110" s="1333"/>
      <c r="H110" s="1334"/>
      <c r="I110" s="2103"/>
      <c r="J110" s="1335"/>
      <c r="K110" s="1335"/>
      <c r="L110" s="1335"/>
      <c r="M110" s="1335"/>
      <c r="N110" s="1335"/>
      <c r="O110" s="1336"/>
      <c r="P110" s="1336"/>
      <c r="Q110" s="1336"/>
      <c r="R110" s="1336"/>
      <c r="S110" s="1336"/>
      <c r="T110" s="1336"/>
      <c r="U110" s="1336"/>
      <c r="V110" s="1336"/>
      <c r="W110" s="1336"/>
      <c r="X110" s="1336"/>
      <c r="Y110" s="1336"/>
      <c r="Z110" s="1336"/>
      <c r="AA110" s="1336"/>
      <c r="AB110" s="1336"/>
      <c r="AC110" s="1335"/>
      <c r="AD110" s="1335"/>
      <c r="AE110" s="1335"/>
      <c r="AF110" s="1335"/>
      <c r="AG110" s="1335"/>
      <c r="AH110" s="1335"/>
      <c r="AI110" s="1335"/>
      <c r="AJ110" s="1335"/>
      <c r="AK110" s="1335"/>
      <c r="AL110" s="1335"/>
      <c r="AM110" s="1335"/>
      <c r="AN110" s="1335"/>
      <c r="AO110" s="1335"/>
      <c r="AP110" s="1335"/>
      <c r="AQ110" s="1335"/>
      <c r="AR110" s="1335"/>
      <c r="AS110" s="1335"/>
      <c r="AT110" s="1335"/>
      <c r="AU110" s="1335"/>
      <c r="AV110" s="1335"/>
      <c r="AW110" s="1335"/>
      <c r="AX110" s="1335"/>
      <c r="AY110" s="1335"/>
      <c r="AZ110" s="1335"/>
      <c r="BA110" s="1335"/>
      <c r="BB110" s="1335"/>
      <c r="BC110" s="1335"/>
      <c r="BD110" s="1335"/>
      <c r="BE110" s="1335"/>
      <c r="BF110" s="1335"/>
      <c r="BG110" s="1335"/>
      <c r="BH110" s="1335"/>
      <c r="BI110" s="1335"/>
      <c r="BJ110" s="1335"/>
      <c r="BK110" s="1335"/>
      <c r="BL110" s="1335"/>
      <c r="BM110" s="1335"/>
      <c r="BN110" s="1335"/>
      <c r="BO110" s="1335"/>
      <c r="BP110" s="1335"/>
      <c r="BQ110" s="1335"/>
      <c r="BR110" s="1335"/>
      <c r="BS110" s="1335"/>
      <c r="BT110" s="1336"/>
      <c r="BU110" s="1336"/>
      <c r="BV110" s="1336"/>
      <c r="BW110" s="1336"/>
      <c r="BX110" s="1336"/>
      <c r="BY110" s="1336"/>
      <c r="BZ110" s="1336"/>
      <c r="CA110" s="1336"/>
      <c r="CB110" s="1336"/>
      <c r="CC110" s="1336"/>
      <c r="CD110" s="1336"/>
      <c r="CE110" s="1336"/>
      <c r="CF110" s="1336"/>
      <c r="CG110" s="1336"/>
      <c r="CH110" s="1336"/>
      <c r="CI110" s="1336"/>
      <c r="CJ110" s="1336"/>
      <c r="CK110" s="1336"/>
      <c r="CL110" s="1335"/>
      <c r="CM110" s="1335"/>
      <c r="CN110" s="1335"/>
      <c r="CO110" s="1335"/>
      <c r="CP110" s="1335"/>
      <c r="CQ110" s="1335"/>
      <c r="CR110" s="1335"/>
      <c r="CS110" s="1335"/>
      <c r="CT110" s="1335"/>
      <c r="CU110" s="1335"/>
      <c r="CV110" s="1335"/>
      <c r="CW110" s="1335"/>
      <c r="CX110" s="1335"/>
      <c r="CY110" s="1336"/>
      <c r="CZ110" s="1336"/>
      <c r="DA110" s="1336"/>
      <c r="DB110" s="1336"/>
      <c r="DC110" s="1336"/>
      <c r="DD110" s="1336"/>
      <c r="DE110" s="1336"/>
      <c r="DF110" s="1336"/>
      <c r="DG110" s="1336"/>
      <c r="DH110" s="1336"/>
      <c r="DI110" s="1336"/>
      <c r="DJ110" s="1336"/>
      <c r="DK110" s="1335"/>
      <c r="DL110" s="1335"/>
      <c r="DM110" s="1335"/>
      <c r="DN110" s="1335"/>
      <c r="DO110" s="1335"/>
      <c r="DP110" s="1335"/>
      <c r="DQ110" s="1335"/>
      <c r="DR110" s="1335"/>
      <c r="DS110" s="1335"/>
      <c r="DT110" s="1335"/>
      <c r="DU110" s="1335"/>
      <c r="DV110" s="1335"/>
      <c r="DW110" s="1335"/>
      <c r="DX110" s="1335"/>
      <c r="DY110" s="1335"/>
      <c r="DZ110" s="1335"/>
      <c r="EA110" s="1335"/>
      <c r="EB110" s="1335"/>
      <c r="EC110" s="1335"/>
      <c r="ED110" s="1335"/>
      <c r="EE110" s="1335"/>
      <c r="EF110" s="1335"/>
      <c r="EG110" s="1335"/>
      <c r="EH110" s="1335"/>
      <c r="EI110" s="1335"/>
      <c r="EJ110" s="1335"/>
      <c r="EK110" s="1335"/>
      <c r="EL110" s="1335"/>
      <c r="EM110" s="1335"/>
      <c r="EN110" s="1335"/>
      <c r="EO110" s="1335"/>
      <c r="EP110" s="1335"/>
      <c r="EQ110" s="1335"/>
      <c r="ER110" s="1335"/>
      <c r="ES110" s="1335"/>
      <c r="ET110" s="1335"/>
      <c r="EU110" s="1335"/>
      <c r="EV110" s="1335"/>
      <c r="EW110" s="1335"/>
      <c r="EX110" s="1335"/>
      <c r="EY110" s="1335"/>
      <c r="EZ110" s="1335"/>
      <c r="FA110" s="1335"/>
      <c r="FB110" s="1335"/>
      <c r="FC110" s="1335"/>
      <c r="FD110" s="1335"/>
      <c r="FE110" s="1335"/>
      <c r="FF110" s="1335"/>
      <c r="FG110" s="1335"/>
      <c r="FH110" s="1335"/>
      <c r="FI110" s="1335"/>
      <c r="FJ110" s="1335"/>
      <c r="FK110" s="1335"/>
      <c r="FL110" s="1335"/>
      <c r="FM110" s="1335"/>
      <c r="FN110" s="1335"/>
      <c r="FO110" s="1335"/>
      <c r="FP110" s="1335"/>
      <c r="FQ110" s="1335"/>
      <c r="FR110" s="1335"/>
      <c r="FS110" s="1335"/>
      <c r="FT110" s="1335"/>
      <c r="FU110" s="1335"/>
      <c r="FV110" s="1335"/>
      <c r="FW110" s="1335"/>
      <c r="FX110" s="1326"/>
    </row>
    <row s="7048" customFormat="1" customHeight="1" ht="12">
      <c r="A111" s="1048"/>
      <c r="B111" s="1047"/>
      <c r="C111" s="1048"/>
      <c r="D111" s="1048"/>
      <c r="E111" s="1048"/>
      <c r="F111" s="1337"/>
      <c r="G111" s="1923" t="s">
        <v>1541</v>
      </c>
      <c r="H111" s="1338"/>
      <c r="I111" s="1338"/>
      <c r="J111" s="1338"/>
      <c r="K111" s="1338"/>
      <c r="L111" s="1338"/>
      <c r="M111" s="1338"/>
      <c r="N111" s="1338"/>
      <c r="O111" s="1338"/>
      <c r="P111" s="1338"/>
      <c r="Q111" s="1338"/>
      <c r="R111" s="1338"/>
      <c r="S111" s="1338"/>
      <c r="T111" s="1338"/>
      <c r="U111" s="1338"/>
      <c r="V111" s="1338"/>
      <c r="W111" s="1338"/>
      <c r="X111" s="1338"/>
      <c r="Y111" s="1338"/>
      <c r="Z111" s="1338"/>
      <c r="AA111" s="1338"/>
      <c r="AB111" s="1338"/>
      <c r="AC111" s="1338"/>
      <c r="AD111" s="1338"/>
      <c r="AE111" s="1338"/>
      <c r="AF111" s="1338"/>
      <c r="AG111" s="1338"/>
      <c r="AH111" s="1338"/>
      <c r="AI111" s="1338"/>
      <c r="AJ111" s="1338"/>
      <c r="AK111" s="1338"/>
      <c r="AL111" s="1338"/>
      <c r="AM111" s="1338"/>
      <c r="AN111" s="1338"/>
      <c r="AO111" s="1338"/>
      <c r="AP111" s="1338"/>
      <c r="AQ111" s="1338"/>
      <c r="AR111" s="1338"/>
      <c r="AS111" s="1338"/>
      <c r="AT111" s="1338"/>
      <c r="AU111" s="1338"/>
      <c r="AV111" s="1338"/>
      <c r="AW111" s="1338"/>
      <c r="AX111" s="1338"/>
      <c r="AY111" s="1338"/>
      <c r="AZ111" s="1338"/>
      <c r="BA111" s="1338"/>
      <c r="BB111" s="1338"/>
      <c r="BC111" s="1338"/>
      <c r="BD111" s="1338"/>
      <c r="BE111" s="1338"/>
      <c r="BF111" s="1338"/>
      <c r="BG111" s="1338"/>
      <c r="BH111" s="1338"/>
      <c r="BI111" s="1338"/>
      <c r="BJ111" s="1338"/>
      <c r="BK111" s="1338"/>
      <c r="BL111" s="1338"/>
      <c r="BM111" s="1338"/>
      <c r="BN111" s="1338"/>
      <c r="BO111" s="1338"/>
      <c r="BP111" s="1338"/>
      <c r="BQ111" s="1338"/>
      <c r="BR111" s="1338"/>
      <c r="BS111" s="1338"/>
      <c r="BT111" s="1338"/>
      <c r="BU111" s="1338"/>
      <c r="BV111" s="1338"/>
      <c r="BW111" s="1338"/>
      <c r="BX111" s="1338"/>
      <c r="BY111" s="1338"/>
      <c r="BZ111" s="1338"/>
      <c r="CA111" s="1338"/>
      <c r="CB111" s="1338"/>
      <c r="CC111" s="1338"/>
      <c r="CD111" s="1338"/>
      <c r="CE111" s="1338"/>
      <c r="CF111" s="1338"/>
      <c r="CG111" s="1338"/>
      <c r="CH111" s="1338"/>
      <c r="CI111" s="1338"/>
      <c r="CJ111" s="1338"/>
      <c r="CK111" s="1338"/>
      <c r="CL111" s="1338"/>
      <c r="CM111" s="1338"/>
      <c r="CN111" s="1338"/>
      <c r="CO111" s="1338"/>
      <c r="CP111" s="1338"/>
      <c r="CQ111" s="1338"/>
      <c r="CR111" s="1338"/>
      <c r="CS111" s="1338"/>
      <c r="CT111" s="1338"/>
      <c r="CU111" s="1338"/>
      <c r="CV111" s="1338"/>
      <c r="CW111" s="1338"/>
      <c r="CX111" s="1338"/>
      <c r="CY111" s="1338"/>
      <c r="CZ111" s="1338"/>
      <c r="DA111" s="1338"/>
      <c r="DB111" s="1338"/>
      <c r="DC111" s="1338"/>
      <c r="DD111" s="1338"/>
      <c r="DE111" s="1338"/>
      <c r="DF111" s="1338"/>
      <c r="DG111" s="1338"/>
      <c r="DH111" s="1338"/>
      <c r="DI111" s="1338"/>
      <c r="DJ111" s="1338"/>
      <c r="DK111" s="1338"/>
      <c r="DL111" s="1338"/>
      <c r="DM111" s="1338"/>
      <c r="DN111" s="1338"/>
      <c r="DO111" s="1338"/>
      <c r="DP111" s="1338"/>
      <c r="DQ111" s="1338"/>
      <c r="DR111" s="1338"/>
      <c r="DS111" s="1338"/>
      <c r="DT111" s="1338"/>
      <c r="DU111" s="1338"/>
      <c r="DV111" s="1338"/>
      <c r="DW111" s="1338"/>
      <c r="DX111" s="1338"/>
      <c r="DY111" s="1338"/>
      <c r="DZ111" s="1338"/>
      <c r="EA111" s="1338"/>
      <c r="EB111" s="1338"/>
      <c r="EC111" s="1338"/>
      <c r="ED111" s="1338"/>
      <c r="EE111" s="1338"/>
      <c r="EF111" s="1338"/>
      <c r="EG111" s="1338"/>
      <c r="EH111" s="1338"/>
      <c r="EI111" s="1338"/>
      <c r="EJ111" s="1338"/>
      <c r="EK111" s="1338"/>
      <c r="EL111" s="1338"/>
      <c r="EM111" s="1338"/>
      <c r="EN111" s="1338"/>
      <c r="EO111" s="1338"/>
      <c r="EP111" s="1338"/>
      <c r="EQ111" s="1338"/>
      <c r="ER111" s="1338"/>
      <c r="ES111" s="1338"/>
      <c r="ET111" s="1338"/>
      <c r="EU111" s="1338"/>
      <c r="EV111" s="1338"/>
      <c r="EW111" s="1338"/>
      <c r="EX111" s="1338"/>
      <c r="EY111" s="1338"/>
      <c r="EZ111" s="1338"/>
      <c r="FA111" s="1338"/>
      <c r="FB111" s="1338"/>
      <c r="FC111" s="1338"/>
      <c r="FD111" s="1338"/>
      <c r="FE111" s="1338"/>
      <c r="FF111" s="1338"/>
      <c r="FG111" s="1338"/>
      <c r="FH111" s="1338"/>
      <c r="FI111" s="1338"/>
      <c r="FJ111" s="1338"/>
      <c r="FK111" s="1338"/>
      <c r="FL111" s="1338"/>
      <c r="FM111" s="1338"/>
      <c r="FN111" s="1338"/>
      <c r="FO111" s="1338"/>
      <c r="FP111" s="1338"/>
      <c r="FQ111" s="1338"/>
      <c r="FR111" s="1338"/>
      <c r="FS111" s="1338"/>
      <c r="FT111" s="1338"/>
      <c r="FU111" s="1338"/>
      <c r="FV111" s="1338"/>
      <c r="FW111" s="1339"/>
      <c r="FX111" s="1340"/>
      <c r="FY111" s="1065"/>
      <c r="FZ111" s="1065"/>
      <c r="GA111" s="1065"/>
      <c r="GB111" s="1065"/>
    </row>
    <row r="113" s="7515" customFormat="1" customHeight="1" ht="11.25">
      <c r="A113" s="1938" t="s">
        <v>2337</v>
      </c>
    </row>
    <row r="115" s="7954" customFormat="1" customHeight="1" ht="15">
      <c r="A115" s="747"/>
      <c r="B115" s="748"/>
      <c r="C115" s="748"/>
      <c r="D115" s="2715" t="s">
        <v>210</v>
      </c>
      <c r="E115" s="2514" t="s">
        <v>206</v>
      </c>
      <c r="F115" s="2515"/>
      <c r="G115" s="2516"/>
      <c r="H115" s="2520" t="str">
        <f>IF(A115="","",INDEX(DIFFERENTIATION_UNMERGE_VD,MATCH(A115,DIFFERENTIATION_ID_DIFF,0)))</f>
        <v/>
      </c>
      <c r="I115" s="2520"/>
      <c r="J115" s="2520"/>
      <c r="K115" s="2520"/>
      <c r="L115" s="2520"/>
      <c r="M115" s="2520"/>
      <c r="N115" s="2520"/>
      <c r="O115" s="2520"/>
      <c r="P115" s="2520"/>
      <c r="Q115" s="2520"/>
      <c r="R115" s="2520"/>
      <c r="S115" s="843"/>
      <c r="T115" s="840"/>
      <c r="U115" s="749"/>
      <c r="V115" s="749"/>
      <c r="W115" s="750"/>
      <c r="X115" s="750"/>
      <c r="Y115" s="750"/>
      <c r="Z115" s="750"/>
      <c r="AA115" s="751"/>
      <c r="AB115" s="752"/>
      <c r="AC115" s="2512"/>
      <c r="AD115" s="753"/>
      <c r="AE115" s="754" t="s">
        <v>22</v>
      </c>
      <c r="AF115" s="754"/>
      <c r="AG115" s="755" t="s">
        <v>745</v>
      </c>
      <c r="AH115" s="756">
        <v>3</v>
      </c>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50"/>
      <c r="BW115" s="750"/>
      <c r="BX115" s="750"/>
      <c r="BY115" s="750"/>
      <c r="BZ115" s="750"/>
      <c r="CA115" s="750"/>
      <c r="CB115" s="750"/>
      <c r="CC115" s="750"/>
      <c r="CD115" s="750"/>
      <c r="CE115" s="750"/>
    </row>
    <row s="7954" customFormat="1" customHeight="1" ht="15">
      <c r="A116" s="747"/>
      <c r="B116" s="748"/>
      <c r="C116" s="748"/>
      <c r="D116" s="2716"/>
      <c r="E116" s="2514" t="s">
        <v>676</v>
      </c>
      <c r="F116" s="2515"/>
      <c r="G116" s="2516"/>
      <c r="H116" s="2520" t="str">
        <f>IF(A115="","",INDEX(DIFFERENTIATION_UNMERGE_AREA,MATCH(A115,DIFFERENTIATION_ID_DIFF,0)))</f>
        <v/>
      </c>
      <c r="I116" s="2520"/>
      <c r="J116" s="2520"/>
      <c r="K116" s="2520"/>
      <c r="L116" s="2520"/>
      <c r="M116" s="2520"/>
      <c r="N116" s="2520"/>
      <c r="O116" s="2520"/>
      <c r="P116" s="2520"/>
      <c r="Q116" s="2520"/>
      <c r="R116" s="2520"/>
      <c r="S116" s="843"/>
      <c r="T116" s="840"/>
      <c r="U116" s="749"/>
      <c r="V116" s="749"/>
      <c r="W116" s="750"/>
      <c r="X116" s="750"/>
      <c r="Y116" s="750"/>
      <c r="Z116" s="750"/>
      <c r="AA116" s="751"/>
      <c r="AB116" s="752"/>
      <c r="AC116" s="2512"/>
      <c r="AD116" s="753"/>
      <c r="AE116" s="754"/>
      <c r="AF116" s="754"/>
      <c r="AG116" s="755"/>
      <c r="AH116" s="756"/>
      <c r="AI116" s="749"/>
      <c r="AJ116" s="749"/>
      <c r="AK116" s="749"/>
      <c r="AL116" s="749"/>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49"/>
      <c r="BI116" s="749"/>
      <c r="BJ116" s="749"/>
      <c r="BK116" s="749"/>
      <c r="BL116" s="749"/>
      <c r="BM116" s="749"/>
      <c r="BN116" s="749"/>
      <c r="BO116" s="749"/>
      <c r="BP116" s="749"/>
      <c r="BQ116" s="749"/>
      <c r="BR116" s="749"/>
      <c r="BS116" s="749"/>
      <c r="BT116" s="749"/>
      <c r="BU116" s="749"/>
      <c r="BV116" s="750"/>
      <c r="BW116" s="750"/>
      <c r="BX116" s="750"/>
      <c r="BY116" s="750"/>
      <c r="BZ116" s="750"/>
      <c r="CA116" s="750"/>
      <c r="CB116" s="750"/>
      <c r="CC116" s="750"/>
      <c r="CD116" s="750"/>
      <c r="CE116" s="750"/>
    </row>
    <row s="7954" customFormat="1" customHeight="1" ht="15">
      <c r="A117" s="747"/>
      <c r="B117" s="748"/>
      <c r="C117" s="748"/>
      <c r="D117" s="2716"/>
      <c r="E117" s="2514" t="s">
        <v>677</v>
      </c>
      <c r="F117" s="2515"/>
      <c r="G117" s="2516"/>
      <c r="H117" s="2520" t="str">
        <f>IF(A115="","",INDEX(DIFFERENTIATION_UNMERGE_SYSTEM,MATCH(A115,DIFFERENTIATION_ID_DIFF,0)))</f>
        <v/>
      </c>
      <c r="I117" s="2520"/>
      <c r="J117" s="2520"/>
      <c r="K117" s="2520"/>
      <c r="L117" s="2520"/>
      <c r="M117" s="2520"/>
      <c r="N117" s="2520"/>
      <c r="O117" s="2520"/>
      <c r="P117" s="2520"/>
      <c r="Q117" s="2520"/>
      <c r="R117" s="2520"/>
      <c r="S117" s="843"/>
      <c r="T117" s="840"/>
      <c r="U117" s="749"/>
      <c r="V117" s="749"/>
      <c r="W117" s="750"/>
      <c r="X117" s="750"/>
      <c r="Y117" s="750"/>
      <c r="Z117" s="750"/>
      <c r="AA117" s="751"/>
      <c r="AB117" s="752"/>
      <c r="AC117" s="2512"/>
      <c r="AD117" s="753"/>
      <c r="AE117" s="754"/>
      <c r="AF117" s="754"/>
      <c r="AG117" s="755"/>
      <c r="AH117" s="756"/>
      <c r="AI117" s="749"/>
      <c r="AJ117" s="749"/>
      <c r="AK117" s="749"/>
      <c r="AL117" s="749"/>
      <c r="AM117" s="749"/>
      <c r="AN117" s="749"/>
      <c r="AO117" s="749"/>
      <c r="AP117" s="749"/>
      <c r="AQ117" s="749"/>
      <c r="AR117" s="749"/>
      <c r="AS117" s="749"/>
      <c r="AT117" s="749"/>
      <c r="AU117" s="749"/>
      <c r="AV117" s="749"/>
      <c r="AW117" s="749"/>
      <c r="AX117" s="749"/>
      <c r="AY117" s="749"/>
      <c r="AZ117" s="749"/>
      <c r="BA117" s="749"/>
      <c r="BB117" s="749"/>
      <c r="BC117" s="749"/>
      <c r="BD117" s="749"/>
      <c r="BE117" s="749"/>
      <c r="BF117" s="749"/>
      <c r="BG117" s="749"/>
      <c r="BH117" s="749"/>
      <c r="BI117" s="749"/>
      <c r="BJ117" s="749"/>
      <c r="BK117" s="749"/>
      <c r="BL117" s="749"/>
      <c r="BM117" s="749"/>
      <c r="BN117" s="749"/>
      <c r="BO117" s="749"/>
      <c r="BP117" s="749"/>
      <c r="BQ117" s="749"/>
      <c r="BR117" s="749"/>
      <c r="BS117" s="749"/>
      <c r="BT117" s="749"/>
      <c r="BU117" s="749"/>
      <c r="BV117" s="750"/>
      <c r="BW117" s="750"/>
      <c r="BX117" s="750"/>
      <c r="BY117" s="750"/>
      <c r="BZ117" s="750"/>
      <c r="CA117" s="750"/>
      <c r="CB117" s="750"/>
      <c r="CC117" s="750"/>
      <c r="CD117" s="750"/>
      <c r="CE117" s="750"/>
    </row>
    <row s="7954" customFormat="1" customHeight="1" ht="24.75">
      <c r="A118" s="1929"/>
      <c r="B118" s="1284"/>
      <c r="C118" s="536"/>
      <c r="D118" s="2716"/>
      <c r="E118" s="2513" t="s">
        <v>746</v>
      </c>
      <c r="F118" s="2513"/>
      <c r="G118" s="2513"/>
      <c r="H118" s="2513"/>
      <c r="I118" s="2513"/>
      <c r="J118" s="2513"/>
      <c r="K118" s="2513"/>
      <c r="L118" s="2513"/>
      <c r="M118" s="2513"/>
      <c r="N118" s="2513"/>
      <c r="O118" s="2513"/>
      <c r="P118" s="2513"/>
      <c r="Q118" s="682">
        <f>SUMIF(T119:T120,"i",Q119:Q120)</f>
        <v>0</v>
      </c>
      <c r="R118" s="1141"/>
      <c r="S118" s="1921" t="s">
        <v>747</v>
      </c>
      <c r="T118" s="841" t="s">
        <v>748</v>
      </c>
      <c r="U118" s="2511">
        <v>1</v>
      </c>
      <c r="V118" s="2511">
        <f>INDEX(B_FHD_FLAG_INDEX_1,1,MATCH(A115,B_FHD_FLAG_DIFFERENTIATION,0))</f>
      </c>
      <c r="W118" s="1284"/>
      <c r="X118" s="1284"/>
      <c r="Y118" s="1284"/>
      <c r="Z118" s="1284"/>
      <c r="AA118" s="1760"/>
      <c r="AB118" s="1284"/>
      <c r="AC118" s="2512"/>
      <c r="AD118" s="753"/>
      <c r="AE118" s="1284"/>
      <c r="AF118" s="1284"/>
      <c r="AG118" s="1760"/>
      <c r="AH118" s="1760"/>
      <c r="AI118" s="1760"/>
      <c r="AJ118" s="1760"/>
      <c r="AK118" s="1760"/>
      <c r="AL118" s="1760"/>
      <c r="AM118" s="1760"/>
      <c r="AN118" s="1760"/>
      <c r="AO118" s="1760"/>
      <c r="AP118" s="1760"/>
      <c r="AQ118" s="1760"/>
      <c r="AR118" s="1760"/>
      <c r="AS118" s="1760"/>
      <c r="AT118" s="1760"/>
      <c r="AU118" s="1760"/>
      <c r="AV118" s="1760"/>
      <c r="AW118" s="1760"/>
      <c r="AX118" s="1760"/>
      <c r="AY118" s="1760"/>
      <c r="AZ118" s="1760"/>
      <c r="BA118" s="1760"/>
      <c r="BB118" s="1760"/>
      <c r="BC118" s="1760"/>
      <c r="BD118" s="1760"/>
      <c r="BE118" s="1760"/>
      <c r="BF118" s="1760"/>
      <c r="BG118" s="1760"/>
      <c r="BH118" s="1760"/>
      <c r="BI118" s="1760"/>
      <c r="BJ118" s="1760"/>
      <c r="BK118" s="1760"/>
      <c r="BL118" s="1760"/>
      <c r="BM118" s="1760"/>
      <c r="BN118" s="1760"/>
      <c r="BO118" s="1760"/>
      <c r="BP118" s="1760"/>
      <c r="BQ118" s="1760"/>
      <c r="BR118" s="1760"/>
      <c r="BS118" s="1760"/>
      <c r="BT118" s="1760"/>
      <c r="BU118" s="1760"/>
      <c r="BV118" s="1284"/>
      <c r="BW118" s="1284"/>
      <c r="BX118" s="1284"/>
      <c r="BY118" s="1284"/>
      <c r="BZ118" s="1284"/>
      <c r="CA118" s="1284"/>
      <c r="CB118" s="1284"/>
      <c r="CC118" s="1284"/>
      <c r="CD118" s="1284"/>
      <c r="CE118" s="1284"/>
    </row>
    <row s="7954" customFormat="1" customHeight="1" ht="11.25" hidden="1">
      <c r="A119" s="1916"/>
      <c r="B119" s="1760"/>
      <c r="C119" s="1760"/>
      <c r="D119" s="2716"/>
      <c r="E119" s="759"/>
      <c r="F119" s="759">
        <v>0</v>
      </c>
      <c r="G119" s="759"/>
      <c r="H119" s="759"/>
      <c r="I119" s="759"/>
      <c r="J119" s="759"/>
      <c r="K119" s="759"/>
      <c r="L119" s="759"/>
      <c r="M119" s="759"/>
      <c r="N119" s="759"/>
      <c r="O119" s="759"/>
      <c r="P119" s="759"/>
      <c r="Q119" s="759"/>
      <c r="R119" s="759"/>
      <c r="S119" s="760"/>
      <c r="T119" s="842"/>
      <c r="U119" s="2511"/>
      <c r="V119" s="2511"/>
      <c r="W119" s="1760"/>
      <c r="X119" s="1760"/>
      <c r="Y119" s="1760"/>
      <c r="Z119" s="1760"/>
      <c r="AA119" s="1760"/>
      <c r="AB119" s="1284"/>
      <c r="AC119" s="2512"/>
      <c r="AD119" s="753"/>
      <c r="AE119" s="1284"/>
      <c r="AF119" s="1284"/>
      <c r="AG119" s="1760"/>
      <c r="AH119" s="1760"/>
      <c r="AI119" s="1760"/>
      <c r="AJ119" s="1760"/>
      <c r="AK119" s="1760"/>
      <c r="AL119" s="1760"/>
      <c r="AM119" s="1760"/>
      <c r="AN119" s="1760"/>
      <c r="AO119" s="1760"/>
      <c r="AP119" s="1760"/>
      <c r="AQ119" s="1760"/>
      <c r="AR119" s="1760"/>
      <c r="AS119" s="1760"/>
      <c r="AT119" s="1760"/>
      <c r="AU119" s="1760"/>
      <c r="AV119" s="1760"/>
      <c r="AW119" s="1760"/>
      <c r="AX119" s="1760"/>
      <c r="AY119" s="1760"/>
      <c r="AZ119" s="1760"/>
      <c r="BA119" s="1760"/>
      <c r="BB119" s="1760"/>
      <c r="BC119" s="1760"/>
      <c r="BD119" s="1760"/>
      <c r="BE119" s="1760"/>
      <c r="BF119" s="1760"/>
      <c r="BG119" s="1760"/>
      <c r="BH119" s="1760"/>
      <c r="BI119" s="1760"/>
      <c r="BJ119" s="1760"/>
      <c r="BK119" s="1760"/>
      <c r="BL119" s="1760"/>
      <c r="BM119" s="1760"/>
      <c r="BN119" s="1760"/>
      <c r="BO119" s="1760"/>
      <c r="BP119" s="1760"/>
      <c r="BQ119" s="1760"/>
      <c r="BR119" s="1760"/>
      <c r="BS119" s="1760"/>
      <c r="BT119" s="1760"/>
      <c r="BU119" s="1760"/>
      <c r="BV119" s="1760"/>
      <c r="BW119" s="1760"/>
      <c r="BX119" s="1760"/>
      <c r="BY119" s="1760"/>
      <c r="BZ119" s="1760"/>
      <c r="CA119" s="1760"/>
      <c r="CB119" s="1760"/>
      <c r="CC119" s="1760"/>
      <c r="CD119" s="1760"/>
      <c r="CE119" s="1760"/>
    </row>
    <row s="7954" customFormat="1" customHeight="1" ht="11.25">
      <c r="A120" s="1929"/>
      <c r="B120" s="1284"/>
      <c r="C120" s="536"/>
      <c r="D120" s="2716"/>
      <c r="E120" s="773" t="s">
        <v>22</v>
      </c>
      <c r="F120" s="1292" t="s">
        <v>22</v>
      </c>
      <c r="G120" s="1292" t="s">
        <v>751</v>
      </c>
      <c r="H120" s="775" t="s">
        <v>22</v>
      </c>
      <c r="I120" s="775"/>
      <c r="J120" s="775"/>
      <c r="K120" s="775"/>
      <c r="L120" s="775"/>
      <c r="M120" s="775"/>
      <c r="N120" s="775"/>
      <c r="O120" s="775"/>
      <c r="P120" s="775"/>
      <c r="Q120" s="775"/>
      <c r="R120" s="776"/>
      <c r="S120" s="777"/>
      <c r="T120" s="842"/>
      <c r="U120" s="2511"/>
      <c r="V120" s="2511"/>
      <c r="W120" s="1284"/>
      <c r="X120" s="1284"/>
      <c r="Y120" s="1284"/>
      <c r="Z120" s="1284"/>
      <c r="AA120" s="1760"/>
      <c r="AB120" s="1284"/>
      <c r="AC120" s="2512"/>
      <c r="AD120" s="753"/>
      <c r="AE120" s="1284"/>
      <c r="AF120" s="1284"/>
      <c r="AG120" s="1760"/>
      <c r="AH120" s="1760"/>
      <c r="AI120" s="1760"/>
      <c r="AJ120" s="1760"/>
      <c r="AK120" s="1760"/>
      <c r="AL120" s="1760"/>
      <c r="AM120" s="1760"/>
      <c r="AN120" s="1760"/>
      <c r="AO120" s="1760"/>
      <c r="AP120" s="1760"/>
      <c r="AQ120" s="1760"/>
      <c r="AR120" s="1760"/>
      <c r="AS120" s="1760"/>
      <c r="AT120" s="1760"/>
      <c r="AU120" s="1760"/>
      <c r="AV120" s="1760"/>
      <c r="AW120" s="1760"/>
      <c r="AX120" s="1760"/>
      <c r="AY120" s="1760"/>
      <c r="AZ120" s="1760"/>
      <c r="BA120" s="1760"/>
      <c r="BB120" s="1760"/>
      <c r="BC120" s="1760"/>
      <c r="BD120" s="1760"/>
      <c r="BE120" s="1760"/>
      <c r="BF120" s="1760"/>
      <c r="BG120" s="1760"/>
      <c r="BH120" s="1760"/>
      <c r="BI120" s="1760"/>
      <c r="BJ120" s="1760"/>
      <c r="BK120" s="1760"/>
      <c r="BL120" s="1760"/>
      <c r="BM120" s="1760"/>
      <c r="BN120" s="1760"/>
      <c r="BO120" s="1760"/>
      <c r="BP120" s="1760"/>
      <c r="BQ120" s="1760"/>
      <c r="BR120" s="1760"/>
      <c r="BS120" s="1760"/>
      <c r="BT120" s="1760"/>
      <c r="BU120" s="1760"/>
      <c r="BV120" s="1284"/>
      <c r="BW120" s="1284"/>
      <c r="BX120" s="1284"/>
      <c r="BY120" s="1284"/>
      <c r="BZ120" s="1284"/>
      <c r="CA120" s="1284"/>
      <c r="CB120" s="1284"/>
      <c r="CC120" s="1284"/>
      <c r="CD120" s="1284"/>
      <c r="CE120" s="1284"/>
    </row>
    <row s="7954" customFormat="1" customHeight="1" ht="24.75">
      <c r="A121" s="1929"/>
      <c r="B121" s="1284"/>
      <c r="C121" s="536"/>
      <c r="D121" s="2716"/>
      <c r="E121" s="2513" t="s">
        <v>749</v>
      </c>
      <c r="F121" s="2513"/>
      <c r="G121" s="2513"/>
      <c r="H121" s="2513"/>
      <c r="I121" s="2513"/>
      <c r="J121" s="2513"/>
      <c r="K121" s="2513"/>
      <c r="L121" s="2513"/>
      <c r="M121" s="2513"/>
      <c r="N121" s="2513"/>
      <c r="O121" s="2513"/>
      <c r="P121" s="2513"/>
      <c r="Q121" s="682">
        <f>SUMIF(T122:T123,"i",Q122:Q123)</f>
        <v>0</v>
      </c>
      <c r="R121" s="1141"/>
      <c r="S121" s="1921" t="s">
        <v>750</v>
      </c>
      <c r="T121" s="841" t="s">
        <v>748</v>
      </c>
      <c r="U121" s="2511">
        <v>1</v>
      </c>
      <c r="V121" s="2511">
        <f>INDEX(B_FHD_FLAG_INDEX_2,1,MATCH(A115,B_FHD_FLAG_DIFFERENTIATION,0))</f>
      </c>
      <c r="W121" s="1284"/>
      <c r="X121" s="1284"/>
      <c r="Y121" s="1284"/>
      <c r="Z121" s="1284"/>
      <c r="AA121" s="1760"/>
      <c r="AB121" s="1284"/>
      <c r="AC121" s="1919"/>
      <c r="AD121" s="753"/>
      <c r="AE121" s="1284"/>
      <c r="AF121" s="1284"/>
      <c r="AG121" s="1760"/>
      <c r="AH121" s="1760"/>
      <c r="AI121" s="1760"/>
      <c r="AJ121" s="1760"/>
      <c r="AK121" s="1760"/>
      <c r="AL121" s="1760"/>
      <c r="AM121" s="1760"/>
      <c r="AN121" s="1760"/>
      <c r="AO121" s="1760"/>
      <c r="AP121" s="1760"/>
      <c r="AQ121" s="1760"/>
      <c r="AR121" s="1760"/>
      <c r="AS121" s="1760"/>
      <c r="AT121" s="1760"/>
      <c r="AU121" s="1760"/>
      <c r="AV121" s="1760"/>
      <c r="AW121" s="1760"/>
      <c r="AX121" s="1760"/>
      <c r="AY121" s="1760"/>
      <c r="AZ121" s="1760"/>
      <c r="BA121" s="1760"/>
      <c r="BB121" s="1760"/>
      <c r="BC121" s="1760"/>
      <c r="BD121" s="1760"/>
      <c r="BE121" s="1760"/>
      <c r="BF121" s="1760"/>
      <c r="BG121" s="1760"/>
      <c r="BH121" s="1760"/>
      <c r="BI121" s="1760"/>
      <c r="BJ121" s="1760"/>
      <c r="BK121" s="1760"/>
      <c r="BL121" s="1760"/>
      <c r="BM121" s="1760"/>
      <c r="BN121" s="1760"/>
      <c r="BO121" s="1760"/>
      <c r="BP121" s="1760"/>
      <c r="BQ121" s="1760"/>
      <c r="BR121" s="1760"/>
      <c r="BS121" s="1760"/>
      <c r="BT121" s="1760"/>
      <c r="BU121" s="1760"/>
      <c r="BV121" s="1284"/>
      <c r="BW121" s="1284"/>
      <c r="BX121" s="1284"/>
      <c r="BY121" s="1284"/>
      <c r="BZ121" s="1284"/>
      <c r="CA121" s="1284"/>
      <c r="CB121" s="1284"/>
      <c r="CC121" s="1284"/>
      <c r="CD121" s="1284"/>
      <c r="CE121" s="1284"/>
    </row>
    <row s="7954" customFormat="1" customHeight="1" ht="11.25" hidden="1">
      <c r="A122" s="1916"/>
      <c r="B122" s="1760"/>
      <c r="C122" s="1760"/>
      <c r="D122" s="2716"/>
      <c r="E122" s="759"/>
      <c r="F122" s="759">
        <v>0</v>
      </c>
      <c r="G122" s="759"/>
      <c r="H122" s="759"/>
      <c r="I122" s="759"/>
      <c r="J122" s="759"/>
      <c r="K122" s="759"/>
      <c r="L122" s="759"/>
      <c r="M122" s="759"/>
      <c r="N122" s="759"/>
      <c r="O122" s="759"/>
      <c r="P122" s="759"/>
      <c r="Q122" s="759"/>
      <c r="R122" s="759"/>
      <c r="S122" s="760"/>
      <c r="T122" s="842"/>
      <c r="U122" s="2511"/>
      <c r="V122" s="2511"/>
      <c r="W122" s="1760"/>
      <c r="X122" s="1760"/>
      <c r="Y122" s="1760"/>
      <c r="Z122" s="1760"/>
      <c r="AA122" s="1760"/>
      <c r="AB122" s="1284"/>
      <c r="AC122" s="1919"/>
      <c r="AD122" s="753"/>
      <c r="AE122" s="1284"/>
      <c r="AF122" s="1284"/>
      <c r="AG122" s="1760"/>
      <c r="AH122" s="1760"/>
      <c r="AI122" s="1760"/>
      <c r="AJ122" s="1760"/>
      <c r="AK122" s="1760"/>
      <c r="AL122" s="1760"/>
      <c r="AM122" s="1760"/>
      <c r="AN122" s="1760"/>
      <c r="AO122" s="1760"/>
      <c r="AP122" s="1760"/>
      <c r="AQ122" s="1760"/>
      <c r="AR122" s="1760"/>
      <c r="AS122" s="1760"/>
      <c r="AT122" s="1760"/>
      <c r="AU122" s="1760"/>
      <c r="AV122" s="1760"/>
      <c r="AW122" s="1760"/>
      <c r="AX122" s="1760"/>
      <c r="AY122" s="1760"/>
      <c r="AZ122" s="1760"/>
      <c r="BA122" s="1760"/>
      <c r="BB122" s="1760"/>
      <c r="BC122" s="1760"/>
      <c r="BD122" s="1760"/>
      <c r="BE122" s="1760"/>
      <c r="BF122" s="1760"/>
      <c r="BG122" s="1760"/>
      <c r="BH122" s="1760"/>
      <c r="BI122" s="1760"/>
      <c r="BJ122" s="1760"/>
      <c r="BK122" s="1760"/>
      <c r="BL122" s="1760"/>
      <c r="BM122" s="1760"/>
      <c r="BN122" s="1760"/>
      <c r="BO122" s="1760"/>
      <c r="BP122" s="1760"/>
      <c r="BQ122" s="1760"/>
      <c r="BR122" s="1760"/>
      <c r="BS122" s="1760"/>
      <c r="BT122" s="1760"/>
      <c r="BU122" s="1760"/>
      <c r="BV122" s="1760"/>
      <c r="BW122" s="1760"/>
      <c r="BX122" s="1760"/>
      <c r="BY122" s="1760"/>
      <c r="BZ122" s="1760"/>
      <c r="CA122" s="1760"/>
      <c r="CB122" s="1760"/>
      <c r="CC122" s="1760"/>
      <c r="CD122" s="1760"/>
      <c r="CE122" s="1760"/>
    </row>
    <row s="7954" customFormat="1" customHeight="1" ht="11.25">
      <c r="A123" s="1929"/>
      <c r="B123" s="1284"/>
      <c r="C123" s="536"/>
      <c r="D123" s="2717"/>
      <c r="E123" s="773" t="s">
        <v>22</v>
      </c>
      <c r="F123" s="1292" t="s">
        <v>22</v>
      </c>
      <c r="G123" s="1292" t="s">
        <v>751</v>
      </c>
      <c r="H123" s="775" t="s">
        <v>22</v>
      </c>
      <c r="I123" s="775"/>
      <c r="J123" s="775"/>
      <c r="K123" s="775"/>
      <c r="L123" s="775"/>
      <c r="M123" s="775"/>
      <c r="N123" s="775"/>
      <c r="O123" s="775"/>
      <c r="P123" s="775"/>
      <c r="Q123" s="775"/>
      <c r="R123" s="776"/>
      <c r="S123" s="777"/>
      <c r="T123" s="842"/>
      <c r="U123" s="2511"/>
      <c r="V123" s="2511"/>
      <c r="W123" s="1284"/>
      <c r="X123" s="1284"/>
      <c r="Y123" s="1284"/>
      <c r="Z123" s="1284"/>
      <c r="AA123" s="1760"/>
      <c r="AB123" s="1284"/>
      <c r="AC123" s="1919"/>
      <c r="AD123" s="753"/>
      <c r="AE123" s="1284"/>
      <c r="AF123" s="1284"/>
      <c r="AG123" s="1760"/>
      <c r="AH123" s="1760"/>
      <c r="AI123" s="1760"/>
      <c r="AJ123" s="1760"/>
      <c r="AK123" s="1760"/>
      <c r="AL123" s="1760"/>
      <c r="AM123" s="1760"/>
      <c r="AN123" s="1760"/>
      <c r="AO123" s="1760"/>
      <c r="AP123" s="1760"/>
      <c r="AQ123" s="1760"/>
      <c r="AR123" s="1760"/>
      <c r="AS123" s="1760"/>
      <c r="AT123" s="1760"/>
      <c r="AU123" s="1760"/>
      <c r="AV123" s="1760"/>
      <c r="AW123" s="1760"/>
      <c r="AX123" s="1760"/>
      <c r="AY123" s="1760"/>
      <c r="AZ123" s="1760"/>
      <c r="BA123" s="1760"/>
      <c r="BB123" s="1760"/>
      <c r="BC123" s="1760"/>
      <c r="BD123" s="1760"/>
      <c r="BE123" s="1760"/>
      <c r="BF123" s="1760"/>
      <c r="BG123" s="1760"/>
      <c r="BH123" s="1760"/>
      <c r="BI123" s="1760"/>
      <c r="BJ123" s="1760"/>
      <c r="BK123" s="1760"/>
      <c r="BL123" s="1760"/>
      <c r="BM123" s="1760"/>
      <c r="BN123" s="1760"/>
      <c r="BO123" s="1760"/>
      <c r="BP123" s="1760"/>
      <c r="BQ123" s="1760"/>
      <c r="BR123" s="1760"/>
      <c r="BS123" s="1760"/>
      <c r="BT123" s="1760"/>
      <c r="BU123" s="1760"/>
      <c r="BV123" s="1284"/>
      <c r="BW123" s="1284"/>
      <c r="BX123" s="1284"/>
      <c r="BY123" s="1284"/>
      <c r="BZ123" s="1284"/>
      <c r="CA123" s="1284"/>
      <c r="CB123" s="1284"/>
      <c r="CC123" s="1284"/>
      <c r="CD123" s="1284"/>
      <c r="CE123" s="1284"/>
    </row>
    <row r="125" s="7515" customFormat="1" customHeight="1" ht="11.25">
      <c r="A125" s="1938" t="s">
        <v>2338</v>
      </c>
    </row>
    <row r="127" s="7954" customFormat="1" customHeight="1" ht="15" hidden="1">
      <c r="A127" s="747"/>
      <c r="B127" s="748"/>
      <c r="C127" s="748"/>
      <c r="D127" s="2715" t="s">
        <v>210</v>
      </c>
      <c r="E127" s="2514" t="s">
        <v>206</v>
      </c>
      <c r="F127" s="2515"/>
      <c r="G127" s="2516"/>
      <c r="H127" s="2520" t="str">
        <f>IF(A127="","",INDEX(DIFFERENTIATION_UNMERGE_VD,MATCH(A127,DIFFERENTIATION_ID_DIFF,0)))</f>
        <v/>
      </c>
      <c r="I127" s="2520"/>
      <c r="J127" s="2520"/>
      <c r="K127" s="2520"/>
      <c r="L127" s="2520"/>
      <c r="M127" s="2520"/>
      <c r="N127" s="2520"/>
      <c r="O127" s="2520"/>
      <c r="P127" s="2520"/>
      <c r="Q127" s="2520"/>
      <c r="R127" s="2520"/>
      <c r="S127" s="843"/>
      <c r="T127" s="840"/>
      <c r="U127" s="749"/>
      <c r="V127" s="749"/>
      <c r="W127" s="750"/>
      <c r="X127" s="750"/>
      <c r="Y127" s="750"/>
      <c r="Z127" s="750"/>
      <c r="AA127" s="751"/>
      <c r="AB127" s="752"/>
      <c r="AC127" s="2512"/>
      <c r="AD127" s="753"/>
      <c r="AE127" s="754" t="s">
        <v>22</v>
      </c>
      <c r="AF127" s="754"/>
      <c r="AG127" s="755" t="s">
        <v>745</v>
      </c>
      <c r="AH127" s="756">
        <v>3</v>
      </c>
      <c r="AI127" s="749"/>
      <c r="AJ127" s="749"/>
      <c r="AK127" s="749"/>
      <c r="AL127" s="749"/>
      <c r="AM127" s="749"/>
      <c r="AN127" s="749"/>
      <c r="AO127" s="749"/>
      <c r="AP127" s="749"/>
      <c r="AQ127" s="749"/>
      <c r="AR127" s="749"/>
      <c r="AS127" s="749"/>
      <c r="AT127" s="749"/>
      <c r="AU127" s="749"/>
      <c r="AV127" s="749"/>
      <c r="AW127" s="749"/>
      <c r="AX127" s="749"/>
      <c r="AY127" s="749"/>
      <c r="AZ127" s="749"/>
      <c r="BA127" s="749"/>
      <c r="BB127" s="749"/>
      <c r="BC127" s="749"/>
      <c r="BD127" s="749"/>
      <c r="BE127" s="749"/>
      <c r="BF127" s="749"/>
      <c r="BG127" s="749"/>
      <c r="BH127" s="749"/>
      <c r="BI127" s="749"/>
      <c r="BJ127" s="749"/>
      <c r="BK127" s="749"/>
      <c r="BL127" s="749"/>
      <c r="BM127" s="749"/>
      <c r="BN127" s="749"/>
      <c r="BO127" s="749"/>
      <c r="BP127" s="749"/>
      <c r="BQ127" s="749"/>
      <c r="BR127" s="749"/>
      <c r="BS127" s="749"/>
      <c r="BT127" s="749"/>
      <c r="BU127" s="749"/>
      <c r="BV127" s="750"/>
      <c r="BW127" s="750"/>
      <c r="BX127" s="750"/>
      <c r="BY127" s="750"/>
      <c r="BZ127" s="750"/>
      <c r="CA127" s="750"/>
      <c r="CB127" s="750"/>
      <c r="CC127" s="750"/>
      <c r="CD127" s="750"/>
      <c r="CE127" s="750"/>
    </row>
    <row s="7954" customFormat="1" customHeight="1" ht="15" hidden="1">
      <c r="A128" s="747"/>
      <c r="B128" s="748"/>
      <c r="C128" s="748"/>
      <c r="D128" s="2716"/>
      <c r="E128" s="2514" t="s">
        <v>676</v>
      </c>
      <c r="F128" s="2515"/>
      <c r="G128" s="2516"/>
      <c r="H128" s="2520" t="str">
        <f>IF(A127="","",INDEX(DIFFERENTIATION_UNMERGE_AREA,MATCH(A127,DIFFERENTIATION_ID_DIFF,0)))</f>
        <v/>
      </c>
      <c r="I128" s="2520"/>
      <c r="J128" s="2520"/>
      <c r="K128" s="2520"/>
      <c r="L128" s="2520"/>
      <c r="M128" s="2520"/>
      <c r="N128" s="2520"/>
      <c r="O128" s="2520"/>
      <c r="P128" s="2520"/>
      <c r="Q128" s="2520"/>
      <c r="R128" s="2520"/>
      <c r="S128" s="843"/>
      <c r="T128" s="840"/>
      <c r="U128" s="749"/>
      <c r="V128" s="749"/>
      <c r="W128" s="750"/>
      <c r="X128" s="750"/>
      <c r="Y128" s="750"/>
      <c r="Z128" s="750"/>
      <c r="AA128" s="751"/>
      <c r="AB128" s="752"/>
      <c r="AC128" s="2512"/>
      <c r="AD128" s="753"/>
      <c r="AE128" s="754"/>
      <c r="AF128" s="754"/>
      <c r="AG128" s="755"/>
      <c r="AH128" s="756"/>
      <c r="AI128" s="749"/>
      <c r="AJ128" s="749"/>
      <c r="AK128" s="749"/>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749"/>
      <c r="BM128" s="749"/>
      <c r="BN128" s="749"/>
      <c r="BO128" s="749"/>
      <c r="BP128" s="749"/>
      <c r="BQ128" s="749"/>
      <c r="BR128" s="749"/>
      <c r="BS128" s="749"/>
      <c r="BT128" s="749"/>
      <c r="BU128" s="749"/>
      <c r="BV128" s="750"/>
      <c r="BW128" s="750"/>
      <c r="BX128" s="750"/>
      <c r="BY128" s="750"/>
      <c r="BZ128" s="750"/>
      <c r="CA128" s="750"/>
      <c r="CB128" s="750"/>
      <c r="CC128" s="750"/>
      <c r="CD128" s="750"/>
      <c r="CE128" s="750"/>
    </row>
    <row s="7954" customFormat="1" customHeight="1" ht="15" hidden="1">
      <c r="A129" s="747"/>
      <c r="B129" s="748"/>
      <c r="C129" s="748"/>
      <c r="D129" s="2716"/>
      <c r="E129" s="2514" t="s">
        <v>677</v>
      </c>
      <c r="F129" s="2515"/>
      <c r="G129" s="2516"/>
      <c r="H129" s="2520" t="str">
        <f>IF(A127="","",INDEX(DIFFERENTIATION_UNMERGE_SYSTEM,MATCH(A127,DIFFERENTIATION_ID_DIFF,0)))</f>
        <v/>
      </c>
      <c r="I129" s="2520"/>
      <c r="J129" s="2520"/>
      <c r="K129" s="2520"/>
      <c r="L129" s="2520"/>
      <c r="M129" s="2520"/>
      <c r="N129" s="2520"/>
      <c r="O129" s="2520"/>
      <c r="P129" s="2520"/>
      <c r="Q129" s="2520"/>
      <c r="R129" s="2520"/>
      <c r="S129" s="843"/>
      <c r="T129" s="840"/>
      <c r="U129" s="749"/>
      <c r="V129" s="749"/>
      <c r="W129" s="750"/>
      <c r="X129" s="750"/>
      <c r="Y129" s="750"/>
      <c r="Z129" s="750"/>
      <c r="AA129" s="751"/>
      <c r="AB129" s="752"/>
      <c r="AC129" s="2512"/>
      <c r="AD129" s="753"/>
      <c r="AE129" s="754"/>
      <c r="AF129" s="754"/>
      <c r="AG129" s="755"/>
      <c r="AH129" s="756"/>
      <c r="AI129" s="749"/>
      <c r="AJ129" s="749"/>
      <c r="AK129" s="749"/>
      <c r="AL129" s="749"/>
      <c r="AM129" s="749"/>
      <c r="AN129" s="749"/>
      <c r="AO129" s="749"/>
      <c r="AP129" s="749"/>
      <c r="AQ129" s="749"/>
      <c r="AR129" s="749"/>
      <c r="AS129" s="749"/>
      <c r="AT129" s="749"/>
      <c r="AU129" s="749"/>
      <c r="AV129" s="749"/>
      <c r="AW129" s="749"/>
      <c r="AX129" s="749"/>
      <c r="AY129" s="749"/>
      <c r="AZ129" s="749"/>
      <c r="BA129" s="749"/>
      <c r="BB129" s="749"/>
      <c r="BC129" s="749"/>
      <c r="BD129" s="749"/>
      <c r="BE129" s="749"/>
      <c r="BF129" s="749"/>
      <c r="BG129" s="749"/>
      <c r="BH129" s="749"/>
      <c r="BI129" s="749"/>
      <c r="BJ129" s="749"/>
      <c r="BK129" s="749"/>
      <c r="BL129" s="749"/>
      <c r="BM129" s="749"/>
      <c r="BN129" s="749"/>
      <c r="BO129" s="749"/>
      <c r="BP129" s="749"/>
      <c r="BQ129" s="749"/>
      <c r="BR129" s="749"/>
      <c r="BS129" s="749"/>
      <c r="BT129" s="749"/>
      <c r="BU129" s="749"/>
      <c r="BV129" s="750"/>
      <c r="BW129" s="750"/>
      <c r="BX129" s="750"/>
      <c r="BY129" s="750"/>
      <c r="BZ129" s="750"/>
      <c r="CA129" s="750"/>
      <c r="CB129" s="750"/>
      <c r="CC129" s="750"/>
      <c r="CD129" s="750"/>
      <c r="CE129" s="750"/>
    </row>
    <row s="7954" customFormat="1" customHeight="1" ht="24.75" hidden="1">
      <c r="A130" s="1929"/>
      <c r="B130" s="1284"/>
      <c r="C130" s="536"/>
      <c r="D130" s="2716"/>
      <c r="E130" s="2513" t="s">
        <v>746</v>
      </c>
      <c r="F130" s="2513"/>
      <c r="G130" s="2513"/>
      <c r="H130" s="2513"/>
      <c r="I130" s="2513"/>
      <c r="J130" s="2513"/>
      <c r="K130" s="2513"/>
      <c r="L130" s="2513"/>
      <c r="M130" s="2513"/>
      <c r="N130" s="2513"/>
      <c r="O130" s="2513"/>
      <c r="P130" s="2513"/>
      <c r="Q130" s="682">
        <f>SUMIF(T131:T132,"i",Q131:Q132)</f>
        <v>0</v>
      </c>
      <c r="R130" s="1141"/>
      <c r="S130" s="1921" t="s">
        <v>747</v>
      </c>
      <c r="T130" s="841" t="s">
        <v>748</v>
      </c>
      <c r="U130" s="2511">
        <v>1</v>
      </c>
      <c r="V130" s="2511">
        <f>INDEX(B_FHD_FLAG_INDEX_1,1,MATCH(A127,B_FHD_FLAG_DIFFERENTIATION,0))</f>
      </c>
      <c r="W130" s="1284"/>
      <c r="X130" s="1284"/>
      <c r="Y130" s="1284"/>
      <c r="Z130" s="1284"/>
      <c r="AA130" s="1760"/>
      <c r="AB130" s="1284"/>
      <c r="AC130" s="2512"/>
      <c r="AD130" s="753"/>
      <c r="AE130" s="1284"/>
      <c r="AF130" s="1284"/>
      <c r="AG130" s="1760"/>
      <c r="AH130" s="1760"/>
      <c r="AI130" s="1760"/>
      <c r="AJ130" s="1760"/>
      <c r="AK130" s="1760"/>
      <c r="AL130" s="1760"/>
      <c r="AM130" s="1760"/>
      <c r="AN130" s="1760"/>
      <c r="AO130" s="1760"/>
      <c r="AP130" s="1760"/>
      <c r="AQ130" s="1760"/>
      <c r="AR130" s="1760"/>
      <c r="AS130" s="1760"/>
      <c r="AT130" s="1760"/>
      <c r="AU130" s="1760"/>
      <c r="AV130" s="1760"/>
      <c r="AW130" s="1760"/>
      <c r="AX130" s="1760"/>
      <c r="AY130" s="1760"/>
      <c r="AZ130" s="1760"/>
      <c r="BA130" s="1760"/>
      <c r="BB130" s="1760"/>
      <c r="BC130" s="1760"/>
      <c r="BD130" s="1760"/>
      <c r="BE130" s="1760"/>
      <c r="BF130" s="1760"/>
      <c r="BG130" s="1760"/>
      <c r="BH130" s="1760"/>
      <c r="BI130" s="1760"/>
      <c r="BJ130" s="1760"/>
      <c r="BK130" s="1760"/>
      <c r="BL130" s="1760"/>
      <c r="BM130" s="1760"/>
      <c r="BN130" s="1760"/>
      <c r="BO130" s="1760"/>
      <c r="BP130" s="1760"/>
      <c r="BQ130" s="1760"/>
      <c r="BR130" s="1760"/>
      <c r="BS130" s="1760"/>
      <c r="BT130" s="1760"/>
      <c r="BU130" s="1760"/>
      <c r="BV130" s="1284"/>
      <c r="BW130" s="1284"/>
      <c r="BX130" s="1284"/>
      <c r="BY130" s="1284"/>
      <c r="BZ130" s="1284"/>
      <c r="CA130" s="1284"/>
      <c r="CB130" s="1284"/>
      <c r="CC130" s="1284"/>
      <c r="CD130" s="1284"/>
      <c r="CE130" s="1284"/>
    </row>
    <row s="7954" customFormat="1" customHeight="1" ht="11.25" hidden="1">
      <c r="A131" s="1916"/>
      <c r="B131" s="1760"/>
      <c r="C131" s="1760"/>
      <c r="D131" s="2716"/>
      <c r="E131" s="759"/>
      <c r="F131" s="759">
        <v>0</v>
      </c>
      <c r="G131" s="759"/>
      <c r="H131" s="759"/>
      <c r="I131" s="759"/>
      <c r="J131" s="759"/>
      <c r="K131" s="759"/>
      <c r="L131" s="759"/>
      <c r="M131" s="759"/>
      <c r="N131" s="759"/>
      <c r="O131" s="759"/>
      <c r="P131" s="759"/>
      <c r="Q131" s="759"/>
      <c r="R131" s="759"/>
      <c r="S131" s="760"/>
      <c r="T131" s="842"/>
      <c r="U131" s="2511"/>
      <c r="V131" s="2511"/>
      <c r="W131" s="1760"/>
      <c r="X131" s="1760"/>
      <c r="Y131" s="1760"/>
      <c r="Z131" s="1760"/>
      <c r="AA131" s="1760"/>
      <c r="AB131" s="1284"/>
      <c r="AC131" s="2512"/>
      <c r="AD131" s="753"/>
      <c r="AE131" s="1284"/>
      <c r="AF131" s="1284"/>
      <c r="AG131" s="1760"/>
      <c r="AH131" s="1760"/>
      <c r="AI131" s="1760"/>
      <c r="AJ131" s="1760"/>
      <c r="AK131" s="1760"/>
      <c r="AL131" s="1760"/>
      <c r="AM131" s="1760"/>
      <c r="AN131" s="1760"/>
      <c r="AO131" s="1760"/>
      <c r="AP131" s="1760"/>
      <c r="AQ131" s="1760"/>
      <c r="AR131" s="1760"/>
      <c r="AS131" s="1760"/>
      <c r="AT131" s="1760"/>
      <c r="AU131" s="1760"/>
      <c r="AV131" s="1760"/>
      <c r="AW131" s="1760"/>
      <c r="AX131" s="1760"/>
      <c r="AY131" s="1760"/>
      <c r="AZ131" s="1760"/>
      <c r="BA131" s="1760"/>
      <c r="BB131" s="1760"/>
      <c r="BC131" s="1760"/>
      <c r="BD131" s="1760"/>
      <c r="BE131" s="1760"/>
      <c r="BF131" s="1760"/>
      <c r="BG131" s="1760"/>
      <c r="BH131" s="1760"/>
      <c r="BI131" s="1760"/>
      <c r="BJ131" s="1760"/>
      <c r="BK131" s="1760"/>
      <c r="BL131" s="1760"/>
      <c r="BM131" s="1760"/>
      <c r="BN131" s="1760"/>
      <c r="BO131" s="1760"/>
      <c r="BP131" s="1760"/>
      <c r="BQ131" s="1760"/>
      <c r="BR131" s="1760"/>
      <c r="BS131" s="1760"/>
      <c r="BT131" s="1760"/>
      <c r="BU131" s="1760"/>
      <c r="BV131" s="1760"/>
      <c r="BW131" s="1760"/>
      <c r="BX131" s="1760"/>
      <c r="BY131" s="1760"/>
      <c r="BZ131" s="1760"/>
      <c r="CA131" s="1760"/>
      <c r="CB131" s="1760"/>
      <c r="CC131" s="1760"/>
      <c r="CD131" s="1760"/>
      <c r="CE131" s="1760"/>
    </row>
    <row s="7954" customFormat="1" customHeight="1" ht="11.25" hidden="1">
      <c r="A132" s="1929"/>
      <c r="B132" s="1284"/>
      <c r="C132" s="536"/>
      <c r="D132" s="2716"/>
      <c r="E132" s="773" t="s">
        <v>22</v>
      </c>
      <c r="F132" s="1292" t="s">
        <v>22</v>
      </c>
      <c r="G132" s="1292" t="s">
        <v>751</v>
      </c>
      <c r="H132" s="775" t="s">
        <v>22</v>
      </c>
      <c r="I132" s="775"/>
      <c r="J132" s="775"/>
      <c r="K132" s="775"/>
      <c r="L132" s="775"/>
      <c r="M132" s="775"/>
      <c r="N132" s="775"/>
      <c r="O132" s="775"/>
      <c r="P132" s="775"/>
      <c r="Q132" s="775"/>
      <c r="R132" s="776"/>
      <c r="S132" s="777"/>
      <c r="T132" s="842"/>
      <c r="U132" s="2511"/>
      <c r="V132" s="2511"/>
      <c r="W132" s="1284"/>
      <c r="X132" s="1284"/>
      <c r="Y132" s="1284"/>
      <c r="Z132" s="1284"/>
      <c r="AA132" s="1760"/>
      <c r="AB132" s="1284"/>
      <c r="AC132" s="2512"/>
      <c r="AD132" s="753"/>
      <c r="AE132" s="1284"/>
      <c r="AF132" s="1284"/>
      <c r="AG132" s="1760"/>
      <c r="AH132" s="1760"/>
      <c r="AI132" s="1760"/>
      <c r="AJ132" s="1760"/>
      <c r="AK132" s="1760"/>
      <c r="AL132" s="1760"/>
      <c r="AM132" s="1760"/>
      <c r="AN132" s="1760"/>
      <c r="AO132" s="1760"/>
      <c r="AP132" s="1760"/>
      <c r="AQ132" s="1760"/>
      <c r="AR132" s="1760"/>
      <c r="AS132" s="1760"/>
      <c r="AT132" s="1760"/>
      <c r="AU132" s="1760"/>
      <c r="AV132" s="1760"/>
      <c r="AW132" s="1760"/>
      <c r="AX132" s="1760"/>
      <c r="AY132" s="1760"/>
      <c r="AZ132" s="1760"/>
      <c r="BA132" s="1760"/>
      <c r="BB132" s="1760"/>
      <c r="BC132" s="1760"/>
      <c r="BD132" s="1760"/>
      <c r="BE132" s="1760"/>
      <c r="BF132" s="1760"/>
      <c r="BG132" s="1760"/>
      <c r="BH132" s="1760"/>
      <c r="BI132" s="1760"/>
      <c r="BJ132" s="1760"/>
      <c r="BK132" s="1760"/>
      <c r="BL132" s="1760"/>
      <c r="BM132" s="1760"/>
      <c r="BN132" s="1760"/>
      <c r="BO132" s="1760"/>
      <c r="BP132" s="1760"/>
      <c r="BQ132" s="1760"/>
      <c r="BR132" s="1760"/>
      <c r="BS132" s="1760"/>
      <c r="BT132" s="1760"/>
      <c r="BU132" s="1760"/>
      <c r="BV132" s="1284"/>
      <c r="BW132" s="1284"/>
      <c r="BX132" s="1284"/>
      <c r="BY132" s="1284"/>
      <c r="BZ132" s="1284"/>
      <c r="CA132" s="1284"/>
      <c r="CB132" s="1284"/>
      <c r="CC132" s="1284"/>
      <c r="CD132" s="1284"/>
      <c r="CE132" s="1284"/>
    </row>
    <row s="7914" customFormat="1" customHeight="1" ht="5.25" hidden="1">
      <c r="A133" s="1916"/>
      <c r="B133" s="1760"/>
      <c r="C133" s="1760"/>
      <c r="D133" s="2716"/>
      <c r="E133" s="1163"/>
      <c r="F133" s="1163"/>
      <c r="G133" s="1163"/>
      <c r="H133" s="1163"/>
      <c r="I133" s="1163"/>
      <c r="J133" s="1163"/>
      <c r="K133" s="1163"/>
      <c r="L133" s="1163"/>
      <c r="M133" s="1163"/>
      <c r="N133" s="1163"/>
      <c r="O133" s="1163"/>
      <c r="P133" s="1163"/>
      <c r="Q133" s="1164"/>
      <c r="R133" s="1165"/>
      <c r="S133" s="1166"/>
      <c r="T133" s="841" t="s">
        <v>748</v>
      </c>
      <c r="U133" s="2511">
        <v>1</v>
      </c>
      <c r="V133" s="2511" t="s">
        <v>693</v>
      </c>
      <c r="W133" s="1760"/>
      <c r="X133" s="1760"/>
      <c r="Y133" s="1760"/>
      <c r="Z133" s="1760"/>
      <c r="AA133" s="1760"/>
      <c r="AB133" s="1760"/>
      <c r="AC133" s="1161"/>
      <c r="AD133" s="1162"/>
      <c r="AE133" s="1760"/>
      <c r="AF133" s="1760"/>
      <c r="AG133" s="1760"/>
      <c r="AH133" s="1760"/>
      <c r="AI133" s="1760"/>
      <c r="AJ133" s="1760"/>
      <c r="AK133" s="1760"/>
      <c r="AL133" s="1760"/>
      <c r="AM133" s="1760"/>
      <c r="AN133" s="1760"/>
      <c r="AO133" s="1760"/>
      <c r="AP133" s="1760"/>
      <c r="AQ133" s="1760"/>
      <c r="AR133" s="1760"/>
      <c r="AS133" s="1760"/>
      <c r="AT133" s="1760"/>
      <c r="AU133" s="1760"/>
      <c r="AV133" s="1760"/>
      <c r="AW133" s="1760"/>
      <c r="AX133" s="1760"/>
      <c r="AY133" s="1760"/>
      <c r="AZ133" s="1760"/>
      <c r="BA133" s="1760"/>
      <c r="BB133" s="1760"/>
      <c r="BC133" s="1760"/>
      <c r="BD133" s="1760"/>
      <c r="BE133" s="1760"/>
      <c r="BF133" s="1760"/>
      <c r="BG133" s="1760"/>
      <c r="BH133" s="1760"/>
      <c r="BI133" s="1760"/>
      <c r="BJ133" s="1760"/>
      <c r="BK133" s="1760"/>
      <c r="BL133" s="1760"/>
      <c r="BM133" s="1760"/>
      <c r="BN133" s="1760"/>
      <c r="BO133" s="1760"/>
      <c r="BP133" s="1760"/>
      <c r="BQ133" s="1760"/>
      <c r="BR133" s="1760"/>
      <c r="BS133" s="1760"/>
      <c r="BT133" s="1760"/>
      <c r="BU133" s="1760"/>
      <c r="BV133" s="1760"/>
      <c r="BW133" s="1760"/>
      <c r="BX133" s="1760"/>
      <c r="BY133" s="1760"/>
      <c r="BZ133" s="1760"/>
      <c r="CA133" s="1760"/>
      <c r="CB133" s="1760"/>
      <c r="CC133" s="1760"/>
      <c r="CD133" s="1760"/>
      <c r="CE133" s="1760"/>
    </row>
    <row s="7914" customFormat="1" customHeight="1" ht="5.25" hidden="1">
      <c r="A134" s="1916"/>
      <c r="B134" s="1760"/>
      <c r="C134" s="1760"/>
      <c r="D134" s="2716"/>
      <c r="E134" s="759"/>
      <c r="F134" s="759"/>
      <c r="G134" s="759"/>
      <c r="H134" s="759"/>
      <c r="I134" s="759"/>
      <c r="J134" s="759"/>
      <c r="K134" s="759"/>
      <c r="L134" s="759"/>
      <c r="M134" s="759"/>
      <c r="N134" s="759"/>
      <c r="O134" s="759"/>
      <c r="P134" s="759"/>
      <c r="Q134" s="759"/>
      <c r="R134" s="759"/>
      <c r="S134" s="760"/>
      <c r="T134" s="842"/>
      <c r="U134" s="2511"/>
      <c r="V134" s="2511"/>
      <c r="W134" s="1760"/>
      <c r="X134" s="1760"/>
      <c r="Y134" s="1760"/>
      <c r="Z134" s="1760"/>
      <c r="AA134" s="1760"/>
      <c r="AB134" s="1760"/>
      <c r="AC134" s="1161"/>
      <c r="AD134" s="1162"/>
      <c r="AE134" s="1760"/>
      <c r="AF134" s="1760"/>
      <c r="AG134" s="1760"/>
      <c r="AH134" s="1760"/>
      <c r="AI134" s="1760"/>
      <c r="AJ134" s="1760"/>
      <c r="AK134" s="1760"/>
      <c r="AL134" s="1760"/>
      <c r="AM134" s="1760"/>
      <c r="AN134" s="1760"/>
      <c r="AO134" s="1760"/>
      <c r="AP134" s="1760"/>
      <c r="AQ134" s="1760"/>
      <c r="AR134" s="1760"/>
      <c r="AS134" s="1760"/>
      <c r="AT134" s="1760"/>
      <c r="AU134" s="1760"/>
      <c r="AV134" s="1760"/>
      <c r="AW134" s="1760"/>
      <c r="AX134" s="1760"/>
      <c r="AY134" s="1760"/>
      <c r="AZ134" s="1760"/>
      <c r="BA134" s="1760"/>
      <c r="BB134" s="1760"/>
      <c r="BC134" s="1760"/>
      <c r="BD134" s="1760"/>
      <c r="BE134" s="1760"/>
      <c r="BF134" s="1760"/>
      <c r="BG134" s="1760"/>
      <c r="BH134" s="1760"/>
      <c r="BI134" s="1760"/>
      <c r="BJ134" s="1760"/>
      <c r="BK134" s="1760"/>
      <c r="BL134" s="1760"/>
      <c r="BM134" s="1760"/>
      <c r="BN134" s="1760"/>
      <c r="BO134" s="1760"/>
      <c r="BP134" s="1760"/>
      <c r="BQ134" s="1760"/>
      <c r="BR134" s="1760"/>
      <c r="BS134" s="1760"/>
      <c r="BT134" s="1760"/>
      <c r="BU134" s="1760"/>
      <c r="BV134" s="1760"/>
      <c r="BW134" s="1760"/>
      <c r="BX134" s="1760"/>
      <c r="BY134" s="1760"/>
      <c r="BZ134" s="1760"/>
      <c r="CA134" s="1760"/>
      <c r="CB134" s="1760"/>
      <c r="CC134" s="1760"/>
      <c r="CD134" s="1760"/>
      <c r="CE134" s="1760"/>
    </row>
    <row s="7914" customFormat="1" customHeight="1" ht="5.25" hidden="1">
      <c r="A135" s="1916"/>
      <c r="B135" s="1760"/>
      <c r="C135" s="1760"/>
      <c r="D135" s="2717"/>
      <c r="E135" s="1167"/>
      <c r="F135" s="1168"/>
      <c r="G135" s="1168"/>
      <c r="H135" s="1169"/>
      <c r="I135" s="1169"/>
      <c r="J135" s="1169"/>
      <c r="K135" s="1169"/>
      <c r="L135" s="1169"/>
      <c r="M135" s="1169"/>
      <c r="N135" s="1169"/>
      <c r="O135" s="1169"/>
      <c r="P135" s="1169"/>
      <c r="Q135" s="1169"/>
      <c r="R135" s="1070"/>
      <c r="S135" s="1170"/>
      <c r="T135" s="842"/>
      <c r="U135" s="2511"/>
      <c r="V135" s="2511"/>
      <c r="W135" s="1760"/>
      <c r="X135" s="1760"/>
      <c r="Y135" s="1760"/>
      <c r="Z135" s="1760"/>
      <c r="AA135" s="1760"/>
      <c r="AB135" s="1760"/>
      <c r="AC135" s="1161"/>
      <c r="AD135" s="1162"/>
      <c r="AE135" s="1760"/>
      <c r="AF135" s="1760"/>
      <c r="AG135" s="1760"/>
      <c r="AH135" s="1760"/>
      <c r="AI135" s="1760"/>
      <c r="AJ135" s="1760"/>
      <c r="AK135" s="1760"/>
      <c r="AL135" s="1760"/>
      <c r="AM135" s="1760"/>
      <c r="AN135" s="1760"/>
      <c r="AO135" s="1760"/>
      <c r="AP135" s="1760"/>
      <c r="AQ135" s="1760"/>
      <c r="AR135" s="1760"/>
      <c r="AS135" s="1760"/>
      <c r="AT135" s="1760"/>
      <c r="AU135" s="1760"/>
      <c r="AV135" s="1760"/>
      <c r="AW135" s="1760"/>
      <c r="AX135" s="1760"/>
      <c r="AY135" s="1760"/>
      <c r="AZ135" s="1760"/>
      <c r="BA135" s="1760"/>
      <c r="BB135" s="1760"/>
      <c r="BC135" s="1760"/>
      <c r="BD135" s="1760"/>
      <c r="BE135" s="1760"/>
      <c r="BF135" s="1760"/>
      <c r="BG135" s="1760"/>
      <c r="BH135" s="1760"/>
      <c r="BI135" s="1760"/>
      <c r="BJ135" s="1760"/>
      <c r="BK135" s="1760"/>
      <c r="BL135" s="1760"/>
      <c r="BM135" s="1760"/>
      <c r="BN135" s="1760"/>
      <c r="BO135" s="1760"/>
      <c r="BP135" s="1760"/>
      <c r="BQ135" s="1760"/>
      <c r="BR135" s="1760"/>
      <c r="BS135" s="1760"/>
      <c r="BT135" s="1760"/>
      <c r="BU135" s="1760"/>
      <c r="BV135" s="1760"/>
      <c r="BW135" s="1760"/>
      <c r="BX135" s="1760"/>
      <c r="BY135" s="1760"/>
      <c r="BZ135" s="1760"/>
      <c r="CA135" s="1760"/>
      <c r="CB135" s="1760"/>
      <c r="CC135" s="1760"/>
      <c r="CD135" s="1760"/>
      <c r="CE135" s="1760"/>
    </row>
    <row customHeight="1" ht="17.25">
      <c r="D136" s="1957"/>
    </row>
    <row s="7515" customFormat="1" customHeight="1" ht="11.25">
      <c r="A137" s="1938" t="s">
        <v>2339</v>
      </c>
    </row>
    <row r="139" s="7954" customFormat="1" customHeight="1" ht="45">
      <c r="A139" s="1929"/>
      <c r="B139" s="1284"/>
      <c r="C139" s="536"/>
      <c r="D139" s="213"/>
      <c r="E139" s="2709"/>
      <c r="F139" s="2245" t="s">
        <v>210</v>
      </c>
      <c r="G139" s="2712" t="s">
        <v>22</v>
      </c>
      <c r="H139" s="413"/>
      <c r="I139" s="761" t="s">
        <v>210</v>
      </c>
      <c r="J139" s="1930" t="s">
        <v>2340</v>
      </c>
      <c r="K139" s="762" t="s">
        <v>658</v>
      </c>
      <c r="L139" s="2361" t="s">
        <v>658</v>
      </c>
      <c r="M139" s="2714"/>
      <c r="N139" s="762" t="s">
        <v>658</v>
      </c>
      <c r="O139" s="762" t="s">
        <v>658</v>
      </c>
      <c r="P139" s="762" t="s">
        <v>658</v>
      </c>
      <c r="Q139" s="763">
        <f>SUM(Q140:Q142)</f>
        <v>0</v>
      </c>
      <c r="R139" s="763">
        <f>IF(R136=0,0,(Q136/R136)*100)</f>
        <v>0</v>
      </c>
      <c r="S139" s="2316"/>
      <c r="T139" s="841" t="s">
        <v>748</v>
      </c>
      <c r="U139" s="213"/>
      <c r="V139" s="213"/>
      <c r="AC139" s="213"/>
    </row>
    <row s="7954" customFormat="1" customHeight="1" ht="11.25">
      <c r="A140" s="1929"/>
      <c r="B140" s="1284"/>
      <c r="C140" s="536"/>
      <c r="D140" s="213"/>
      <c r="E140" s="2710"/>
      <c r="F140" s="2245"/>
      <c r="G140" s="2712"/>
      <c r="H140" s="2264"/>
      <c r="I140" s="2652" t="s">
        <v>1447</v>
      </c>
      <c r="J140" s="2706"/>
      <c r="K140" s="2707"/>
      <c r="L140" s="764"/>
      <c r="M140" s="765" t="s">
        <v>210</v>
      </c>
      <c r="N140" s="1918"/>
      <c r="O140" s="766"/>
      <c r="P140" s="767"/>
      <c r="Q140" s="766"/>
      <c r="R140" s="768">
        <v>0</v>
      </c>
      <c r="S140" s="2316"/>
      <c r="T140" s="841"/>
      <c r="U140" s="213"/>
      <c r="V140" s="213"/>
      <c r="AC140" s="213"/>
    </row>
    <row s="7954" customFormat="1" customHeight="1" ht="11.25">
      <c r="A141" s="1929"/>
      <c r="B141" s="1284"/>
      <c r="C141" s="536"/>
      <c r="D141" s="213"/>
      <c r="E141" s="2710"/>
      <c r="F141" s="2245"/>
      <c r="G141" s="2712"/>
      <c r="H141" s="2264"/>
      <c r="I141" s="2652"/>
      <c r="J141" s="2706"/>
      <c r="K141" s="2708"/>
      <c r="L141" s="769"/>
      <c r="M141" s="770"/>
      <c r="N141" s="771" t="s">
        <v>2341</v>
      </c>
      <c r="O141" s="771"/>
      <c r="P141" s="771"/>
      <c r="Q141" s="771"/>
      <c r="R141" s="772"/>
      <c r="S141" s="2316"/>
      <c r="T141" s="841"/>
      <c r="U141" s="213"/>
      <c r="V141" s="213"/>
      <c r="AC141" s="213"/>
    </row>
    <row s="7954" customFormat="1" customHeight="1" ht="11.25">
      <c r="A142" s="1929"/>
      <c r="B142" s="1284"/>
      <c r="C142" s="536"/>
      <c r="D142" s="213"/>
      <c r="E142" s="2711"/>
      <c r="F142" s="2245"/>
      <c r="G142" s="2713"/>
      <c r="H142" s="769" t="s">
        <v>22</v>
      </c>
      <c r="I142" s="770"/>
      <c r="J142" s="771" t="s">
        <v>2342</v>
      </c>
      <c r="K142" s="771"/>
      <c r="L142" s="771"/>
      <c r="M142" s="771"/>
      <c r="N142" s="771"/>
      <c r="O142" s="771"/>
      <c r="P142" s="771"/>
      <c r="Q142" s="771"/>
      <c r="R142" s="772"/>
      <c r="S142" s="2316"/>
      <c r="T142" s="841"/>
      <c r="U142" s="213"/>
      <c r="V142" s="213"/>
      <c r="AC142" s="213"/>
    </row>
    <row r="147" s="7954" customFormat="1" customHeight="1" ht="11.25">
      <c r="A147" s="1929"/>
      <c r="B147" s="1284"/>
      <c r="C147" s="536"/>
      <c r="D147" s="213"/>
      <c r="E147" s="1953"/>
      <c r="F147" s="1953"/>
      <c r="G147" s="1953"/>
      <c r="H147" s="2264"/>
      <c r="I147" s="2652" t="s">
        <v>1447</v>
      </c>
      <c r="J147" s="2706"/>
      <c r="K147" s="2707"/>
      <c r="L147" s="764"/>
      <c r="M147" s="765" t="s">
        <v>210</v>
      </c>
      <c r="N147" s="1918"/>
      <c r="O147" s="766"/>
      <c r="P147" s="767"/>
      <c r="Q147" s="766"/>
      <c r="R147" s="768">
        <v>0</v>
      </c>
      <c r="S147" s="213"/>
      <c r="T147" s="841"/>
      <c r="U147" s="213"/>
      <c r="V147" s="213"/>
      <c r="AC147" s="213"/>
    </row>
    <row s="7954" customFormat="1" customHeight="1" ht="11.25">
      <c r="A148" s="1929"/>
      <c r="B148" s="1284"/>
      <c r="C148" s="536"/>
      <c r="D148" s="213"/>
      <c r="E148" s="1953"/>
      <c r="F148" s="1953"/>
      <c r="G148" s="1953"/>
      <c r="H148" s="2264"/>
      <c r="I148" s="2652"/>
      <c r="J148" s="2706"/>
      <c r="K148" s="2708"/>
      <c r="L148" s="769"/>
      <c r="M148" s="770"/>
      <c r="N148" s="771" t="s">
        <v>2341</v>
      </c>
      <c r="O148" s="771"/>
      <c r="P148" s="771"/>
      <c r="Q148" s="771"/>
      <c r="R148" s="772"/>
      <c r="S148" s="213"/>
      <c r="T148" s="841"/>
      <c r="U148" s="213"/>
      <c r="V148" s="213"/>
      <c r="AC148" s="213"/>
    </row>
    <row r="150" s="7954" customFormat="1" customHeight="1" ht="11.25">
      <c r="A150" s="1929"/>
      <c r="B150" s="1284"/>
      <c r="C150" s="536"/>
      <c r="D150" s="213"/>
      <c r="E150" s="1958"/>
      <c r="F150" s="1956"/>
      <c r="G150" s="1956"/>
      <c r="H150" s="1959"/>
      <c r="I150" s="1953"/>
      <c r="J150" s="1954"/>
      <c r="K150" s="1954"/>
      <c r="L150" s="764"/>
      <c r="M150" s="765" t="s">
        <v>210</v>
      </c>
      <c r="N150" s="1918"/>
      <c r="O150" s="766"/>
      <c r="P150" s="767"/>
      <c r="Q150" s="766"/>
      <c r="R150" s="768">
        <v>0</v>
      </c>
      <c r="S150" s="213"/>
      <c r="T150" s="841"/>
      <c r="U150" s="213"/>
      <c r="V150" s="213"/>
      <c r="AC150" s="213"/>
    </row>
    <row r="152" s="7515" customFormat="1" customHeight="1" ht="17.25">
      <c r="A152" s="1938" t="s">
        <v>2343</v>
      </c>
    </row>
    <row customHeight="1" ht="17.25">
      <c r="G153" s="1960"/>
      <c r="H153" s="1960"/>
      <c r="I153" s="1960"/>
      <c r="M153" s="1956"/>
    </row>
    <row s="7787" customFormat="1" customHeight="1" ht="17.25">
      <c r="A154" s="1961"/>
      <c r="C154" s="1963"/>
      <c r="D154" s="2666"/>
      <c r="E154" s="2280"/>
      <c r="F154" s="2282"/>
      <c r="G154" s="2668"/>
      <c r="H154" s="2666"/>
      <c r="I154" s="2666">
        <v>1</v>
      </c>
      <c r="J154" s="2638"/>
      <c r="K154" s="2322" t="s">
        <v>62</v>
      </c>
      <c r="L154" s="2245"/>
      <c r="M154" s="2245" t="s">
        <v>210</v>
      </c>
      <c r="N154" s="2641" t="str">
        <f>IF(Z154="","",INDEX(TERRITORY_MR_LIST,MATCH(Z154,TERRITORY_LIST_ID,0)))</f>
        <v/>
      </c>
      <c r="O154" s="2322" t="s">
        <v>62</v>
      </c>
      <c r="P154" s="2245"/>
      <c r="Q154" s="2245" t="s">
        <v>210</v>
      </c>
      <c r="R154" s="2639" t="s">
        <v>22</v>
      </c>
      <c r="S154" s="2244" t="s">
        <v>62</v>
      </c>
      <c r="T154" s="1934"/>
      <c r="U154" s="1934" t="s">
        <v>210</v>
      </c>
      <c r="V154" s="1964" t="s">
        <v>22</v>
      </c>
      <c r="W154" s="1924"/>
      <c r="Y154" s="1391"/>
      <c r="Z154" s="1391"/>
      <c r="AA154" s="1391"/>
      <c r="AB154" s="1391"/>
      <c r="AC154" s="1391"/>
      <c r="AD154" s="1391"/>
      <c r="AE154" s="1391"/>
      <c r="AF154" s="1391"/>
      <c r="AG154" s="1391"/>
      <c r="AH154" s="1391"/>
      <c r="AI154" s="1391"/>
      <c r="AJ154" s="1391"/>
      <c r="AK154" s="1391"/>
      <c r="AL154" s="1965"/>
      <c r="AM154" s="1965"/>
      <c r="AN154" s="1391"/>
      <c r="AO154" s="1391"/>
      <c r="AP154" s="1391"/>
      <c r="AQ154" s="1391"/>
    </row>
    <row s="7787" customFormat="1" customHeight="1" ht="17.25">
      <c r="A155" s="1961"/>
      <c r="C155" s="1966"/>
      <c r="D155" s="2666"/>
      <c r="E155" s="2280"/>
      <c r="F155" s="2283"/>
      <c r="G155" s="2668"/>
      <c r="H155" s="2666"/>
      <c r="I155" s="2666"/>
      <c r="J155" s="2638"/>
      <c r="K155" s="2323"/>
      <c r="L155" s="2245"/>
      <c r="M155" s="2245"/>
      <c r="N155" s="2641"/>
      <c r="O155" s="2323"/>
      <c r="P155" s="2245"/>
      <c r="Q155" s="2245"/>
      <c r="R155" s="2639"/>
      <c r="S155" s="2244"/>
      <c r="T155" s="441"/>
      <c r="U155" s="442"/>
      <c r="V155" s="442" t="s">
        <v>526</v>
      </c>
      <c r="W155" s="443"/>
      <c r="Y155" s="1383"/>
      <c r="Z155" s="1383"/>
      <c r="AA155" s="1383"/>
      <c r="AB155" s="1383"/>
      <c r="AC155" s="1383"/>
      <c r="AD155" s="1383"/>
      <c r="AE155" s="1383"/>
      <c r="AF155" s="1383"/>
      <c r="AG155" s="1383"/>
      <c r="AH155" s="1383"/>
      <c r="AI155" s="1383"/>
      <c r="AJ155" s="1383"/>
      <c r="AK155" s="1383"/>
    </row>
    <row s="7787" customFormat="1" customHeight="1" ht="17.25">
      <c r="A156" s="1961"/>
      <c r="C156" s="1966"/>
      <c r="D156" s="2640"/>
      <c r="E156" s="2667"/>
      <c r="F156" s="2283"/>
      <c r="G156" s="2669"/>
      <c r="H156" s="2640"/>
      <c r="I156" s="2640"/>
      <c r="J156" s="2670"/>
      <c r="K156" s="2323"/>
      <c r="L156" s="2640"/>
      <c r="M156" s="2640"/>
      <c r="N156" s="2642"/>
      <c r="O156" s="2249"/>
      <c r="P156" s="441"/>
      <c r="Q156" s="442"/>
      <c r="R156" s="442" t="s">
        <v>527</v>
      </c>
      <c r="S156" s="1967"/>
      <c r="T156" s="1967"/>
      <c r="U156" s="1967"/>
      <c r="V156" s="1967"/>
      <c r="W156" s="443"/>
      <c r="Y156" s="1383"/>
      <c r="Z156" s="1383"/>
      <c r="AA156" s="1383"/>
      <c r="AB156" s="1383"/>
      <c r="AC156" s="1383"/>
      <c r="AD156" s="1383"/>
      <c r="AE156" s="1383"/>
      <c r="AF156" s="1383"/>
      <c r="AG156" s="1383"/>
      <c r="AH156" s="1383"/>
      <c r="AI156" s="1383"/>
      <c r="AJ156" s="1383"/>
      <c r="AK156" s="1383"/>
    </row>
    <row s="7787" customFormat="1" customHeight="1" ht="17.25">
      <c r="A157" s="1961"/>
      <c r="C157" s="1966"/>
      <c r="D157" s="2640"/>
      <c r="E157" s="2667"/>
      <c r="F157" s="2283"/>
      <c r="G157" s="2669"/>
      <c r="H157" s="2640"/>
      <c r="I157" s="2640"/>
      <c r="J157" s="2670"/>
      <c r="K157" s="2249"/>
      <c r="L157" s="441"/>
      <c r="M157" s="442"/>
      <c r="N157" s="442" t="s">
        <v>528</v>
      </c>
      <c r="O157" s="442"/>
      <c r="P157" s="442"/>
      <c r="Q157" s="442"/>
      <c r="R157" s="442"/>
      <c r="S157" s="1967"/>
      <c r="T157" s="1967"/>
      <c r="U157" s="1967"/>
      <c r="V157" s="1967"/>
      <c r="W157" s="443"/>
      <c r="Y157" s="1383"/>
      <c r="Z157" s="1383"/>
      <c r="AA157" s="1383"/>
      <c r="AB157" s="1383"/>
      <c r="AC157" s="1383"/>
      <c r="AD157" s="1383"/>
      <c r="AE157" s="1383"/>
      <c r="AF157" s="1383"/>
      <c r="AG157" s="1383"/>
      <c r="AH157" s="1383"/>
      <c r="AI157" s="1383"/>
      <c r="AJ157" s="1383"/>
      <c r="AK157" s="1383"/>
    </row>
    <row s="7787" customFormat="1" customHeight="1" ht="17.25">
      <c r="A158" s="1961"/>
      <c r="C158" s="1966"/>
      <c r="D158" s="2640"/>
      <c r="E158" s="2667"/>
      <c r="F158" s="2284"/>
      <c r="G158" s="2669"/>
      <c r="H158" s="441"/>
      <c r="I158" s="442"/>
      <c r="J158" s="442" t="s">
        <v>560</v>
      </c>
      <c r="K158" s="442"/>
      <c r="L158" s="442"/>
      <c r="M158" s="442"/>
      <c r="N158" s="442"/>
      <c r="O158" s="442"/>
      <c r="P158" s="442"/>
      <c r="Q158" s="442"/>
      <c r="R158" s="442"/>
      <c r="S158" s="1967"/>
      <c r="T158" s="1967"/>
      <c r="U158" s="1967"/>
      <c r="V158" s="1967"/>
      <c r="W158" s="443"/>
      <c r="Y158" s="1383"/>
      <c r="Z158" s="1383"/>
      <c r="AA158" s="1383"/>
      <c r="AB158" s="1383"/>
      <c r="AC158" s="1383"/>
      <c r="AD158" s="1383"/>
      <c r="AE158" s="1383"/>
      <c r="AF158" s="1383"/>
      <c r="AG158" s="1383"/>
      <c r="AH158" s="1383"/>
      <c r="AI158" s="1383"/>
      <c r="AJ158" s="1383"/>
      <c r="AK158" s="1383"/>
    </row>
    <row customHeight="1" ht="17.25">
      <c r="G159" s="1960"/>
      <c r="H159" s="1960"/>
      <c r="I159" s="1960"/>
      <c r="M159" s="1956"/>
    </row>
    <row s="7787" customFormat="1" customHeight="1" ht="17.25">
      <c r="A160" s="1961"/>
      <c r="C160" s="1963"/>
      <c r="D160" s="1953"/>
      <c r="E160" s="1968"/>
      <c r="F160" s="1907"/>
      <c r="G160" s="1969"/>
      <c r="H160" s="2666"/>
      <c r="I160" s="2666">
        <v>1</v>
      </c>
      <c r="J160" s="2638"/>
      <c r="K160" s="2322" t="s">
        <v>62</v>
      </c>
      <c r="L160" s="2245"/>
      <c r="M160" s="2245" t="s">
        <v>210</v>
      </c>
      <c r="N160" s="2641" t="str">
        <f>IF(Z160="","",INDEX(TERRITORY_MR_LIST,MATCH(Z160,TERRITORY_LIST_ID,0)))</f>
        <v/>
      </c>
      <c r="O160" s="2322" t="s">
        <v>62</v>
      </c>
      <c r="P160" s="2245"/>
      <c r="Q160" s="2245" t="s">
        <v>210</v>
      </c>
      <c r="R160" s="2639" t="s">
        <v>22</v>
      </c>
      <c r="S160" s="2244" t="s">
        <v>62</v>
      </c>
      <c r="T160" s="1934"/>
      <c r="U160" s="1934" t="s">
        <v>210</v>
      </c>
      <c r="V160" s="1964" t="s">
        <v>22</v>
      </c>
      <c r="W160" s="1924"/>
      <c r="Y160" s="1391"/>
      <c r="Z160" s="1391"/>
      <c r="AA160" s="1391"/>
      <c r="AB160" s="1391"/>
      <c r="AC160" s="1391"/>
      <c r="AD160" s="1391"/>
      <c r="AE160" s="1391"/>
      <c r="AF160" s="1391"/>
      <c r="AG160" s="1391"/>
      <c r="AH160" s="1391"/>
      <c r="AI160" s="1391"/>
      <c r="AJ160" s="1391"/>
      <c r="AK160" s="1391"/>
      <c r="AL160" s="1965"/>
      <c r="AM160" s="1965"/>
      <c r="AN160" s="1391"/>
      <c r="AO160" s="1391"/>
      <c r="AP160" s="1391"/>
      <c r="AQ160" s="1391"/>
    </row>
    <row s="7787" customFormat="1" customHeight="1" ht="17.25">
      <c r="A161" s="1961"/>
      <c r="C161" s="1966"/>
      <c r="D161" s="1953"/>
      <c r="E161" s="1968"/>
      <c r="F161" s="1907"/>
      <c r="G161" s="1969"/>
      <c r="H161" s="2666"/>
      <c r="I161" s="2666"/>
      <c r="J161" s="2638"/>
      <c r="K161" s="2323"/>
      <c r="L161" s="2245"/>
      <c r="M161" s="2245"/>
      <c r="N161" s="2641"/>
      <c r="O161" s="2323"/>
      <c r="P161" s="2245"/>
      <c r="Q161" s="2245"/>
      <c r="R161" s="2639"/>
      <c r="S161" s="2244"/>
      <c r="T161" s="441"/>
      <c r="U161" s="442"/>
      <c r="V161" s="442" t="s">
        <v>526</v>
      </c>
      <c r="W161" s="443"/>
      <c r="Y161" s="1383"/>
      <c r="Z161" s="1383"/>
      <c r="AA161" s="1383"/>
      <c r="AB161" s="1383"/>
      <c r="AC161" s="1383"/>
      <c r="AD161" s="1383"/>
      <c r="AE161" s="1383"/>
      <c r="AF161" s="1383"/>
      <c r="AG161" s="1383"/>
      <c r="AH161" s="1383"/>
      <c r="AI161" s="1383"/>
      <c r="AJ161" s="1383"/>
      <c r="AK161" s="1383"/>
    </row>
    <row s="7787" customFormat="1" customHeight="1" ht="17.25">
      <c r="A162" s="1961"/>
      <c r="C162" s="1966"/>
      <c r="D162" s="1953"/>
      <c r="E162" s="1968"/>
      <c r="F162" s="1907"/>
      <c r="G162" s="1969"/>
      <c r="H162" s="2640"/>
      <c r="I162" s="2640"/>
      <c r="J162" s="2670"/>
      <c r="K162" s="2323"/>
      <c r="L162" s="2640"/>
      <c r="M162" s="2640"/>
      <c r="N162" s="2642"/>
      <c r="O162" s="2249"/>
      <c r="P162" s="441"/>
      <c r="Q162" s="442"/>
      <c r="R162" s="442" t="s">
        <v>527</v>
      </c>
      <c r="S162" s="1967"/>
      <c r="T162" s="1967"/>
      <c r="U162" s="1967"/>
      <c r="V162" s="1967"/>
      <c r="W162" s="443"/>
      <c r="Y162" s="1383"/>
      <c r="Z162" s="1383"/>
      <c r="AA162" s="1383"/>
      <c r="AB162" s="1383"/>
      <c r="AC162" s="1383"/>
      <c r="AD162" s="1383"/>
      <c r="AE162" s="1383"/>
      <c r="AF162" s="1383"/>
      <c r="AG162" s="1383"/>
      <c r="AH162" s="1383"/>
      <c r="AI162" s="1383"/>
      <c r="AJ162" s="1383"/>
      <c r="AK162" s="1383"/>
    </row>
    <row s="7787" customFormat="1" customHeight="1" ht="17.25">
      <c r="A163" s="1961"/>
      <c r="C163" s="1966"/>
      <c r="D163" s="1953"/>
      <c r="E163" s="1968"/>
      <c r="F163" s="1907"/>
      <c r="G163" s="1969"/>
      <c r="H163" s="2640"/>
      <c r="I163" s="2640"/>
      <c r="J163" s="2670"/>
      <c r="K163" s="2249"/>
      <c r="L163" s="441"/>
      <c r="M163" s="442"/>
      <c r="N163" s="442" t="s">
        <v>528</v>
      </c>
      <c r="O163" s="442"/>
      <c r="P163" s="442"/>
      <c r="Q163" s="442"/>
      <c r="R163" s="442"/>
      <c r="S163" s="1967"/>
      <c r="T163" s="1967"/>
      <c r="U163" s="1967"/>
      <c r="V163" s="1967"/>
      <c r="W163" s="443"/>
      <c r="Y163" s="1383"/>
      <c r="Z163" s="1383"/>
      <c r="AA163" s="1383"/>
      <c r="AB163" s="1383"/>
      <c r="AC163" s="1383"/>
      <c r="AD163" s="1383"/>
      <c r="AE163" s="1383"/>
      <c r="AF163" s="1383"/>
      <c r="AG163" s="1383"/>
      <c r="AH163" s="1383"/>
      <c r="AI163" s="1383"/>
      <c r="AJ163" s="1383"/>
      <c r="AK163" s="1383"/>
    </row>
    <row customHeight="1" ht="17.25">
      <c r="G164" s="1960"/>
      <c r="H164" s="1960"/>
      <c r="I164" s="1960"/>
      <c r="M164" s="1956"/>
    </row>
    <row s="7787" customFormat="1" customHeight="1" ht="17.25">
      <c r="A165" s="1961"/>
      <c r="C165" s="1963"/>
      <c r="D165" s="1953"/>
      <c r="E165" s="1968"/>
      <c r="F165" s="1907"/>
      <c r="G165" s="1969"/>
      <c r="H165" s="1953"/>
      <c r="I165" s="1953"/>
      <c r="J165" s="1970"/>
      <c r="K165" s="1883"/>
      <c r="L165" s="2245"/>
      <c r="M165" s="2245" t="s">
        <v>210</v>
      </c>
      <c r="N165" s="2641" t="str">
        <f>IF(Z165="","",INDEX(TERRITORY_MR_LIST,MATCH(Z165,TERRITORY_LIST_ID,0)))</f>
        <v/>
      </c>
      <c r="O165" s="2322" t="s">
        <v>62</v>
      </c>
      <c r="P165" s="2245"/>
      <c r="Q165" s="2245" t="s">
        <v>210</v>
      </c>
      <c r="R165" s="2639" t="s">
        <v>22</v>
      </c>
      <c r="S165" s="2244" t="s">
        <v>62</v>
      </c>
      <c r="T165" s="1934"/>
      <c r="U165" s="1934" t="s">
        <v>210</v>
      </c>
      <c r="V165" s="1964" t="s">
        <v>22</v>
      </c>
      <c r="W165" s="1924"/>
      <c r="Y165" s="1391"/>
      <c r="Z165" s="1391"/>
      <c r="AA165" s="1391"/>
      <c r="AB165" s="1391"/>
      <c r="AC165" s="1391"/>
      <c r="AD165" s="1391"/>
      <c r="AE165" s="1391"/>
      <c r="AF165" s="1391"/>
      <c r="AG165" s="1391"/>
      <c r="AH165" s="1391"/>
      <c r="AI165" s="1391"/>
      <c r="AJ165" s="1391"/>
      <c r="AK165" s="1391"/>
      <c r="AL165" s="1965"/>
      <c r="AM165" s="1965"/>
      <c r="AN165" s="1391"/>
      <c r="AO165" s="1391"/>
      <c r="AP165" s="1391"/>
      <c r="AQ165" s="1391"/>
    </row>
    <row s="7787" customFormat="1" customHeight="1" ht="17.25">
      <c r="A166" s="1961"/>
      <c r="C166" s="1966"/>
      <c r="D166" s="1953"/>
      <c r="E166" s="1968"/>
      <c r="F166" s="1907"/>
      <c r="G166" s="1969"/>
      <c r="H166" s="1953"/>
      <c r="I166" s="1953"/>
      <c r="J166" s="1970"/>
      <c r="K166" s="1883"/>
      <c r="L166" s="2245"/>
      <c r="M166" s="2245"/>
      <c r="N166" s="2641"/>
      <c r="O166" s="2323"/>
      <c r="P166" s="2245"/>
      <c r="Q166" s="2245"/>
      <c r="R166" s="2639"/>
      <c r="S166" s="2244"/>
      <c r="T166" s="441"/>
      <c r="U166" s="442"/>
      <c r="V166" s="442" t="s">
        <v>526</v>
      </c>
      <c r="W166" s="443"/>
      <c r="Y166" s="1383"/>
      <c r="Z166" s="1383"/>
      <c r="AA166" s="1383"/>
      <c r="AB166" s="1383"/>
      <c r="AC166" s="1383"/>
      <c r="AD166" s="1383"/>
      <c r="AE166" s="1383"/>
      <c r="AF166" s="1383"/>
      <c r="AG166" s="1383"/>
      <c r="AH166" s="1383"/>
      <c r="AI166" s="1383"/>
      <c r="AJ166" s="1383"/>
      <c r="AK166" s="1383"/>
    </row>
    <row s="7787" customFormat="1" customHeight="1" ht="17.25">
      <c r="A167" s="1961"/>
      <c r="C167" s="1966"/>
      <c r="D167" s="1953"/>
      <c r="E167" s="1968"/>
      <c r="F167" s="1907"/>
      <c r="G167" s="1969"/>
      <c r="H167" s="1953"/>
      <c r="I167" s="1953"/>
      <c r="J167" s="1970"/>
      <c r="K167" s="1883"/>
      <c r="L167" s="2640"/>
      <c r="M167" s="2640"/>
      <c r="N167" s="2642"/>
      <c r="O167" s="2249"/>
      <c r="P167" s="441"/>
      <c r="Q167" s="442"/>
      <c r="R167" s="442" t="s">
        <v>527</v>
      </c>
      <c r="S167" s="1967"/>
      <c r="T167" s="1967"/>
      <c r="U167" s="1967"/>
      <c r="V167" s="1967"/>
      <c r="W167" s="443"/>
      <c r="Y167" s="1383"/>
      <c r="Z167" s="1383"/>
      <c r="AA167" s="1383"/>
      <c r="AB167" s="1383"/>
      <c r="AC167" s="1383"/>
      <c r="AD167" s="1383"/>
      <c r="AE167" s="1383"/>
      <c r="AF167" s="1383"/>
      <c r="AG167" s="1383"/>
      <c r="AH167" s="1383"/>
      <c r="AI167" s="1383"/>
      <c r="AJ167" s="1383"/>
      <c r="AK167" s="1383"/>
    </row>
    <row customHeight="1" ht="17.25">
      <c r="G168" s="1960"/>
      <c r="H168" s="1960"/>
      <c r="I168" s="1960"/>
      <c r="M168" s="1956"/>
    </row>
    <row s="7787" customFormat="1" customHeight="1" ht="17.25">
      <c r="A169" s="1961"/>
      <c r="C169" s="1963"/>
      <c r="D169" s="1953"/>
      <c r="E169" s="1968"/>
      <c r="F169" s="1907"/>
      <c r="G169" s="1969"/>
      <c r="H169" s="1953"/>
      <c r="I169" s="1953"/>
      <c r="J169" s="1970"/>
      <c r="K169" s="1883"/>
      <c r="L169" s="1879"/>
      <c r="M169" s="1879"/>
      <c r="N169" s="2169"/>
      <c r="O169" s="1910"/>
      <c r="P169" s="2245"/>
      <c r="Q169" s="2245" t="s">
        <v>210</v>
      </c>
      <c r="R169" s="2639" t="s">
        <v>22</v>
      </c>
      <c r="S169" s="2244" t="s">
        <v>62</v>
      </c>
      <c r="T169" s="1934"/>
      <c r="U169" s="1934" t="s">
        <v>210</v>
      </c>
      <c r="V169" s="1964" t="s">
        <v>22</v>
      </c>
      <c r="W169" s="1924"/>
      <c r="Y169" s="1391"/>
      <c r="Z169" s="1391"/>
      <c r="AA169" s="1391"/>
      <c r="AB169" s="1391"/>
      <c r="AC169" s="1391"/>
      <c r="AD169" s="1391"/>
      <c r="AE169" s="1391"/>
      <c r="AF169" s="1391"/>
      <c r="AG169" s="1391"/>
      <c r="AH169" s="1391"/>
      <c r="AI169" s="1391"/>
      <c r="AJ169" s="1391"/>
      <c r="AK169" s="1391"/>
      <c r="AL169" s="1965"/>
      <c r="AM169" s="1965"/>
      <c r="AN169" s="1391"/>
      <c r="AO169" s="1391"/>
      <c r="AP169" s="1391"/>
      <c r="AQ169" s="1391"/>
    </row>
    <row s="7787" customFormat="1" customHeight="1" ht="17.25">
      <c r="A170" s="1961"/>
      <c r="C170" s="1966"/>
      <c r="D170" s="1953"/>
      <c r="E170" s="1968"/>
      <c r="F170" s="1907"/>
      <c r="G170" s="1969"/>
      <c r="H170" s="1953"/>
      <c r="I170" s="1953"/>
      <c r="J170" s="1970"/>
      <c r="K170" s="1883"/>
      <c r="L170" s="1879"/>
      <c r="M170" s="1879"/>
      <c r="N170" s="2169"/>
      <c r="O170" s="1910"/>
      <c r="P170" s="2245"/>
      <c r="Q170" s="2245"/>
      <c r="R170" s="2639"/>
      <c r="S170" s="2244"/>
      <c r="T170" s="441"/>
      <c r="U170" s="442"/>
      <c r="V170" s="442" t="s">
        <v>526</v>
      </c>
      <c r="W170" s="443"/>
      <c r="Y170" s="1383"/>
      <c r="Z170" s="1383"/>
      <c r="AA170" s="1383"/>
      <c r="AB170" s="1383"/>
      <c r="AC170" s="1383"/>
      <c r="AD170" s="1383"/>
      <c r="AE170" s="1383"/>
      <c r="AF170" s="1383"/>
      <c r="AG170" s="1383"/>
      <c r="AH170" s="1383"/>
      <c r="AI170" s="1383"/>
      <c r="AJ170" s="1383"/>
      <c r="AK170" s="1383"/>
    </row>
    <row customHeight="1" ht="17.25">
      <c r="G171" s="1960"/>
      <c r="H171" s="1960"/>
      <c r="I171" s="1960"/>
      <c r="M171" s="1956"/>
    </row>
    <row s="7787" customFormat="1" customHeight="1" ht="17.25">
      <c r="A172" s="1961"/>
      <c r="C172" s="1963"/>
      <c r="D172" s="1953"/>
      <c r="E172" s="1968"/>
      <c r="F172" s="1907"/>
      <c r="G172" s="1969"/>
      <c r="H172" s="1879"/>
      <c r="I172" s="1879"/>
      <c r="J172" s="1880"/>
      <c r="K172" s="1969"/>
      <c r="L172" s="1879"/>
      <c r="M172" s="1879"/>
      <c r="N172" s="1969"/>
      <c r="O172" s="1969"/>
      <c r="P172" s="1879"/>
      <c r="Q172" s="1879"/>
      <c r="R172" s="1881"/>
      <c r="S172" s="1969"/>
      <c r="T172" s="1934"/>
      <c r="U172" s="1934" t="s">
        <v>210</v>
      </c>
      <c r="V172" s="1964" t="s">
        <v>22</v>
      </c>
      <c r="W172" s="1924"/>
      <c r="Y172" s="1391"/>
      <c r="Z172" s="1391"/>
      <c r="AA172" s="1391"/>
      <c r="AB172" s="1391"/>
      <c r="AC172" s="1391"/>
      <c r="AD172" s="1391"/>
      <c r="AE172" s="1391"/>
      <c r="AF172" s="1391"/>
      <c r="AG172" s="1391"/>
      <c r="AH172" s="1391"/>
      <c r="AI172" s="1391"/>
      <c r="AJ172" s="1391"/>
      <c r="AK172" s="1391"/>
      <c r="AL172" s="1965"/>
      <c r="AM172" s="1965"/>
      <c r="AN172" s="1391"/>
      <c r="AO172" s="1391"/>
      <c r="AP172" s="1391"/>
      <c r="AQ172" s="1391"/>
    </row>
    <row r="174" s="7515" customFormat="1" customHeight="1" ht="17.25">
      <c r="A174" s="1938" t="s">
        <v>2344</v>
      </c>
    </row>
    <row customHeight="1" ht="17.25">
      <c r="G175" s="1960"/>
      <c r="H175" s="1960"/>
      <c r="I175" s="1960"/>
      <c r="M175" s="1956"/>
    </row>
    <row s="7787" customFormat="1" customHeight="1" ht="17.25">
      <c r="A176" s="1961"/>
      <c r="C176" s="1963"/>
      <c r="D176" s="2666"/>
      <c r="E176" s="2280"/>
      <c r="F176" s="2282"/>
      <c r="G176" s="2668"/>
      <c r="H176" s="2666"/>
      <c r="I176" s="2666">
        <v>1</v>
      </c>
      <c r="J176" s="2638"/>
      <c r="K176" s="2322" t="s">
        <v>62</v>
      </c>
      <c r="L176" s="2245"/>
      <c r="M176" s="2245" t="s">
        <v>210</v>
      </c>
      <c r="N176" s="2641" t="str">
        <f>IF(Z176="","",INDEX(TERRITORY_MR_LIST,MATCH(Z176,TERRITORY_LIST_ID,0)))</f>
        <v/>
      </c>
      <c r="O176" s="2322" t="s">
        <v>62</v>
      </c>
      <c r="P176" s="2245"/>
      <c r="Q176" s="2245" t="s">
        <v>210</v>
      </c>
      <c r="R176" s="2639" t="s">
        <v>22</v>
      </c>
      <c r="S176" s="2543" t="s">
        <v>19</v>
      </c>
      <c r="T176" s="1925"/>
      <c r="U176" s="1925" t="s">
        <v>210</v>
      </c>
      <c r="V176" s="1558"/>
      <c r="W176" s="2638"/>
      <c r="Y176" s="1391"/>
      <c r="Z176" s="1391"/>
      <c r="AA176" s="1391"/>
      <c r="AB176" s="1391"/>
      <c r="AC176" s="1391"/>
      <c r="AD176" s="1391"/>
      <c r="AE176" s="1391"/>
      <c r="AF176" s="1391"/>
      <c r="AG176" s="1391"/>
      <c r="AH176" s="1391"/>
      <c r="AI176" s="1391"/>
      <c r="AJ176" s="1391"/>
      <c r="AK176" s="1391"/>
      <c r="AL176" s="1965"/>
      <c r="AM176" s="1965"/>
      <c r="AN176" s="1391"/>
      <c r="AO176" s="1391"/>
      <c r="AP176" s="1391"/>
      <c r="AQ176" s="1391"/>
    </row>
    <row s="7787" customFormat="1" customHeight="1" ht="17.25">
      <c r="A177" s="1961"/>
      <c r="C177" s="1966"/>
      <c r="D177" s="2666"/>
      <c r="E177" s="2280"/>
      <c r="F177" s="2283"/>
      <c r="G177" s="2668"/>
      <c r="H177" s="2666"/>
      <c r="I177" s="2666"/>
      <c r="J177" s="2638"/>
      <c r="K177" s="2323"/>
      <c r="L177" s="2245"/>
      <c r="M177" s="2245"/>
      <c r="N177" s="2641"/>
      <c r="O177" s="2323"/>
      <c r="P177" s="2245"/>
      <c r="Q177" s="2245"/>
      <c r="R177" s="2639"/>
      <c r="S177" s="2543"/>
      <c r="T177" s="1559"/>
      <c r="U177" s="1560"/>
      <c r="V177" s="1560"/>
      <c r="W177" s="2638"/>
      <c r="Y177" s="1383"/>
      <c r="Z177" s="1383"/>
      <c r="AA177" s="1383"/>
      <c r="AB177" s="1383"/>
      <c r="AC177" s="1383"/>
      <c r="AD177" s="1383"/>
      <c r="AE177" s="1383"/>
      <c r="AF177" s="1383"/>
      <c r="AG177" s="1383"/>
      <c r="AH177" s="1383"/>
      <c r="AI177" s="1383"/>
      <c r="AJ177" s="1383"/>
      <c r="AK177" s="1383"/>
    </row>
    <row s="7787" customFormat="1" customHeight="1" ht="17.25">
      <c r="A178" s="1961"/>
      <c r="C178" s="1966"/>
      <c r="D178" s="2640"/>
      <c r="E178" s="2667"/>
      <c r="F178" s="2283"/>
      <c r="G178" s="2669"/>
      <c r="H178" s="2640"/>
      <c r="I178" s="2640"/>
      <c r="J178" s="2670"/>
      <c r="K178" s="2323"/>
      <c r="L178" s="2640"/>
      <c r="M178" s="2640"/>
      <c r="N178" s="2642"/>
      <c r="O178" s="2249"/>
      <c r="P178" s="441"/>
      <c r="Q178" s="442"/>
      <c r="R178" s="442" t="s">
        <v>527</v>
      </c>
      <c r="S178" s="1967"/>
      <c r="T178" s="1967"/>
      <c r="U178" s="1967"/>
      <c r="V178" s="1967"/>
      <c r="W178" s="1557"/>
      <c r="Y178" s="1383"/>
      <c r="Z178" s="1383"/>
      <c r="AA178" s="1383"/>
      <c r="AB178" s="1383"/>
      <c r="AC178" s="1383"/>
      <c r="AD178" s="1383"/>
      <c r="AE178" s="1383"/>
      <c r="AF178" s="1383"/>
      <c r="AG178" s="1383"/>
      <c r="AH178" s="1383"/>
      <c r="AI178" s="1383"/>
      <c r="AJ178" s="1383"/>
      <c r="AK178" s="1383"/>
    </row>
    <row s="7787" customFormat="1" customHeight="1" ht="17.25">
      <c r="A179" s="1961"/>
      <c r="C179" s="1966"/>
      <c r="D179" s="2640"/>
      <c r="E179" s="2667"/>
      <c r="F179" s="2283"/>
      <c r="G179" s="2669"/>
      <c r="H179" s="2640"/>
      <c r="I179" s="2640"/>
      <c r="J179" s="2670"/>
      <c r="K179" s="2249"/>
      <c r="L179" s="441"/>
      <c r="M179" s="442"/>
      <c r="N179" s="442" t="s">
        <v>528</v>
      </c>
      <c r="O179" s="442"/>
      <c r="P179" s="442"/>
      <c r="Q179" s="442"/>
      <c r="R179" s="442"/>
      <c r="S179" s="1967"/>
      <c r="T179" s="1967"/>
      <c r="U179" s="1967"/>
      <c r="V179" s="1967"/>
      <c r="W179" s="443"/>
      <c r="Y179" s="1383"/>
      <c r="Z179" s="1383"/>
      <c r="AA179" s="1383"/>
      <c r="AB179" s="1383"/>
      <c r="AC179" s="1383"/>
      <c r="AD179" s="1383"/>
      <c r="AE179" s="1383"/>
      <c r="AF179" s="1383"/>
      <c r="AG179" s="1383"/>
      <c r="AH179" s="1383"/>
      <c r="AI179" s="1383"/>
      <c r="AJ179" s="1383"/>
      <c r="AK179" s="1383"/>
    </row>
    <row s="7787" customFormat="1" customHeight="1" ht="17.25">
      <c r="A180" s="1961"/>
      <c r="C180" s="1966"/>
      <c r="D180" s="2640"/>
      <c r="E180" s="2667"/>
      <c r="F180" s="2284"/>
      <c r="G180" s="2669"/>
      <c r="H180" s="441"/>
      <c r="I180" s="442"/>
      <c r="J180" s="442" t="s">
        <v>560</v>
      </c>
      <c r="K180" s="442"/>
      <c r="L180" s="442"/>
      <c r="M180" s="442"/>
      <c r="N180" s="442"/>
      <c r="O180" s="442"/>
      <c r="P180" s="442"/>
      <c r="Q180" s="442"/>
      <c r="R180" s="442"/>
      <c r="S180" s="1967"/>
      <c r="T180" s="1967"/>
      <c r="U180" s="1967"/>
      <c r="V180" s="1967"/>
      <c r="W180" s="443"/>
      <c r="Y180" s="1383"/>
      <c r="Z180" s="1383"/>
      <c r="AA180" s="1383"/>
      <c r="AB180" s="1383"/>
      <c r="AC180" s="1383"/>
      <c r="AD180" s="1383"/>
      <c r="AE180" s="1383"/>
      <c r="AF180" s="1383"/>
      <c r="AG180" s="1383"/>
      <c r="AH180" s="1383"/>
      <c r="AI180" s="1383"/>
      <c r="AJ180" s="1383"/>
      <c r="AK180" s="1383"/>
    </row>
    <row customHeight="1" ht="17.25">
      <c r="A181" s="1971"/>
    </row>
    <row s="7787" customFormat="1" customHeight="1" ht="17.25">
      <c r="A182" s="1961"/>
      <c r="C182" s="1963"/>
      <c r="D182" s="1953"/>
      <c r="E182" s="1968"/>
      <c r="F182" s="1907"/>
      <c r="G182" s="1969"/>
      <c r="H182" s="2666"/>
      <c r="I182" s="2666">
        <v>1</v>
      </c>
      <c r="J182" s="2638"/>
      <c r="K182" s="2322" t="s">
        <v>62</v>
      </c>
      <c r="L182" s="2245"/>
      <c r="M182" s="2245" t="s">
        <v>210</v>
      </c>
      <c r="N182" s="2641" t="str">
        <f>IF(Z182="","",INDEX(TERRITORY_MR_LIST,MATCH(Z182,TERRITORY_LIST_ID,0)))</f>
        <v/>
      </c>
      <c r="O182" s="2322" t="s">
        <v>62</v>
      </c>
      <c r="P182" s="2245"/>
      <c r="Q182" s="2245" t="s">
        <v>210</v>
      </c>
      <c r="R182" s="2639" t="s">
        <v>22</v>
      </c>
      <c r="S182" s="2543" t="s">
        <v>19</v>
      </c>
      <c r="T182" s="1925"/>
      <c r="U182" s="1925" t="s">
        <v>210</v>
      </c>
      <c r="V182" s="1558"/>
      <c r="W182" s="2638"/>
      <c r="Y182" s="1391"/>
      <c r="Z182" s="1391"/>
      <c r="AA182" s="1391"/>
      <c r="AB182" s="1391"/>
      <c r="AC182" s="1391"/>
      <c r="AD182" s="1391"/>
      <c r="AE182" s="1391"/>
      <c r="AF182" s="1391"/>
      <c r="AG182" s="1391"/>
      <c r="AH182" s="1391"/>
      <c r="AI182" s="1391"/>
      <c r="AJ182" s="1391"/>
      <c r="AK182" s="1391"/>
      <c r="AL182" s="1965"/>
      <c r="AM182" s="1965"/>
      <c r="AN182" s="1391"/>
      <c r="AO182" s="1391"/>
      <c r="AP182" s="1391"/>
      <c r="AQ182" s="1391"/>
    </row>
    <row s="7787" customFormat="1" customHeight="1" ht="17.25">
      <c r="A183" s="1961"/>
      <c r="C183" s="1966"/>
      <c r="D183" s="1953"/>
      <c r="E183" s="1968"/>
      <c r="F183" s="1907"/>
      <c r="G183" s="1969"/>
      <c r="H183" s="2666"/>
      <c r="I183" s="2666"/>
      <c r="J183" s="2638"/>
      <c r="K183" s="2323"/>
      <c r="L183" s="2245"/>
      <c r="M183" s="2245"/>
      <c r="N183" s="2641"/>
      <c r="O183" s="2323"/>
      <c r="P183" s="2245"/>
      <c r="Q183" s="2245"/>
      <c r="R183" s="2639"/>
      <c r="S183" s="2543"/>
      <c r="T183" s="1559"/>
      <c r="U183" s="1560"/>
      <c r="V183" s="1560"/>
      <c r="W183" s="2638"/>
      <c r="Y183" s="1383"/>
      <c r="Z183" s="1383"/>
      <c r="AA183" s="1383"/>
      <c r="AB183" s="1383"/>
      <c r="AC183" s="1383"/>
      <c r="AD183" s="1383"/>
      <c r="AE183" s="1383"/>
      <c r="AF183" s="1383"/>
      <c r="AG183" s="1383"/>
      <c r="AH183" s="1383"/>
      <c r="AI183" s="1383"/>
      <c r="AJ183" s="1383"/>
      <c r="AK183" s="1383"/>
    </row>
    <row s="7787" customFormat="1" customHeight="1" ht="17.25">
      <c r="A184" s="1961"/>
      <c r="C184" s="1966"/>
      <c r="D184" s="1953"/>
      <c r="E184" s="1968"/>
      <c r="F184" s="1907"/>
      <c r="G184" s="1969"/>
      <c r="H184" s="2640"/>
      <c r="I184" s="2640"/>
      <c r="J184" s="2670"/>
      <c r="K184" s="2323"/>
      <c r="L184" s="2640"/>
      <c r="M184" s="2640"/>
      <c r="N184" s="2642"/>
      <c r="O184" s="2249"/>
      <c r="P184" s="441"/>
      <c r="Q184" s="442"/>
      <c r="R184" s="442" t="s">
        <v>527</v>
      </c>
      <c r="S184" s="1967"/>
      <c r="T184" s="1967"/>
      <c r="U184" s="1967"/>
      <c r="V184" s="1967"/>
      <c r="W184" s="1557"/>
      <c r="Y184" s="1383"/>
      <c r="Z184" s="1383"/>
      <c r="AA184" s="1383"/>
      <c r="AB184" s="1383"/>
      <c r="AC184" s="1383"/>
      <c r="AD184" s="1383"/>
      <c r="AE184" s="1383"/>
      <c r="AF184" s="1383"/>
      <c r="AG184" s="1383"/>
      <c r="AH184" s="1383"/>
      <c r="AI184" s="1383"/>
      <c r="AJ184" s="1383"/>
      <c r="AK184" s="1383"/>
    </row>
    <row s="7787" customFormat="1" customHeight="1" ht="17.25">
      <c r="A185" s="1961"/>
      <c r="C185" s="1966"/>
      <c r="D185" s="1953"/>
      <c r="E185" s="1968"/>
      <c r="F185" s="1907"/>
      <c r="G185" s="1969"/>
      <c r="H185" s="2640"/>
      <c r="I185" s="2640"/>
      <c r="J185" s="2670"/>
      <c r="K185" s="2249"/>
      <c r="L185" s="441"/>
      <c r="M185" s="442"/>
      <c r="N185" s="442" t="s">
        <v>528</v>
      </c>
      <c r="O185" s="442"/>
      <c r="P185" s="442"/>
      <c r="Q185" s="442"/>
      <c r="R185" s="442"/>
      <c r="S185" s="1967"/>
      <c r="T185" s="1967"/>
      <c r="U185" s="1967"/>
      <c r="V185" s="1967"/>
      <c r="W185" s="443"/>
      <c r="Y185" s="1383"/>
      <c r="Z185" s="1383"/>
      <c r="AA185" s="1383"/>
      <c r="AB185" s="1383"/>
      <c r="AC185" s="1383"/>
      <c r="AD185" s="1383"/>
      <c r="AE185" s="1383"/>
      <c r="AF185" s="1383"/>
      <c r="AG185" s="1383"/>
      <c r="AH185" s="1383"/>
      <c r="AI185" s="1383"/>
      <c r="AJ185" s="1383"/>
      <c r="AK185" s="1383"/>
    </row>
    <row customHeight="1" ht="17.25">
      <c r="A186" s="1971"/>
    </row>
    <row s="7787" customFormat="1" customHeight="1" ht="17.25">
      <c r="A187" s="1961"/>
      <c r="C187" s="1963"/>
      <c r="D187" s="1953"/>
      <c r="E187" s="1968"/>
      <c r="F187" s="1907"/>
      <c r="G187" s="1969"/>
      <c r="H187" s="1953"/>
      <c r="I187" s="1953"/>
      <c r="J187" s="1972"/>
      <c r="K187" s="1969"/>
      <c r="L187" s="2245"/>
      <c r="M187" s="2245" t="s">
        <v>210</v>
      </c>
      <c r="N187" s="2641" t="str">
        <f>IF(Z187="","",INDEX(TERRITORY_MR_LIST,MATCH(Z187,TERRITORY_LIST_ID,0)))</f>
        <v/>
      </c>
      <c r="O187" s="2322" t="s">
        <v>62</v>
      </c>
      <c r="P187" s="2245"/>
      <c r="Q187" s="2245" t="s">
        <v>210</v>
      </c>
      <c r="R187" s="2639" t="s">
        <v>22</v>
      </c>
      <c r="S187" s="2543" t="s">
        <v>19</v>
      </c>
      <c r="T187" s="1925"/>
      <c r="U187" s="1925" t="s">
        <v>210</v>
      </c>
      <c r="V187" s="1558"/>
      <c r="W187" s="2638"/>
      <c r="Y187" s="1391"/>
      <c r="Z187" s="1391"/>
      <c r="AA187" s="1391"/>
      <c r="AB187" s="1391"/>
      <c r="AC187" s="1391"/>
      <c r="AD187" s="1391"/>
      <c r="AE187" s="1391"/>
      <c r="AF187" s="1391"/>
      <c r="AG187" s="1391"/>
      <c r="AH187" s="1391"/>
      <c r="AI187" s="1391"/>
      <c r="AJ187" s="1391"/>
      <c r="AK187" s="1391"/>
      <c r="AL187" s="1965"/>
      <c r="AM187" s="1965"/>
      <c r="AN187" s="1391"/>
      <c r="AO187" s="1391"/>
      <c r="AP187" s="1391"/>
      <c r="AQ187" s="1391"/>
    </row>
    <row s="7787" customFormat="1" customHeight="1" ht="17.25">
      <c r="A188" s="1961"/>
      <c r="C188" s="1966"/>
      <c r="D188" s="1953"/>
      <c r="E188" s="1968"/>
      <c r="F188" s="1907"/>
      <c r="G188" s="1969"/>
      <c r="H188" s="1953"/>
      <c r="I188" s="1953"/>
      <c r="J188" s="1972"/>
      <c r="K188" s="1969"/>
      <c r="L188" s="2245"/>
      <c r="M188" s="2245"/>
      <c r="N188" s="2641"/>
      <c r="O188" s="2323"/>
      <c r="P188" s="2245"/>
      <c r="Q188" s="2245"/>
      <c r="R188" s="2639"/>
      <c r="S188" s="2543"/>
      <c r="T188" s="1559"/>
      <c r="U188" s="1560"/>
      <c r="V188" s="1560"/>
      <c r="W188" s="2638"/>
      <c r="Y188" s="1383"/>
      <c r="Z188" s="1383"/>
      <c r="AA188" s="1383"/>
      <c r="AB188" s="1383"/>
      <c r="AC188" s="1383"/>
      <c r="AD188" s="1383"/>
      <c r="AE188" s="1383"/>
      <c r="AF188" s="1383"/>
      <c r="AG188" s="1383"/>
      <c r="AH188" s="1383"/>
      <c r="AI188" s="1383"/>
      <c r="AJ188" s="1383"/>
      <c r="AK188" s="1383"/>
    </row>
    <row s="7787" customFormat="1" customHeight="1" ht="17.25">
      <c r="A189" s="1961"/>
      <c r="C189" s="1966"/>
      <c r="D189" s="1953"/>
      <c r="E189" s="1968"/>
      <c r="F189" s="1907"/>
      <c r="G189" s="1969"/>
      <c r="H189" s="1953"/>
      <c r="I189" s="1953"/>
      <c r="J189" s="1972"/>
      <c r="K189" s="1969"/>
      <c r="L189" s="2640"/>
      <c r="M189" s="2640"/>
      <c r="N189" s="2642"/>
      <c r="O189" s="2249"/>
      <c r="P189" s="441"/>
      <c r="Q189" s="442"/>
      <c r="R189" s="442" t="s">
        <v>527</v>
      </c>
      <c r="S189" s="1967"/>
      <c r="T189" s="1967"/>
      <c r="U189" s="1967"/>
      <c r="V189" s="1967"/>
      <c r="W189" s="1557"/>
      <c r="Y189" s="1383"/>
      <c r="Z189" s="1383"/>
      <c r="AA189" s="1383"/>
      <c r="AB189" s="1383"/>
      <c r="AC189" s="1383"/>
      <c r="AD189" s="1383"/>
      <c r="AE189" s="1383"/>
      <c r="AF189" s="1383"/>
      <c r="AG189" s="1383"/>
      <c r="AH189" s="1383"/>
      <c r="AI189" s="1383"/>
      <c r="AJ189" s="1383"/>
      <c r="AK189" s="1383"/>
    </row>
    <row customHeight="1" ht="17.25">
      <c r="A190" s="1971"/>
    </row>
    <row s="7787" customFormat="1" customHeight="1" ht="17.25">
      <c r="A191" s="1961"/>
      <c r="C191" s="1963"/>
      <c r="D191" s="1953"/>
      <c r="E191" s="1968"/>
      <c r="F191" s="1907"/>
      <c r="G191" s="1969"/>
      <c r="H191" s="1953"/>
      <c r="I191" s="1953"/>
      <c r="J191" s="1972"/>
      <c r="K191" s="1969"/>
      <c r="L191" s="1953"/>
      <c r="M191" s="1953"/>
      <c r="N191" s="2169"/>
      <c r="O191" s="1910"/>
      <c r="P191" s="2245"/>
      <c r="Q191" s="2245" t="s">
        <v>210</v>
      </c>
      <c r="R191" s="2639" t="s">
        <v>22</v>
      </c>
      <c r="S191" s="2543" t="s">
        <v>19</v>
      </c>
      <c r="T191" s="1925"/>
      <c r="U191" s="1925" t="s">
        <v>210</v>
      </c>
      <c r="V191" s="1558"/>
      <c r="W191" s="2638"/>
      <c r="Y191" s="1391"/>
      <c r="Z191" s="1391"/>
      <c r="AA191" s="1391"/>
      <c r="AB191" s="1391"/>
      <c r="AC191" s="1391"/>
      <c r="AD191" s="1391"/>
      <c r="AE191" s="1391"/>
      <c r="AF191" s="1391"/>
      <c r="AG191" s="1391"/>
      <c r="AH191" s="1391"/>
      <c r="AI191" s="1391"/>
      <c r="AJ191" s="1391"/>
      <c r="AK191" s="1391"/>
      <c r="AL191" s="1965"/>
      <c r="AM191" s="1965"/>
      <c r="AN191" s="1391"/>
      <c r="AO191" s="1391"/>
      <c r="AP191" s="1391"/>
      <c r="AQ191" s="1391"/>
    </row>
    <row s="7787" customFormat="1" customHeight="1" ht="17.25">
      <c r="A192" s="1961"/>
      <c r="C192" s="1966"/>
      <c r="D192" s="1953"/>
      <c r="E192" s="1968"/>
      <c r="F192" s="1907"/>
      <c r="G192" s="1969"/>
      <c r="H192" s="1953"/>
      <c r="I192" s="1953"/>
      <c r="J192" s="1972"/>
      <c r="K192" s="1969"/>
      <c r="L192" s="1953"/>
      <c r="M192" s="1953"/>
      <c r="N192" s="2169"/>
      <c r="O192" s="1910"/>
      <c r="P192" s="2245"/>
      <c r="Q192" s="2245"/>
      <c r="R192" s="2639"/>
      <c r="S192" s="2543"/>
      <c r="T192" s="1559"/>
      <c r="U192" s="1560"/>
      <c r="V192" s="1560"/>
      <c r="W192" s="2638"/>
      <c r="Y192" s="1383"/>
      <c r="Z192" s="1383"/>
      <c r="AA192" s="1383"/>
      <c r="AB192" s="1383"/>
      <c r="AC192" s="1383"/>
      <c r="AD192" s="1383"/>
      <c r="AE192" s="1383"/>
      <c r="AF192" s="1383"/>
      <c r="AG192" s="1383"/>
      <c r="AH192" s="1383"/>
      <c r="AI192" s="1383"/>
      <c r="AJ192" s="1383"/>
      <c r="AK192" s="1383"/>
    </row>
    <row customHeight="1" ht="17.25">
      <c r="A193" s="1971"/>
    </row>
    <row customHeight="1" ht="16.5">
      <c r="A194" s="1961"/>
      <c r="B194" s="1962"/>
      <c r="C194" s="1966"/>
      <c r="D194" s="2690"/>
      <c r="E194" s="2316"/>
      <c r="F194" s="2316"/>
      <c r="G194" s="2264"/>
      <c r="H194" s="2691"/>
      <c r="I194" s="2704"/>
      <c r="J194" s="2289"/>
      <c r="K194" s="2274"/>
      <c r="L194" s="2274"/>
      <c r="M194" s="2274"/>
      <c r="N194" s="2702"/>
      <c r="O194" s="2274"/>
      <c r="P194" s="2274"/>
      <c r="Q194" s="2274"/>
      <c r="R194" s="2700"/>
      <c r="S194" s="2274"/>
      <c r="T194" s="1906"/>
      <c r="U194" s="1906"/>
      <c r="V194" s="1973"/>
      <c r="W194" s="1420"/>
    </row>
    <row customHeight="1" ht="16.5">
      <c r="A195" s="1961"/>
      <c r="B195" s="1962"/>
      <c r="C195" s="1966"/>
      <c r="D195" s="2690"/>
      <c r="E195" s="2316"/>
      <c r="F195" s="2316"/>
      <c r="G195" s="2264"/>
      <c r="H195" s="2692"/>
      <c r="I195" s="2705"/>
      <c r="J195" s="2290"/>
      <c r="K195" s="2275"/>
      <c r="L195" s="2275"/>
      <c r="M195" s="2275"/>
      <c r="N195" s="2703"/>
      <c r="O195" s="2275"/>
      <c r="P195" s="2275"/>
      <c r="Q195" s="2275"/>
      <c r="R195" s="2701"/>
      <c r="S195" s="2275"/>
      <c r="T195" s="1421"/>
      <c r="U195" s="1421"/>
      <c r="V195" s="1421"/>
      <c r="W195" s="1422"/>
    </row>
    <row customHeight="1" ht="17.25">
      <c r="A196" s="1961"/>
      <c r="B196" s="1962"/>
      <c r="C196" s="1966"/>
      <c r="D196" s="2690"/>
      <c r="E196" s="2316"/>
      <c r="F196" s="2316"/>
      <c r="G196" s="2264"/>
      <c r="H196" s="2692"/>
      <c r="I196" s="2705"/>
      <c r="J196" s="2693"/>
      <c r="K196" s="2275"/>
      <c r="L196" s="2275"/>
      <c r="M196" s="2275"/>
      <c r="N196" s="2701"/>
      <c r="O196" s="2275"/>
      <c r="P196" s="1909"/>
      <c r="Q196" s="1421"/>
      <c r="R196" s="1421"/>
      <c r="S196" s="1974"/>
      <c r="T196" s="1974"/>
      <c r="U196" s="1974"/>
      <c r="V196" s="1974"/>
      <c r="W196" s="1422"/>
    </row>
    <row customHeight="1" ht="17.25">
      <c r="A197" s="1961"/>
      <c r="B197" s="1962"/>
      <c r="C197" s="1966"/>
      <c r="D197" s="2690"/>
      <c r="E197" s="2316"/>
      <c r="F197" s="2316"/>
      <c r="G197" s="2264"/>
      <c r="H197" s="2692"/>
      <c r="I197" s="2705"/>
      <c r="J197" s="2693"/>
      <c r="K197" s="2275"/>
      <c r="L197" s="1421"/>
      <c r="M197" s="1421"/>
      <c r="N197" s="1421"/>
      <c r="O197" s="1421"/>
      <c r="P197" s="1421"/>
      <c r="Q197" s="1421"/>
      <c r="R197" s="1421"/>
      <c r="S197" s="1974"/>
      <c r="T197" s="1974"/>
      <c r="U197" s="1974"/>
      <c r="V197" s="1974"/>
      <c r="W197" s="1422"/>
    </row>
    <row customHeight="1" ht="17.25">
      <c r="A198" s="1961"/>
      <c r="B198" s="1962"/>
      <c r="C198" s="1966"/>
      <c r="D198" s="2690"/>
      <c r="E198" s="2316"/>
      <c r="F198" s="2316"/>
      <c r="G198" s="2264"/>
      <c r="H198" s="1423"/>
      <c r="I198" s="1424"/>
      <c r="J198" s="1424"/>
      <c r="K198" s="1424"/>
      <c r="L198" s="1424"/>
      <c r="M198" s="1424"/>
      <c r="N198" s="1424"/>
      <c r="O198" s="1424"/>
      <c r="P198" s="1424"/>
      <c r="Q198" s="1424"/>
      <c r="R198" s="1424"/>
      <c r="S198" s="1975"/>
      <c r="T198" s="1975"/>
      <c r="U198" s="1975"/>
      <c r="V198" s="1975"/>
      <c r="W198" s="1426"/>
    </row>
    <row r="200" s="7515" customFormat="1" customHeight="1" ht="17.25">
      <c r="A200" s="1938" t="s">
        <v>2345</v>
      </c>
    </row>
    <row customHeight="1" ht="17.25">
      <c r="G201" s="1960"/>
      <c r="H201" s="1960"/>
      <c r="I201" s="1960"/>
      <c r="M201" s="1956"/>
    </row>
    <row s="7954" customFormat="1" customHeight="1" ht="15">
      <c r="D202" s="2660"/>
      <c r="E202" s="2336"/>
      <c r="F202" s="2336"/>
      <c r="G202" s="2322"/>
      <c r="H202" s="1688"/>
      <c r="I202" s="2664">
        <v>1</v>
      </c>
      <c r="J202" s="2638"/>
      <c r="K202" s="1703"/>
      <c r="L202" s="2322" t="s">
        <v>62</v>
      </c>
      <c r="M202" s="2322" t="s">
        <v>62</v>
      </c>
      <c r="N202" s="1688"/>
      <c r="O202" s="2245" t="s">
        <v>210</v>
      </c>
      <c r="P202" s="2654"/>
      <c r="Q202" s="1704"/>
      <c r="R202" s="2322" t="s">
        <v>62</v>
      </c>
      <c r="S202" s="2322" t="s">
        <v>62</v>
      </c>
      <c r="T202" s="1976"/>
      <c r="U202" s="2245" t="s">
        <v>210</v>
      </c>
      <c r="V202" s="2661" t="str">
        <f>IF(AK202="","",INDEX(TERRITORY_MR_LIST,MATCH(AK202,TERRITORY_LIST_ID,0)))</f>
        <v/>
      </c>
      <c r="W202" s="1705"/>
      <c r="X202" s="2322" t="s">
        <v>62</v>
      </c>
      <c r="Y202" s="2322" t="s">
        <v>19</v>
      </c>
      <c r="Z202" s="1688"/>
      <c r="AA202" s="2245" t="s">
        <v>210</v>
      </c>
      <c r="AB202" s="2663"/>
      <c r="AC202" s="1706"/>
      <c r="AD202" s="2322" t="s">
        <v>62</v>
      </c>
      <c r="AE202" s="2322" t="s">
        <v>19</v>
      </c>
      <c r="AF202" s="1686"/>
      <c r="AG202" s="1934" t="s">
        <v>210</v>
      </c>
      <c r="AH202" s="1696"/>
      <c r="AI202" s="1924"/>
    </row>
    <row s="7954" customFormat="1" customHeight="1" ht="15">
      <c r="D203" s="2660"/>
      <c r="E203" s="2336"/>
      <c r="F203" s="2336"/>
      <c r="G203" s="2323"/>
      <c r="H203" s="1688"/>
      <c r="I203" s="2664"/>
      <c r="J203" s="2638"/>
      <c r="K203" s="1687"/>
      <c r="L203" s="2323"/>
      <c r="M203" s="2323"/>
      <c r="N203" s="1688"/>
      <c r="O203" s="2245"/>
      <c r="P203" s="2654"/>
      <c r="Q203" s="1684"/>
      <c r="R203" s="2323"/>
      <c r="S203" s="2323"/>
      <c r="T203" s="1976"/>
      <c r="U203" s="2245"/>
      <c r="V203" s="2662"/>
      <c r="W203" s="1685"/>
      <c r="X203" s="2323"/>
      <c r="Y203" s="2323"/>
      <c r="Z203" s="1688"/>
      <c r="AA203" s="2245"/>
      <c r="AB203" s="2632"/>
      <c r="AC203" s="1689"/>
      <c r="AD203" s="2249"/>
      <c r="AE203" s="2249"/>
      <c r="AF203" s="1690"/>
      <c r="AG203" s="1691"/>
      <c r="AH203" s="2655" t="s">
        <v>2346</v>
      </c>
      <c r="AI203" s="2656"/>
    </row>
    <row s="7954" customFormat="1" customHeight="1" ht="15">
      <c r="D204" s="2660"/>
      <c r="E204" s="2336"/>
      <c r="F204" s="2336"/>
      <c r="G204" s="2323"/>
      <c r="H204" s="1688"/>
      <c r="I204" s="2664"/>
      <c r="J204" s="2638"/>
      <c r="K204" s="1687"/>
      <c r="L204" s="2323"/>
      <c r="M204" s="2323"/>
      <c r="N204" s="1688"/>
      <c r="O204" s="2245"/>
      <c r="P204" s="2654"/>
      <c r="Q204" s="1684"/>
      <c r="R204" s="2323"/>
      <c r="S204" s="2323"/>
      <c r="T204" s="1976"/>
      <c r="U204" s="2245"/>
      <c r="V204" s="2662"/>
      <c r="W204" s="1685"/>
      <c r="X204" s="2323"/>
      <c r="Y204" s="2323"/>
      <c r="Z204" s="1727"/>
      <c r="AA204" s="1693"/>
      <c r="AB204" s="2657" t="s">
        <v>2347</v>
      </c>
      <c r="AC204" s="2657"/>
      <c r="AD204" s="2657"/>
      <c r="AE204" s="2657"/>
      <c r="AF204" s="2657"/>
      <c r="AG204" s="2657"/>
      <c r="AH204" s="2657"/>
      <c r="AI204" s="2658"/>
    </row>
    <row s="7954" customFormat="1" customHeight="1" ht="15">
      <c r="D205" s="2660"/>
      <c r="E205" s="2336"/>
      <c r="F205" s="2336"/>
      <c r="G205" s="2323"/>
      <c r="H205" s="1688"/>
      <c r="I205" s="2664"/>
      <c r="J205" s="2638"/>
      <c r="K205" s="1687"/>
      <c r="L205" s="2323"/>
      <c r="M205" s="2323"/>
      <c r="N205" s="1688"/>
      <c r="O205" s="2245"/>
      <c r="P205" s="2659"/>
      <c r="Q205" s="1684"/>
      <c r="R205" s="2323"/>
      <c r="S205" s="2323"/>
      <c r="T205" s="1977"/>
      <c r="U205" s="1728"/>
      <c r="V205" s="2655" t="s">
        <v>204</v>
      </c>
      <c r="W205" s="2655"/>
      <c r="X205" s="2655"/>
      <c r="Y205" s="2655"/>
      <c r="Z205" s="2655"/>
      <c r="AA205" s="2655"/>
      <c r="AB205" s="2655"/>
      <c r="AC205" s="2655"/>
      <c r="AD205" s="2655"/>
      <c r="AE205" s="2655"/>
      <c r="AF205" s="2655"/>
      <c r="AG205" s="2655"/>
      <c r="AH205" s="2655"/>
      <c r="AI205" s="2656"/>
    </row>
    <row s="7954" customFormat="1" customHeight="1" ht="11.25">
      <c r="D206" s="2660"/>
      <c r="E206" s="2336"/>
      <c r="F206" s="2336"/>
      <c r="G206" s="2323"/>
      <c r="H206" s="1692"/>
      <c r="I206" s="2664"/>
      <c r="J206" s="2665"/>
      <c r="K206" s="1687"/>
      <c r="L206" s="2323"/>
      <c r="M206" s="2323"/>
      <c r="N206" s="1692"/>
      <c r="O206" s="1693"/>
      <c r="P206" s="2655" t="s">
        <v>2348</v>
      </c>
      <c r="Q206" s="2655"/>
      <c r="R206" s="2655"/>
      <c r="S206" s="2655"/>
      <c r="T206" s="2655"/>
      <c r="U206" s="2655"/>
      <c r="V206" s="2655"/>
      <c r="W206" s="2655"/>
      <c r="X206" s="2655"/>
      <c r="Y206" s="2655"/>
      <c r="Z206" s="2655"/>
      <c r="AA206" s="2655"/>
      <c r="AB206" s="2655"/>
      <c r="AC206" s="2655"/>
      <c r="AD206" s="2655"/>
      <c r="AE206" s="2655"/>
      <c r="AF206" s="2655"/>
      <c r="AG206" s="2655"/>
      <c r="AH206" s="2655"/>
      <c r="AI206" s="2656"/>
    </row>
    <row s="5807" customFormat="1" customHeight="1" ht="11.25">
      <c r="D207" s="2660"/>
      <c r="E207" s="2336"/>
      <c r="F207" s="2336"/>
      <c r="G207" s="2249"/>
      <c r="H207" s="1694"/>
      <c r="I207" s="1695"/>
      <c r="J207" s="2655" t="s">
        <v>560</v>
      </c>
      <c r="K207" s="2655"/>
      <c r="L207" s="2655"/>
      <c r="M207" s="2655"/>
      <c r="N207" s="2655"/>
      <c r="O207" s="2655"/>
      <c r="P207" s="2655"/>
      <c r="Q207" s="2655"/>
      <c r="R207" s="2655"/>
      <c r="S207" s="2655"/>
      <c r="T207" s="2655"/>
      <c r="U207" s="2655"/>
      <c r="V207" s="2655"/>
      <c r="W207" s="2655"/>
      <c r="X207" s="2655"/>
      <c r="Y207" s="2655"/>
      <c r="Z207" s="2655"/>
      <c r="AA207" s="2655"/>
      <c r="AB207" s="2655"/>
      <c r="AC207" s="2655"/>
      <c r="AD207" s="2655"/>
      <c r="AE207" s="2655"/>
      <c r="AF207" s="2655"/>
      <c r="AG207" s="2655"/>
      <c r="AH207" s="2655"/>
      <c r="AI207" s="2656"/>
      <c r="BK207" s="1698"/>
    </row>
    <row customHeight="1" ht="17.25">
      <c r="G208" s="1960"/>
      <c r="I208" s="1960"/>
      <c r="J208" s="1960"/>
      <c r="N208" s="1956"/>
    </row>
    <row s="7954" customFormat="1" customHeight="1" ht="15">
      <c r="D209" s="2660"/>
      <c r="E209" s="2336"/>
      <c r="F209" s="2336"/>
      <c r="G209" s="2316"/>
      <c r="H209" s="1723"/>
      <c r="I209" s="2318"/>
      <c r="J209" s="2289"/>
      <c r="K209" s="1908"/>
      <c r="L209" s="2274"/>
      <c r="M209" s="2274"/>
      <c r="N209" s="1708"/>
      <c r="O209" s="2274"/>
      <c r="P209" s="2289"/>
      <c r="Q209" s="1912"/>
      <c r="R209" s="2274"/>
      <c r="S209" s="2274"/>
      <c r="T209" s="1978"/>
      <c r="U209" s="2274"/>
      <c r="V209" s="2289"/>
      <c r="W209" s="1711"/>
      <c r="X209" s="2274"/>
      <c r="Y209" s="2274"/>
      <c r="Z209" s="1708"/>
      <c r="AA209" s="2274"/>
      <c r="AB209" s="2289"/>
      <c r="AC209" s="1712"/>
      <c r="AD209" s="2274"/>
      <c r="AE209" s="2274"/>
      <c r="AF209" s="1906"/>
      <c r="AG209" s="1906"/>
      <c r="AH209" s="1713"/>
      <c r="AI209" s="1420"/>
    </row>
    <row s="7954" customFormat="1" customHeight="1" ht="15">
      <c r="D210" s="2660"/>
      <c r="E210" s="2336"/>
      <c r="F210" s="2336"/>
      <c r="G210" s="2316"/>
      <c r="H210" s="1724"/>
      <c r="I210" s="2319"/>
      <c r="J210" s="2290"/>
      <c r="K210" s="1734"/>
      <c r="L210" s="2275"/>
      <c r="M210" s="2275"/>
      <c r="N210" s="1714"/>
      <c r="O210" s="2275"/>
      <c r="P210" s="2290"/>
      <c r="Q210" s="1913"/>
      <c r="R210" s="2275"/>
      <c r="S210" s="2275"/>
      <c r="T210" s="1979"/>
      <c r="U210" s="2275"/>
      <c r="V210" s="2290"/>
      <c r="W210" s="1717"/>
      <c r="X210" s="2275"/>
      <c r="Y210" s="2275"/>
      <c r="Z210" s="1714"/>
      <c r="AA210" s="2275"/>
      <c r="AB210" s="2290"/>
      <c r="AC210" s="1718"/>
      <c r="AD210" s="2275"/>
      <c r="AE210" s="2275"/>
      <c r="AF210" s="1911"/>
      <c r="AG210" s="1911"/>
      <c r="AH210" s="2314"/>
      <c r="AI210" s="2315"/>
    </row>
    <row s="7954" customFormat="1" customHeight="1" ht="15">
      <c r="D211" s="2660"/>
      <c r="E211" s="2336"/>
      <c r="F211" s="2336"/>
      <c r="G211" s="2316"/>
      <c r="H211" s="1724"/>
      <c r="I211" s="2319"/>
      <c r="J211" s="2290"/>
      <c r="K211" s="1734"/>
      <c r="L211" s="2275"/>
      <c r="M211" s="2275"/>
      <c r="N211" s="1714"/>
      <c r="O211" s="2275"/>
      <c r="P211" s="2290"/>
      <c r="Q211" s="1913"/>
      <c r="R211" s="2275"/>
      <c r="S211" s="2275"/>
      <c r="T211" s="1979"/>
      <c r="U211" s="2275"/>
      <c r="V211" s="2290"/>
      <c r="W211" s="1717"/>
      <c r="X211" s="2275"/>
      <c r="Y211" s="2275"/>
      <c r="Z211" s="1909"/>
      <c r="AA211" s="1911"/>
      <c r="AB211" s="2314"/>
      <c r="AC211" s="2314"/>
      <c r="AD211" s="2314"/>
      <c r="AE211" s="2314"/>
      <c r="AF211" s="2314"/>
      <c r="AG211" s="2314"/>
      <c r="AH211" s="2314"/>
      <c r="AI211" s="2315"/>
    </row>
    <row s="7954" customFormat="1" customHeight="1" ht="15">
      <c r="D212" s="2660"/>
      <c r="E212" s="2336"/>
      <c r="F212" s="2336"/>
      <c r="G212" s="2316"/>
      <c r="H212" s="1724"/>
      <c r="I212" s="2319"/>
      <c r="J212" s="2290"/>
      <c r="K212" s="1734"/>
      <c r="L212" s="2275"/>
      <c r="M212" s="2275"/>
      <c r="N212" s="1714"/>
      <c r="O212" s="2275"/>
      <c r="P212" s="2290"/>
      <c r="Q212" s="1913"/>
      <c r="R212" s="2275"/>
      <c r="S212" s="2275"/>
      <c r="T212" s="1980"/>
      <c r="U212" s="1721"/>
      <c r="V212" s="2314"/>
      <c r="W212" s="2314"/>
      <c r="X212" s="2314"/>
      <c r="Y212" s="2314"/>
      <c r="Z212" s="2314"/>
      <c r="AA212" s="2314"/>
      <c r="AB212" s="2314"/>
      <c r="AC212" s="2314"/>
      <c r="AD212" s="2314"/>
      <c r="AE212" s="2314"/>
      <c r="AF212" s="2314"/>
      <c r="AG212" s="2314"/>
      <c r="AH212" s="2314"/>
      <c r="AI212" s="2315"/>
    </row>
    <row s="7954" customFormat="1" customHeight="1" ht="11.25">
      <c r="D213" s="2660"/>
      <c r="E213" s="2336"/>
      <c r="F213" s="2336"/>
      <c r="G213" s="2316"/>
      <c r="H213" s="1725"/>
      <c r="I213" s="2319"/>
      <c r="J213" s="2290"/>
      <c r="K213" s="1734"/>
      <c r="L213" s="2275"/>
      <c r="M213" s="2275"/>
      <c r="N213" s="1911"/>
      <c r="O213" s="1911"/>
      <c r="P213" s="2314"/>
      <c r="Q213" s="2314"/>
      <c r="R213" s="2314"/>
      <c r="S213" s="2314"/>
      <c r="T213" s="2314"/>
      <c r="U213" s="2314"/>
      <c r="V213" s="2314"/>
      <c r="W213" s="2314"/>
      <c r="X213" s="2314"/>
      <c r="Y213" s="2314"/>
      <c r="Z213" s="2314"/>
      <c r="AA213" s="2314"/>
      <c r="AB213" s="2314"/>
      <c r="AC213" s="2314"/>
      <c r="AD213" s="2314"/>
      <c r="AE213" s="2314"/>
      <c r="AF213" s="2314"/>
      <c r="AG213" s="2314"/>
      <c r="AH213" s="2314"/>
      <c r="AI213" s="2315"/>
    </row>
    <row s="5807" customFormat="1" customHeight="1" ht="11.25">
      <c r="D214" s="2660"/>
      <c r="E214" s="2336"/>
      <c r="F214" s="2336"/>
      <c r="G214" s="2321"/>
      <c r="H214" s="1722"/>
      <c r="I214" s="1726"/>
      <c r="J214" s="2324"/>
      <c r="K214" s="2324"/>
      <c r="L214" s="2324"/>
      <c r="M214" s="2324"/>
      <c r="N214" s="2324"/>
      <c r="O214" s="2324"/>
      <c r="P214" s="2324"/>
      <c r="Q214" s="2324"/>
      <c r="R214" s="2324"/>
      <c r="S214" s="2324"/>
      <c r="T214" s="2324"/>
      <c r="U214" s="2324"/>
      <c r="V214" s="2324"/>
      <c r="W214" s="2324"/>
      <c r="X214" s="2324"/>
      <c r="Y214" s="2324"/>
      <c r="Z214" s="2324"/>
      <c r="AA214" s="2324"/>
      <c r="AB214" s="2324"/>
      <c r="AC214" s="2324"/>
      <c r="AD214" s="2324"/>
      <c r="AE214" s="2324"/>
      <c r="AF214" s="2324"/>
      <c r="AG214" s="2324"/>
      <c r="AH214" s="2324"/>
      <c r="AI214" s="2325"/>
      <c r="BK214" s="1698"/>
    </row>
    <row customHeight="1" ht="17.25">
      <c r="A215" s="1971"/>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B56868-7528-7B98-9938-249E0969ADC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7836" width="43.140625"/>
    <col min="2" max="2" style="7836" width="43.140625" hidden="1"/>
    <col min="3" max="3" style="7836" width="43.140625"/>
    <col min="4" max="5" style="7836" width="36.421875" customWidth="1"/>
    <col min="6" max="8" style="7837" width="36.421875" customWidth="1"/>
  </cols>
  <sheetData>
    <row customHeight="1" ht="9">
      <c r="A1" s="970" t="s">
        <v>2349</v>
      </c>
      <c r="B1" s="970"/>
      <c r="C1" s="1106" t="s">
        <v>2350</v>
      </c>
      <c r="D1" s="1104" t="s">
        <v>982</v>
      </c>
      <c r="E1" s="1104" t="s">
        <v>1029</v>
      </c>
      <c r="F1" s="1104" t="s">
        <v>1082</v>
      </c>
      <c r="G1" s="1104" t="s">
        <v>1069</v>
      </c>
      <c r="H1" s="1104" t="s">
        <v>2029</v>
      </c>
    </row>
    <row customHeight="1" ht="9">
      <c r="A2" s="1107" t="s">
        <v>2351</v>
      </c>
      <c r="B2" s="1107"/>
      <c r="C2" s="1108" t="str">
        <f>INDEX(TEMPLATE_NUMBER_FORM_LIST,MATCH(TEMPLATE_SPHERE,TEMPLATE_SPHERE_LIST,0))</f>
        <v>16</v>
      </c>
      <c r="D2" s="1107" t="s">
        <v>169</v>
      </c>
      <c r="E2" s="1107" t="s">
        <v>139</v>
      </c>
      <c r="F2" s="1109" t="s">
        <v>139</v>
      </c>
      <c r="G2" s="1107" t="s">
        <v>139</v>
      </c>
      <c r="H2" s="1110"/>
    </row>
    <row customHeight="1" ht="63">
      <c r="A3" s="970"/>
      <c r="B3" s="970" t="s">
        <v>210</v>
      </c>
      <c r="C3" s="11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108" t="s">
        <v>2352</v>
      </c>
      <c r="E3" s="11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109"/>
      <c r="G3" s="1110"/>
      <c r="H3" s="970"/>
    </row>
    <row customHeight="1" ht="243">
      <c r="A4" s="970" t="s">
        <v>2353</v>
      </c>
      <c r="B4" s="970" t="s">
        <v>102</v>
      </c>
      <c r="C4" s="11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107" t="s">
        <v>2354</v>
      </c>
      <c r="E4" s="11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107"/>
      <c r="G4" s="1107"/>
      <c r="H4" s="970" t="s">
        <v>2355</v>
      </c>
    </row>
    <row customHeight="1" ht="117">
      <c r="A5" s="970" t="s">
        <v>2356</v>
      </c>
      <c r="B5" s="970" t="s">
        <v>90</v>
      </c>
      <c r="C5" s="11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970" t="s">
        <v>2357</v>
      </c>
      <c r="E5" s="97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110"/>
      <c r="G5" s="1110"/>
      <c r="H5" s="970" t="s">
        <v>2358</v>
      </c>
    </row>
    <row customHeight="1" ht="90">
      <c r="A6" s="970" t="s">
        <v>2359</v>
      </c>
      <c r="B6" s="970" t="s">
        <v>91</v>
      </c>
      <c r="C6" s="11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97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97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970"/>
      <c r="G6" s="970"/>
      <c r="H6" s="1110"/>
    </row>
    <row customHeight="1" ht="45">
      <c r="A7" s="970" t="s">
        <v>2360</v>
      </c>
      <c r="B7" s="970" t="s">
        <v>116</v>
      </c>
      <c r="C7" s="1108" t="str">
        <f>IF(TEMPLATE_SPHERE="HEAT",D7,E7)</f>
        <v>Форма 11. Информация о расходах на капитальный и текущий ремонт основных средств</v>
      </c>
      <c r="D7" s="970" t="s">
        <v>2361</v>
      </c>
      <c r="E7" s="970" t="s">
        <v>2362</v>
      </c>
      <c r="F7" s="1110"/>
      <c r="G7" s="1110"/>
      <c r="H7" s="1110"/>
    </row>
    <row customHeight="1" ht="108">
      <c r="A8" s="970" t="s">
        <v>2363</v>
      </c>
      <c r="B8" s="970" t="s">
        <v>92</v>
      </c>
      <c r="C8" s="11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970" t="s">
        <v>1585</v>
      </c>
      <c r="E8" s="970" t="s">
        <v>2364</v>
      </c>
      <c r="F8" s="1110"/>
      <c r="G8" s="1110"/>
      <c r="H8" s="1110"/>
    </row>
    <row customHeight="1" ht="99">
      <c r="A9" s="970" t="s">
        <v>2365</v>
      </c>
      <c r="B9" s="970"/>
      <c r="C9" s="970" t="s">
        <v>2366</v>
      </c>
      <c r="D9" s="970"/>
      <c r="E9" s="970"/>
      <c r="F9" s="1110"/>
      <c r="G9" s="1110"/>
      <c r="H9" s="1110"/>
    </row>
    <row customHeight="1" ht="126">
      <c r="A10" s="970" t="s">
        <v>2367</v>
      </c>
      <c r="B10" s="970"/>
      <c r="C10" s="970" t="s">
        <v>2368</v>
      </c>
      <c r="D10" s="970"/>
      <c r="E10" s="970"/>
      <c r="F10" s="1110"/>
      <c r="G10" s="1110"/>
      <c r="H10" s="1110"/>
    </row>
    <row customHeight="1" ht="108">
      <c r="A11" s="970" t="s">
        <v>2369</v>
      </c>
      <c r="B11" s="970"/>
      <c r="C11" s="970" t="s">
        <v>2370</v>
      </c>
      <c r="D11" s="970"/>
      <c r="E11" s="970"/>
      <c r="F11" s="1110"/>
      <c r="G11" s="1110"/>
      <c r="H11" s="1110"/>
    </row>
    <row customHeight="1" ht="54">
      <c r="A12" s="970" t="s">
        <v>2371</v>
      </c>
      <c r="B12" s="970"/>
      <c r="C12" s="970" t="s">
        <v>2372</v>
      </c>
      <c r="D12" s="970"/>
      <c r="E12" s="970"/>
      <c r="F12" s="1110"/>
      <c r="G12" s="1110"/>
      <c r="H12" s="1110"/>
    </row>
    <row customHeight="1" ht="45">
      <c r="A13" s="970" t="s">
        <v>2373</v>
      </c>
      <c r="B13" s="970"/>
      <c r="C13" s="970" t="s">
        <v>2374</v>
      </c>
      <c r="D13" s="970"/>
      <c r="E13" s="970"/>
      <c r="F13" s="1110"/>
      <c r="G13" s="1110"/>
      <c r="H13" s="1110"/>
    </row>
    <row customHeight="1" ht="117">
      <c r="A14" s="970" t="s">
        <v>2375</v>
      </c>
      <c r="B14" s="970"/>
      <c r="C14" s="970" t="s">
        <v>2376</v>
      </c>
      <c r="D14" s="970"/>
      <c r="E14" s="970"/>
      <c r="F14" s="1110"/>
      <c r="G14" s="1110"/>
      <c r="H14" s="1110"/>
    </row>
    <row customHeight="1" ht="117">
      <c r="A15" s="970" t="s">
        <v>2377</v>
      </c>
      <c r="B15" s="970"/>
      <c r="C15" s="970" t="s">
        <v>2378</v>
      </c>
      <c r="D15" s="970"/>
      <c r="E15" s="970"/>
      <c r="F15" s="1110"/>
      <c r="G15" s="1110"/>
      <c r="H15" s="1110"/>
    </row>
    <row customHeight="1" ht="63">
      <c r="A16" s="970" t="s">
        <v>2379</v>
      </c>
      <c r="B16" s="970"/>
      <c r="C16" s="970" t="s">
        <v>2380</v>
      </c>
      <c r="D16" s="970"/>
      <c r="E16" s="970"/>
      <c r="F16" s="1110"/>
      <c r="G16" s="1110"/>
      <c r="H16" s="1110"/>
    </row>
    <row customHeight="1" ht="54">
      <c r="A17" s="970" t="s">
        <v>2381</v>
      </c>
      <c r="B17" s="970"/>
      <c r="C17" s="1108" t="s">
        <v>2382</v>
      </c>
      <c r="D17" s="970"/>
      <c r="E17" s="970"/>
      <c r="F17" s="1110"/>
      <c r="G17" s="1110"/>
      <c r="H17" s="1110"/>
    </row>
    <row customHeight="1" ht="27">
      <c r="A18" s="970" t="s">
        <v>2383</v>
      </c>
      <c r="B18" s="970"/>
      <c r="C18" s="1108" t="s">
        <v>2384</v>
      </c>
      <c r="D18" s="970"/>
      <c r="E18" s="970"/>
      <c r="F18" s="1110"/>
      <c r="G18" s="1110"/>
      <c r="H18" s="1110"/>
    </row>
    <row customHeight="1" ht="54">
      <c r="A19" s="970" t="s">
        <v>2385</v>
      </c>
      <c r="B19" s="970"/>
      <c r="C19" s="1108" t="s">
        <v>2386</v>
      </c>
      <c r="D19" s="970"/>
      <c r="E19" s="970"/>
      <c r="F19" s="1110"/>
      <c r="G19" s="1110"/>
      <c r="H19" s="1110"/>
    </row>
    <row customHeight="1" ht="36">
      <c r="A20" s="970" t="s">
        <v>2387</v>
      </c>
      <c r="B20" s="970"/>
      <c r="C20" s="1108" t="s">
        <v>2388</v>
      </c>
      <c r="D20" s="970"/>
      <c r="E20" s="970"/>
      <c r="F20" s="1110"/>
      <c r="G20" s="1110"/>
      <c r="H20" s="1110"/>
    </row>
    <row customHeight="1" ht="36">
      <c r="A21" s="970" t="s">
        <v>2389</v>
      </c>
      <c r="B21" s="970"/>
      <c r="C21" s="1108" t="s">
        <v>2390</v>
      </c>
      <c r="D21" s="970"/>
      <c r="E21" s="970"/>
      <c r="F21" s="1110"/>
      <c r="G21" s="1110"/>
      <c r="H21" s="1110"/>
    </row>
    <row customHeight="1" ht="27">
      <c r="A22" s="970" t="s">
        <v>2391</v>
      </c>
      <c r="B22" s="970"/>
      <c r="C22" s="1108" t="s">
        <v>2392</v>
      </c>
      <c r="D22" s="970"/>
      <c r="E22" s="970"/>
      <c r="F22" s="1110"/>
      <c r="G22" s="1110"/>
      <c r="H22" s="1110"/>
    </row>
    <row customHeight="1" ht="36">
      <c r="A23" s="970" t="s">
        <v>2393</v>
      </c>
      <c r="B23" s="970"/>
      <c r="C23" s="1108" t="s">
        <v>2394</v>
      </c>
      <c r="D23" s="970"/>
      <c r="E23" s="970"/>
      <c r="F23" s="1110"/>
      <c r="G23" s="1110"/>
      <c r="H23" s="1110"/>
    </row>
    <row customHeight="1" ht="28.5">
      <c r="A24" s="970" t="s">
        <v>2395</v>
      </c>
      <c r="B24" s="970"/>
      <c r="C24" s="1108" t="s">
        <v>2396</v>
      </c>
      <c r="D24" s="970"/>
      <c r="E24" s="970"/>
      <c r="F24" s="1110"/>
      <c r="G24" s="1110"/>
      <c r="H24" s="1110"/>
    </row>
    <row customHeight="1" ht="36">
      <c r="A25" s="970" t="s">
        <v>2397</v>
      </c>
      <c r="B25" s="970"/>
      <c r="C25" s="1108" t="s">
        <v>2398</v>
      </c>
      <c r="D25" s="970"/>
      <c r="E25" s="970"/>
      <c r="F25" s="1110"/>
      <c r="G25" s="1110"/>
      <c r="H25" s="1110"/>
    </row>
    <row customHeight="1" ht="27">
      <c r="A26" s="970" t="s">
        <v>2399</v>
      </c>
      <c r="B26" s="970"/>
      <c r="C26" s="1108" t="s">
        <v>2400</v>
      </c>
      <c r="D26" s="970"/>
      <c r="E26" s="970"/>
      <c r="F26" s="1110"/>
      <c r="G26" s="1110"/>
      <c r="H26" s="1110"/>
    </row>
    <row customHeight="1" ht="36">
      <c r="A27" s="970" t="s">
        <v>2401</v>
      </c>
      <c r="B27" s="970"/>
      <c r="C27" s="1108" t="s">
        <v>2402</v>
      </c>
      <c r="D27" s="970"/>
      <c r="E27" s="970"/>
      <c r="F27" s="1110"/>
      <c r="G27" s="1110"/>
      <c r="H27" s="1110"/>
    </row>
    <row customHeight="1" ht="28.5">
      <c r="A28" s="970" t="s">
        <v>2403</v>
      </c>
      <c r="B28" s="970"/>
      <c r="C28" s="1108" t="s">
        <v>2404</v>
      </c>
      <c r="D28" s="970"/>
      <c r="E28" s="970"/>
      <c r="F28" s="1110"/>
      <c r="G28" s="1110"/>
      <c r="H28" s="1110"/>
    </row>
    <row customHeight="1" ht="126">
      <c r="A29" s="970" t="s">
        <v>2405</v>
      </c>
      <c r="B29" s="970" t="s">
        <v>1981</v>
      </c>
      <c r="C29" s="11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970" t="s">
        <v>2406</v>
      </c>
      <c r="E29" s="97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110"/>
      <c r="G29" s="1110"/>
      <c r="H29" s="970" t="s">
        <v>2407</v>
      </c>
    </row>
    <row customHeight="1" ht="36">
      <c r="A30" s="970" t="s">
        <v>2408</v>
      </c>
      <c r="B30" s="970"/>
      <c r="C30" s="11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970" t="s">
        <v>2409</v>
      </c>
      <c r="E30" s="97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110"/>
      <c r="G30" s="1110"/>
      <c r="H30" s="1110"/>
    </row>
    <row customHeight="1" ht="54">
      <c r="A31" s="970" t="s">
        <v>2410</v>
      </c>
      <c r="B31" s="970"/>
      <c r="C31" s="11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970" t="s">
        <v>2411</v>
      </c>
      <c r="E31" s="97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110"/>
      <c r="G31" s="1110"/>
      <c r="H31" s="1110"/>
    </row>
    <row customHeight="1" ht="198">
      <c r="A32" s="970" t="s">
        <v>2412</v>
      </c>
      <c r="B32" s="970"/>
      <c r="C32" s="11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970" t="s">
        <v>2413</v>
      </c>
      <c r="E32" s="97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110"/>
      <c r="G32" s="1110"/>
      <c r="H32" s="970" t="s">
        <v>2414</v>
      </c>
    </row>
    <row customHeight="1" ht="9">
      <c r="A33" s="970"/>
      <c r="B33" s="970"/>
      <c r="C33" s="1108"/>
      <c r="D33" s="970"/>
      <c r="E33" s="970"/>
      <c r="F33" s="1110"/>
      <c r="G33" s="1110"/>
      <c r="H33" s="1110"/>
    </row>
    <row customHeight="1" ht="9">
      <c r="A34" s="970"/>
      <c r="B34" s="970" t="s">
        <v>184</v>
      </c>
      <c r="C34" s="1108">
        <f>INDEX(TEMPLATE_NAME_FORM_LIST,B34,MATCH(TEMPLATE_SPHERE,TEMPLATE_SPHERE_LIST,0))</f>
        <v>0</v>
      </c>
      <c r="D34" s="970"/>
      <c r="E34" s="970"/>
      <c r="F34" s="1110"/>
      <c r="G34" s="1110"/>
      <c r="H34" s="111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2138968-4218-7A18-9D9F-6D85336B6F9E}"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7836" width="9.140625"/>
    <col min="3" max="7" style="7880" width="8.00390625" customWidth="1"/>
    <col min="8" max="12" style="7880" width="8.57421875" customWidth="1"/>
    <col min="13" max="14" style="7880" width="27.7109375" customWidth="1"/>
    <col min="15" max="19" style="7880" width="5.140625" customWidth="1"/>
    <col min="20" max="24" style="7880" width="27.7109375" customWidth="1"/>
    <col min="25" max="25" style="7881" width="1.8515625" customWidth="1"/>
    <col min="26" max="26" style="7836" width="27.7109375" customWidth="1"/>
    <col min="27" max="27" style="7882" width="27.7109375" customWidth="1"/>
    <col min="28" max="29" style="7836" width="27.7109375" customWidth="1"/>
    <col min="30" max="30" style="7836" width="3.8515625" customWidth="1"/>
    <col min="31" max="34" style="7836" width="9.140625"/>
  </cols>
  <sheetData>
    <row s="7838" customFormat="1" customHeight="1" ht="18">
      <c r="A1" s="1022"/>
      <c r="B1" s="1022"/>
      <c r="C1" s="1022" t="s">
        <v>2415</v>
      </c>
      <c r="D1" s="1022"/>
      <c r="E1" s="1022"/>
      <c r="F1" s="1022"/>
      <c r="G1" s="1022"/>
      <c r="H1" s="1022" t="s">
        <v>2416</v>
      </c>
      <c r="I1" s="1022"/>
      <c r="J1" s="1022"/>
      <c r="K1" s="1022"/>
      <c r="L1" s="1022"/>
      <c r="M1" s="1022" t="s">
        <v>2417</v>
      </c>
      <c r="N1" s="1022" t="s">
        <v>2418</v>
      </c>
      <c r="O1" s="2729" t="s">
        <v>2419</v>
      </c>
      <c r="P1" s="2729"/>
      <c r="Q1" s="2729"/>
      <c r="R1" s="2729"/>
      <c r="S1" s="2729"/>
      <c r="T1" s="2729" t="s">
        <v>2417</v>
      </c>
      <c r="U1" s="2729"/>
      <c r="V1" s="2729"/>
      <c r="W1" s="2729"/>
      <c r="X1" s="2729"/>
      <c r="Y1" s="1123"/>
      <c r="Z1" s="2729" t="s">
        <v>2420</v>
      </c>
      <c r="AA1" s="2729"/>
      <c r="AB1" s="2729"/>
      <c r="AC1" s="2729"/>
      <c r="AD1" s="2729"/>
    </row>
    <row customHeight="1" ht="18">
      <c r="A2" s="970"/>
      <c r="B2" s="970"/>
      <c r="C2" s="965" t="s">
        <v>982</v>
      </c>
      <c r="D2" s="965" t="s">
        <v>1029</v>
      </c>
      <c r="E2" s="965" t="s">
        <v>1082</v>
      </c>
      <c r="F2" s="965" t="s">
        <v>1069</v>
      </c>
      <c r="G2" s="965" t="s">
        <v>2029</v>
      </c>
      <c r="H2" s="967"/>
      <c r="I2" s="967"/>
      <c r="J2" s="967"/>
      <c r="K2" s="967"/>
      <c r="L2" s="967"/>
      <c r="M2" s="967"/>
      <c r="N2" s="967"/>
      <c r="O2" s="965" t="s">
        <v>982</v>
      </c>
      <c r="P2" s="965" t="s">
        <v>1029</v>
      </c>
      <c r="Q2" s="965" t="s">
        <v>1069</v>
      </c>
      <c r="R2" s="965" t="s">
        <v>1082</v>
      </c>
      <c r="S2" s="965" t="s">
        <v>2029</v>
      </c>
      <c r="T2" s="965" t="s">
        <v>982</v>
      </c>
      <c r="U2" s="965" t="s">
        <v>1029</v>
      </c>
      <c r="V2" s="965" t="s">
        <v>1069</v>
      </c>
      <c r="W2" s="965" t="s">
        <v>1082</v>
      </c>
      <c r="X2" s="965" t="s">
        <v>2029</v>
      </c>
      <c r="Y2" s="965"/>
      <c r="Z2" s="965" t="s">
        <v>982</v>
      </c>
      <c r="AA2" s="974" t="s">
        <v>1029</v>
      </c>
      <c r="AB2" s="965" t="s">
        <v>1069</v>
      </c>
      <c r="AC2" s="965" t="s">
        <v>1082</v>
      </c>
      <c r="AD2" s="965" t="s">
        <v>2029</v>
      </c>
    </row>
    <row customHeight="1" ht="162">
      <c r="A3" s="969" t="s">
        <v>27</v>
      </c>
      <c r="B3" s="969"/>
      <c r="C3" s="2733" t="s">
        <v>2421</v>
      </c>
      <c r="D3" s="2734"/>
      <c r="E3" s="2734"/>
      <c r="F3" s="2735"/>
      <c r="G3" s="967"/>
      <c r="H3" s="967"/>
      <c r="I3" s="967"/>
      <c r="J3" s="967"/>
      <c r="K3" s="967"/>
      <c r="L3" s="967"/>
      <c r="M3" s="967"/>
      <c r="N3" s="96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967"/>
      <c r="P3" s="967"/>
      <c r="Q3" s="967"/>
      <c r="R3" s="967"/>
      <c r="S3" s="967"/>
      <c r="T3" s="967"/>
      <c r="U3" s="967"/>
      <c r="V3" s="967"/>
      <c r="W3" s="967"/>
      <c r="X3" s="967"/>
      <c r="Y3" s="1124"/>
      <c r="Z3" s="970" t="s">
        <v>2422</v>
      </c>
      <c r="AA3" s="967" t="s">
        <v>2423</v>
      </c>
      <c r="AB3" s="970" t="s">
        <v>2424</v>
      </c>
      <c r="AC3" s="970" t="s">
        <v>2425</v>
      </c>
      <c r="AD3" s="970"/>
      <c r="AG3" s="970"/>
      <c r="AH3" s="970"/>
    </row>
    <row customHeight="1" ht="9">
      <c r="A4" s="969"/>
      <c r="B4" s="969"/>
      <c r="C4" s="967"/>
      <c r="D4" s="967"/>
      <c r="E4" s="967"/>
      <c r="F4" s="967"/>
      <c r="G4" s="967"/>
      <c r="H4" s="967"/>
      <c r="I4" s="967"/>
      <c r="J4" s="967"/>
      <c r="K4" s="967"/>
      <c r="L4" s="967"/>
      <c r="M4" s="967"/>
      <c r="N4" s="967"/>
      <c r="O4" s="967"/>
      <c r="P4" s="967"/>
      <c r="Q4" s="967"/>
      <c r="R4" s="967"/>
      <c r="S4" s="967"/>
      <c r="T4" s="967"/>
      <c r="U4" s="967"/>
      <c r="V4" s="967"/>
      <c r="W4" s="967"/>
      <c r="X4" s="967"/>
      <c r="Y4" s="1124"/>
      <c r="Z4" s="970"/>
      <c r="AA4" s="973"/>
      <c r="AB4" s="970"/>
      <c r="AC4" s="970"/>
      <c r="AD4" s="970"/>
    </row>
    <row customHeight="1" ht="9">
      <c r="A5" s="969"/>
      <c r="B5" s="969"/>
      <c r="C5" s="967"/>
      <c r="D5" s="967"/>
      <c r="E5" s="967"/>
      <c r="F5" s="967"/>
      <c r="G5" s="967"/>
      <c r="H5" s="967"/>
      <c r="I5" s="967"/>
      <c r="J5" s="967"/>
      <c r="K5" s="967"/>
      <c r="L5" s="967"/>
      <c r="M5" s="967"/>
      <c r="N5" s="967"/>
      <c r="O5" s="967"/>
      <c r="P5" s="967"/>
      <c r="Q5" s="967"/>
      <c r="R5" s="967"/>
      <c r="S5" s="967"/>
      <c r="T5" s="967"/>
      <c r="U5" s="967"/>
      <c r="V5" s="967"/>
      <c r="W5" s="967"/>
      <c r="X5" s="967"/>
      <c r="Y5" s="1124"/>
      <c r="Z5" s="970"/>
      <c r="AA5" s="973"/>
      <c r="AB5" s="970"/>
      <c r="AC5" s="970"/>
      <c r="AD5" s="970"/>
    </row>
    <row customHeight="1" ht="9">
      <c r="A6" s="969"/>
      <c r="B6" s="969"/>
      <c r="C6" s="967"/>
      <c r="D6" s="967"/>
      <c r="E6" s="967"/>
      <c r="F6" s="967"/>
      <c r="G6" s="967"/>
      <c r="H6" s="967"/>
      <c r="I6" s="967"/>
      <c r="J6" s="967"/>
      <c r="K6" s="967"/>
      <c r="L6" s="967"/>
      <c r="M6" s="967"/>
      <c r="N6" s="967"/>
      <c r="O6" s="967"/>
      <c r="P6" s="967"/>
      <c r="Q6" s="967"/>
      <c r="R6" s="967"/>
      <c r="S6" s="967"/>
      <c r="T6" s="967"/>
      <c r="U6" s="967"/>
      <c r="V6" s="967"/>
      <c r="W6" s="967"/>
      <c r="X6" s="967"/>
      <c r="Y6" s="1124"/>
      <c r="Z6" s="970"/>
      <c r="AA6" s="973"/>
      <c r="AB6" s="970"/>
      <c r="AC6" s="970"/>
      <c r="AD6" s="970"/>
    </row>
    <row customHeight="1" ht="9">
      <c r="A7" s="969"/>
      <c r="B7" s="969"/>
      <c r="C7" s="967"/>
      <c r="D7" s="967"/>
      <c r="E7" s="967"/>
      <c r="F7" s="967"/>
      <c r="G7" s="967"/>
      <c r="H7" s="967"/>
      <c r="I7" s="967"/>
      <c r="J7" s="967"/>
      <c r="K7" s="967"/>
      <c r="L7" s="967"/>
      <c r="M7" s="967"/>
      <c r="N7" s="967"/>
      <c r="O7" s="967"/>
      <c r="P7" s="967"/>
      <c r="Q7" s="967"/>
      <c r="R7" s="967"/>
      <c r="S7" s="967"/>
      <c r="T7" s="967"/>
      <c r="U7" s="967"/>
      <c r="V7" s="967"/>
      <c r="W7" s="967"/>
      <c r="X7" s="967"/>
      <c r="Y7" s="1124"/>
      <c r="Z7" s="970"/>
      <c r="AA7" s="973"/>
      <c r="AB7" s="970"/>
      <c r="AC7" s="970"/>
      <c r="AD7" s="970"/>
    </row>
    <row customHeight="1" ht="9">
      <c r="A8" s="969"/>
      <c r="B8" s="969"/>
      <c r="C8" s="967"/>
      <c r="D8" s="967"/>
      <c r="E8" s="967"/>
      <c r="F8" s="967"/>
      <c r="G8" s="967"/>
      <c r="H8" s="967"/>
      <c r="I8" s="967"/>
      <c r="J8" s="967"/>
      <c r="K8" s="967"/>
      <c r="L8" s="967"/>
      <c r="M8" s="967"/>
      <c r="N8" s="967"/>
      <c r="O8" s="967"/>
      <c r="P8" s="967"/>
      <c r="Q8" s="967"/>
      <c r="R8" s="967"/>
      <c r="S8" s="967"/>
      <c r="T8" s="967"/>
      <c r="U8" s="967"/>
      <c r="V8" s="967"/>
      <c r="W8" s="967"/>
      <c r="X8" s="967"/>
      <c r="Y8" s="1124"/>
      <c r="Z8" s="970"/>
      <c r="AA8" s="973"/>
      <c r="AB8" s="970"/>
      <c r="AC8" s="970"/>
      <c r="AD8" s="970"/>
    </row>
    <row customHeight="1" ht="9">
      <c r="A9" s="969"/>
      <c r="B9" s="969"/>
      <c r="C9" s="967"/>
      <c r="D9" s="967"/>
      <c r="E9" s="967"/>
      <c r="F9" s="967"/>
      <c r="G9" s="967"/>
      <c r="H9" s="967"/>
      <c r="I9" s="967"/>
      <c r="J9" s="967"/>
      <c r="K9" s="967"/>
      <c r="L9" s="967"/>
      <c r="M9" s="967"/>
      <c r="N9" s="967"/>
      <c r="O9" s="967"/>
      <c r="P9" s="967"/>
      <c r="Q9" s="967"/>
      <c r="R9" s="967"/>
      <c r="S9" s="967"/>
      <c r="T9" s="967"/>
      <c r="U9" s="967"/>
      <c r="V9" s="967"/>
      <c r="W9" s="967"/>
      <c r="X9" s="967"/>
      <c r="Y9" s="1124"/>
      <c r="Z9" s="970"/>
      <c r="AA9" s="973"/>
      <c r="AB9" s="970"/>
      <c r="AC9" s="970"/>
      <c r="AD9" s="970"/>
    </row>
    <row customHeight="1" ht="9">
      <c r="A10" s="1023"/>
      <c r="B10" s="1023"/>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row>
    <row customHeight="1" ht="45">
      <c r="A11" s="2730" t="s">
        <v>33</v>
      </c>
      <c r="B11" s="1023">
        <v>1</v>
      </c>
      <c r="C11" s="2736" t="s">
        <v>1969</v>
      </c>
      <c r="D11" s="2736" t="s">
        <v>1965</v>
      </c>
      <c r="E11" s="2736" t="s">
        <v>2062</v>
      </c>
      <c r="F11" s="2736" t="s">
        <v>2426</v>
      </c>
      <c r="G11" s="2736"/>
      <c r="H11" s="1022" t="s">
        <v>2427</v>
      </c>
      <c r="I11" s="1022"/>
      <c r="J11" s="1022"/>
      <c r="K11" s="1022"/>
      <c r="L11" s="1022"/>
      <c r="M11" s="968" t="str">
        <f>IF(TEMPLATE_SPHERE="HEAT",T11,U11)</f>
        <v>Количество поданных заявок</v>
      </c>
      <c r="N11" s="96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967"/>
      <c r="P11" s="967"/>
      <c r="Q11" s="967"/>
      <c r="R11" s="967"/>
      <c r="S11" s="967"/>
      <c r="T11" s="967" t="s">
        <v>2428</v>
      </c>
      <c r="U11" s="967" t="s">
        <v>2429</v>
      </c>
      <c r="V11" s="967"/>
      <c r="W11" s="967"/>
      <c r="X11" s="967"/>
      <c r="Y11" s="1124"/>
      <c r="Z11" s="970" t="s">
        <v>2430</v>
      </c>
      <c r="AA11" s="97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970"/>
      <c r="AC11" s="970"/>
      <c r="AD11" s="970"/>
    </row>
    <row customHeight="1" ht="45">
      <c r="A12" s="2730"/>
      <c r="B12" s="1023">
        <v>2</v>
      </c>
      <c r="C12" s="2737"/>
      <c r="D12" s="2737"/>
      <c r="E12" s="2737"/>
      <c r="F12" s="2737"/>
      <c r="G12" s="2737"/>
      <c r="H12" s="1022" t="s">
        <v>2431</v>
      </c>
      <c r="I12" s="1022"/>
      <c r="J12" s="1022"/>
      <c r="K12" s="1022"/>
      <c r="L12" s="1022"/>
      <c r="M12" s="968" t="str">
        <f>IF(TEMPLATE_SPHERE="HEAT",T12,U12)</f>
        <v>Количество рассмотренных заявок</v>
      </c>
      <c r="N12" s="96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967"/>
      <c r="P12" s="967"/>
      <c r="Q12" s="967"/>
      <c r="R12" s="967"/>
      <c r="S12" s="967"/>
      <c r="T12" s="967" t="s">
        <v>2432</v>
      </c>
      <c r="U12" s="967" t="s">
        <v>2433</v>
      </c>
      <c r="V12" s="967"/>
      <c r="W12" s="967"/>
      <c r="X12" s="967"/>
      <c r="Y12" s="1124"/>
      <c r="Z12" s="970" t="s">
        <v>2434</v>
      </c>
      <c r="AA12" s="97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970"/>
      <c r="AC12" s="970"/>
      <c r="AD12" s="970"/>
    </row>
    <row customHeight="1" ht="72">
      <c r="A13" s="2730"/>
      <c r="B13" s="1023">
        <v>3</v>
      </c>
      <c r="C13" s="2737"/>
      <c r="D13" s="2737"/>
      <c r="E13" s="2737"/>
      <c r="F13" s="2737"/>
      <c r="G13" s="2737"/>
      <c r="H13" s="2729" t="s">
        <v>2435</v>
      </c>
      <c r="I13" s="1022"/>
      <c r="J13" s="1022"/>
      <c r="K13" s="1022"/>
      <c r="L13" s="1022"/>
      <c r="M13" s="96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968" t="str">
        <f>IF(TEMPLATE_SPHERE="HEAT",Z13,AA13)</f>
        <v>Указывается количество заявок с решением об отказе в течение отчетного квартала.</v>
      </c>
      <c r="O13" s="967"/>
      <c r="P13" s="968"/>
      <c r="Q13" s="968"/>
      <c r="R13" s="968"/>
      <c r="S13" s="967"/>
      <c r="T13" s="967" t="s">
        <v>2436</v>
      </c>
      <c r="U13" s="968" t="s">
        <v>2437</v>
      </c>
      <c r="V13" s="968"/>
      <c r="W13" s="968"/>
      <c r="X13" s="967"/>
      <c r="Y13" s="1124"/>
      <c r="Z13" s="970" t="s">
        <v>2438</v>
      </c>
      <c r="AA13" s="97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970"/>
      <c r="AC13" s="970"/>
      <c r="AD13" s="970"/>
    </row>
    <row customHeight="1" ht="45">
      <c r="A14" s="2730"/>
      <c r="B14" s="1023">
        <v>4</v>
      </c>
      <c r="C14" s="2737"/>
      <c r="D14" s="2737"/>
      <c r="E14" s="2737"/>
      <c r="F14" s="2737"/>
      <c r="G14" s="2737"/>
      <c r="H14" s="2729"/>
      <c r="I14" s="1025"/>
      <c r="J14" s="1025"/>
      <c r="K14" s="1025"/>
      <c r="L14" s="1025"/>
      <c r="M14" s="971" t="str">
        <f>IF(TEMPLATE_SPHERE="HEAT",T14,U14)</f>
        <v>Причины отказа в заключении договора о подключении (технологическом присоединении) к системе теплоснабжения</v>
      </c>
      <c r="N14" s="96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67"/>
      <c r="P14" s="968"/>
      <c r="Q14" s="968"/>
      <c r="R14" s="968"/>
      <c r="S14" s="967"/>
      <c r="T14" s="967" t="s">
        <v>2439</v>
      </c>
      <c r="U14" s="96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968"/>
      <c r="W14" s="968"/>
      <c r="X14" s="967"/>
      <c r="Y14" s="1124"/>
      <c r="Z14" s="970" t="s">
        <v>2440</v>
      </c>
      <c r="AA14" s="973" t="s">
        <v>2440</v>
      </c>
      <c r="AB14" s="970"/>
      <c r="AC14" s="970"/>
      <c r="AD14" s="970"/>
    </row>
    <row customHeight="1" ht="108">
      <c r="A15" s="2730"/>
      <c r="B15" s="1023">
        <v>5</v>
      </c>
      <c r="C15" s="2737"/>
      <c r="D15" s="2737"/>
      <c r="E15" s="2737"/>
      <c r="F15" s="2737"/>
      <c r="G15" s="2737"/>
      <c r="H15" s="2731" t="s">
        <v>2441</v>
      </c>
      <c r="I15" s="1024"/>
      <c r="J15" s="1024"/>
      <c r="K15" s="1024"/>
      <c r="L15" s="1024"/>
      <c r="M15" s="973" t="str">
        <f>IF(TEMPLATE_SPHERE="HEAT",T15,U15)</f>
        <v>Резерв мощности источников тепловой энергии, входящих в систему теплоснабжения, в течение одного квартала, в том числе:</v>
      </c>
      <c r="N15" s="97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967"/>
      <c r="P15" s="968"/>
      <c r="Q15" s="968"/>
      <c r="R15" s="968"/>
      <c r="S15" s="967"/>
      <c r="T15" s="967" t="s">
        <v>2442</v>
      </c>
      <c r="U15" s="96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968"/>
      <c r="W15" s="968"/>
      <c r="X15" s="967"/>
      <c r="Y15" s="1124"/>
      <c r="Z15" s="970" t="s">
        <v>2443</v>
      </c>
      <c r="AA15" s="97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970"/>
      <c r="AC15" s="970"/>
      <c r="AD15" s="970"/>
    </row>
    <row customHeight="1" ht="108">
      <c r="A16" s="1023"/>
      <c r="B16" s="1023">
        <v>6</v>
      </c>
      <c r="C16" s="2738"/>
      <c r="D16" s="2738"/>
      <c r="E16" s="2738"/>
      <c r="F16" s="2738"/>
      <c r="G16" s="2738"/>
      <c r="H16" s="2732"/>
      <c r="I16" s="1086"/>
      <c r="J16" s="1086"/>
      <c r="K16" s="1086"/>
      <c r="L16" s="1086"/>
      <c r="M16" s="1016"/>
      <c r="N16" s="97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967"/>
      <c r="P16" s="968"/>
      <c r="Q16" s="968"/>
      <c r="R16" s="968"/>
      <c r="S16" s="967"/>
      <c r="T16" s="967"/>
      <c r="U16" s="968"/>
      <c r="V16" s="968"/>
      <c r="W16" s="968"/>
      <c r="X16" s="967"/>
      <c r="Y16" s="1124"/>
      <c r="Z16" s="970" t="s">
        <v>2443</v>
      </c>
      <c r="AA16" s="97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970"/>
      <c r="AC16" s="970"/>
      <c r="AD16" s="970"/>
    </row>
    <row customHeight="1" ht="9">
      <c r="A17" s="1023"/>
      <c r="B17" s="1023"/>
      <c r="C17" s="1023">
        <v>22</v>
      </c>
      <c r="D17" s="1023">
        <v>21</v>
      </c>
      <c r="E17" s="1023">
        <v>42</v>
      </c>
      <c r="F17" s="1023">
        <v>63</v>
      </c>
      <c r="G17" s="1023"/>
      <c r="H17" s="1023"/>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row>
    <row customHeight="1" ht="27">
      <c r="A18" s="969" t="s">
        <v>2065</v>
      </c>
      <c r="B18" s="1023">
        <v>1</v>
      </c>
      <c r="C18" s="967" t="s">
        <v>2427</v>
      </c>
      <c r="D18" s="1091" t="s">
        <v>2427</v>
      </c>
      <c r="E18" s="967" t="s">
        <v>2427</v>
      </c>
      <c r="F18" s="967" t="s">
        <v>2427</v>
      </c>
      <c r="G18" s="967"/>
      <c r="H18" s="1126"/>
      <c r="I18" s="1129">
        <f>INDEX(TEMPLATE_NUMBER_POINT_FHD,B18,MATCH(TEMPLATE_SPHERE,TEMPLATE_SPHERE_LIST_FOR_NOTE,0))</f>
        <v>1</v>
      </c>
      <c r="J18" s="1129" t="str">
        <f>INDEX(TEMPLATE_DATA_POINT_FHD,B18,MATCH(TEMPLATE_SPHERE,TEMPLATE_SPHERE_LIST_FOR_NOTE,0))</f>
        <v>Выручка от регулируемого вида деятельности с распределением по видам деятельности</v>
      </c>
      <c r="K18" s="112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968">
        <f>IF(I18=0,"",I18)</f>
        <v>1</v>
      </c>
      <c r="M18" s="968" t="str">
        <f>IF(J18=0,"",J18)</f>
        <v>Выручка от регулируемого вида деятельности с распределением по видам деятельности</v>
      </c>
      <c r="N18" s="968" t="str">
        <f>IF(K18=0,"",K18)</f>
        <v>Указывается выручка от регулируемого вида деятельности с распределением по видам деятельности.</v>
      </c>
      <c r="O18" s="1081">
        <v>1</v>
      </c>
      <c r="P18" s="1081">
        <v>1</v>
      </c>
      <c r="Q18" s="1081">
        <v>1</v>
      </c>
      <c r="R18" s="1081">
        <v>1</v>
      </c>
      <c r="S18" s="1081"/>
      <c r="T18" s="1088" t="s">
        <v>2444</v>
      </c>
      <c r="U18" s="970" t="s">
        <v>2445</v>
      </c>
      <c r="V18" s="970" t="s">
        <v>2446</v>
      </c>
      <c r="W18" s="970" t="s">
        <v>2447</v>
      </c>
      <c r="X18" s="967"/>
      <c r="Y18" s="1124"/>
      <c r="Z18" s="970" t="s">
        <v>2448</v>
      </c>
      <c r="AA18" s="973" t="s">
        <v>2449</v>
      </c>
      <c r="AB18" s="973" t="s">
        <v>2449</v>
      </c>
      <c r="AC18" s="973" t="s">
        <v>2449</v>
      </c>
      <c r="AD18" s="970"/>
    </row>
    <row customHeight="1" ht="36">
      <c r="A19" s="969"/>
      <c r="B19" s="1023">
        <v>2</v>
      </c>
      <c r="C19" s="967" t="s">
        <v>2431</v>
      </c>
      <c r="D19" s="1091" t="s">
        <v>2431</v>
      </c>
      <c r="E19" s="967" t="s">
        <v>2431</v>
      </c>
      <c r="F19" s="967" t="s">
        <v>2431</v>
      </c>
      <c r="G19" s="967"/>
      <c r="H19" s="1126"/>
      <c r="I19" s="1129">
        <f>INDEX(TEMPLATE_NUMBER_POINT_FHD,B19,MATCH(TEMPLATE_SPHERE,TEMPLATE_SPHERE_LIST_FOR_NOTE,0))</f>
        <v>2</v>
      </c>
      <c r="J19" s="112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129" t="str">
        <f>INDEX(TEMPLATE_NOTE_POINT_FHD,B19,MATCH(TEMPLATE_SPHERE,TEMPLATE_SPHERE_LIST_FOR_NOTE,0))</f>
        <v>Указывается суммарная себестоимость производимых товаров.</v>
      </c>
      <c r="L19" s="968">
        <f>IF(I19=0,"",I19)</f>
        <v>2</v>
      </c>
      <c r="M19" s="968" t="str">
        <f>IF(J19=0,"",J19)</f>
        <v>Себестоимость производимых товаров (оказываемых услуг) по регулируемому виду деятельности, включая:</v>
      </c>
      <c r="N19" s="968" t="str">
        <f>IF(K19=0,"",K19)</f>
        <v>Указывается суммарная себестоимость производимых товаров.</v>
      </c>
      <c r="O19" s="1081">
        <v>2</v>
      </c>
      <c r="P19" s="1081">
        <v>2</v>
      </c>
      <c r="Q19" s="1081">
        <v>2</v>
      </c>
      <c r="R19" s="1081">
        <v>2</v>
      </c>
      <c r="S19" s="1081"/>
      <c r="T19" s="1088" t="s">
        <v>2450</v>
      </c>
      <c r="U19" s="970" t="s">
        <v>2451</v>
      </c>
      <c r="V19" s="970" t="s">
        <v>2452</v>
      </c>
      <c r="W19" s="970" t="s">
        <v>2453</v>
      </c>
      <c r="X19" s="967"/>
      <c r="Y19" s="1124"/>
      <c r="Z19" s="970" t="s">
        <v>2454</v>
      </c>
      <c r="AA19" s="973" t="s">
        <v>2454</v>
      </c>
      <c r="AB19" s="973" t="s">
        <v>2454</v>
      </c>
      <c r="AC19" s="973" t="s">
        <v>2454</v>
      </c>
      <c r="AD19" s="970"/>
    </row>
    <row customHeight="1" ht="27">
      <c r="A20" s="969"/>
      <c r="B20" s="1023">
        <v>3</v>
      </c>
      <c r="C20" s="967">
        <v>1</v>
      </c>
      <c r="D20" s="1091"/>
      <c r="E20" s="967"/>
      <c r="F20" s="967"/>
      <c r="G20" s="967"/>
      <c r="H20" s="1126"/>
      <c r="I20" s="1129" t="str">
        <f>INDEX(TEMPLATE_NUMBER_POINT_FHD,B20,MATCH(TEMPLATE_SPHERE,TEMPLATE_SPHERE_LIST_FOR_NOTE,0))</f>
        <v>2.1</v>
      </c>
      <c r="J20" s="1129" t="str">
        <f>INDEX(TEMPLATE_DATA_POINT_FHD,B20,MATCH(TEMPLATE_SPHERE,TEMPLATE_SPHERE_LIST_FOR_NOTE,0))</f>
        <v>Расходы на приобретаемую тепловую энергию (мощность), теплоноситель</v>
      </c>
      <c r="K20" s="1129">
        <f>INDEX(TEMPLATE_NOTE_POINT_FHD,B20,MATCH(TEMPLATE_SPHERE,TEMPLATE_SPHERE_LIST_FOR_NOTE,0))</f>
        <v>0</v>
      </c>
      <c r="L20" s="968" t="str">
        <f>IF(I20=0,"",I20)</f>
        <v>2.1</v>
      </c>
      <c r="M20" s="968" t="str">
        <f>IF(J20=0,"",J20)</f>
        <v>Расходы на приобретаемую тепловую энергию (мощность), теплоноситель</v>
      </c>
      <c r="N20" s="968" t="str">
        <f>IF(K20=0,"",K20)</f>
        <v/>
      </c>
      <c r="O20" s="1081" t="s">
        <v>865</v>
      </c>
      <c r="P20" s="1081" t="s">
        <v>865</v>
      </c>
      <c r="Q20" s="1081" t="s">
        <v>865</v>
      </c>
      <c r="R20" s="1081" t="s">
        <v>865</v>
      </c>
      <c r="S20" s="1081"/>
      <c r="T20" s="1088" t="s">
        <v>2455</v>
      </c>
      <c r="U20" s="970" t="s">
        <v>2456</v>
      </c>
      <c r="V20" s="970" t="s">
        <v>2457</v>
      </c>
      <c r="W20" s="970" t="s">
        <v>2458</v>
      </c>
      <c r="X20" s="967"/>
      <c r="Y20" s="1124"/>
      <c r="Z20" s="970"/>
      <c r="AA20" s="973"/>
      <c r="AB20" s="970"/>
      <c r="AC20" s="970"/>
      <c r="AD20" s="970"/>
    </row>
    <row customHeight="1" ht="36">
      <c r="A21" s="969"/>
      <c r="B21" s="1023">
        <v>4</v>
      </c>
      <c r="C21" s="967">
        <v>2</v>
      </c>
      <c r="D21" s="1091"/>
      <c r="E21" s="967"/>
      <c r="F21" s="967"/>
      <c r="G21" s="967"/>
      <c r="H21" s="1126"/>
      <c r="I21" s="1129" t="str">
        <f>INDEX(TEMPLATE_NUMBER_POINT_FHD,B21,MATCH(TEMPLATE_SPHERE,TEMPLATE_SPHERE_LIST_FOR_NOTE,0))</f>
        <v>2.2</v>
      </c>
      <c r="J21" s="112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129" t="str">
        <f>INDEX(TEMPLATE_NOTE_POINT_FHD,B21,MATCH(TEMPLATE_SPHERE,TEMPLATE_SPHERE_LIST_FOR_NOTE,0))</f>
        <v>Указываются суммарные расходы на приобретение топлива всех видов.</v>
      </c>
      <c r="L21" s="968" t="str">
        <f>IF(I21=0,"",I21)</f>
        <v>2.2</v>
      </c>
      <c r="M21" s="96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968" t="str">
        <f>IF(K21=0,"",K21)</f>
        <v>Указываются суммарные расходы на приобретение топлива всех видов.</v>
      </c>
      <c r="O21" s="1081" t="s">
        <v>419</v>
      </c>
      <c r="P21" s="1081"/>
      <c r="Q21" s="1081"/>
      <c r="R21" s="1081"/>
      <c r="S21" s="1081"/>
      <c r="T21" s="1088" t="s">
        <v>2459</v>
      </c>
      <c r="U21" s="970"/>
      <c r="V21" s="970"/>
      <c r="W21" s="970"/>
      <c r="X21" s="967"/>
      <c r="Y21" s="1124"/>
      <c r="Z21" s="970" t="s">
        <v>2460</v>
      </c>
      <c r="AA21" s="973"/>
      <c r="AB21" s="970"/>
      <c r="AC21" s="970"/>
      <c r="AD21" s="970"/>
    </row>
    <row customHeight="1" ht="36">
      <c r="A22" s="969"/>
      <c r="B22" s="1023">
        <v>5</v>
      </c>
      <c r="C22" s="967">
        <v>3</v>
      </c>
      <c r="D22" s="1091"/>
      <c r="E22" s="967"/>
      <c r="F22" s="967"/>
      <c r="G22" s="1015"/>
      <c r="H22" s="1082"/>
      <c r="I22" s="1129">
        <f>INDEX(TEMPLATE_NUMBER_POINT_FHD,B22,MATCH(TEMPLATE_SPHERE,TEMPLATE_SPHERE_LIST_FOR_NOTE,0))</f>
        <v>0</v>
      </c>
      <c r="J22" s="1129">
        <f>INDEX(TEMPLATE_DATA_POINT_FHD,B22,MATCH(TEMPLATE_SPHERE,TEMPLATE_SPHERE_LIST_FOR_NOTE,0))</f>
        <v>0</v>
      </c>
      <c r="K22" s="1129">
        <f>INDEX(TEMPLATE_NOTE_POINT_FHD,B22,MATCH(TEMPLATE_SPHERE,TEMPLATE_SPHERE_LIST_FOR_NOTE,0))</f>
        <v>0</v>
      </c>
      <c r="L22" s="968" t="str">
        <f>IF(I22=0,"",I22)</f>
        <v/>
      </c>
      <c r="M22" s="968" t="str">
        <f>IF(J22=0,"",J22)</f>
        <v/>
      </c>
      <c r="N22" s="968" t="str">
        <f>IF(K22=0,"",K22)</f>
        <v/>
      </c>
      <c r="O22" s="1081"/>
      <c r="P22" s="1081"/>
      <c r="Q22" s="1081" t="s">
        <v>419</v>
      </c>
      <c r="R22" s="1081"/>
      <c r="S22" s="1081"/>
      <c r="T22" s="1088"/>
      <c r="U22" s="970"/>
      <c r="V22" s="970" t="s">
        <v>2461</v>
      </c>
      <c r="W22" s="970"/>
      <c r="X22" s="967"/>
      <c r="Y22" s="1124"/>
      <c r="Z22" s="970"/>
      <c r="AA22" s="973"/>
      <c r="AB22" s="970"/>
      <c r="AC22" s="970"/>
      <c r="AD22" s="970"/>
    </row>
    <row customHeight="1" ht="27">
      <c r="A23" s="969"/>
      <c r="B23" s="1023">
        <v>6</v>
      </c>
      <c r="C23" s="967">
        <v>4</v>
      </c>
      <c r="D23" s="1091"/>
      <c r="E23" s="967"/>
      <c r="F23" s="967"/>
      <c r="G23" s="1015"/>
      <c r="H23" s="1082"/>
      <c r="I23" s="1129">
        <f>INDEX(TEMPLATE_NUMBER_POINT_FHD,B23,MATCH(TEMPLATE_SPHERE,TEMPLATE_SPHERE_LIST_FOR_NOTE,0))</f>
        <v>0</v>
      </c>
      <c r="J23" s="1129">
        <f>INDEX(TEMPLATE_DATA_POINT_FHD,B23,MATCH(TEMPLATE_SPHERE,TEMPLATE_SPHERE_LIST_FOR_NOTE,0))</f>
        <v>0</v>
      </c>
      <c r="K23" s="1129">
        <f>INDEX(TEMPLATE_NOTE_POINT_FHD,B23,MATCH(TEMPLATE_SPHERE,TEMPLATE_SPHERE_LIST_FOR_NOTE,0))</f>
        <v>0</v>
      </c>
      <c r="L23" s="968" t="str">
        <f>IF(I23=0,"",I23)</f>
        <v/>
      </c>
      <c r="M23" s="968" t="str">
        <f>IF(J23=0,"",J23)</f>
        <v/>
      </c>
      <c r="N23" s="968" t="str">
        <f>IF(K23=0,"",K23)</f>
        <v/>
      </c>
      <c r="O23" s="1081"/>
      <c r="P23" s="1081"/>
      <c r="Q23" s="1081" t="s">
        <v>422</v>
      </c>
      <c r="R23" s="1081"/>
      <c r="S23" s="1081"/>
      <c r="T23" s="1088"/>
      <c r="U23" s="970"/>
      <c r="V23" s="970" t="s">
        <v>2462</v>
      </c>
      <c r="W23" s="970"/>
      <c r="X23" s="967"/>
      <c r="Y23" s="1124"/>
      <c r="Z23" s="970"/>
      <c r="AA23" s="973"/>
      <c r="AB23" s="970"/>
      <c r="AC23" s="970"/>
      <c r="AD23" s="970"/>
    </row>
    <row customHeight="1" ht="36">
      <c r="A24" s="969"/>
      <c r="B24" s="1023">
        <v>7</v>
      </c>
      <c r="C24" s="967">
        <v>5</v>
      </c>
      <c r="D24" s="1091"/>
      <c r="E24" s="967"/>
      <c r="F24" s="967"/>
      <c r="G24" s="1015"/>
      <c r="H24" s="1082"/>
      <c r="I24" s="1129">
        <f>INDEX(TEMPLATE_NUMBER_POINT_FHD,B24,MATCH(TEMPLATE_SPHERE,TEMPLATE_SPHERE_LIST_FOR_NOTE,0))</f>
        <v>0</v>
      </c>
      <c r="J24" s="1129">
        <f>INDEX(TEMPLATE_DATA_POINT_FHD,B24,MATCH(TEMPLATE_SPHERE,TEMPLATE_SPHERE_LIST_FOR_NOTE,0))</f>
        <v>0</v>
      </c>
      <c r="K24" s="1129">
        <f>INDEX(TEMPLATE_NOTE_POINT_FHD,B24,MATCH(TEMPLATE_SPHERE,TEMPLATE_SPHERE_LIST_FOR_NOTE,0))</f>
        <v>0</v>
      </c>
      <c r="L24" s="968" t="str">
        <f>IF(I24=0,"",I24)</f>
        <v/>
      </c>
      <c r="M24" s="968" t="str">
        <f>IF(J24=0,"",J24)</f>
        <v/>
      </c>
      <c r="N24" s="968" t="str">
        <f>IF(K24=0,"",K24)</f>
        <v/>
      </c>
      <c r="O24" s="1081"/>
      <c r="P24" s="1081"/>
      <c r="Q24" s="1081" t="s">
        <v>885</v>
      </c>
      <c r="R24" s="1081"/>
      <c r="S24" s="1081"/>
      <c r="T24" s="1088"/>
      <c r="U24" s="970"/>
      <c r="V24" s="970" t="s">
        <v>2463</v>
      </c>
      <c r="W24" s="970"/>
      <c r="X24" s="967"/>
      <c r="Y24" s="1124"/>
      <c r="Z24" s="970"/>
      <c r="AA24" s="973"/>
      <c r="AB24" s="970"/>
      <c r="AC24" s="970"/>
      <c r="AD24" s="970"/>
    </row>
    <row customHeight="1" ht="36">
      <c r="A25" s="969"/>
      <c r="B25" s="1023">
        <v>8</v>
      </c>
      <c r="C25" s="967">
        <v>6</v>
      </c>
      <c r="D25" s="1091"/>
      <c r="E25" s="967"/>
      <c r="F25" s="967"/>
      <c r="G25" s="1015"/>
      <c r="H25" s="1082"/>
      <c r="I25" s="1129" t="str">
        <f>INDEX(TEMPLATE_NUMBER_POINT_FHD,B25,MATCH(TEMPLATE_SPHERE,TEMPLATE_SPHERE_LIST_FOR_NOTE,0))</f>
        <v>2.3</v>
      </c>
      <c r="J25" s="112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29">
        <f>INDEX(TEMPLATE_NOTE_POINT_FHD,B25,MATCH(TEMPLATE_SPHERE,TEMPLATE_SPHERE_LIST_FOR_NOTE,0))</f>
        <v>0</v>
      </c>
      <c r="L25" s="968" t="str">
        <f>IF(I25=0,"",I25)</f>
        <v>2.3</v>
      </c>
      <c r="M25" s="968" t="str">
        <f>IF(J25=0,"",J25)</f>
        <v>Расходы на приобретаемую электрическую энергию (мощность), используемую в технологическом процессе</v>
      </c>
      <c r="N25" s="968" t="str">
        <f>IF(K25=0,"",K25)</f>
        <v/>
      </c>
      <c r="O25" s="1081" t="s">
        <v>422</v>
      </c>
      <c r="P25" s="1081" t="s">
        <v>419</v>
      </c>
      <c r="Q25" s="1081" t="s">
        <v>892</v>
      </c>
      <c r="R25" s="1081" t="s">
        <v>419</v>
      </c>
      <c r="S25" s="1081"/>
      <c r="T25" s="1088" t="s">
        <v>2464</v>
      </c>
      <c r="U25" s="970" t="s">
        <v>2464</v>
      </c>
      <c r="V25" s="970" t="s">
        <v>2464</v>
      </c>
      <c r="W25" s="970" t="s">
        <v>2464</v>
      </c>
      <c r="X25" s="967"/>
      <c r="Y25" s="1124"/>
      <c r="Z25" s="970"/>
      <c r="AA25" s="973"/>
      <c r="AB25" s="970"/>
      <c r="AC25" s="970"/>
      <c r="AD25" s="970"/>
    </row>
    <row customHeight="1" ht="18">
      <c r="A26" s="969"/>
      <c r="B26" s="1023">
        <v>9</v>
      </c>
      <c r="C26" s="967" t="s">
        <v>809</v>
      </c>
      <c r="D26" s="1091"/>
      <c r="E26" s="967"/>
      <c r="F26" s="967"/>
      <c r="G26" s="1015"/>
      <c r="H26" s="1082"/>
      <c r="I26" s="1129" t="str">
        <f>INDEX(TEMPLATE_NUMBER_POINT_FHD,B26,MATCH(TEMPLATE_SPHERE,TEMPLATE_SPHERE_LIST_FOR_NOTE,0))</f>
        <v>2.3.1</v>
      </c>
      <c r="J26" s="1129" t="str">
        <f>INDEX(TEMPLATE_DATA_POINT_FHD,B26,MATCH(TEMPLATE_SPHERE,TEMPLATE_SPHERE_LIST_FOR_NOTE,0))</f>
        <v>Средневзвешенная стоимость 1 кВт.ч (с учетом мощности)</v>
      </c>
      <c r="K26" s="1129">
        <f>INDEX(TEMPLATE_NOTE_POINT_FHD,B26,MATCH(TEMPLATE_SPHERE,TEMPLATE_SPHERE_LIST_FOR_NOTE,0))</f>
        <v>0</v>
      </c>
      <c r="L26" s="968" t="str">
        <f>IF(I26=0,"",I26)</f>
        <v>2.3.1</v>
      </c>
      <c r="M26" s="968" t="str">
        <f>IF(J26=0,"",J26)</f>
        <v>Средневзвешенная стоимость 1 кВт.ч (с учетом мощности)</v>
      </c>
      <c r="N26" s="968" t="str">
        <f>IF(K26=0,"",K26)</f>
        <v/>
      </c>
      <c r="O26" s="1081" t="s">
        <v>881</v>
      </c>
      <c r="P26" s="1081" t="s">
        <v>875</v>
      </c>
      <c r="Q26" s="1081" t="s">
        <v>2465</v>
      </c>
      <c r="R26" s="1081" t="s">
        <v>875</v>
      </c>
      <c r="S26" s="1081"/>
      <c r="T26" s="10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1088" t="s">
        <v>2466</v>
      </c>
      <c r="V26" s="1088" t="s">
        <v>2466</v>
      </c>
      <c r="W26" s="1088" t="s">
        <v>2466</v>
      </c>
      <c r="X26" s="967"/>
      <c r="Y26" s="1124"/>
      <c r="Z26" s="970"/>
      <c r="AA26" s="973"/>
      <c r="AB26" s="970"/>
      <c r="AC26" s="970"/>
      <c r="AD26" s="970"/>
    </row>
    <row customHeight="1" ht="18">
      <c r="A27" s="969"/>
      <c r="B27" s="1023">
        <v>10</v>
      </c>
      <c r="C27" s="967" t="s">
        <v>813</v>
      </c>
      <c r="D27" s="1091"/>
      <c r="E27" s="967"/>
      <c r="F27" s="967"/>
      <c r="G27" s="1015"/>
      <c r="H27" s="1082"/>
      <c r="I27" s="1129" t="str">
        <f>INDEX(TEMPLATE_NUMBER_POINT_FHD,B27,MATCH(TEMPLATE_SPHERE,TEMPLATE_SPHERE_LIST_FOR_NOTE,0))</f>
        <v>2.3.2</v>
      </c>
      <c r="J27" s="1129" t="str">
        <f>INDEX(TEMPLATE_DATA_POINT_FHD,B27,MATCH(TEMPLATE_SPHERE,TEMPLATE_SPHERE_LIST_FOR_NOTE,0))</f>
        <v>Объём приобретения электрической энергии</v>
      </c>
      <c r="K27" s="1129">
        <f>INDEX(TEMPLATE_NOTE_POINT_FHD,B27,MATCH(TEMPLATE_SPHERE,TEMPLATE_SPHERE_LIST_FOR_NOTE,0))</f>
        <v>0</v>
      </c>
      <c r="L27" s="968" t="str">
        <f>IF(I27=0,"",I27)</f>
        <v>2.3.2</v>
      </c>
      <c r="M27" s="968" t="str">
        <f>IF(J27=0,"",J27)</f>
        <v>Объём приобретения электрической энергии</v>
      </c>
      <c r="N27" s="968" t="str">
        <f>IF(K27=0,"",K27)</f>
        <v/>
      </c>
      <c r="O27" s="1081" t="s">
        <v>883</v>
      </c>
      <c r="P27" s="1081" t="s">
        <v>877</v>
      </c>
      <c r="Q27" s="1081" t="s">
        <v>2467</v>
      </c>
      <c r="R27" s="1081" t="s">
        <v>877</v>
      </c>
      <c r="S27" s="1081"/>
      <c r="T27" s="1088" t="s">
        <v>2468</v>
      </c>
      <c r="U27" s="1088" t="s">
        <v>2468</v>
      </c>
      <c r="V27" s="1088" t="s">
        <v>2468</v>
      </c>
      <c r="W27" s="1088" t="s">
        <v>2468</v>
      </c>
      <c r="X27" s="967"/>
      <c r="Y27" s="1124"/>
      <c r="Z27" s="970"/>
      <c r="AA27" s="973"/>
      <c r="AB27" s="970"/>
      <c r="AC27" s="970"/>
      <c r="AD27" s="970"/>
    </row>
    <row customHeight="1" ht="27">
      <c r="A28" s="969"/>
      <c r="B28" s="1023">
        <v>11</v>
      </c>
      <c r="C28" s="967">
        <v>7</v>
      </c>
      <c r="D28" s="1091"/>
      <c r="E28" s="967"/>
      <c r="F28" s="967"/>
      <c r="G28" s="1015"/>
      <c r="H28" s="1082"/>
      <c r="I28" s="1129" t="str">
        <f>INDEX(TEMPLATE_NUMBER_POINT_FHD,B28,MATCH(TEMPLATE_SPHERE,TEMPLATE_SPHERE_LIST_FOR_NOTE,0))</f>
        <v>2.4</v>
      </c>
      <c r="J28" s="1129" t="str">
        <f>INDEX(TEMPLATE_DATA_POINT_FHD,B28,MATCH(TEMPLATE_SPHERE,TEMPLATE_SPHERE_LIST_FOR_NOTE,0))</f>
        <v>Расходы на приобретение холодной воды, используемой в технологическом процессе</v>
      </c>
      <c r="K28" s="1129">
        <f>INDEX(TEMPLATE_NOTE_POINT_FHD,B28,MATCH(TEMPLATE_SPHERE,TEMPLATE_SPHERE_LIST_FOR_NOTE,0))</f>
        <v>0</v>
      </c>
      <c r="L28" s="968" t="str">
        <f>IF(I28=0,"",I28)</f>
        <v>2.4</v>
      </c>
      <c r="M28" s="968" t="str">
        <f>IF(J28=0,"",J28)</f>
        <v>Расходы на приобретение холодной воды, используемой в технологическом процессе</v>
      </c>
      <c r="N28" s="968" t="str">
        <f>IF(K28=0,"",K28)</f>
        <v/>
      </c>
      <c r="O28" s="1081" t="s">
        <v>885</v>
      </c>
      <c r="P28" s="1081"/>
      <c r="Q28" s="1081"/>
      <c r="R28" s="1081"/>
      <c r="S28" s="1081"/>
      <c r="T28" s="1088" t="s">
        <v>2469</v>
      </c>
      <c r="U28" s="970"/>
      <c r="V28" s="970"/>
      <c r="W28" s="970"/>
      <c r="X28" s="967"/>
      <c r="Y28" s="1124"/>
      <c r="Z28" s="970"/>
      <c r="AA28" s="973"/>
      <c r="AB28" s="970"/>
      <c r="AC28" s="970"/>
      <c r="AD28" s="970"/>
    </row>
    <row customHeight="1" ht="27">
      <c r="A29" s="969"/>
      <c r="B29" s="1023">
        <v>12</v>
      </c>
      <c r="C29" s="967">
        <v>8</v>
      </c>
      <c r="D29" s="1091"/>
      <c r="E29" s="967"/>
      <c r="F29" s="967"/>
      <c r="G29" s="1015"/>
      <c r="H29" s="1082"/>
      <c r="I29" s="1129" t="str">
        <f>INDEX(TEMPLATE_NUMBER_POINT_FHD,B29,MATCH(TEMPLATE_SPHERE,TEMPLATE_SPHERE_LIST_FOR_NOTE,0))</f>
        <v>2.5</v>
      </c>
      <c r="J29" s="1129" t="str">
        <f>INDEX(TEMPLATE_DATA_POINT_FHD,B29,MATCH(TEMPLATE_SPHERE,TEMPLATE_SPHERE_LIST_FOR_NOTE,0))</f>
        <v>Расходы на  химические реагенты, используемые в технологическом процессе</v>
      </c>
      <c r="K29" s="1129">
        <f>INDEX(TEMPLATE_NOTE_POINT_FHD,B29,MATCH(TEMPLATE_SPHERE,TEMPLATE_SPHERE_LIST_FOR_NOTE,0))</f>
        <v>0</v>
      </c>
      <c r="L29" s="968" t="str">
        <f>IF(I29=0,"",I29)</f>
        <v>2.5</v>
      </c>
      <c r="M29" s="968" t="str">
        <f>IF(J29=0,"",J29)</f>
        <v>Расходы на  химические реагенты, используемые в технологическом процессе</v>
      </c>
      <c r="N29" s="968" t="str">
        <f>IF(K29=0,"",K29)</f>
        <v/>
      </c>
      <c r="O29" s="1081" t="s">
        <v>892</v>
      </c>
      <c r="P29" s="1081" t="s">
        <v>422</v>
      </c>
      <c r="Q29" s="1081"/>
      <c r="R29" s="1081" t="s">
        <v>422</v>
      </c>
      <c r="S29" s="1081"/>
      <c r="T29" s="10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970" t="s">
        <v>2470</v>
      </c>
      <c r="V29" s="970"/>
      <c r="W29" s="970" t="s">
        <v>2470</v>
      </c>
      <c r="X29" s="967"/>
      <c r="Y29" s="1124"/>
      <c r="Z29" s="970"/>
      <c r="AA29" s="973"/>
      <c r="AB29" s="970"/>
      <c r="AC29" s="970"/>
      <c r="AD29" s="970"/>
    </row>
    <row customHeight="1" ht="54">
      <c r="A30" s="969"/>
      <c r="B30" s="1023">
        <v>13</v>
      </c>
      <c r="C30" s="967">
        <v>9</v>
      </c>
      <c r="D30" s="1091"/>
      <c r="E30" s="967"/>
      <c r="F30" s="967"/>
      <c r="G30" s="1015"/>
      <c r="H30" s="1082"/>
      <c r="I30" s="1129" t="str">
        <f>INDEX(TEMPLATE_NUMBER_POINT_FHD,B30,MATCH(TEMPLATE_SPHERE,TEMPLATE_SPHERE_LIST_FOR_NOTE,0))</f>
        <v>2.6</v>
      </c>
      <c r="J30" s="112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29">
        <f>INDEX(TEMPLATE_NOTE_POINT_FHD,B30,MATCH(TEMPLATE_SPHERE,TEMPLATE_SPHERE_LIST_FOR_NOTE,0))</f>
        <v>0</v>
      </c>
      <c r="L30" s="968" t="str">
        <f>IF(I30=0,"",I30)</f>
        <v>2.6</v>
      </c>
      <c r="M30" s="96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68" t="str">
        <f>IF(K30=0,"",K30)</f>
        <v/>
      </c>
      <c r="O30" s="1081" t="s">
        <v>894</v>
      </c>
      <c r="P30" s="1081" t="s">
        <v>885</v>
      </c>
      <c r="Q30" s="1081" t="s">
        <v>894</v>
      </c>
      <c r="R30" s="1081" t="s">
        <v>885</v>
      </c>
      <c r="S30" s="1081"/>
      <c r="T30" s="1088" t="s">
        <v>2471</v>
      </c>
      <c r="U30" s="970" t="s">
        <v>2471</v>
      </c>
      <c r="V30" s="970" t="s">
        <v>2471</v>
      </c>
      <c r="W30" s="970" t="s">
        <v>2471</v>
      </c>
      <c r="X30" s="967"/>
      <c r="Y30" s="1124"/>
      <c r="Z30" s="970"/>
      <c r="AA30" s="973" t="s">
        <v>2472</v>
      </c>
      <c r="AB30" s="973" t="s">
        <v>2472</v>
      </c>
      <c r="AC30" s="973" t="s">
        <v>2472</v>
      </c>
      <c r="AD30" s="970"/>
    </row>
    <row customHeight="1" ht="18">
      <c r="A31" s="969"/>
      <c r="B31" s="1023">
        <v>14</v>
      </c>
      <c r="C31" s="967" t="s">
        <v>2473</v>
      </c>
      <c r="D31" s="1091"/>
      <c r="E31" s="967"/>
      <c r="F31" s="967"/>
      <c r="G31" s="1015"/>
      <c r="H31" s="1082"/>
      <c r="I31" s="1129" t="str">
        <f>INDEX(TEMPLATE_NUMBER_POINT_FHD,B31,MATCH(TEMPLATE_SPHERE,TEMPLATE_SPHERE_LIST_FOR_NOTE,0))</f>
        <v>2.6.1</v>
      </c>
      <c r="J31" s="1129" t="str">
        <f>INDEX(TEMPLATE_DATA_POINT_FHD,B31,MATCH(TEMPLATE_SPHERE,TEMPLATE_SPHERE_LIST_FOR_NOTE,0))</f>
        <v>Расходы на оплату труда основного производственного персонала</v>
      </c>
      <c r="K31" s="1129">
        <f>INDEX(TEMPLATE_NOTE_POINT_FHD,B31,MATCH(TEMPLATE_SPHERE,TEMPLATE_SPHERE_LIST_FOR_NOTE,0))</f>
        <v>0</v>
      </c>
      <c r="L31" s="968" t="str">
        <f>IF(I31=0,"",I31)</f>
        <v>2.6.1</v>
      </c>
      <c r="M31" s="968" t="str">
        <f>IF(J31=0,"",J31)</f>
        <v>Расходы на оплату труда основного производственного персонала</v>
      </c>
      <c r="N31" s="968" t="str">
        <f>IF(K31=0,"",K31)</f>
        <v/>
      </c>
      <c r="O31" s="1081" t="s">
        <v>2474</v>
      </c>
      <c r="P31" s="1081" t="s">
        <v>888</v>
      </c>
      <c r="Q31" s="1081" t="s">
        <v>2474</v>
      </c>
      <c r="R31" s="1081" t="s">
        <v>888</v>
      </c>
      <c r="S31" s="1081"/>
      <c r="T31" s="1089" t="s">
        <v>2475</v>
      </c>
      <c r="U31" s="970" t="s">
        <v>2475</v>
      </c>
      <c r="V31" s="970" t="s">
        <v>2475</v>
      </c>
      <c r="W31" s="970" t="s">
        <v>2475</v>
      </c>
      <c r="X31" s="967"/>
      <c r="Y31" s="1124"/>
      <c r="Z31" s="970"/>
      <c r="AA31" s="973"/>
      <c r="AB31" s="973"/>
      <c r="AC31" s="973"/>
      <c r="AD31" s="970"/>
    </row>
    <row customHeight="1" ht="36">
      <c r="A32" s="969"/>
      <c r="B32" s="1023">
        <v>15</v>
      </c>
      <c r="C32" s="967" t="s">
        <v>2476</v>
      </c>
      <c r="D32" s="1091"/>
      <c r="E32" s="967"/>
      <c r="F32" s="967"/>
      <c r="G32" s="1015"/>
      <c r="H32" s="1082"/>
      <c r="I32" s="1129" t="str">
        <f>INDEX(TEMPLATE_NUMBER_POINT_FHD,B32,MATCH(TEMPLATE_SPHERE,TEMPLATE_SPHERE_LIST_FOR_NOTE,0))</f>
        <v>2.6.2</v>
      </c>
      <c r="J32" s="112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29">
        <f>INDEX(TEMPLATE_NOTE_POINT_FHD,B32,MATCH(TEMPLATE_SPHERE,TEMPLATE_SPHERE_LIST_FOR_NOTE,0))</f>
        <v>0</v>
      </c>
      <c r="L32" s="968" t="str">
        <f>IF(I32=0,"",I32)</f>
        <v>2.6.2</v>
      </c>
      <c r="M32" s="968" t="str">
        <f>IF(J32=0,"",J32)</f>
        <v>Страховые взносы на обязательное социальное страхование, выплачиваемые из фонда оплаты труда основного производственного персонала</v>
      </c>
      <c r="N32" s="968" t="str">
        <f>IF(K32=0,"",K32)</f>
        <v/>
      </c>
      <c r="O32" s="1081" t="s">
        <v>2477</v>
      </c>
      <c r="P32" s="1081" t="s">
        <v>890</v>
      </c>
      <c r="Q32" s="1081" t="s">
        <v>2477</v>
      </c>
      <c r="R32" s="1081" t="s">
        <v>890</v>
      </c>
      <c r="S32" s="1081"/>
      <c r="T32" s="10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970" t="s">
        <v>2478</v>
      </c>
      <c r="V32" s="970" t="s">
        <v>2478</v>
      </c>
      <c r="W32" s="970" t="s">
        <v>2478</v>
      </c>
      <c r="X32" s="967"/>
      <c r="Y32" s="1124"/>
      <c r="Z32" s="970"/>
      <c r="AA32" s="973"/>
      <c r="AB32" s="973"/>
      <c r="AC32" s="973"/>
      <c r="AD32" s="970"/>
    </row>
    <row customHeight="1" ht="45">
      <c r="A33" s="969"/>
      <c r="B33" s="1023">
        <v>16</v>
      </c>
      <c r="C33" s="967">
        <v>10</v>
      </c>
      <c r="D33" s="1091"/>
      <c r="E33" s="967"/>
      <c r="F33" s="967"/>
      <c r="G33" s="1015"/>
      <c r="H33" s="1082"/>
      <c r="I33" s="1129" t="str">
        <f>INDEX(TEMPLATE_NUMBER_POINT_FHD,B33,MATCH(TEMPLATE_SPHERE,TEMPLATE_SPHERE_LIST_FOR_NOTE,0))</f>
        <v>2.7</v>
      </c>
      <c r="J33" s="112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29">
        <f>INDEX(TEMPLATE_NOTE_POINT_FHD,B33,MATCH(TEMPLATE_SPHERE,TEMPLATE_SPHERE_LIST_FOR_NOTE,0))</f>
        <v>0</v>
      </c>
      <c r="L33" s="968" t="str">
        <f>IF(I33=0,"",I33)</f>
        <v>2.7</v>
      </c>
      <c r="M33" s="96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68" t="str">
        <f>IF(K33=0,"",K33)</f>
        <v/>
      </c>
      <c r="O33" s="1081" t="s">
        <v>896</v>
      </c>
      <c r="P33" s="1081" t="s">
        <v>892</v>
      </c>
      <c r="Q33" s="1081" t="s">
        <v>896</v>
      </c>
      <c r="R33" s="1081" t="s">
        <v>892</v>
      </c>
      <c r="S33" s="1081"/>
      <c r="T33" s="10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970" t="s">
        <v>2479</v>
      </c>
      <c r="V33" s="970" t="s">
        <v>2479</v>
      </c>
      <c r="W33" s="970" t="s">
        <v>2480</v>
      </c>
      <c r="X33" s="967"/>
      <c r="Y33" s="1124"/>
      <c r="Z33" s="970"/>
      <c r="AA33" s="973" t="s">
        <v>2481</v>
      </c>
      <c r="AB33" s="973" t="s">
        <v>2481</v>
      </c>
      <c r="AC33" s="973" t="s">
        <v>2481</v>
      </c>
      <c r="AD33" s="970"/>
    </row>
    <row customHeight="1" ht="27">
      <c r="A34" s="969"/>
      <c r="B34" s="1023">
        <v>17</v>
      </c>
      <c r="C34" s="967" t="s">
        <v>2482</v>
      </c>
      <c r="D34" s="1091"/>
      <c r="E34" s="967"/>
      <c r="F34" s="967"/>
      <c r="G34" s="1015"/>
      <c r="H34" s="1082"/>
      <c r="I34" s="1129" t="str">
        <f>INDEX(TEMPLATE_NUMBER_POINT_FHD,B34,MATCH(TEMPLATE_SPHERE,TEMPLATE_SPHERE_LIST_FOR_NOTE,0))</f>
        <v>2.7.1</v>
      </c>
      <c r="J34" s="1129" t="str">
        <f>INDEX(TEMPLATE_DATA_POINT_FHD,B34,MATCH(TEMPLATE_SPHERE,TEMPLATE_SPHERE_LIST_FOR_NOTE,0))</f>
        <v>Расходы на оплату труда административно-управленческого персонала</v>
      </c>
      <c r="K34" s="1129">
        <f>INDEX(TEMPLATE_NOTE_POINT_FHD,B34,MATCH(TEMPLATE_SPHERE,TEMPLATE_SPHERE_LIST_FOR_NOTE,0))</f>
        <v>0</v>
      </c>
      <c r="L34" s="968" t="str">
        <f>IF(I34=0,"",I34)</f>
        <v>2.7.1</v>
      </c>
      <c r="M34" s="968" t="str">
        <f>IF(J34=0,"",J34)</f>
        <v>Расходы на оплату труда административно-управленческого персонала</v>
      </c>
      <c r="N34" s="968" t="str">
        <f>IF(K34=0,"",K34)</f>
        <v/>
      </c>
      <c r="O34" s="1081" t="s">
        <v>2483</v>
      </c>
      <c r="P34" s="1081" t="s">
        <v>2465</v>
      </c>
      <c r="Q34" s="1081" t="s">
        <v>2483</v>
      </c>
      <c r="R34" s="1081" t="s">
        <v>2465</v>
      </c>
      <c r="S34" s="1081"/>
      <c r="T34" s="1090" t="s">
        <v>2484</v>
      </c>
      <c r="U34" s="970" t="s">
        <v>2484</v>
      </c>
      <c r="V34" s="970" t="s">
        <v>2484</v>
      </c>
      <c r="W34" s="970" t="s">
        <v>2485</v>
      </c>
      <c r="X34" s="967"/>
      <c r="Y34" s="1124"/>
      <c r="Z34" s="970"/>
      <c r="AA34" s="973"/>
      <c r="AB34" s="970"/>
      <c r="AC34" s="970"/>
      <c r="AD34" s="970"/>
    </row>
    <row customHeight="1" ht="45">
      <c r="A35" s="969"/>
      <c r="B35" s="1023">
        <v>18</v>
      </c>
      <c r="C35" s="967" t="s">
        <v>2486</v>
      </c>
      <c r="D35" s="1091"/>
      <c r="E35" s="967"/>
      <c r="F35" s="967"/>
      <c r="G35" s="1015"/>
      <c r="H35" s="1082"/>
      <c r="I35" s="1129" t="str">
        <f>INDEX(TEMPLATE_NUMBER_POINT_FHD,B35,MATCH(TEMPLATE_SPHERE,TEMPLATE_SPHERE_LIST_FOR_NOTE,0))</f>
        <v>2.7.2</v>
      </c>
      <c r="J35" s="112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29">
        <f>INDEX(TEMPLATE_NOTE_POINT_FHD,B35,MATCH(TEMPLATE_SPHERE,TEMPLATE_SPHERE_LIST_FOR_NOTE,0))</f>
        <v>0</v>
      </c>
      <c r="L35" s="968" t="str">
        <f>IF(I35=0,"",I35)</f>
        <v>2.7.2</v>
      </c>
      <c r="M35" s="96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68" t="str">
        <f>IF(K35=0,"",K35)</f>
        <v/>
      </c>
      <c r="O35" s="1081" t="s">
        <v>2487</v>
      </c>
      <c r="P35" s="1081" t="s">
        <v>2467</v>
      </c>
      <c r="Q35" s="1081" t="s">
        <v>2487</v>
      </c>
      <c r="R35" s="1081" t="s">
        <v>2467</v>
      </c>
      <c r="S35" s="1081"/>
      <c r="T35" s="10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970" t="s">
        <v>2488</v>
      </c>
      <c r="V35" s="970" t="s">
        <v>2488</v>
      </c>
      <c r="W35" s="970" t="s">
        <v>2488</v>
      </c>
      <c r="X35" s="967"/>
      <c r="Y35" s="1124"/>
      <c r="Z35" s="970"/>
      <c r="AA35" s="973"/>
      <c r="AB35" s="970"/>
      <c r="AC35" s="970"/>
      <c r="AD35" s="970"/>
    </row>
    <row customHeight="1" ht="18">
      <c r="A36" s="969"/>
      <c r="B36" s="1023">
        <v>19</v>
      </c>
      <c r="C36" s="967">
        <v>11</v>
      </c>
      <c r="D36" s="1091"/>
      <c r="E36" s="967"/>
      <c r="F36" s="967"/>
      <c r="G36" s="1015"/>
      <c r="H36" s="1082"/>
      <c r="I36" s="1129" t="str">
        <f>INDEX(TEMPLATE_NUMBER_POINT_FHD,B36,MATCH(TEMPLATE_SPHERE,TEMPLATE_SPHERE_LIST_FOR_NOTE,0))</f>
        <v>2.8</v>
      </c>
      <c r="J36" s="1129" t="str">
        <f>INDEX(TEMPLATE_DATA_POINT_FHD,B36,MATCH(TEMPLATE_SPHERE,TEMPLATE_SPHERE_LIST_FOR_NOTE,0))</f>
        <v>Расходы на амортизацию основных средств и нематериальных активов</v>
      </c>
      <c r="K36" s="1129">
        <f>INDEX(TEMPLATE_NOTE_POINT_FHD,B36,MATCH(TEMPLATE_SPHERE,TEMPLATE_SPHERE_LIST_FOR_NOTE,0))</f>
        <v>0</v>
      </c>
      <c r="L36" s="968" t="str">
        <f>IF(I36=0,"",I36)</f>
        <v>2.8</v>
      </c>
      <c r="M36" s="968" t="str">
        <f>IF(J36=0,"",J36)</f>
        <v>Расходы на амортизацию основных средств и нематериальных активов</v>
      </c>
      <c r="N36" s="968" t="str">
        <f>IF(K36=0,"",K36)</f>
        <v/>
      </c>
      <c r="O36" s="1081" t="s">
        <v>898</v>
      </c>
      <c r="P36" s="1081" t="s">
        <v>894</v>
      </c>
      <c r="Q36" s="1081" t="s">
        <v>898</v>
      </c>
      <c r="R36" s="1081" t="s">
        <v>894</v>
      </c>
      <c r="S36" s="1081"/>
      <c r="T36" s="1088" t="s">
        <v>2489</v>
      </c>
      <c r="U36" s="970" t="s">
        <v>2489</v>
      </c>
      <c r="V36" s="970" t="s">
        <v>2489</v>
      </c>
      <c r="W36" s="970" t="s">
        <v>2489</v>
      </c>
      <c r="X36" s="967"/>
      <c r="Y36" s="1124"/>
      <c r="Z36" s="970"/>
      <c r="AA36" s="973"/>
      <c r="AB36" s="970"/>
      <c r="AC36" s="970"/>
      <c r="AD36" s="970"/>
    </row>
    <row customHeight="1" ht="18">
      <c r="A37" s="969"/>
      <c r="B37" s="1023">
        <v>20</v>
      </c>
      <c r="C37" s="967" t="s">
        <v>2490</v>
      </c>
      <c r="D37" s="1091"/>
      <c r="E37" s="967"/>
      <c r="F37" s="967"/>
      <c r="G37" s="1015"/>
      <c r="H37" s="1082"/>
      <c r="I37" s="1129" t="str">
        <f>INDEX(TEMPLATE_NUMBER_POINT_FHD,B37,MATCH(TEMPLATE_SPHERE,TEMPLATE_SPHERE_LIST_FOR_NOTE,0))</f>
        <v>2.8.1</v>
      </c>
      <c r="J37" s="1129" t="str">
        <f>INDEX(TEMPLATE_DATA_POINT_FHD,B37,MATCH(TEMPLATE_SPHERE,TEMPLATE_SPHERE_LIST_FOR_NOTE,0))</f>
        <v>Расходы на амортизацию основных средств</v>
      </c>
      <c r="K37" s="1129">
        <f>INDEX(TEMPLATE_NOTE_POINT_FHD,B37,MATCH(TEMPLATE_SPHERE,TEMPLATE_SPHERE_LIST_FOR_NOTE,0))</f>
        <v>0</v>
      </c>
      <c r="L37" s="968" t="str">
        <f>IF(I37=0,"",I37)</f>
        <v>2.8.1</v>
      </c>
      <c r="M37" s="968" t="str">
        <f>IF(J37=0,"",J37)</f>
        <v>Расходы на амортизацию основных средств</v>
      </c>
      <c r="N37" s="968" t="str">
        <f>IF(K37=0,"",K37)</f>
        <v/>
      </c>
      <c r="O37" s="1081" t="s">
        <v>2491</v>
      </c>
      <c r="P37" s="1081" t="s">
        <v>2474</v>
      </c>
      <c r="Q37" s="1081" t="s">
        <v>2491</v>
      </c>
      <c r="R37" s="1081" t="s">
        <v>2474</v>
      </c>
      <c r="S37" s="1081"/>
      <c r="T37" s="1088" t="s">
        <v>2492</v>
      </c>
      <c r="U37" s="970" t="s">
        <v>2492</v>
      </c>
      <c r="V37" s="970" t="s">
        <v>2492</v>
      </c>
      <c r="W37" s="970" t="s">
        <v>2492</v>
      </c>
      <c r="X37" s="967"/>
      <c r="Y37" s="1124"/>
      <c r="Z37" s="970"/>
      <c r="AA37" s="973"/>
      <c r="AB37" s="970"/>
      <c r="AC37" s="970"/>
      <c r="AD37" s="970"/>
    </row>
    <row customHeight="1" ht="18">
      <c r="A38" s="969"/>
      <c r="B38" s="1023">
        <v>21</v>
      </c>
      <c r="C38" s="967" t="s">
        <v>2493</v>
      </c>
      <c r="D38" s="1091"/>
      <c r="E38" s="967"/>
      <c r="F38" s="967"/>
      <c r="G38" s="1015"/>
      <c r="H38" s="1082"/>
      <c r="I38" s="1129" t="str">
        <f>INDEX(TEMPLATE_NUMBER_POINT_FHD,B38,MATCH(TEMPLATE_SPHERE,TEMPLATE_SPHERE_LIST_FOR_NOTE,0))</f>
        <v>2.8.2</v>
      </c>
      <c r="J38" s="1129" t="str">
        <f>INDEX(TEMPLATE_DATA_POINT_FHD,B38,MATCH(TEMPLATE_SPHERE,TEMPLATE_SPHERE_LIST_FOR_NOTE,0))</f>
        <v>Расходы на амортизацию нематериальных активов</v>
      </c>
      <c r="K38" s="1129">
        <f>INDEX(TEMPLATE_NOTE_POINT_FHD,B38,MATCH(TEMPLATE_SPHERE,TEMPLATE_SPHERE_LIST_FOR_NOTE,0))</f>
        <v>0</v>
      </c>
      <c r="L38" s="968" t="str">
        <f>IF(I38=0,"",I38)</f>
        <v>2.8.2</v>
      </c>
      <c r="M38" s="968" t="str">
        <f>IF(J38=0,"",J38)</f>
        <v>Расходы на амортизацию нематериальных активов</v>
      </c>
      <c r="N38" s="968" t="str">
        <f>IF(K38=0,"",K38)</f>
        <v/>
      </c>
      <c r="O38" s="1081" t="s">
        <v>2494</v>
      </c>
      <c r="P38" s="1081" t="s">
        <v>2477</v>
      </c>
      <c r="Q38" s="1081" t="s">
        <v>2494</v>
      </c>
      <c r="R38" s="1081" t="s">
        <v>2477</v>
      </c>
      <c r="S38" s="1081"/>
      <c r="T38" s="1088" t="s">
        <v>2495</v>
      </c>
      <c r="U38" s="970" t="s">
        <v>2495</v>
      </c>
      <c r="V38" s="970" t="s">
        <v>2495</v>
      </c>
      <c r="W38" s="970" t="s">
        <v>2495</v>
      </c>
      <c r="X38" s="967"/>
      <c r="Y38" s="1124"/>
      <c r="Z38" s="970"/>
      <c r="AA38" s="973"/>
      <c r="AB38" s="970"/>
      <c r="AC38" s="970"/>
      <c r="AD38" s="970"/>
    </row>
    <row customHeight="1" ht="36">
      <c r="A39" s="969"/>
      <c r="B39" s="1023">
        <v>22</v>
      </c>
      <c r="C39" s="967">
        <v>12</v>
      </c>
      <c r="D39" s="1091"/>
      <c r="E39" s="967"/>
      <c r="F39" s="967"/>
      <c r="G39" s="1015"/>
      <c r="H39" s="1082"/>
      <c r="I39" s="1129" t="str">
        <f>INDEX(TEMPLATE_NUMBER_POINT_FHD,B39,MATCH(TEMPLATE_SPHERE,TEMPLATE_SPHERE_LIST_FOR_NOTE,0))</f>
        <v>2.9</v>
      </c>
      <c r="J39" s="1129" t="str">
        <f>INDEX(TEMPLATE_DATA_POINT_FHD,B39,MATCH(TEMPLATE_SPHERE,TEMPLATE_SPHERE_LIST_FOR_NOTE,0))</f>
        <v>Расходы на аренду имущества, используемого для осуществления регулируемого вида деятельности</v>
      </c>
      <c r="K39" s="1129">
        <f>INDEX(TEMPLATE_NOTE_POINT_FHD,B39,MATCH(TEMPLATE_SPHERE,TEMPLATE_SPHERE_LIST_FOR_NOTE,0))</f>
        <v>0</v>
      </c>
      <c r="L39" s="968" t="str">
        <f>IF(I39=0,"",I39)</f>
        <v>2.9</v>
      </c>
      <c r="M39" s="968" t="str">
        <f>IF(J39=0,"",J39)</f>
        <v>Расходы на аренду имущества, используемого для осуществления регулируемого вида деятельности</v>
      </c>
      <c r="N39" s="968" t="str">
        <f>IF(K39=0,"",K39)</f>
        <v/>
      </c>
      <c r="O39" s="1081" t="s">
        <v>902</v>
      </c>
      <c r="P39" s="1081" t="s">
        <v>896</v>
      </c>
      <c r="Q39" s="1081" t="s">
        <v>902</v>
      </c>
      <c r="R39" s="1081" t="s">
        <v>896</v>
      </c>
      <c r="S39" s="1081"/>
      <c r="T39" s="1088" t="s">
        <v>2496</v>
      </c>
      <c r="U39" s="970" t="s">
        <v>2497</v>
      </c>
      <c r="V39" s="970" t="s">
        <v>2498</v>
      </c>
      <c r="W39" s="970" t="s">
        <v>2499</v>
      </c>
      <c r="X39" s="967"/>
      <c r="Y39" s="1124"/>
      <c r="Z39" s="970"/>
      <c r="AA39" s="973"/>
      <c r="AB39" s="970"/>
      <c r="AC39" s="970"/>
      <c r="AD39" s="970"/>
    </row>
    <row customHeight="1" ht="18">
      <c r="A40" s="969"/>
      <c r="B40" s="1023">
        <v>23</v>
      </c>
      <c r="C40" s="967">
        <v>13</v>
      </c>
      <c r="D40" s="1091"/>
      <c r="E40" s="967"/>
      <c r="F40" s="967"/>
      <c r="G40" s="967"/>
      <c r="H40" s="1018"/>
      <c r="I40" s="1129" t="str">
        <f>INDEX(TEMPLATE_NUMBER_POINT_FHD,B40,MATCH(TEMPLATE_SPHERE,TEMPLATE_SPHERE_LIST_FOR_NOTE,0))</f>
        <v>2.10</v>
      </c>
      <c r="J40" s="1129" t="str">
        <f>INDEX(TEMPLATE_DATA_POINT_FHD,B40,MATCH(TEMPLATE_SPHERE,TEMPLATE_SPHERE_LIST_FOR_NOTE,0))</f>
        <v>Общепроизводственные расходы, в том числе:</v>
      </c>
      <c r="K40" s="1129" t="str">
        <f>INDEX(TEMPLATE_NOTE_POINT_FHD,B40,MATCH(TEMPLATE_SPHERE,TEMPLATE_SPHERE_LIST_FOR_NOTE,0))</f>
        <v>Указывается общая сумма общепроизводственных расходов.</v>
      </c>
      <c r="L40" s="968" t="str">
        <f>IF(I40=0,"",I40)</f>
        <v>2.10</v>
      </c>
      <c r="M40" s="968" t="str">
        <f>IF(J40=0,"",J40)</f>
        <v>Общепроизводственные расходы, в том числе:</v>
      </c>
      <c r="N40" s="968" t="str">
        <f>IF(K40=0,"",K40)</f>
        <v>Указывается общая сумма общепроизводственных расходов.</v>
      </c>
      <c r="O40" s="1081" t="s">
        <v>954</v>
      </c>
      <c r="P40" s="1081" t="s">
        <v>898</v>
      </c>
      <c r="Q40" s="1081" t="s">
        <v>954</v>
      </c>
      <c r="R40" s="1081" t="s">
        <v>898</v>
      </c>
      <c r="S40" s="1081"/>
      <c r="T40" s="967" t="s">
        <v>2500</v>
      </c>
      <c r="U40" s="967" t="s">
        <v>2500</v>
      </c>
      <c r="V40" s="967" t="s">
        <v>2500</v>
      </c>
      <c r="W40" s="967" t="s">
        <v>2500</v>
      </c>
      <c r="X40" s="967"/>
      <c r="Y40" s="1124"/>
      <c r="Z40" s="970" t="s">
        <v>2501</v>
      </c>
      <c r="AA40" s="973" t="s">
        <v>2501</v>
      </c>
      <c r="AB40" s="973" t="s">
        <v>2501</v>
      </c>
      <c r="AC40" s="973" t="s">
        <v>2501</v>
      </c>
      <c r="AD40" s="970"/>
    </row>
    <row customHeight="1" ht="27">
      <c r="A41" s="969"/>
      <c r="B41" s="1023">
        <v>24</v>
      </c>
      <c r="C41" s="967" t="s">
        <v>2502</v>
      </c>
      <c r="D41" s="1091"/>
      <c r="E41" s="967"/>
      <c r="F41" s="967"/>
      <c r="G41" s="967"/>
      <c r="H41" s="1015"/>
      <c r="I41" s="1129" t="str">
        <f>INDEX(TEMPLATE_NUMBER_POINT_FHD,B41,MATCH(TEMPLATE_SPHERE,TEMPLATE_SPHERE_LIST_FOR_NOTE,0))</f>
        <v>2.10.1</v>
      </c>
      <c r="J41" s="1129" t="str">
        <f>INDEX(TEMPLATE_DATA_POINT_FHD,B41,MATCH(TEMPLATE_SPHERE,TEMPLATE_SPHERE_LIST_FOR_NOTE,0))</f>
        <v>Расходы на текущий ремонт</v>
      </c>
      <c r="K41" s="1129" t="str">
        <f>INDEX(TEMPLATE_NOTE_POINT_FHD,B41,MATCH(TEMPLATE_SPHERE,TEMPLATE_SPHERE_LIST_FOR_NOTE,0))</f>
        <v>Указываются расходы на текущий ремонт, отнесенные к общепроизводственным расходам.</v>
      </c>
      <c r="L41" s="968" t="str">
        <f>IF(I41=0,"",I41)</f>
        <v>2.10.1</v>
      </c>
      <c r="M41" s="968" t="str">
        <f>IF(J41=0,"",J41)</f>
        <v>Расходы на текущий ремонт</v>
      </c>
      <c r="N41" s="968" t="str">
        <f>IF(K41=0,"",K41)</f>
        <v>Указываются расходы на текущий ремонт, отнесенные к общепроизводственным расходам.</v>
      </c>
      <c r="O41" s="1081" t="s">
        <v>2503</v>
      </c>
      <c r="P41" s="1081" t="s">
        <v>2491</v>
      </c>
      <c r="Q41" s="1081" t="s">
        <v>2503</v>
      </c>
      <c r="R41" s="1081" t="s">
        <v>2491</v>
      </c>
      <c r="S41" s="1081"/>
      <c r="T41" s="967" t="s">
        <v>2504</v>
      </c>
      <c r="U41" s="967" t="s">
        <v>2504</v>
      </c>
      <c r="V41" s="967" t="s">
        <v>2504</v>
      </c>
      <c r="W41" s="967" t="s">
        <v>2504</v>
      </c>
      <c r="X41" s="967"/>
      <c r="Y41" s="1124"/>
      <c r="Z41" s="970" t="s">
        <v>2505</v>
      </c>
      <c r="AA41" s="970" t="s">
        <v>2505</v>
      </c>
      <c r="AB41" s="970" t="s">
        <v>2505</v>
      </c>
      <c r="AC41" s="970" t="s">
        <v>2505</v>
      </c>
      <c r="AD41" s="970"/>
    </row>
    <row customHeight="1" ht="27">
      <c r="A42" s="969"/>
      <c r="B42" s="1023">
        <v>25</v>
      </c>
      <c r="C42" s="967" t="s">
        <v>2506</v>
      </c>
      <c r="D42" s="1091"/>
      <c r="E42" s="967"/>
      <c r="F42" s="967"/>
      <c r="G42" s="967"/>
      <c r="H42" s="1015"/>
      <c r="I42" s="1129" t="str">
        <f>INDEX(TEMPLATE_NUMBER_POINT_FHD,B42,MATCH(TEMPLATE_SPHERE,TEMPLATE_SPHERE_LIST_FOR_NOTE,0))</f>
        <v>2.10.2</v>
      </c>
      <c r="J42" s="1129" t="str">
        <f>INDEX(TEMPLATE_DATA_POINT_FHD,B42,MATCH(TEMPLATE_SPHERE,TEMPLATE_SPHERE_LIST_FOR_NOTE,0))</f>
        <v>Расходы на капитальный ремонт</v>
      </c>
      <c r="K42" s="1129" t="str">
        <f>INDEX(TEMPLATE_NOTE_POINT_FHD,B42,MATCH(TEMPLATE_SPHERE,TEMPLATE_SPHERE_LIST_FOR_NOTE,0))</f>
        <v>Указываются расходы на капитальный ремонт, отнесенные к общепроизводственным расходам.</v>
      </c>
      <c r="L42" s="968" t="str">
        <f>IF(I42=0,"",I42)</f>
        <v>2.10.2</v>
      </c>
      <c r="M42" s="968" t="str">
        <f>IF(J42=0,"",J42)</f>
        <v>Расходы на капитальный ремонт</v>
      </c>
      <c r="N42" s="968" t="str">
        <f>IF(K42=0,"",K42)</f>
        <v>Указываются расходы на капитальный ремонт, отнесенные к общепроизводственным расходам.</v>
      </c>
      <c r="O42" s="1081" t="s">
        <v>2507</v>
      </c>
      <c r="P42" s="1081" t="s">
        <v>2494</v>
      </c>
      <c r="Q42" s="1081" t="s">
        <v>2507</v>
      </c>
      <c r="R42" s="1081" t="s">
        <v>2494</v>
      </c>
      <c r="S42" s="1081"/>
      <c r="T42" s="967" t="s">
        <v>2508</v>
      </c>
      <c r="U42" s="967" t="s">
        <v>2508</v>
      </c>
      <c r="V42" s="967" t="s">
        <v>2508</v>
      </c>
      <c r="W42" s="967" t="s">
        <v>2508</v>
      </c>
      <c r="X42" s="967"/>
      <c r="Y42" s="1124"/>
      <c r="Z42" s="970" t="s">
        <v>2509</v>
      </c>
      <c r="AA42" s="970" t="s">
        <v>2509</v>
      </c>
      <c r="AB42" s="970" t="s">
        <v>2509</v>
      </c>
      <c r="AC42" s="970" t="s">
        <v>2509</v>
      </c>
      <c r="AD42" s="970"/>
    </row>
    <row customHeight="1" ht="18">
      <c r="A43" s="969"/>
      <c r="B43" s="1023">
        <v>26</v>
      </c>
      <c r="C43" s="967">
        <v>14</v>
      </c>
      <c r="D43" s="1091"/>
      <c r="E43" s="967"/>
      <c r="F43" s="967"/>
      <c r="G43" s="967"/>
      <c r="H43" s="1015"/>
      <c r="I43" s="1129" t="str">
        <f>INDEX(TEMPLATE_NUMBER_POINT_FHD,B43,MATCH(TEMPLATE_SPHERE,TEMPLATE_SPHERE_LIST_FOR_NOTE,0))</f>
        <v>2.11</v>
      </c>
      <c r="J43" s="1129" t="str">
        <f>INDEX(TEMPLATE_DATA_POINT_FHD,B43,MATCH(TEMPLATE_SPHERE,TEMPLATE_SPHERE_LIST_FOR_NOTE,0))</f>
        <v>Общехозяйственные расходы, в том числе:</v>
      </c>
      <c r="K43" s="1129" t="str">
        <f>INDEX(TEMPLATE_NOTE_POINT_FHD,B43,MATCH(TEMPLATE_SPHERE,TEMPLATE_SPHERE_LIST_FOR_NOTE,0))</f>
        <v>Указывается общая сумма общехозяйственных расходов.</v>
      </c>
      <c r="L43" s="968" t="str">
        <f>IF(I43=0,"",I43)</f>
        <v>2.11</v>
      </c>
      <c r="M43" s="968" t="str">
        <f>IF(J43=0,"",J43)</f>
        <v>Общехозяйственные расходы, в том числе:</v>
      </c>
      <c r="N43" s="968" t="str">
        <f>IF(K43=0,"",K43)</f>
        <v>Указывается общая сумма общехозяйственных расходов.</v>
      </c>
      <c r="O43" s="1081" t="s">
        <v>2510</v>
      </c>
      <c r="P43" s="1081" t="s">
        <v>902</v>
      </c>
      <c r="Q43" s="1081" t="s">
        <v>2510</v>
      </c>
      <c r="R43" s="1081" t="s">
        <v>902</v>
      </c>
      <c r="S43" s="1081"/>
      <c r="T43" s="967" t="s">
        <v>2511</v>
      </c>
      <c r="U43" s="967" t="s">
        <v>2511</v>
      </c>
      <c r="V43" s="967" t="s">
        <v>2511</v>
      </c>
      <c r="W43" s="967" t="s">
        <v>2511</v>
      </c>
      <c r="X43" s="967"/>
      <c r="Y43" s="1124"/>
      <c r="Z43" s="970" t="s">
        <v>2512</v>
      </c>
      <c r="AA43" s="970" t="s">
        <v>2512</v>
      </c>
      <c r="AB43" s="970" t="s">
        <v>2512</v>
      </c>
      <c r="AC43" s="970" t="s">
        <v>2512</v>
      </c>
      <c r="AD43" s="970"/>
    </row>
    <row customHeight="1" ht="27">
      <c r="A44" s="969"/>
      <c r="B44" s="1023">
        <v>27</v>
      </c>
      <c r="C44" s="967" t="s">
        <v>2513</v>
      </c>
      <c r="D44" s="1091"/>
      <c r="E44" s="967"/>
      <c r="F44" s="967"/>
      <c r="G44" s="967"/>
      <c r="H44" s="1015"/>
      <c r="I44" s="1129" t="str">
        <f>INDEX(TEMPLATE_NUMBER_POINT_FHD,B44,MATCH(TEMPLATE_SPHERE,TEMPLATE_SPHERE_LIST_FOR_NOTE,0))</f>
        <v>2.11.1</v>
      </c>
      <c r="J44" s="1129" t="str">
        <f>INDEX(TEMPLATE_DATA_POINT_FHD,B44,MATCH(TEMPLATE_SPHERE,TEMPLATE_SPHERE_LIST_FOR_NOTE,0))</f>
        <v>Расходы на текущий ремонт</v>
      </c>
      <c r="K44" s="1129" t="str">
        <f>INDEX(TEMPLATE_NOTE_POINT_FHD,B44,MATCH(TEMPLATE_SPHERE,TEMPLATE_SPHERE_LIST_FOR_NOTE,0))</f>
        <v>Указываются расходы на текущий ремонт, отнесенные к общехозяйственным расходам.</v>
      </c>
      <c r="L44" s="968" t="str">
        <f>IF(I44=0,"",I44)</f>
        <v>2.11.1</v>
      </c>
      <c r="M44" s="968" t="str">
        <f>IF(J44=0,"",J44)</f>
        <v>Расходы на текущий ремонт</v>
      </c>
      <c r="N44" s="968" t="str">
        <f>IF(K44=0,"",K44)</f>
        <v>Указываются расходы на текущий ремонт, отнесенные к общехозяйственным расходам.</v>
      </c>
      <c r="O44" s="1081" t="s">
        <v>2514</v>
      </c>
      <c r="P44" s="1081" t="s">
        <v>905</v>
      </c>
      <c r="Q44" s="1081" t="s">
        <v>2514</v>
      </c>
      <c r="R44" s="1081" t="s">
        <v>905</v>
      </c>
      <c r="S44" s="1081"/>
      <c r="T44" s="967" t="s">
        <v>2504</v>
      </c>
      <c r="U44" s="967" t="s">
        <v>2504</v>
      </c>
      <c r="V44" s="967" t="s">
        <v>2504</v>
      </c>
      <c r="W44" s="967" t="s">
        <v>2504</v>
      </c>
      <c r="X44" s="967"/>
      <c r="Y44" s="1124"/>
      <c r="Z44" s="970" t="s">
        <v>2515</v>
      </c>
      <c r="AA44" s="970" t="s">
        <v>2515</v>
      </c>
      <c r="AB44" s="970" t="s">
        <v>2515</v>
      </c>
      <c r="AC44" s="970" t="s">
        <v>2515</v>
      </c>
      <c r="AD44" s="970"/>
    </row>
    <row customHeight="1" ht="27">
      <c r="A45" s="969"/>
      <c r="B45" s="1023">
        <v>28</v>
      </c>
      <c r="C45" s="967" t="s">
        <v>2516</v>
      </c>
      <c r="D45" s="1091"/>
      <c r="E45" s="967"/>
      <c r="F45" s="967"/>
      <c r="G45" s="967"/>
      <c r="H45" s="1015"/>
      <c r="I45" s="1129" t="str">
        <f>INDEX(TEMPLATE_NUMBER_POINT_FHD,B45,MATCH(TEMPLATE_SPHERE,TEMPLATE_SPHERE_LIST_FOR_NOTE,0))</f>
        <v>2.11.2</v>
      </c>
      <c r="J45" s="1129" t="str">
        <f>INDEX(TEMPLATE_DATA_POINT_FHD,B45,MATCH(TEMPLATE_SPHERE,TEMPLATE_SPHERE_LIST_FOR_NOTE,0))</f>
        <v>Расходы на капитальный ремонт</v>
      </c>
      <c r="K45" s="1129" t="str">
        <f>INDEX(TEMPLATE_NOTE_POINT_FHD,B45,MATCH(TEMPLATE_SPHERE,TEMPLATE_SPHERE_LIST_FOR_NOTE,0))</f>
        <v>Указываются расходы на капитальный ремонт, отнесенные к общехозяйственным расходам.</v>
      </c>
      <c r="L45" s="968" t="str">
        <f>IF(I45=0,"",I45)</f>
        <v>2.11.2</v>
      </c>
      <c r="M45" s="968" t="str">
        <f>IF(J45=0,"",J45)</f>
        <v>Расходы на капитальный ремонт</v>
      </c>
      <c r="N45" s="968" t="str">
        <f>IF(K45=0,"",K45)</f>
        <v>Указываются расходы на капитальный ремонт, отнесенные к общехозяйственным расходам.</v>
      </c>
      <c r="O45" s="1081" t="s">
        <v>2517</v>
      </c>
      <c r="P45" s="1081" t="s">
        <v>908</v>
      </c>
      <c r="Q45" s="1081" t="s">
        <v>2517</v>
      </c>
      <c r="R45" s="1081" t="s">
        <v>908</v>
      </c>
      <c r="S45" s="1081"/>
      <c r="T45" s="967" t="s">
        <v>2508</v>
      </c>
      <c r="U45" s="967" t="s">
        <v>2508</v>
      </c>
      <c r="V45" s="967" t="s">
        <v>2508</v>
      </c>
      <c r="W45" s="967" t="s">
        <v>2508</v>
      </c>
      <c r="X45" s="967"/>
      <c r="Y45" s="1124"/>
      <c r="Z45" s="970" t="s">
        <v>2518</v>
      </c>
      <c r="AA45" s="970" t="s">
        <v>2518</v>
      </c>
      <c r="AB45" s="970" t="s">
        <v>2518</v>
      </c>
      <c r="AC45" s="970" t="s">
        <v>2518</v>
      </c>
      <c r="AD45" s="970"/>
    </row>
    <row customHeight="1" ht="54">
      <c r="A46" s="969"/>
      <c r="B46" s="1023">
        <v>29</v>
      </c>
      <c r="C46" s="967">
        <v>15</v>
      </c>
      <c r="D46" s="1091"/>
      <c r="E46" s="967"/>
      <c r="F46" s="967"/>
      <c r="G46" s="967"/>
      <c r="H46" s="1015"/>
      <c r="I46" s="1129" t="str">
        <f>INDEX(TEMPLATE_NUMBER_POINT_FHD,B46,MATCH(TEMPLATE_SPHERE,TEMPLATE_SPHERE_LIST_FOR_NOTE,0))</f>
        <v>2.12</v>
      </c>
      <c r="J46" s="1129" t="str">
        <f>INDEX(TEMPLATE_DATA_POINT_FHD,B46,MATCH(TEMPLATE_SPHERE,TEMPLATE_SPHERE_LIST_FOR_NOTE,0))</f>
        <v>Расходы на капитальный и текущий ремонт основных средств</v>
      </c>
      <c r="K46" s="112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68" t="str">
        <f>IF(I46=0,"",I46)</f>
        <v>2.12</v>
      </c>
      <c r="M46" s="968" t="str">
        <f>IF(J46=0,"",J46)</f>
        <v>Расходы на капитальный и текущий ремонт основных средств</v>
      </c>
      <c r="N46" s="96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81" t="s">
        <v>2519</v>
      </c>
      <c r="P46" s="1081" t="s">
        <v>954</v>
      </c>
      <c r="Q46" s="1081" t="s">
        <v>2519</v>
      </c>
      <c r="R46" s="1081" t="s">
        <v>954</v>
      </c>
      <c r="S46" s="1081"/>
      <c r="T46" s="96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967" t="s">
        <v>2520</v>
      </c>
      <c r="V46" s="967" t="s">
        <v>2520</v>
      </c>
      <c r="W46" s="967" t="s">
        <v>2520</v>
      </c>
      <c r="X46" s="967"/>
      <c r="Y46" s="1124"/>
      <c r="Z46" s="970" t="s">
        <v>2521</v>
      </c>
      <c r="AA46" s="970" t="s">
        <v>2522</v>
      </c>
      <c r="AB46" s="970" t="s">
        <v>2522</v>
      </c>
      <c r="AC46" s="970" t="s">
        <v>2522</v>
      </c>
      <c r="AD46" s="970"/>
    </row>
    <row customHeight="1" ht="54">
      <c r="A47" s="969"/>
      <c r="B47" s="1023">
        <v>30</v>
      </c>
      <c r="C47" s="967" t="s">
        <v>2523</v>
      </c>
      <c r="D47" s="1091"/>
      <c r="E47" s="967"/>
      <c r="F47" s="967"/>
      <c r="G47" s="967"/>
      <c r="H47" s="1015"/>
      <c r="I47" s="1129" t="str">
        <f>INDEX(TEMPLATE_NUMBER_POINT_FHD,B47,MATCH(TEMPLATE_SPHERE,TEMPLATE_SPHERE_LIST_FOR_NOTE,0))</f>
        <v>2.12.1</v>
      </c>
      <c r="J47" s="112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29">
        <f>INDEX(TEMPLATE_NOTE_POINT_FHD,B47,MATCH(TEMPLATE_SPHERE,TEMPLATE_SPHERE_LIST_FOR_NOTE,0))</f>
        <v>0</v>
      </c>
      <c r="L47" s="968" t="str">
        <f>IF(I47=0,"",I47)</f>
        <v>2.12.1</v>
      </c>
      <c r="M47" s="96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68" t="str">
        <f>IF(K47=0,"",K47)</f>
        <v/>
      </c>
      <c r="O47" s="1081" t="s">
        <v>2524</v>
      </c>
      <c r="P47" s="1081" t="s">
        <v>2503</v>
      </c>
      <c r="Q47" s="1081" t="s">
        <v>2524</v>
      </c>
      <c r="R47" s="1081" t="s">
        <v>2503</v>
      </c>
      <c r="S47" s="1081"/>
      <c r="T47" s="967" t="s">
        <v>2525</v>
      </c>
      <c r="U47" s="967" t="s">
        <v>2525</v>
      </c>
      <c r="V47" s="967" t="s">
        <v>2525</v>
      </c>
      <c r="W47" s="967" t="s">
        <v>2525</v>
      </c>
      <c r="X47" s="967"/>
      <c r="Y47" s="1124"/>
      <c r="Z47" s="970"/>
      <c r="AA47" s="973"/>
      <c r="AB47" s="973"/>
      <c r="AC47" s="973"/>
      <c r="AD47" s="970"/>
    </row>
    <row customHeight="1" ht="54">
      <c r="A48" s="969"/>
      <c r="B48" s="1023">
        <v>31</v>
      </c>
      <c r="C48" s="967">
        <v>16</v>
      </c>
      <c r="D48" s="1091"/>
      <c r="E48" s="967"/>
      <c r="F48" s="967"/>
      <c r="G48" s="967"/>
      <c r="H48" s="1015"/>
      <c r="I48" s="1129">
        <f>INDEX(TEMPLATE_NUMBER_POINT_FHD,B48,MATCH(TEMPLATE_SPHERE,TEMPLATE_SPHERE_LIST_FOR_NOTE,0))</f>
        <v>0</v>
      </c>
      <c r="J48" s="1129">
        <f>INDEX(TEMPLATE_DATA_POINT_FHD,B48,MATCH(TEMPLATE_SPHERE,TEMPLATE_SPHERE_LIST_FOR_NOTE,0))</f>
        <v>0</v>
      </c>
      <c r="K48" s="1129">
        <f>INDEX(TEMPLATE_NOTE_POINT_FHD,B48,MATCH(TEMPLATE_SPHERE,TEMPLATE_SPHERE_LIST_FOR_NOTE,0))</f>
        <v>0</v>
      </c>
      <c r="L48" s="968" t="str">
        <f>IF(I48=0,"",I48)</f>
        <v/>
      </c>
      <c r="M48" s="968" t="str">
        <f>IF(J48=0,"",J48)</f>
        <v/>
      </c>
      <c r="N48" s="968" t="str">
        <f>IF(K48=0,"",K48)</f>
        <v/>
      </c>
      <c r="O48" s="1081"/>
      <c r="P48" s="1081" t="s">
        <v>2510</v>
      </c>
      <c r="Q48" s="1081" t="s">
        <v>2526</v>
      </c>
      <c r="R48" s="1081" t="s">
        <v>2510</v>
      </c>
      <c r="S48" s="1081"/>
      <c r="T48" s="967"/>
      <c r="U48" s="967" t="s">
        <v>2527</v>
      </c>
      <c r="V48" s="967" t="s">
        <v>2528</v>
      </c>
      <c r="W48" s="967" t="s">
        <v>2528</v>
      </c>
      <c r="X48" s="967"/>
      <c r="Y48" s="1124"/>
      <c r="Z48" s="970"/>
      <c r="AA48" s="973" t="s">
        <v>2522</v>
      </c>
      <c r="AB48" s="973" t="s">
        <v>2522</v>
      </c>
      <c r="AC48" s="973" t="s">
        <v>2522</v>
      </c>
      <c r="AD48" s="970"/>
    </row>
    <row customHeight="1" ht="54">
      <c r="A49" s="969"/>
      <c r="B49" s="1023">
        <v>32</v>
      </c>
      <c r="C49" s="967" t="s">
        <v>2529</v>
      </c>
      <c r="D49" s="1091"/>
      <c r="E49" s="967"/>
      <c r="F49" s="967"/>
      <c r="G49" s="967"/>
      <c r="H49" s="1015"/>
      <c r="I49" s="1129">
        <f>INDEX(TEMPLATE_NUMBER_POINT_FHD,B49,MATCH(TEMPLATE_SPHERE,TEMPLATE_SPHERE_LIST_FOR_NOTE,0))</f>
        <v>0</v>
      </c>
      <c r="J49" s="1129">
        <f>INDEX(TEMPLATE_DATA_POINT_FHD,B49,MATCH(TEMPLATE_SPHERE,TEMPLATE_SPHERE_LIST_FOR_NOTE,0))</f>
        <v>0</v>
      </c>
      <c r="K49" s="1129">
        <f>INDEX(TEMPLATE_NOTE_POINT_FHD,B49,MATCH(TEMPLATE_SPHERE,TEMPLATE_SPHERE_LIST_FOR_NOTE,0))</f>
        <v>0</v>
      </c>
      <c r="L49" s="968" t="str">
        <f>IF(I49=0,"",I49)</f>
        <v/>
      </c>
      <c r="M49" s="968" t="str">
        <f>IF(J49=0,"",J49)</f>
        <v/>
      </c>
      <c r="N49" s="968" t="str">
        <f>IF(K49=0,"",K49)</f>
        <v/>
      </c>
      <c r="O49" s="1081"/>
      <c r="P49" s="1081" t="s">
        <v>2514</v>
      </c>
      <c r="Q49" s="1081" t="s">
        <v>2530</v>
      </c>
      <c r="R49" s="1081" t="s">
        <v>2514</v>
      </c>
      <c r="S49" s="1081"/>
      <c r="T49" s="967"/>
      <c r="U49" s="967" t="s">
        <v>2525</v>
      </c>
      <c r="V49" s="967" t="s">
        <v>2525</v>
      </c>
      <c r="W49" s="967" t="s">
        <v>2525</v>
      </c>
      <c r="X49" s="967"/>
      <c r="Y49" s="1124"/>
      <c r="Z49" s="970"/>
      <c r="AA49" s="973"/>
      <c r="AB49" s="973"/>
      <c r="AC49" s="973"/>
      <c r="AD49" s="970"/>
    </row>
    <row customHeight="1" ht="126">
      <c r="A50" s="969"/>
      <c r="B50" s="1023">
        <v>33</v>
      </c>
      <c r="C50" s="967">
        <v>17</v>
      </c>
      <c r="D50" s="1091"/>
      <c r="E50" s="967"/>
      <c r="F50" s="967"/>
      <c r="G50" s="967"/>
      <c r="H50" s="1015"/>
      <c r="I50" s="1129" t="str">
        <f>INDEX(TEMPLATE_NUMBER_POINT_FHD,B50,MATCH(TEMPLATE_SPHERE,TEMPLATE_SPHERE_LIST_FOR_NOTE,0))</f>
        <v>2.13</v>
      </c>
      <c r="J50" s="112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12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968" t="str">
        <f>IF(I50=0,"",I50)</f>
        <v>2.13</v>
      </c>
      <c r="M50" s="96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96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081" t="s">
        <v>2526</v>
      </c>
      <c r="P50" s="1081" t="s">
        <v>2519</v>
      </c>
      <c r="Q50" s="1081" t="s">
        <v>2531</v>
      </c>
      <c r="R50" s="1081" t="s">
        <v>2519</v>
      </c>
      <c r="S50" s="1081"/>
      <c r="T50" s="967" t="s">
        <v>2532</v>
      </c>
      <c r="U50" s="967" t="s">
        <v>2533</v>
      </c>
      <c r="V50" s="967" t="s">
        <v>2534</v>
      </c>
      <c r="W50" s="967" t="s">
        <v>2535</v>
      </c>
      <c r="X50" s="967"/>
      <c r="Y50" s="1124"/>
      <c r="Z50" s="970" t="s">
        <v>2536</v>
      </c>
      <c r="AA50" s="973" t="s">
        <v>2537</v>
      </c>
      <c r="AB50" s="973" t="s">
        <v>2537</v>
      </c>
      <c r="AC50" s="973" t="s">
        <v>2537</v>
      </c>
      <c r="AD50" s="970"/>
    </row>
    <row customHeight="1" ht="27">
      <c r="A51" s="969"/>
      <c r="B51" s="1023">
        <v>34</v>
      </c>
      <c r="C51" s="967" t="s">
        <v>2538</v>
      </c>
      <c r="D51" s="1091"/>
      <c r="E51" s="967"/>
      <c r="F51" s="967"/>
      <c r="G51" s="967"/>
      <c r="H51" s="1015"/>
      <c r="I51" s="1129" t="str">
        <f>INDEX(TEMPLATE_NUMBER_POINT_FHD,B51,MATCH(TEMPLATE_SPHERE,TEMPLATE_SPHERE_LIST_FOR_NOTE,0))</f>
        <v>3</v>
      </c>
      <c r="J51" s="112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129">
        <f>INDEX(TEMPLATE_NOTE_POINT_FHD,B51,MATCH(TEMPLATE_SPHERE,TEMPLATE_SPHERE_LIST_FOR_NOTE,0))</f>
        <v>0</v>
      </c>
      <c r="L51" s="968" t="str">
        <f>IF(I51=0,"",I51)</f>
        <v>3</v>
      </c>
      <c r="M51" s="968" t="str">
        <f>IF(J51=0,"",J51)</f>
        <v>Валовая прибыль (убытки) от реализации товаров и оказания услуг по регулируемому виду деятельности</v>
      </c>
      <c r="N51" s="968" t="str">
        <f>IF(K51=0,"",K51)</f>
        <v/>
      </c>
      <c r="O51" s="1081" t="s">
        <v>90</v>
      </c>
      <c r="P51" s="1081"/>
      <c r="Q51" s="1081"/>
      <c r="R51" s="1081"/>
      <c r="S51" s="1081"/>
      <c r="T51" s="967" t="s">
        <v>2539</v>
      </c>
      <c r="U51" s="967"/>
      <c r="V51" s="967"/>
      <c r="W51" s="967"/>
      <c r="X51" s="967"/>
      <c r="Y51" s="1124"/>
      <c r="Z51" s="970"/>
      <c r="AA51" s="973"/>
      <c r="AB51" s="973"/>
      <c r="AC51" s="973"/>
      <c r="AD51" s="970"/>
    </row>
    <row customHeight="1" ht="36">
      <c r="A52" s="969"/>
      <c r="B52" s="1023">
        <v>35</v>
      </c>
      <c r="C52" s="967" t="s">
        <v>2435</v>
      </c>
      <c r="D52" s="1091" t="s">
        <v>2435</v>
      </c>
      <c r="E52" s="967" t="s">
        <v>2435</v>
      </c>
      <c r="F52" s="967" t="s">
        <v>2435</v>
      </c>
      <c r="G52" s="967"/>
      <c r="H52" s="1015"/>
      <c r="I52" s="1129" t="str">
        <f>INDEX(TEMPLATE_NUMBER_POINT_FHD,B52,MATCH(TEMPLATE_SPHERE,TEMPLATE_SPHERE_LIST_FOR_NOTE,0))</f>
        <v>4</v>
      </c>
      <c r="J52" s="1129" t="str">
        <f>INDEX(TEMPLATE_DATA_POINT_FHD,B52,MATCH(TEMPLATE_SPHERE,TEMPLATE_SPHERE_LIST_FOR_NOTE,0))</f>
        <v>Чистая прибыль, полученная от регулируемого вида деятельности, в том числе:</v>
      </c>
      <c r="K52" s="1129" t="str">
        <f>INDEX(TEMPLATE_NOTE_POINT_FHD,B52,MATCH(TEMPLATE_SPHERE,TEMPLATE_SPHERE_LIST_FOR_NOTE,0))</f>
        <v>Указывается общая сумма чистой прибыли, полученной от регулируемого вида деятельности.</v>
      </c>
      <c r="L52" s="968" t="str">
        <f>IF(I52=0,"",I52)</f>
        <v>4</v>
      </c>
      <c r="M52" s="968" t="str">
        <f>IF(J52=0,"",J52)</f>
        <v>Чистая прибыль, полученная от регулируемого вида деятельности, в том числе:</v>
      </c>
      <c r="N52" s="968" t="str">
        <f>IF(K52=0,"",K52)</f>
        <v>Указывается общая сумма чистой прибыли, полученной от регулируемого вида деятельности.</v>
      </c>
      <c r="O52" s="1081" t="s">
        <v>91</v>
      </c>
      <c r="P52" s="1081" t="s">
        <v>90</v>
      </c>
      <c r="Q52" s="1081" t="s">
        <v>90</v>
      </c>
      <c r="R52" s="1081" t="s">
        <v>90</v>
      </c>
      <c r="S52" s="1081"/>
      <c r="T52" s="967" t="s">
        <v>2540</v>
      </c>
      <c r="U52" s="967" t="s">
        <v>2541</v>
      </c>
      <c r="V52" s="967" t="s">
        <v>2542</v>
      </c>
      <c r="W52" s="967" t="s">
        <v>2543</v>
      </c>
      <c r="X52" s="967"/>
      <c r="Y52" s="1124"/>
      <c r="Z52" s="970" t="s">
        <v>912</v>
      </c>
      <c r="AA52" s="973" t="s">
        <v>912</v>
      </c>
      <c r="AB52" s="973" t="s">
        <v>912</v>
      </c>
      <c r="AC52" s="973" t="s">
        <v>912</v>
      </c>
      <c r="AD52" s="970"/>
    </row>
    <row customHeight="1" ht="36">
      <c r="A53" s="969"/>
      <c r="B53" s="1023">
        <v>36</v>
      </c>
      <c r="C53" s="967">
        <v>1</v>
      </c>
      <c r="D53" s="1091"/>
      <c r="E53" s="967"/>
      <c r="F53" s="967"/>
      <c r="G53" s="967"/>
      <c r="H53" s="1015"/>
      <c r="I53" s="1129" t="str">
        <f>INDEX(TEMPLATE_NUMBER_POINT_FHD,B53,MATCH(TEMPLATE_SPHERE,TEMPLATE_SPHERE_LIST_FOR_NOTE,0))</f>
        <v>4.1</v>
      </c>
      <c r="J53" s="112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29">
        <f>INDEX(TEMPLATE_NOTE_POINT_FHD,B53,MATCH(TEMPLATE_SPHERE,TEMPLATE_SPHERE_LIST_FOR_NOTE,0))</f>
        <v>0</v>
      </c>
      <c r="L53" s="968" t="str">
        <f>IF(I53=0,"",I53)</f>
        <v>4.1</v>
      </c>
      <c r="M53" s="96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68" t="str">
        <f>IF(K53=0,"",K53)</f>
        <v/>
      </c>
      <c r="O53" s="1081" t="s">
        <v>916</v>
      </c>
      <c r="P53" s="1081" t="s">
        <v>436</v>
      </c>
      <c r="Q53" s="1081" t="s">
        <v>436</v>
      </c>
      <c r="R53" s="1081" t="s">
        <v>436</v>
      </c>
      <c r="S53" s="1081"/>
      <c r="T53" s="967" t="s">
        <v>2544</v>
      </c>
      <c r="U53" s="967" t="s">
        <v>2544</v>
      </c>
      <c r="V53" s="967" t="s">
        <v>2544</v>
      </c>
      <c r="W53" s="967" t="s">
        <v>2544</v>
      </c>
      <c r="X53" s="967"/>
      <c r="Y53" s="1124"/>
      <c r="Z53" s="970"/>
      <c r="AA53" s="973"/>
      <c r="AB53" s="970"/>
      <c r="AC53" s="970"/>
      <c r="AD53" s="970"/>
    </row>
    <row customHeight="1" ht="18">
      <c r="A54" s="969"/>
      <c r="B54" s="1023">
        <v>37</v>
      </c>
      <c r="C54" s="967" t="s">
        <v>2441</v>
      </c>
      <c r="D54" s="1091" t="s">
        <v>2441</v>
      </c>
      <c r="E54" s="967" t="s">
        <v>2441</v>
      </c>
      <c r="F54" s="967" t="s">
        <v>2441</v>
      </c>
      <c r="G54" s="967"/>
      <c r="H54" s="1015"/>
      <c r="I54" s="1129" t="str">
        <f>INDEX(TEMPLATE_NUMBER_POINT_FHD,B54,MATCH(TEMPLATE_SPHERE,TEMPLATE_SPHERE_LIST_FOR_NOTE,0))</f>
        <v>5</v>
      </c>
      <c r="J54" s="1129" t="str">
        <f>INDEX(TEMPLATE_DATA_POINT_FHD,B54,MATCH(TEMPLATE_SPHERE,TEMPLATE_SPHERE_LIST_FOR_NOTE,0))</f>
        <v>Изменение стоимости основных фондов, в том числе:</v>
      </c>
      <c r="K54" s="1129" t="str">
        <f>INDEX(TEMPLATE_NOTE_POINT_FHD,B54,MATCH(TEMPLATE_SPHERE,TEMPLATE_SPHERE_LIST_FOR_NOTE,0))</f>
        <v>Указывается общее изменение стоимости основных фондов.</v>
      </c>
      <c r="L54" s="968" t="str">
        <f>IF(I54=0,"",I54)</f>
        <v>5</v>
      </c>
      <c r="M54" s="968" t="str">
        <f>IF(J54=0,"",J54)</f>
        <v>Изменение стоимости основных фондов, в том числе:</v>
      </c>
      <c r="N54" s="968" t="str">
        <f>IF(K54=0,"",K54)</f>
        <v>Указывается общее изменение стоимости основных фондов.</v>
      </c>
      <c r="O54" s="1081" t="s">
        <v>116</v>
      </c>
      <c r="P54" s="1081" t="s">
        <v>91</v>
      </c>
      <c r="Q54" s="1081" t="s">
        <v>91</v>
      </c>
      <c r="R54" s="1081" t="s">
        <v>91</v>
      </c>
      <c r="S54" s="1081"/>
      <c r="T54" s="967" t="s">
        <v>914</v>
      </c>
      <c r="U54" s="967" t="s">
        <v>914</v>
      </c>
      <c r="V54" s="967" t="s">
        <v>914</v>
      </c>
      <c r="W54" s="967" t="s">
        <v>914</v>
      </c>
      <c r="X54" s="967"/>
      <c r="Y54" s="1124"/>
      <c r="Z54" s="970" t="s">
        <v>915</v>
      </c>
      <c r="AA54" s="970" t="s">
        <v>915</v>
      </c>
      <c r="AB54" s="970" t="s">
        <v>915</v>
      </c>
      <c r="AC54" s="970" t="s">
        <v>915</v>
      </c>
      <c r="AD54" s="970"/>
    </row>
    <row customHeight="1" ht="36">
      <c r="A55" s="969"/>
      <c r="B55" s="1023">
        <v>38</v>
      </c>
      <c r="C55" s="967">
        <v>1</v>
      </c>
      <c r="D55" s="1091"/>
      <c r="E55" s="967"/>
      <c r="F55" s="967"/>
      <c r="G55" s="967"/>
      <c r="H55" s="1015"/>
      <c r="I55" s="1129" t="str">
        <f>INDEX(TEMPLATE_NUMBER_POINT_FHD,B55,MATCH(TEMPLATE_SPHERE,TEMPLATE_SPHERE_LIST_FOR_NOTE,0))</f>
        <v>5.1</v>
      </c>
      <c r="J55" s="1129" t="str">
        <f>INDEX(TEMPLATE_DATA_POINT_FHD,B55,MATCH(TEMPLATE_SPHERE,TEMPLATE_SPHERE_LIST_FOR_NOTE,0))</f>
        <v>Изменение стоимости основных фондов за счет:</v>
      </c>
      <c r="K55" s="112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68" t="str">
        <f>IF(I55=0,"",I55)</f>
        <v>5.1</v>
      </c>
      <c r="M55" s="968" t="str">
        <f>IF(J55=0,"",J55)</f>
        <v>Изменение стоимости основных фондов за счет:</v>
      </c>
      <c r="N55" s="968" t="str">
        <f>IF(K55=0,"",K55)</f>
        <v>Указываются общее изменение стоимости основных фондов за счет их ввода в эксплуатацию и вывода из эксплуатации.</v>
      </c>
      <c r="O55" s="1081" t="s">
        <v>425</v>
      </c>
      <c r="P55" s="1081" t="s">
        <v>916</v>
      </c>
      <c r="Q55" s="1081" t="s">
        <v>916</v>
      </c>
      <c r="R55" s="1081" t="s">
        <v>916</v>
      </c>
      <c r="S55" s="1081"/>
      <c r="T55" s="96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967" t="s">
        <v>2545</v>
      </c>
      <c r="V55" s="967" t="s">
        <v>2545</v>
      </c>
      <c r="W55" s="967" t="s">
        <v>2545</v>
      </c>
      <c r="X55" s="967"/>
      <c r="Y55" s="1124"/>
      <c r="Z55" s="970" t="s">
        <v>2546</v>
      </c>
      <c r="AA55" s="970" t="s">
        <v>2546</v>
      </c>
      <c r="AB55" s="970" t="s">
        <v>2546</v>
      </c>
      <c r="AC55" s="970" t="s">
        <v>2546</v>
      </c>
      <c r="AD55" s="970"/>
    </row>
    <row customHeight="1" ht="27">
      <c r="A56" s="969"/>
      <c r="B56" s="1023">
        <v>39</v>
      </c>
      <c r="C56" s="967" t="s">
        <v>1447</v>
      </c>
      <c r="D56" s="1091"/>
      <c r="E56" s="967"/>
      <c r="F56" s="967"/>
      <c r="G56" s="967"/>
      <c r="H56" s="1015"/>
      <c r="I56" s="1129" t="str">
        <f>INDEX(TEMPLATE_NUMBER_POINT_FHD,B56,MATCH(TEMPLATE_SPHERE,TEMPLATE_SPHERE_LIST_FOR_NOTE,0))</f>
        <v>5.1.1</v>
      </c>
      <c r="J56" s="1129" t="str">
        <f>INDEX(TEMPLATE_DATA_POINT_FHD,B56,MATCH(TEMPLATE_SPHERE,TEMPLATE_SPHERE_LIST_FOR_NOTE,0))</f>
        <v>Изменения стоимости основных фондов за счет их ввода в эксплуатацию</v>
      </c>
      <c r="K56" s="1129" t="str">
        <f>INDEX(TEMPLATE_NOTE_POINT_FHD,B56,MATCH(TEMPLATE_SPHERE,TEMPLATE_SPHERE_LIST_FOR_NOTE,0))</f>
        <v>Указываются изменение стоимости основных фондов за счет их ввода в эксплуатацию.</v>
      </c>
      <c r="L56" s="968" t="str">
        <f>IF(I56=0,"",I56)</f>
        <v>5.1.1</v>
      </c>
      <c r="M56" s="968" t="str">
        <f>IF(J56=0,"",J56)</f>
        <v>Изменения стоимости основных фондов за счет их ввода в эксплуатацию</v>
      </c>
      <c r="N56" s="968" t="str">
        <f>IF(K56=0,"",K56)</f>
        <v>Указываются изменение стоимости основных фондов за счет их ввода в эксплуатацию.</v>
      </c>
      <c r="O56" s="1081" t="s">
        <v>1569</v>
      </c>
      <c r="P56" s="1081" t="s">
        <v>919</v>
      </c>
      <c r="Q56" s="1081" t="s">
        <v>919</v>
      </c>
      <c r="R56" s="1081" t="s">
        <v>919</v>
      </c>
      <c r="S56" s="1081"/>
      <c r="T56" s="96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967" t="s">
        <v>2547</v>
      </c>
      <c r="V56" s="967" t="s">
        <v>2547</v>
      </c>
      <c r="W56" s="967" t="s">
        <v>2547</v>
      </c>
      <c r="X56" s="967"/>
      <c r="Y56" s="1124"/>
      <c r="Z56" s="970" t="s">
        <v>921</v>
      </c>
      <c r="AA56" s="970" t="s">
        <v>921</v>
      </c>
      <c r="AB56" s="970" t="s">
        <v>921</v>
      </c>
      <c r="AC56" s="970" t="s">
        <v>921</v>
      </c>
      <c r="AD56" s="970"/>
    </row>
    <row customHeight="1" ht="27">
      <c r="A57" s="969"/>
      <c r="B57" s="1023">
        <v>40</v>
      </c>
      <c r="C57" s="967" t="s">
        <v>1449</v>
      </c>
      <c r="D57" s="1091"/>
      <c r="E57" s="967"/>
      <c r="F57" s="967"/>
      <c r="G57" s="967"/>
      <c r="H57" s="1015"/>
      <c r="I57" s="1129" t="str">
        <f>INDEX(TEMPLATE_NUMBER_POINT_FHD,B57,MATCH(TEMPLATE_SPHERE,TEMPLATE_SPHERE_LIST_FOR_NOTE,0))</f>
        <v>5.1.2</v>
      </c>
      <c r="J57" s="1129" t="str">
        <f>INDEX(TEMPLATE_DATA_POINT_FHD,B57,MATCH(TEMPLATE_SPHERE,TEMPLATE_SPHERE_LIST_FOR_NOTE,0))</f>
        <v>Изменения стоимости основных фондов за счет их вывода в эксплуатацию</v>
      </c>
      <c r="K57" s="1129" t="str">
        <f>INDEX(TEMPLATE_NOTE_POINT_FHD,B57,MATCH(TEMPLATE_SPHERE,TEMPLATE_SPHERE_LIST_FOR_NOTE,0))</f>
        <v>Указываются изменение стоимости основных фондов за счет их вывода из эксплуатации.</v>
      </c>
      <c r="L57" s="968" t="str">
        <f>IF(I57=0,"",I57)</f>
        <v>5.1.2</v>
      </c>
      <c r="M57" s="968" t="str">
        <f>IF(J57=0,"",J57)</f>
        <v>Изменения стоимости основных фондов за счет их вывода в эксплуатацию</v>
      </c>
      <c r="N57" s="968" t="str">
        <f>IF(K57=0,"",K57)</f>
        <v>Указываются изменение стоимости основных фондов за счет их вывода из эксплуатации.</v>
      </c>
      <c r="O57" s="1081" t="s">
        <v>2548</v>
      </c>
      <c r="P57" s="1081" t="s">
        <v>922</v>
      </c>
      <c r="Q57" s="1081" t="s">
        <v>922</v>
      </c>
      <c r="R57" s="1081" t="s">
        <v>922</v>
      </c>
      <c r="S57" s="1081"/>
      <c r="T57" s="96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967" t="s">
        <v>2549</v>
      </c>
      <c r="V57" s="967" t="s">
        <v>2549</v>
      </c>
      <c r="W57" s="967" t="s">
        <v>2549</v>
      </c>
      <c r="X57" s="967"/>
      <c r="Y57" s="1124"/>
      <c r="Z57" s="970" t="s">
        <v>924</v>
      </c>
      <c r="AA57" s="970" t="s">
        <v>924</v>
      </c>
      <c r="AB57" s="970" t="s">
        <v>924</v>
      </c>
      <c r="AC57" s="970" t="s">
        <v>924</v>
      </c>
      <c r="AD57" s="970"/>
    </row>
    <row customHeight="1" ht="18">
      <c r="A58" s="969"/>
      <c r="B58" s="1023">
        <v>41</v>
      </c>
      <c r="C58" s="967">
        <v>2</v>
      </c>
      <c r="D58" s="1091"/>
      <c r="E58" s="967"/>
      <c r="F58" s="967"/>
      <c r="G58" s="967"/>
      <c r="H58" s="1015"/>
      <c r="I58" s="1129" t="str">
        <f>INDEX(TEMPLATE_NUMBER_POINT_FHD,B58,MATCH(TEMPLATE_SPHERE,TEMPLATE_SPHERE_LIST_FOR_NOTE,0))</f>
        <v>5.2</v>
      </c>
      <c r="J58" s="1129" t="str">
        <f>INDEX(TEMPLATE_DATA_POINT_FHD,B58,MATCH(TEMPLATE_SPHERE,TEMPLATE_SPHERE_LIST_FOR_NOTE,0))</f>
        <v>Изменение стоимости основных фондов за счет их переоценки</v>
      </c>
      <c r="K58" s="1129">
        <f>INDEX(TEMPLATE_NOTE_POINT_FHD,B58,MATCH(TEMPLATE_SPHERE,TEMPLATE_SPHERE_LIST_FOR_NOTE,0))</f>
        <v>0</v>
      </c>
      <c r="L58" s="968" t="str">
        <f>IF(I58=0,"",I58)</f>
        <v>5.2</v>
      </c>
      <c r="M58" s="968" t="str">
        <f>IF(J58=0,"",J58)</f>
        <v>Изменение стоимости основных фондов за счет их переоценки</v>
      </c>
      <c r="N58" s="968" t="str">
        <f>IF(K58=0,"",K58)</f>
        <v/>
      </c>
      <c r="O58" s="1081" t="s">
        <v>1057</v>
      </c>
      <c r="P58" s="1081" t="s">
        <v>960</v>
      </c>
      <c r="Q58" s="1081" t="s">
        <v>960</v>
      </c>
      <c r="R58" s="1081" t="s">
        <v>960</v>
      </c>
      <c r="S58" s="1081"/>
      <c r="T58" s="96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967" t="s">
        <v>2550</v>
      </c>
      <c r="V58" s="967" t="s">
        <v>2550</v>
      </c>
      <c r="W58" s="967" t="s">
        <v>2550</v>
      </c>
      <c r="X58" s="967"/>
      <c r="Y58" s="1124"/>
      <c r="Z58" s="970"/>
      <c r="AA58" s="973"/>
      <c r="AB58" s="970"/>
      <c r="AC58" s="970"/>
      <c r="AD58" s="970"/>
    </row>
    <row customHeight="1" ht="36">
      <c r="A59" s="969"/>
      <c r="B59" s="1023">
        <v>42</v>
      </c>
      <c r="C59" s="967">
        <v>3</v>
      </c>
      <c r="D59" s="1091" t="s">
        <v>2538</v>
      </c>
      <c r="E59" s="967" t="s">
        <v>2538</v>
      </c>
      <c r="F59" s="967" t="s">
        <v>2538</v>
      </c>
      <c r="G59" s="967"/>
      <c r="H59" s="1015"/>
      <c r="I59" s="1129">
        <f>INDEX(TEMPLATE_NUMBER_POINT_FHD,B59,MATCH(TEMPLATE_SPHERE,TEMPLATE_SPHERE_LIST_FOR_NOTE,0))</f>
        <v>0</v>
      </c>
      <c r="J59" s="1129">
        <f>INDEX(TEMPLATE_DATA_POINT_FHD,B59,MATCH(TEMPLATE_SPHERE,TEMPLATE_SPHERE_LIST_FOR_NOTE,0))</f>
        <v>0</v>
      </c>
      <c r="K59" s="1129">
        <f>INDEX(TEMPLATE_NOTE_POINT_FHD,B59,MATCH(TEMPLATE_SPHERE,TEMPLATE_SPHERE_LIST_FOR_NOTE,0))</f>
        <v>0</v>
      </c>
      <c r="L59" s="968" t="str">
        <f>IF(I59=0,"",I59)</f>
        <v/>
      </c>
      <c r="M59" s="968" t="str">
        <f>IF(J59=0,"",J59)</f>
        <v/>
      </c>
      <c r="N59" s="968" t="str">
        <f>IF(K59=0,"",K59)</f>
        <v/>
      </c>
      <c r="O59" s="1081"/>
      <c r="P59" s="1081" t="s">
        <v>116</v>
      </c>
      <c r="Q59" s="1081" t="s">
        <v>116</v>
      </c>
      <c r="R59" s="1081" t="s">
        <v>116</v>
      </c>
      <c r="S59" s="1081"/>
      <c r="T59" s="967"/>
      <c r="U59" s="967" t="s">
        <v>2551</v>
      </c>
      <c r="V59" s="967" t="s">
        <v>2552</v>
      </c>
      <c r="W59" s="967" t="s">
        <v>2553</v>
      </c>
      <c r="X59" s="967"/>
      <c r="Y59" s="1124"/>
      <c r="Z59" s="970"/>
      <c r="AA59" s="973"/>
      <c r="AB59" s="970"/>
      <c r="AC59" s="970"/>
      <c r="AD59" s="970"/>
    </row>
    <row customHeight="1" ht="81">
      <c r="A60" s="969"/>
      <c r="B60" s="1023">
        <v>43</v>
      </c>
      <c r="C60" s="967" t="s">
        <v>2554</v>
      </c>
      <c r="D60" s="1091" t="s">
        <v>2554</v>
      </c>
      <c r="E60" s="967" t="s">
        <v>2554</v>
      </c>
      <c r="F60" s="967" t="s">
        <v>2554</v>
      </c>
      <c r="G60" s="967"/>
      <c r="H60" s="1015"/>
      <c r="I60" s="1129" t="str">
        <f>INDEX(TEMPLATE_NUMBER_POINT_FHD,B60,MATCH(TEMPLATE_SPHERE,TEMPLATE_SPHERE_LIST_FOR_NOTE,0))</f>
        <v>6</v>
      </c>
      <c r="J60" s="1129" t="str">
        <f>INDEX(TEMPLATE_DATA_POINT_FHD,B60,MATCH(TEMPLATE_SPHERE,TEMPLATE_SPHERE_LIST_FOR_NOTE,0))</f>
        <v>Годовая бухгалтерская (финансовая) отчетность, включая бухгалтерский баланс и приложения к нему</v>
      </c>
      <c r="K60" s="112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968" t="str">
        <f>IF(I60=0,"",I60)</f>
        <v>6</v>
      </c>
      <c r="M60" s="968" t="str">
        <f>IF(J60=0,"",J60)</f>
        <v>Годовая бухгалтерская (финансовая) отчетность, включая бухгалтерский баланс и приложения к нему</v>
      </c>
      <c r="N60" s="96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081" t="s">
        <v>92</v>
      </c>
      <c r="P60" s="1081" t="s">
        <v>92</v>
      </c>
      <c r="Q60" s="1081" t="s">
        <v>92</v>
      </c>
      <c r="R60" s="1081" t="s">
        <v>92</v>
      </c>
      <c r="S60" s="1081"/>
      <c r="T60" s="967" t="s">
        <v>786</v>
      </c>
      <c r="U60" s="967" t="s">
        <v>786</v>
      </c>
      <c r="V60" s="967" t="s">
        <v>786</v>
      </c>
      <c r="W60" s="967" t="s">
        <v>786</v>
      </c>
      <c r="X60" s="967"/>
      <c r="Y60" s="1124"/>
      <c r="Z60" s="970" t="s">
        <v>2555</v>
      </c>
      <c r="AA60" s="973" t="s">
        <v>2556</v>
      </c>
      <c r="AB60" s="970" t="s">
        <v>2557</v>
      </c>
      <c r="AC60" s="970" t="s">
        <v>2556</v>
      </c>
      <c r="AD60" s="970"/>
    </row>
    <row customHeight="1" ht="9">
      <c r="A61" s="969"/>
      <c r="B61" s="1023">
        <v>44</v>
      </c>
      <c r="C61" s="967"/>
      <c r="D61" s="1091" t="s">
        <v>2558</v>
      </c>
      <c r="E61" s="967"/>
      <c r="F61" s="967"/>
      <c r="G61" s="967"/>
      <c r="H61" s="1015"/>
      <c r="I61" s="1129">
        <f>INDEX(TEMPLATE_NUMBER_POINT_FHD,B61,MATCH(TEMPLATE_SPHERE,TEMPLATE_SPHERE_LIST_FOR_NOTE,0))</f>
        <v>0</v>
      </c>
      <c r="J61" s="1129">
        <f>INDEX(TEMPLATE_DATA_POINT_FHD,B61,MATCH(TEMPLATE_SPHERE,TEMPLATE_SPHERE_LIST_FOR_NOTE,0))</f>
        <v>0</v>
      </c>
      <c r="K61" s="1129">
        <f>INDEX(TEMPLATE_NOTE_POINT_FHD,B61,MATCH(TEMPLATE_SPHERE,TEMPLATE_SPHERE_LIST_FOR_NOTE,0))</f>
        <v>0</v>
      </c>
      <c r="L61" s="968" t="str">
        <f>IF(I61=0,"",I61)</f>
        <v/>
      </c>
      <c r="M61" s="968" t="str">
        <f>IF(J61=0,"",J61)</f>
        <v/>
      </c>
      <c r="N61" s="968" t="str">
        <f>IF(K61=0,"",K61)</f>
        <v/>
      </c>
      <c r="O61" s="1081"/>
      <c r="P61" s="1081" t="s">
        <v>93</v>
      </c>
      <c r="Q61" s="1081"/>
      <c r="R61" s="1081"/>
      <c r="S61" s="1081"/>
      <c r="T61" s="967"/>
      <c r="U61" s="967" t="s">
        <v>2559</v>
      </c>
      <c r="V61" s="967"/>
      <c r="W61" s="967"/>
      <c r="X61" s="967"/>
      <c r="Y61" s="1124"/>
      <c r="Z61" s="970"/>
      <c r="AA61" s="973"/>
      <c r="AB61" s="970"/>
      <c r="AC61" s="970"/>
      <c r="AD61" s="970"/>
    </row>
    <row customHeight="1" ht="9">
      <c r="A62" s="969"/>
      <c r="B62" s="1023">
        <v>45</v>
      </c>
      <c r="C62" s="967"/>
      <c r="D62" s="1091" t="s">
        <v>2560</v>
      </c>
      <c r="E62" s="967"/>
      <c r="F62" s="967"/>
      <c r="G62" s="967"/>
      <c r="H62" s="1015"/>
      <c r="I62" s="1129">
        <f>INDEX(TEMPLATE_NUMBER_POINT_FHD,B62,MATCH(TEMPLATE_SPHERE,TEMPLATE_SPHERE_LIST_FOR_NOTE,0))</f>
        <v>0</v>
      </c>
      <c r="J62" s="1129">
        <f>INDEX(TEMPLATE_DATA_POINT_FHD,B62,MATCH(TEMPLATE_SPHERE,TEMPLATE_SPHERE_LIST_FOR_NOTE,0))</f>
        <v>0</v>
      </c>
      <c r="K62" s="1129">
        <f>INDEX(TEMPLATE_NOTE_POINT_FHD,B62,MATCH(TEMPLATE_SPHERE,TEMPLATE_SPHERE_LIST_FOR_NOTE,0))</f>
        <v>0</v>
      </c>
      <c r="L62" s="968" t="str">
        <f>IF(I62=0,"",I62)</f>
        <v/>
      </c>
      <c r="M62" s="968" t="str">
        <f>IF(J62=0,"",J62)</f>
        <v/>
      </c>
      <c r="N62" s="968" t="str">
        <f>IF(K62=0,"",K62)</f>
        <v/>
      </c>
      <c r="O62" s="1081"/>
      <c r="P62" s="1081" t="s">
        <v>129</v>
      </c>
      <c r="Q62" s="1081"/>
      <c r="R62" s="1081"/>
      <c r="S62" s="1081"/>
      <c r="T62" s="967"/>
      <c r="U62" s="967" t="s">
        <v>2561</v>
      </c>
      <c r="V62" s="967"/>
      <c r="W62" s="967"/>
      <c r="X62" s="967"/>
      <c r="Y62" s="1124"/>
      <c r="Z62" s="970"/>
      <c r="AA62" s="973"/>
      <c r="AB62" s="970"/>
      <c r="AC62" s="970"/>
      <c r="AD62" s="970"/>
    </row>
    <row customHeight="1" ht="18">
      <c r="A63" s="969"/>
      <c r="B63" s="1023">
        <v>46</v>
      </c>
      <c r="C63" s="967"/>
      <c r="D63" s="1091" t="s">
        <v>2562</v>
      </c>
      <c r="E63" s="967"/>
      <c r="F63" s="967"/>
      <c r="G63" s="967"/>
      <c r="H63" s="1015"/>
      <c r="I63" s="1129">
        <f>INDEX(TEMPLATE_NUMBER_POINT_FHD,B63,MATCH(TEMPLATE_SPHERE,TEMPLATE_SPHERE_LIST_FOR_NOTE,0))</f>
        <v>0</v>
      </c>
      <c r="J63" s="1129">
        <f>INDEX(TEMPLATE_DATA_POINT_FHD,B63,MATCH(TEMPLATE_SPHERE,TEMPLATE_SPHERE_LIST_FOR_NOTE,0))</f>
        <v>0</v>
      </c>
      <c r="K63" s="1129">
        <f>INDEX(TEMPLATE_NOTE_POINT_FHD,B63,MATCH(TEMPLATE_SPHERE,TEMPLATE_SPHERE_LIST_FOR_NOTE,0))</f>
        <v>0</v>
      </c>
      <c r="L63" s="968" t="str">
        <f>IF(I63=0,"",I63)</f>
        <v/>
      </c>
      <c r="M63" s="968" t="str">
        <f>IF(J63=0,"",J63)</f>
        <v/>
      </c>
      <c r="N63" s="968" t="str">
        <f>IF(K63=0,"",K63)</f>
        <v/>
      </c>
      <c r="O63" s="1081"/>
      <c r="P63" s="1081" t="s">
        <v>134</v>
      </c>
      <c r="Q63" s="1081"/>
      <c r="R63" s="1081"/>
      <c r="S63" s="1081"/>
      <c r="T63" s="967"/>
      <c r="U63" s="967" t="s">
        <v>2563</v>
      </c>
      <c r="V63" s="967"/>
      <c r="W63" s="967"/>
      <c r="X63" s="967"/>
      <c r="Y63" s="1124"/>
      <c r="Z63" s="970"/>
      <c r="AA63" s="973"/>
      <c r="AB63" s="970"/>
      <c r="AC63" s="970"/>
      <c r="AD63" s="970"/>
    </row>
    <row customHeight="1" ht="18">
      <c r="A64" s="969"/>
      <c r="B64" s="1023">
        <v>47</v>
      </c>
      <c r="C64" s="967"/>
      <c r="D64" s="1091" t="s">
        <v>2564</v>
      </c>
      <c r="E64" s="967"/>
      <c r="F64" s="967"/>
      <c r="G64" s="967"/>
      <c r="H64" s="1015"/>
      <c r="I64" s="1129">
        <f>INDEX(TEMPLATE_NUMBER_POINT_FHD,B64,MATCH(TEMPLATE_SPHERE,TEMPLATE_SPHERE_LIST_FOR_NOTE,0))</f>
        <v>0</v>
      </c>
      <c r="J64" s="1129">
        <f>INDEX(TEMPLATE_DATA_POINT_FHD,B64,MATCH(TEMPLATE_SPHERE,TEMPLATE_SPHERE_LIST_FOR_NOTE,0))</f>
        <v>0</v>
      </c>
      <c r="K64" s="1129">
        <f>INDEX(TEMPLATE_NOTE_POINT_FHD,B64,MATCH(TEMPLATE_SPHERE,TEMPLATE_SPHERE_LIST_FOR_NOTE,0))</f>
        <v>0</v>
      </c>
      <c r="L64" s="968" t="str">
        <f>IF(I64=0,"",I64)</f>
        <v/>
      </c>
      <c r="M64" s="968" t="str">
        <f>IF(J64=0,"",J64)</f>
        <v/>
      </c>
      <c r="N64" s="968" t="str">
        <f>IF(K64=0,"",K64)</f>
        <v/>
      </c>
      <c r="O64" s="1081"/>
      <c r="P64" s="1081" t="s">
        <v>139</v>
      </c>
      <c r="Q64" s="1081"/>
      <c r="R64" s="1081"/>
      <c r="S64" s="1081"/>
      <c r="T64" s="967"/>
      <c r="U64" s="967" t="s">
        <v>2565</v>
      </c>
      <c r="V64" s="967"/>
      <c r="W64" s="967"/>
      <c r="X64" s="967"/>
      <c r="Y64" s="1124"/>
      <c r="Z64" s="970"/>
      <c r="AA64" s="973" t="s">
        <v>2566</v>
      </c>
      <c r="AB64" s="970"/>
      <c r="AC64" s="970"/>
      <c r="AD64" s="970"/>
    </row>
    <row customHeight="1" ht="18">
      <c r="A65" s="969"/>
      <c r="B65" s="1023">
        <v>48</v>
      </c>
      <c r="C65" s="967"/>
      <c r="D65" s="1091"/>
      <c r="E65" s="967"/>
      <c r="F65" s="967"/>
      <c r="G65" s="967"/>
      <c r="H65" s="1015"/>
      <c r="I65" s="1129">
        <f>INDEX(TEMPLATE_NUMBER_POINT_FHD,B65,MATCH(TEMPLATE_SPHERE,TEMPLATE_SPHERE_LIST_FOR_NOTE,0))</f>
        <v>0</v>
      </c>
      <c r="J65" s="1129">
        <f>INDEX(TEMPLATE_DATA_POINT_FHD,B65,MATCH(TEMPLATE_SPHERE,TEMPLATE_SPHERE_LIST_FOR_NOTE,0))</f>
        <v>0</v>
      </c>
      <c r="K65" s="1129">
        <f>INDEX(TEMPLATE_NOTE_POINT_FHD,B65,MATCH(TEMPLATE_SPHERE,TEMPLATE_SPHERE_LIST_FOR_NOTE,0))</f>
        <v>0</v>
      </c>
      <c r="L65" s="968" t="str">
        <f>IF(I65=0,"",I65)</f>
        <v/>
      </c>
      <c r="M65" s="968" t="str">
        <f>IF(J65=0,"",J65)</f>
        <v/>
      </c>
      <c r="N65" s="968" t="str">
        <f>IF(K65=0,"",K65)</f>
        <v/>
      </c>
      <c r="O65" s="1081"/>
      <c r="P65" s="1081" t="s">
        <v>2482</v>
      </c>
      <c r="Q65" s="1081"/>
      <c r="R65" s="1081"/>
      <c r="S65" s="1081"/>
      <c r="T65" s="967"/>
      <c r="U65" s="967" t="s">
        <v>2567</v>
      </c>
      <c r="V65" s="967"/>
      <c r="W65" s="967"/>
      <c r="X65" s="967"/>
      <c r="Y65" s="1124"/>
      <c r="Z65" s="970"/>
      <c r="AA65" s="973"/>
      <c r="AB65" s="970"/>
      <c r="AC65" s="970"/>
      <c r="AD65" s="970"/>
    </row>
    <row customHeight="1" ht="18">
      <c r="A66" s="969"/>
      <c r="B66" s="1023">
        <v>49</v>
      </c>
      <c r="C66" s="967"/>
      <c r="D66" s="1091"/>
      <c r="E66" s="967"/>
      <c r="F66" s="967"/>
      <c r="G66" s="967"/>
      <c r="H66" s="1015"/>
      <c r="I66" s="1129">
        <f>INDEX(TEMPLATE_NUMBER_POINT_FHD,B66,MATCH(TEMPLATE_SPHERE,TEMPLATE_SPHERE_LIST_FOR_NOTE,0))</f>
        <v>0</v>
      </c>
      <c r="J66" s="1129">
        <f>INDEX(TEMPLATE_DATA_POINT_FHD,B66,MATCH(TEMPLATE_SPHERE,TEMPLATE_SPHERE_LIST_FOR_NOTE,0))</f>
        <v>0</v>
      </c>
      <c r="K66" s="1129">
        <f>INDEX(TEMPLATE_NOTE_POINT_FHD,B66,MATCH(TEMPLATE_SPHERE,TEMPLATE_SPHERE_LIST_FOR_NOTE,0))</f>
        <v>0</v>
      </c>
      <c r="L66" s="968" t="str">
        <f>IF(I66=0,"",I66)</f>
        <v/>
      </c>
      <c r="M66" s="968" t="str">
        <f>IF(J66=0,"",J66)</f>
        <v/>
      </c>
      <c r="N66" s="968" t="str">
        <f>IF(K66=0,"",K66)</f>
        <v/>
      </c>
      <c r="O66" s="1081"/>
      <c r="P66" s="1081" t="s">
        <v>2486</v>
      </c>
      <c r="Q66" s="1081"/>
      <c r="R66" s="1081"/>
      <c r="S66" s="1081"/>
      <c r="T66" s="967"/>
      <c r="U66" s="967" t="s">
        <v>2568</v>
      </c>
      <c r="V66" s="967"/>
      <c r="W66" s="967"/>
      <c r="X66" s="967"/>
      <c r="Y66" s="1124"/>
      <c r="Z66" s="970"/>
      <c r="AA66" s="973"/>
      <c r="AB66" s="970"/>
      <c r="AC66" s="970"/>
      <c r="AD66" s="970"/>
    </row>
    <row customHeight="1" ht="27">
      <c r="A67" s="969"/>
      <c r="B67" s="1023">
        <v>50</v>
      </c>
      <c r="C67" s="967"/>
      <c r="D67" s="1091"/>
      <c r="E67" s="967"/>
      <c r="F67" s="967"/>
      <c r="G67" s="967"/>
      <c r="H67" s="1015"/>
      <c r="I67" s="1129">
        <f>INDEX(TEMPLATE_NUMBER_POINT_FHD,B67,MATCH(TEMPLATE_SPHERE,TEMPLATE_SPHERE_LIST_FOR_NOTE,0))</f>
        <v>0</v>
      </c>
      <c r="J67" s="1129">
        <f>INDEX(TEMPLATE_DATA_POINT_FHD,B67,MATCH(TEMPLATE_SPHERE,TEMPLATE_SPHERE_LIST_FOR_NOTE,0))</f>
        <v>0</v>
      </c>
      <c r="K67" s="1129">
        <f>INDEX(TEMPLATE_NOTE_POINT_FHD,B67,MATCH(TEMPLATE_SPHERE,TEMPLATE_SPHERE_LIST_FOR_NOTE,0))</f>
        <v>0</v>
      </c>
      <c r="L67" s="968" t="str">
        <f>IF(I67=0,"",I67)</f>
        <v/>
      </c>
      <c r="M67" s="968" t="str">
        <f>IF(J67=0,"",J67)</f>
        <v/>
      </c>
      <c r="N67" s="968" t="str">
        <f>IF(K67=0,"",K67)</f>
        <v/>
      </c>
      <c r="O67" s="1081"/>
      <c r="P67" s="1081" t="s">
        <v>2569</v>
      </c>
      <c r="Q67" s="1081"/>
      <c r="R67" s="1081"/>
      <c r="S67" s="1081"/>
      <c r="T67" s="967"/>
      <c r="U67" s="967" t="s">
        <v>2570</v>
      </c>
      <c r="V67" s="967"/>
      <c r="W67" s="967"/>
      <c r="X67" s="967"/>
      <c r="Y67" s="1124"/>
      <c r="Z67" s="970"/>
      <c r="AA67" s="973"/>
      <c r="AB67" s="970"/>
      <c r="AC67" s="970"/>
      <c r="AD67" s="970"/>
    </row>
    <row customHeight="1" ht="27">
      <c r="A68" s="969"/>
      <c r="B68" s="1023">
        <v>51</v>
      </c>
      <c r="C68" s="967"/>
      <c r="D68" s="1091"/>
      <c r="E68" s="967"/>
      <c r="F68" s="967"/>
      <c r="G68" s="967"/>
      <c r="H68" s="1015"/>
      <c r="I68" s="1129">
        <f>INDEX(TEMPLATE_NUMBER_POINT_FHD,B68,MATCH(TEMPLATE_SPHERE,TEMPLATE_SPHERE_LIST_FOR_NOTE,0))</f>
        <v>0</v>
      </c>
      <c r="J68" s="1129">
        <f>INDEX(TEMPLATE_DATA_POINT_FHD,B68,MATCH(TEMPLATE_SPHERE,TEMPLATE_SPHERE_LIST_FOR_NOTE,0))</f>
        <v>0</v>
      </c>
      <c r="K68" s="1129">
        <f>INDEX(TEMPLATE_NOTE_POINT_FHD,B68,MATCH(TEMPLATE_SPHERE,TEMPLATE_SPHERE_LIST_FOR_NOTE,0))</f>
        <v>0</v>
      </c>
      <c r="L68" s="968" t="str">
        <f>IF(I68=0,"",I68)</f>
        <v/>
      </c>
      <c r="M68" s="968" t="str">
        <f>IF(J68=0,"",J68)</f>
        <v/>
      </c>
      <c r="N68" s="968" t="str">
        <f>IF(K68=0,"",K68)</f>
        <v/>
      </c>
      <c r="O68" s="1081"/>
      <c r="P68" s="1081" t="s">
        <v>2571</v>
      </c>
      <c r="Q68" s="1081"/>
      <c r="R68" s="1081"/>
      <c r="S68" s="1081"/>
      <c r="T68" s="967"/>
      <c r="U68" s="967" t="s">
        <v>2572</v>
      </c>
      <c r="V68" s="967"/>
      <c r="W68" s="967"/>
      <c r="X68" s="967"/>
      <c r="Y68" s="1124"/>
      <c r="Z68" s="970"/>
      <c r="AA68" s="973"/>
      <c r="AB68" s="970"/>
      <c r="AC68" s="970"/>
      <c r="AD68" s="970"/>
    </row>
    <row customHeight="1" ht="9">
      <c r="A69" s="969"/>
      <c r="B69" s="1023">
        <v>52</v>
      </c>
      <c r="C69" s="967"/>
      <c r="D69" s="1091" t="s">
        <v>2573</v>
      </c>
      <c r="E69" s="967"/>
      <c r="F69" s="967"/>
      <c r="G69" s="967"/>
      <c r="H69" s="1015"/>
      <c r="I69" s="1129">
        <f>INDEX(TEMPLATE_NUMBER_POINT_FHD,B69,MATCH(TEMPLATE_SPHERE,TEMPLATE_SPHERE_LIST_FOR_NOTE,0))</f>
        <v>0</v>
      </c>
      <c r="J69" s="1129">
        <f>INDEX(TEMPLATE_DATA_POINT_FHD,B69,MATCH(TEMPLATE_SPHERE,TEMPLATE_SPHERE_LIST_FOR_NOTE,0))</f>
        <v>0</v>
      </c>
      <c r="K69" s="1129">
        <f>INDEX(TEMPLATE_NOTE_POINT_FHD,B69,MATCH(TEMPLATE_SPHERE,TEMPLATE_SPHERE_LIST_FOR_NOTE,0))</f>
        <v>0</v>
      </c>
      <c r="L69" s="968" t="str">
        <f>IF(I69=0,"",I69)</f>
        <v/>
      </c>
      <c r="M69" s="968" t="str">
        <f>IF(J69=0,"",J69)</f>
        <v/>
      </c>
      <c r="N69" s="968" t="str">
        <f>IF(K69=0,"",K69)</f>
        <v/>
      </c>
      <c r="O69" s="1081"/>
      <c r="P69" s="1081" t="s">
        <v>144</v>
      </c>
      <c r="Q69" s="1081"/>
      <c r="R69" s="1081"/>
      <c r="S69" s="1081"/>
      <c r="T69" s="967"/>
      <c r="U69" s="967" t="s">
        <v>2574</v>
      </c>
      <c r="V69" s="967"/>
      <c r="W69" s="967"/>
      <c r="X69" s="967"/>
      <c r="Y69" s="1124"/>
      <c r="Z69" s="970"/>
      <c r="AA69" s="973"/>
      <c r="AB69" s="970"/>
      <c r="AC69" s="970"/>
      <c r="AD69" s="970"/>
    </row>
    <row customHeight="1" ht="27">
      <c r="A70" s="969"/>
      <c r="B70" s="1023">
        <v>53</v>
      </c>
      <c r="C70" s="967"/>
      <c r="D70" s="1091"/>
      <c r="E70" s="967" t="s">
        <v>2558</v>
      </c>
      <c r="F70" s="967"/>
      <c r="G70" s="967"/>
      <c r="H70" s="1015"/>
      <c r="I70" s="1129">
        <f>INDEX(TEMPLATE_NUMBER_POINT_FHD,B70,MATCH(TEMPLATE_SPHERE,TEMPLATE_SPHERE_LIST_FOR_NOTE,0))</f>
        <v>0</v>
      </c>
      <c r="J70" s="1129">
        <f>INDEX(TEMPLATE_DATA_POINT_FHD,B70,MATCH(TEMPLATE_SPHERE,TEMPLATE_SPHERE_LIST_FOR_NOTE,0))</f>
        <v>0</v>
      </c>
      <c r="K70" s="1129">
        <f>INDEX(TEMPLATE_NOTE_POINT_FHD,B70,MATCH(TEMPLATE_SPHERE,TEMPLATE_SPHERE_LIST_FOR_NOTE,0))</f>
        <v>0</v>
      </c>
      <c r="L70" s="968" t="str">
        <f>IF(I70=0,"",I70)</f>
        <v/>
      </c>
      <c r="M70" s="968" t="str">
        <f>IF(J70=0,"",J70)</f>
        <v/>
      </c>
      <c r="N70" s="968" t="str">
        <f>IF(K70=0,"",K70)</f>
        <v/>
      </c>
      <c r="O70" s="1081"/>
      <c r="P70" s="1081"/>
      <c r="Q70" s="1081" t="s">
        <v>93</v>
      </c>
      <c r="R70" s="1081"/>
      <c r="S70" s="1081"/>
      <c r="T70" s="967"/>
      <c r="U70" s="967"/>
      <c r="V70" s="967" t="s">
        <v>2575</v>
      </c>
      <c r="W70" s="967"/>
      <c r="X70" s="967"/>
      <c r="Y70" s="1124"/>
      <c r="Z70" s="970"/>
      <c r="AA70" s="973"/>
      <c r="AB70" s="970"/>
      <c r="AC70" s="970"/>
      <c r="AD70" s="970"/>
    </row>
    <row customHeight="1" ht="36">
      <c r="A71" s="969"/>
      <c r="B71" s="1023">
        <v>54</v>
      </c>
      <c r="C71" s="967"/>
      <c r="D71" s="1091"/>
      <c r="E71" s="967" t="s">
        <v>2560</v>
      </c>
      <c r="F71" s="967"/>
      <c r="G71" s="967"/>
      <c r="H71" s="1015"/>
      <c r="I71" s="1129">
        <f>INDEX(TEMPLATE_NUMBER_POINT_FHD,B71,MATCH(TEMPLATE_SPHERE,TEMPLATE_SPHERE_LIST_FOR_NOTE,0))</f>
        <v>0</v>
      </c>
      <c r="J71" s="1129">
        <f>INDEX(TEMPLATE_DATA_POINT_FHD,B71,MATCH(TEMPLATE_SPHERE,TEMPLATE_SPHERE_LIST_FOR_NOTE,0))</f>
        <v>0</v>
      </c>
      <c r="K71" s="1129">
        <f>INDEX(TEMPLATE_NOTE_POINT_FHD,B71,MATCH(TEMPLATE_SPHERE,TEMPLATE_SPHERE_LIST_FOR_NOTE,0))</f>
        <v>0</v>
      </c>
      <c r="L71" s="968" t="str">
        <f>IF(I71=0,"",I71)</f>
        <v/>
      </c>
      <c r="M71" s="968" t="str">
        <f>IF(J71=0,"",J71)</f>
        <v/>
      </c>
      <c r="N71" s="968" t="str">
        <f>IF(K71=0,"",K71)</f>
        <v/>
      </c>
      <c r="O71" s="1081"/>
      <c r="P71" s="1081"/>
      <c r="Q71" s="1081" t="s">
        <v>129</v>
      </c>
      <c r="R71" s="1081"/>
      <c r="S71" s="1081"/>
      <c r="T71" s="967"/>
      <c r="U71" s="967"/>
      <c r="V71" s="967" t="s">
        <v>2576</v>
      </c>
      <c r="W71" s="967"/>
      <c r="X71" s="967"/>
      <c r="Y71" s="1124"/>
      <c r="Z71" s="970"/>
      <c r="AA71" s="973"/>
      <c r="AB71" s="970"/>
      <c r="AC71" s="970"/>
      <c r="AD71" s="970"/>
    </row>
    <row customHeight="1" ht="27">
      <c r="A72" s="969"/>
      <c r="B72" s="1023">
        <v>55</v>
      </c>
      <c r="C72" s="967"/>
      <c r="D72" s="1091"/>
      <c r="E72" s="967" t="s">
        <v>2562</v>
      </c>
      <c r="F72" s="967"/>
      <c r="G72" s="967"/>
      <c r="H72" s="1015"/>
      <c r="I72" s="1129">
        <f>INDEX(TEMPLATE_NUMBER_POINT_FHD,B72,MATCH(TEMPLATE_SPHERE,TEMPLATE_SPHERE_LIST_FOR_NOTE,0))</f>
        <v>0</v>
      </c>
      <c r="J72" s="1129">
        <f>INDEX(TEMPLATE_DATA_POINT_FHD,B72,MATCH(TEMPLATE_SPHERE,TEMPLATE_SPHERE_LIST_FOR_NOTE,0))</f>
        <v>0</v>
      </c>
      <c r="K72" s="1129">
        <f>INDEX(TEMPLATE_NOTE_POINT_FHD,B72,MATCH(TEMPLATE_SPHERE,TEMPLATE_SPHERE_LIST_FOR_NOTE,0))</f>
        <v>0</v>
      </c>
      <c r="L72" s="968" t="str">
        <f>IF(I72=0,"",I72)</f>
        <v/>
      </c>
      <c r="M72" s="968" t="str">
        <f>IF(J72=0,"",J72)</f>
        <v/>
      </c>
      <c r="N72" s="968" t="str">
        <f>IF(K72=0,"",K72)</f>
        <v/>
      </c>
      <c r="O72" s="1081"/>
      <c r="P72" s="1081"/>
      <c r="Q72" s="1081" t="s">
        <v>134</v>
      </c>
      <c r="R72" s="1081"/>
      <c r="S72" s="1081"/>
      <c r="T72" s="967"/>
      <c r="U72" s="967"/>
      <c r="V72" s="967" t="s">
        <v>2577</v>
      </c>
      <c r="W72" s="967"/>
      <c r="X72" s="967"/>
      <c r="Y72" s="1124"/>
      <c r="Z72" s="970"/>
      <c r="AA72" s="973"/>
      <c r="AB72" s="970"/>
      <c r="AC72" s="970"/>
      <c r="AD72" s="970"/>
    </row>
    <row customHeight="1" ht="36">
      <c r="A73" s="969"/>
      <c r="B73" s="1023">
        <v>56</v>
      </c>
      <c r="C73" s="967"/>
      <c r="D73" s="1091"/>
      <c r="E73" s="967" t="s">
        <v>2564</v>
      </c>
      <c r="F73" s="967"/>
      <c r="G73" s="967"/>
      <c r="H73" s="1015"/>
      <c r="I73" s="1129">
        <f>INDEX(TEMPLATE_NUMBER_POINT_FHD,B73,MATCH(TEMPLATE_SPHERE,TEMPLATE_SPHERE_LIST_FOR_NOTE,0))</f>
        <v>0</v>
      </c>
      <c r="J73" s="1129">
        <f>INDEX(TEMPLATE_DATA_POINT_FHD,B73,MATCH(TEMPLATE_SPHERE,TEMPLATE_SPHERE_LIST_FOR_NOTE,0))</f>
        <v>0</v>
      </c>
      <c r="K73" s="1129">
        <f>INDEX(TEMPLATE_NOTE_POINT_FHD,B73,MATCH(TEMPLATE_SPHERE,TEMPLATE_SPHERE_LIST_FOR_NOTE,0))</f>
        <v>0</v>
      </c>
      <c r="L73" s="968" t="str">
        <f>IF(I73=0,"",I73)</f>
        <v/>
      </c>
      <c r="M73" s="968" t="str">
        <f>IF(J73=0,"",J73)</f>
        <v/>
      </c>
      <c r="N73" s="968" t="str">
        <f>IF(K73=0,"",K73)</f>
        <v/>
      </c>
      <c r="O73" s="1081"/>
      <c r="P73" s="1081"/>
      <c r="Q73" s="1081" t="s">
        <v>139</v>
      </c>
      <c r="R73" s="1081"/>
      <c r="S73" s="1081"/>
      <c r="T73" s="967"/>
      <c r="U73" s="967"/>
      <c r="V73" s="967" t="s">
        <v>2578</v>
      </c>
      <c r="W73" s="967"/>
      <c r="X73" s="967"/>
      <c r="Y73" s="1124"/>
      <c r="Z73" s="970"/>
      <c r="AA73" s="973"/>
      <c r="AB73" s="970"/>
      <c r="AC73" s="970"/>
      <c r="AD73" s="970"/>
    </row>
    <row customHeight="1" ht="18">
      <c r="A74" s="969"/>
      <c r="B74" s="1023">
        <v>57</v>
      </c>
      <c r="C74" s="967"/>
      <c r="D74" s="1091"/>
      <c r="E74" s="967" t="s">
        <v>2573</v>
      </c>
      <c r="F74" s="967"/>
      <c r="G74" s="967"/>
      <c r="H74" s="1015"/>
      <c r="I74" s="1129">
        <f>INDEX(TEMPLATE_NUMBER_POINT_FHD,B74,MATCH(TEMPLATE_SPHERE,TEMPLATE_SPHERE_LIST_FOR_NOTE,0))</f>
        <v>0</v>
      </c>
      <c r="J74" s="1129">
        <f>INDEX(TEMPLATE_DATA_POINT_FHD,B74,MATCH(TEMPLATE_SPHERE,TEMPLATE_SPHERE_LIST_FOR_NOTE,0))</f>
        <v>0</v>
      </c>
      <c r="K74" s="1129">
        <f>INDEX(TEMPLATE_NOTE_POINT_FHD,B74,MATCH(TEMPLATE_SPHERE,TEMPLATE_SPHERE_LIST_FOR_NOTE,0))</f>
        <v>0</v>
      </c>
      <c r="L74" s="968" t="str">
        <f>IF(I74=0,"",I74)</f>
        <v/>
      </c>
      <c r="M74" s="968" t="str">
        <f>IF(J74=0,"",J74)</f>
        <v/>
      </c>
      <c r="N74" s="968" t="str">
        <f>IF(K74=0,"",K74)</f>
        <v/>
      </c>
      <c r="O74" s="1081"/>
      <c r="P74" s="1081"/>
      <c r="Q74" s="1081" t="s">
        <v>144</v>
      </c>
      <c r="R74" s="1081"/>
      <c r="S74" s="1081"/>
      <c r="T74" s="967"/>
      <c r="U74" s="967"/>
      <c r="V74" s="967" t="s">
        <v>2579</v>
      </c>
      <c r="W74" s="967"/>
      <c r="X74" s="967"/>
      <c r="Y74" s="1124"/>
      <c r="Z74" s="970"/>
      <c r="AA74" s="973"/>
      <c r="AB74" s="970"/>
      <c r="AC74" s="970"/>
      <c r="AD74" s="970"/>
    </row>
    <row customHeight="1" ht="18">
      <c r="A75" s="969"/>
      <c r="B75" s="1023">
        <v>58</v>
      </c>
      <c r="C75" s="967"/>
      <c r="D75" s="1091"/>
      <c r="E75" s="967"/>
      <c r="F75" s="967" t="s">
        <v>2558</v>
      </c>
      <c r="G75" s="967"/>
      <c r="H75" s="1015"/>
      <c r="I75" s="1129">
        <f>INDEX(TEMPLATE_NUMBER_POINT_FHD,B75,MATCH(TEMPLATE_SPHERE,TEMPLATE_SPHERE_LIST_FOR_NOTE,0))</f>
        <v>0</v>
      </c>
      <c r="J75" s="1129">
        <f>INDEX(TEMPLATE_DATA_POINT_FHD,B75,MATCH(TEMPLATE_SPHERE,TEMPLATE_SPHERE_LIST_FOR_NOTE,0))</f>
        <v>0</v>
      </c>
      <c r="K75" s="1129">
        <f>INDEX(TEMPLATE_NOTE_POINT_FHD,B75,MATCH(TEMPLATE_SPHERE,TEMPLATE_SPHERE_LIST_FOR_NOTE,0))</f>
        <v>0</v>
      </c>
      <c r="L75" s="968" t="str">
        <f>IF(I75=0,"",I75)</f>
        <v/>
      </c>
      <c r="M75" s="968" t="str">
        <f>IF(J75=0,"",J75)</f>
        <v/>
      </c>
      <c r="N75" s="968" t="str">
        <f>IF(K75=0,"",K75)</f>
        <v/>
      </c>
      <c r="O75" s="1081"/>
      <c r="P75" s="1081"/>
      <c r="Q75" s="1081"/>
      <c r="R75" s="1081" t="s">
        <v>93</v>
      </c>
      <c r="S75" s="1081"/>
      <c r="T75" s="967"/>
      <c r="U75" s="967"/>
      <c r="V75" s="967"/>
      <c r="W75" s="967" t="s">
        <v>2580</v>
      </c>
      <c r="X75" s="967"/>
      <c r="Y75" s="1124"/>
      <c r="Z75" s="970"/>
      <c r="AA75" s="973"/>
      <c r="AB75" s="970"/>
      <c r="AC75" s="970"/>
      <c r="AD75" s="970"/>
    </row>
    <row customHeight="1" ht="36">
      <c r="A76" s="969"/>
      <c r="B76" s="1023">
        <v>59</v>
      </c>
      <c r="C76" s="967"/>
      <c r="D76" s="1091"/>
      <c r="E76" s="967"/>
      <c r="F76" s="967" t="s">
        <v>2560</v>
      </c>
      <c r="G76" s="967"/>
      <c r="H76" s="1015"/>
      <c r="I76" s="1129">
        <f>INDEX(TEMPLATE_NUMBER_POINT_FHD,B76,MATCH(TEMPLATE_SPHERE,TEMPLATE_SPHERE_LIST_FOR_NOTE,0))</f>
        <v>0</v>
      </c>
      <c r="J76" s="1129">
        <f>INDEX(TEMPLATE_DATA_POINT_FHD,B76,MATCH(TEMPLATE_SPHERE,TEMPLATE_SPHERE_LIST_FOR_NOTE,0))</f>
        <v>0</v>
      </c>
      <c r="K76" s="1129">
        <f>INDEX(TEMPLATE_NOTE_POINT_FHD,B76,MATCH(TEMPLATE_SPHERE,TEMPLATE_SPHERE_LIST_FOR_NOTE,0))</f>
        <v>0</v>
      </c>
      <c r="L76" s="968" t="str">
        <f>IF(I76=0,"",I76)</f>
        <v/>
      </c>
      <c r="M76" s="968" t="str">
        <f>IF(J76=0,"",J76)</f>
        <v/>
      </c>
      <c r="N76" s="968" t="str">
        <f>IF(K76=0,"",K76)</f>
        <v/>
      </c>
      <c r="O76" s="1081"/>
      <c r="P76" s="1081"/>
      <c r="Q76" s="1081"/>
      <c r="R76" s="1081" t="s">
        <v>129</v>
      </c>
      <c r="S76" s="1081"/>
      <c r="T76" s="967"/>
      <c r="U76" s="967"/>
      <c r="V76" s="967"/>
      <c r="W76" s="967" t="s">
        <v>2581</v>
      </c>
      <c r="X76" s="967"/>
      <c r="Y76" s="1124"/>
      <c r="Z76" s="970"/>
      <c r="AA76" s="973"/>
      <c r="AB76" s="970"/>
      <c r="AC76" s="970"/>
      <c r="AD76" s="970"/>
    </row>
    <row customHeight="1" ht="18">
      <c r="A77" s="969"/>
      <c r="B77" s="1023">
        <v>60</v>
      </c>
      <c r="C77" s="967"/>
      <c r="D77" s="1091"/>
      <c r="E77" s="967"/>
      <c r="F77" s="967" t="s">
        <v>2562</v>
      </c>
      <c r="G77" s="967"/>
      <c r="H77" s="1015"/>
      <c r="I77" s="1129">
        <f>INDEX(TEMPLATE_NUMBER_POINT_FHD,B77,MATCH(TEMPLATE_SPHERE,TEMPLATE_SPHERE_LIST_FOR_NOTE,0))</f>
        <v>0</v>
      </c>
      <c r="J77" s="1129">
        <f>INDEX(TEMPLATE_DATA_POINT_FHD,B77,MATCH(TEMPLATE_SPHERE,TEMPLATE_SPHERE_LIST_FOR_NOTE,0))</f>
        <v>0</v>
      </c>
      <c r="K77" s="1129">
        <f>INDEX(TEMPLATE_NOTE_POINT_FHD,B77,MATCH(TEMPLATE_SPHERE,TEMPLATE_SPHERE_LIST_FOR_NOTE,0))</f>
        <v>0</v>
      </c>
      <c r="L77" s="968" t="str">
        <f>IF(I77=0,"",I77)</f>
        <v/>
      </c>
      <c r="M77" s="968" t="str">
        <f>IF(J77=0,"",J77)</f>
        <v/>
      </c>
      <c r="N77" s="968" t="str">
        <f>IF(K77=0,"",K77)</f>
        <v/>
      </c>
      <c r="O77" s="1081"/>
      <c r="P77" s="1081"/>
      <c r="Q77" s="1081"/>
      <c r="R77" s="1081" t="s">
        <v>134</v>
      </c>
      <c r="S77" s="1081"/>
      <c r="T77" s="967"/>
      <c r="U77" s="967"/>
      <c r="V77" s="967"/>
      <c r="W77" s="967" t="s">
        <v>2582</v>
      </c>
      <c r="X77" s="967"/>
      <c r="Y77" s="1124"/>
      <c r="Z77" s="970"/>
      <c r="AA77" s="973"/>
      <c r="AB77" s="970"/>
      <c r="AC77" s="970"/>
      <c r="AD77" s="970"/>
    </row>
    <row customHeight="1" ht="72">
      <c r="A78" s="969"/>
      <c r="B78" s="1023">
        <v>61</v>
      </c>
      <c r="C78" s="967" t="s">
        <v>2558</v>
      </c>
      <c r="D78" s="1091"/>
      <c r="E78" s="967"/>
      <c r="F78" s="967"/>
      <c r="G78" s="967"/>
      <c r="H78" s="1015"/>
      <c r="I78" s="1129" t="str">
        <f>INDEX(TEMPLATE_NUMBER_POINT_FHD,B78,MATCH(TEMPLATE_SPHERE,TEMPLATE_SPHERE_LIST_FOR_NOTE,0))</f>
        <v>7</v>
      </c>
      <c r="J78" s="112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12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968" t="str">
        <f>IF(I78=0,"",I78)</f>
        <v>7</v>
      </c>
      <c r="M78" s="96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96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081" t="s">
        <v>93</v>
      </c>
      <c r="P78" s="1081"/>
      <c r="Q78" s="1081"/>
      <c r="R78" s="1081"/>
      <c r="S78" s="1081"/>
      <c r="T78" s="967" t="s">
        <v>791</v>
      </c>
      <c r="U78" s="967"/>
      <c r="V78" s="967"/>
      <c r="W78" s="967"/>
      <c r="X78" s="967"/>
      <c r="Y78" s="1124"/>
      <c r="Z78" s="970" t="s">
        <v>2583</v>
      </c>
      <c r="AA78" s="973"/>
      <c r="AB78" s="970"/>
      <c r="AC78" s="970"/>
      <c r="AD78" s="970"/>
    </row>
    <row customHeight="1" ht="36">
      <c r="A79" s="969"/>
      <c r="B79" s="1023">
        <v>62</v>
      </c>
      <c r="C79" s="967" t="s">
        <v>2560</v>
      </c>
      <c r="D79" s="1091"/>
      <c r="E79" s="967"/>
      <c r="F79" s="967"/>
      <c r="G79" s="967"/>
      <c r="H79" s="1015"/>
      <c r="I79" s="1129" t="str">
        <f>INDEX(TEMPLATE_NUMBER_POINT_FHD,B79,MATCH(TEMPLATE_SPHERE,TEMPLATE_SPHERE_LIST_FOR_NOTE,0))</f>
        <v>8</v>
      </c>
      <c r="J79" s="112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12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968" t="str">
        <f>IF(I79=0,"",I79)</f>
        <v>8</v>
      </c>
      <c r="M79" s="968" t="str">
        <f>IF(J79=0,"",J79)</f>
        <v>Тепловая нагрузка по договорам, заключенным в рамках осуществления регулируемых видов деятельности</v>
      </c>
      <c r="N79" s="96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081" t="s">
        <v>129</v>
      </c>
      <c r="P79" s="1081"/>
      <c r="Q79" s="1081"/>
      <c r="R79" s="1081"/>
      <c r="S79" s="1081"/>
      <c r="T79" s="967" t="s">
        <v>2584</v>
      </c>
      <c r="U79" s="967"/>
      <c r="V79" s="967"/>
      <c r="W79" s="967"/>
      <c r="X79" s="967"/>
      <c r="Y79" s="1124"/>
      <c r="Z79" s="970" t="s">
        <v>2585</v>
      </c>
      <c r="AA79" s="973"/>
      <c r="AB79" s="970"/>
      <c r="AC79" s="970"/>
      <c r="AD79" s="970"/>
    </row>
    <row customHeight="1" ht="45">
      <c r="A80" s="969"/>
      <c r="B80" s="1023">
        <v>63</v>
      </c>
      <c r="C80" s="967" t="s">
        <v>2562</v>
      </c>
      <c r="D80" s="1091"/>
      <c r="E80" s="967"/>
      <c r="F80" s="967"/>
      <c r="G80" s="967"/>
      <c r="H80" s="1015"/>
      <c r="I80" s="1129" t="str">
        <f>INDEX(TEMPLATE_NUMBER_POINT_FHD,B80,MATCH(TEMPLATE_SPHERE,TEMPLATE_SPHERE_LIST_FOR_NOTE,0))</f>
        <v>9</v>
      </c>
      <c r="J80" s="112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12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968" t="str">
        <f>IF(I80=0,"",I80)</f>
        <v>9</v>
      </c>
      <c r="M80" s="968" t="str">
        <f>IF(J80=0,"",J80)</f>
        <v>Объем вырабатываемой регулируемой организацией тепловой энергии в рамках осуществления регулируемых видов деятельности</v>
      </c>
      <c r="N80" s="96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081" t="s">
        <v>134</v>
      </c>
      <c r="P80" s="1081"/>
      <c r="Q80" s="1081"/>
      <c r="R80" s="1081"/>
      <c r="S80" s="1081"/>
      <c r="T80" s="967" t="s">
        <v>2586</v>
      </c>
      <c r="U80" s="967"/>
      <c r="V80" s="967"/>
      <c r="W80" s="967"/>
      <c r="X80" s="967"/>
      <c r="Y80" s="1124"/>
      <c r="Z80" s="970" t="s">
        <v>2587</v>
      </c>
      <c r="AA80" s="973"/>
      <c r="AB80" s="970"/>
      <c r="AC80" s="970"/>
      <c r="AD80" s="970"/>
    </row>
    <row customHeight="1" ht="36">
      <c r="A81" s="969"/>
      <c r="B81" s="1023">
        <v>64</v>
      </c>
      <c r="C81" s="967" t="s">
        <v>2564</v>
      </c>
      <c r="D81" s="1091"/>
      <c r="E81" s="967"/>
      <c r="F81" s="967"/>
      <c r="G81" s="967"/>
      <c r="H81" s="1015"/>
      <c r="I81" s="1129" t="str">
        <f>INDEX(TEMPLATE_NUMBER_POINT_FHD,B81,MATCH(TEMPLATE_SPHERE,TEMPLATE_SPHERE_LIST_FOR_NOTE,0))</f>
        <v>9.1</v>
      </c>
      <c r="J81" s="112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129" t="str">
        <f>INDEX(TEMPLATE_NOTE_POINT_FHD,B81,MATCH(TEMPLATE_SPHERE,TEMPLATE_SPHERE_LIST_FOR_NOTE,0))</f>
        <v>Информация указывается только едиными теплоснабжающими организациями.</v>
      </c>
      <c r="L81" s="968" t="str">
        <f>IF(I81=0,"",I81)</f>
        <v>9.1</v>
      </c>
      <c r="M81" s="968" t="str">
        <f>IF(J81=0,"",J81)</f>
        <v>Объем приобретаемой регулируемой организацией тепловой энергии в рамках осуществления регулируемых видов деятельности</v>
      </c>
      <c r="N81" s="968" t="str">
        <f>IF(K81=0,"",K81)</f>
        <v>Информация указывается только едиными теплоснабжающими организациями.</v>
      </c>
      <c r="O81" s="1081" t="s">
        <v>2473</v>
      </c>
      <c r="P81" s="1081"/>
      <c r="Q81" s="1081"/>
      <c r="R81" s="1081"/>
      <c r="S81" s="1081"/>
      <c r="T81" s="967" t="s">
        <v>2588</v>
      </c>
      <c r="U81" s="967"/>
      <c r="V81" s="967"/>
      <c r="W81" s="967"/>
      <c r="X81" s="967"/>
      <c r="Y81" s="1124"/>
      <c r="Z81" s="970" t="s">
        <v>2589</v>
      </c>
      <c r="AA81" s="973"/>
      <c r="AB81" s="970"/>
      <c r="AC81" s="970"/>
      <c r="AD81" s="970"/>
    </row>
    <row customHeight="1" ht="90">
      <c r="A82" s="969"/>
      <c r="B82" s="1023">
        <v>65</v>
      </c>
      <c r="C82" s="967" t="s">
        <v>2573</v>
      </c>
      <c r="D82" s="1091"/>
      <c r="E82" s="967"/>
      <c r="F82" s="967"/>
      <c r="G82" s="967"/>
      <c r="H82" s="1015"/>
      <c r="I82" s="1129" t="str">
        <f>INDEX(TEMPLATE_NUMBER_POINT_FHD,B82,MATCH(TEMPLATE_SPHERE,TEMPLATE_SPHERE_LIST_FOR_NOTE,0))</f>
        <v>10</v>
      </c>
      <c r="J82" s="112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12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968" t="str">
        <f>IF(I82=0,"",I82)</f>
        <v>10</v>
      </c>
      <c r="M82" s="96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96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081" t="s">
        <v>139</v>
      </c>
      <c r="P82" s="1081"/>
      <c r="Q82" s="1081"/>
      <c r="R82" s="1081"/>
      <c r="S82" s="1081"/>
      <c r="T82" s="967" t="s">
        <v>2590</v>
      </c>
      <c r="U82" s="967"/>
      <c r="V82" s="967"/>
      <c r="W82" s="967"/>
      <c r="X82" s="967"/>
      <c r="Y82" s="1124"/>
      <c r="Z82" s="970" t="s">
        <v>2591</v>
      </c>
      <c r="AA82" s="973"/>
      <c r="AB82" s="970"/>
      <c r="AC82" s="970"/>
      <c r="AD82" s="970"/>
    </row>
    <row customHeight="1" ht="9">
      <c r="A83" s="969"/>
      <c r="B83" s="1023">
        <v>66</v>
      </c>
      <c r="C83" s="967"/>
      <c r="D83" s="1091"/>
      <c r="E83" s="967"/>
      <c r="F83" s="967"/>
      <c r="G83" s="967"/>
      <c r="H83" s="1015"/>
      <c r="I83" s="1129" t="str">
        <f>INDEX(TEMPLATE_NUMBER_POINT_FHD,B83,MATCH(TEMPLATE_SPHERE,TEMPLATE_SPHERE_LIST_FOR_NOTE,0))</f>
        <v>10.1</v>
      </c>
      <c r="J83" s="1129" t="str">
        <f>INDEX(TEMPLATE_DATA_POINT_FHD,B83,MATCH(TEMPLATE_SPHERE,TEMPLATE_SPHERE_LIST_FOR_NOTE,0))</f>
        <v>По приборам учёта </v>
      </c>
      <c r="K83" s="1129">
        <f>INDEX(TEMPLATE_NOTE_POINT_FHD,B83,MATCH(TEMPLATE_SPHERE,TEMPLATE_SPHERE_LIST_FOR_NOTE,0))</f>
        <v>0</v>
      </c>
      <c r="L83" s="968" t="str">
        <f>IF(I83=0,"",I83)</f>
        <v>10.1</v>
      </c>
      <c r="M83" s="968" t="str">
        <f>IF(J83=0,"",J83)</f>
        <v>По приборам учёта </v>
      </c>
      <c r="N83" s="968" t="str">
        <f>IF(K83=0,"",K83)</f>
        <v/>
      </c>
      <c r="O83" s="1081" t="s">
        <v>2482</v>
      </c>
      <c r="P83" s="1081"/>
      <c r="Q83" s="1081"/>
      <c r="R83" s="1081"/>
      <c r="S83" s="1081"/>
      <c r="T83" s="967" t="s">
        <v>2592</v>
      </c>
      <c r="U83" s="967"/>
      <c r="V83" s="967"/>
      <c r="W83" s="967"/>
      <c r="X83" s="967"/>
      <c r="Y83" s="1124"/>
      <c r="Z83" s="970"/>
      <c r="AA83" s="973"/>
      <c r="AB83" s="970"/>
      <c r="AC83" s="970"/>
      <c r="AD83" s="970"/>
    </row>
    <row customHeight="1" ht="54">
      <c r="A84" s="969"/>
      <c r="B84" s="1023">
        <v>67</v>
      </c>
      <c r="C84" s="967"/>
      <c r="D84" s="1091"/>
      <c r="E84" s="967"/>
      <c r="F84" s="967"/>
      <c r="G84" s="967"/>
      <c r="H84" s="1015"/>
      <c r="I84" s="1129" t="str">
        <f>INDEX(TEMPLATE_NUMBER_POINT_FHD,B84,MATCH(TEMPLATE_SPHERE,TEMPLATE_SPHERE_LIST_FOR_NOTE,0))</f>
        <v>10.1.1</v>
      </c>
      <c r="J84" s="112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129">
        <f>INDEX(TEMPLATE_NOTE_POINT_FHD,B84,MATCH(TEMPLATE_SPHERE,TEMPLATE_SPHERE_LIST_FOR_NOTE,0))</f>
        <v>0</v>
      </c>
      <c r="L84" s="968" t="str">
        <f>IF(I84=0,"",I84)</f>
        <v>10.1.1</v>
      </c>
      <c r="M84" s="96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968" t="str">
        <f>IF(K84=0,"",K84)</f>
        <v/>
      </c>
      <c r="O84" s="1081" t="s">
        <v>2593</v>
      </c>
      <c r="P84" s="1081"/>
      <c r="Q84" s="1081"/>
      <c r="R84" s="1081"/>
      <c r="S84" s="1081"/>
      <c r="T84" s="967" t="s">
        <v>2594</v>
      </c>
      <c r="U84" s="967"/>
      <c r="V84" s="967"/>
      <c r="W84" s="967"/>
      <c r="X84" s="967"/>
      <c r="Y84" s="1124"/>
      <c r="Z84" s="970"/>
      <c r="AA84" s="973"/>
      <c r="AB84" s="970"/>
      <c r="AC84" s="970"/>
      <c r="AD84" s="970"/>
    </row>
    <row customHeight="1" ht="9">
      <c r="A85" s="969"/>
      <c r="B85" s="1023">
        <v>68</v>
      </c>
      <c r="C85" s="967"/>
      <c r="D85" s="1091"/>
      <c r="E85" s="967"/>
      <c r="F85" s="967"/>
      <c r="G85" s="967"/>
      <c r="H85" s="1015"/>
      <c r="I85" s="1129" t="str">
        <f>INDEX(TEMPLATE_NUMBER_POINT_FHD,B85,MATCH(TEMPLATE_SPHERE,TEMPLATE_SPHERE_LIST_FOR_NOTE,0))</f>
        <v>10.2</v>
      </c>
      <c r="J85" s="1129" t="str">
        <f>INDEX(TEMPLATE_DATA_POINT_FHD,B85,MATCH(TEMPLATE_SPHERE,TEMPLATE_SPHERE_LIST_FOR_NOTE,0))</f>
        <v>Расчётным путём</v>
      </c>
      <c r="K85" s="1129">
        <f>INDEX(TEMPLATE_NOTE_POINT_FHD,B85,MATCH(TEMPLATE_SPHERE,TEMPLATE_SPHERE_LIST_FOR_NOTE,0))</f>
        <v>0</v>
      </c>
      <c r="L85" s="968" t="str">
        <f>IF(I85=0,"",I85)</f>
        <v>10.2</v>
      </c>
      <c r="M85" s="968" t="str">
        <f>IF(J85=0,"",J85)</f>
        <v>Расчётным путём</v>
      </c>
      <c r="N85" s="968" t="str">
        <f>IF(K85=0,"",K85)</f>
        <v/>
      </c>
      <c r="O85" s="1081" t="s">
        <v>2486</v>
      </c>
      <c r="P85" s="1081"/>
      <c r="Q85" s="1081"/>
      <c r="R85" s="1081"/>
      <c r="S85" s="1081"/>
      <c r="T85" s="967" t="s">
        <v>2595</v>
      </c>
      <c r="U85" s="967"/>
      <c r="V85" s="967"/>
      <c r="W85" s="967"/>
      <c r="X85" s="967"/>
      <c r="Y85" s="1124"/>
      <c r="Z85" s="970"/>
      <c r="AA85" s="973"/>
      <c r="AB85" s="970"/>
      <c r="AC85" s="970"/>
      <c r="AD85" s="970"/>
    </row>
    <row customHeight="1" ht="27">
      <c r="A86" s="969"/>
      <c r="B86" s="1023">
        <v>69</v>
      </c>
      <c r="C86" s="967"/>
      <c r="D86" s="1091"/>
      <c r="E86" s="967"/>
      <c r="F86" s="967"/>
      <c r="G86" s="967"/>
      <c r="H86" s="1015"/>
      <c r="I86" s="1129" t="str">
        <f>INDEX(TEMPLATE_NUMBER_POINT_FHD,B86,MATCH(TEMPLATE_SPHERE,TEMPLATE_SPHERE_LIST_FOR_NOTE,0))</f>
        <v>10.3</v>
      </c>
      <c r="J86" s="1129" t="str">
        <f>INDEX(TEMPLATE_DATA_POINT_FHD,B86,MATCH(TEMPLATE_SPHERE,TEMPLATE_SPHERE_LIST_FOR_NOTE,0))</f>
        <v>По нормативам потребления коммунальных услуг и нормативам потребления коммунальных ресурсов</v>
      </c>
      <c r="K86" s="1129">
        <f>INDEX(TEMPLATE_NOTE_POINT_FHD,B86,MATCH(TEMPLATE_SPHERE,TEMPLATE_SPHERE_LIST_FOR_NOTE,0))</f>
        <v>0</v>
      </c>
      <c r="L86" s="968" t="str">
        <f>IF(I86=0,"",I86)</f>
        <v>10.3</v>
      </c>
      <c r="M86" s="968" t="str">
        <f>IF(J86=0,"",J86)</f>
        <v>По нормативам потребления коммунальных услуг и нормативам потребления коммунальных ресурсов</v>
      </c>
      <c r="N86" s="968" t="str">
        <f>IF(K86=0,"",K86)</f>
        <v/>
      </c>
      <c r="O86" s="1081" t="s">
        <v>2596</v>
      </c>
      <c r="P86" s="1081"/>
      <c r="Q86" s="1081"/>
      <c r="R86" s="1081"/>
      <c r="S86" s="1081"/>
      <c r="T86" s="967" t="s">
        <v>2597</v>
      </c>
      <c r="U86" s="967"/>
      <c r="V86" s="967"/>
      <c r="W86" s="967"/>
      <c r="X86" s="967"/>
      <c r="Y86" s="1124"/>
      <c r="Z86" s="970"/>
      <c r="AA86" s="973"/>
      <c r="AB86" s="970"/>
      <c r="AC86" s="970"/>
      <c r="AD86" s="970"/>
    </row>
    <row customHeight="1" ht="36">
      <c r="A87" s="969"/>
      <c r="B87" s="1023">
        <v>70</v>
      </c>
      <c r="C87" s="967" t="s">
        <v>2598</v>
      </c>
      <c r="D87" s="1091"/>
      <c r="E87" s="967"/>
      <c r="F87" s="967"/>
      <c r="G87" s="967"/>
      <c r="H87" s="1015"/>
      <c r="I87" s="1129" t="str">
        <f>INDEX(TEMPLATE_NUMBER_POINT_FHD,B87,MATCH(TEMPLATE_SPHERE,TEMPLATE_SPHERE_LIST_FOR_NOTE,0))</f>
        <v>11</v>
      </c>
      <c r="J87" s="112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129">
        <f>INDEX(TEMPLATE_NOTE_POINT_FHD,B87,MATCH(TEMPLATE_SPHERE,TEMPLATE_SPHERE_LIST_FOR_NOTE,0))</f>
        <v>0</v>
      </c>
      <c r="L87" s="968" t="str">
        <f>IF(I87=0,"",I87)</f>
        <v>11</v>
      </c>
      <c r="M87" s="968" t="str">
        <f>IF(J87=0,"",J87)</f>
        <v>Нормативы технологических потерь при передаче тепловой энергии, теплоносителя по тепловым сетям, утвержденные уполномоченным органом</v>
      </c>
      <c r="N87" s="968" t="str">
        <f>IF(K87=0,"",K87)</f>
        <v/>
      </c>
      <c r="O87" s="1081" t="s">
        <v>144</v>
      </c>
      <c r="P87" s="1081"/>
      <c r="Q87" s="1081"/>
      <c r="R87" s="1081"/>
      <c r="S87" s="1081"/>
      <c r="T87" s="967" t="s">
        <v>2599</v>
      </c>
      <c r="U87" s="967"/>
      <c r="V87" s="967"/>
      <c r="W87" s="967"/>
      <c r="X87" s="967"/>
      <c r="Y87" s="1124"/>
      <c r="Z87" s="970"/>
      <c r="AA87" s="973"/>
      <c r="AB87" s="970"/>
      <c r="AC87" s="970"/>
      <c r="AD87" s="970"/>
    </row>
    <row customHeight="1" ht="18">
      <c r="A88" s="969"/>
      <c r="B88" s="1023">
        <v>71</v>
      </c>
      <c r="C88" s="967" t="s">
        <v>2600</v>
      </c>
      <c r="D88" s="1091"/>
      <c r="E88" s="967"/>
      <c r="F88" s="967"/>
      <c r="G88" s="967"/>
      <c r="H88" s="1015"/>
      <c r="I88" s="1129" t="str">
        <f>INDEX(TEMPLATE_NUMBER_POINT_FHD,B88,MATCH(TEMPLATE_SPHERE,TEMPLATE_SPHERE_LIST_FOR_NOTE,0))</f>
        <v>12</v>
      </c>
      <c r="J88" s="1129" t="str">
        <f>INDEX(TEMPLATE_DATA_POINT_FHD,B88,MATCH(TEMPLATE_SPHERE,TEMPLATE_SPHERE_LIST_FOR_NOTE,0))</f>
        <v>Фактический объем потерь при передаче тепловой энергии</v>
      </c>
      <c r="K88" s="1129">
        <f>INDEX(TEMPLATE_NOTE_POINT_FHD,B88,MATCH(TEMPLATE_SPHERE,TEMPLATE_SPHERE_LIST_FOR_NOTE,0))</f>
        <v>0</v>
      </c>
      <c r="L88" s="968" t="str">
        <f>IF(I88=0,"",I88)</f>
        <v>12</v>
      </c>
      <c r="M88" s="968" t="str">
        <f>IF(J88=0,"",J88)</f>
        <v>Фактический объем потерь при передаче тепловой энергии</v>
      </c>
      <c r="N88" s="968" t="str">
        <f>IF(K88=0,"",K88)</f>
        <v/>
      </c>
      <c r="O88" s="1081" t="s">
        <v>149</v>
      </c>
      <c r="P88" s="1081"/>
      <c r="Q88" s="1081"/>
      <c r="R88" s="1081"/>
      <c r="S88" s="1081"/>
      <c r="T88" s="967" t="s">
        <v>823</v>
      </c>
      <c r="U88" s="967"/>
      <c r="V88" s="967"/>
      <c r="W88" s="967"/>
      <c r="X88" s="967"/>
      <c r="Y88" s="1124"/>
      <c r="Z88" s="970"/>
      <c r="AA88" s="973"/>
      <c r="AB88" s="970"/>
      <c r="AC88" s="970"/>
      <c r="AD88" s="970"/>
    </row>
    <row customHeight="1" ht="18">
      <c r="A89" s="969"/>
      <c r="B89" s="1023">
        <v>72</v>
      </c>
      <c r="C89" s="967" t="s">
        <v>2601</v>
      </c>
      <c r="D89" s="1091" t="s">
        <v>2598</v>
      </c>
      <c r="E89" s="967" t="s">
        <v>2598</v>
      </c>
      <c r="F89" s="967" t="s">
        <v>2564</v>
      </c>
      <c r="G89" s="967"/>
      <c r="H89" s="1015"/>
      <c r="I89" s="1129" t="str">
        <f>INDEX(TEMPLATE_NUMBER_POINT_FHD,B89,MATCH(TEMPLATE_SPHERE,TEMPLATE_SPHERE_LIST_FOR_NOTE,0))</f>
        <v>13</v>
      </c>
      <c r="J89" s="1129" t="str">
        <f>INDEX(TEMPLATE_DATA_POINT_FHD,B89,MATCH(TEMPLATE_SPHERE,TEMPLATE_SPHERE_LIST_FOR_NOTE,0))</f>
        <v>Среднесписочная численность основного производственного персонала</v>
      </c>
      <c r="K89" s="1129">
        <f>INDEX(TEMPLATE_NOTE_POINT_FHD,B89,MATCH(TEMPLATE_SPHERE,TEMPLATE_SPHERE_LIST_FOR_NOTE,0))</f>
        <v>0</v>
      </c>
      <c r="L89" s="968" t="str">
        <f>IF(I89=0,"",I89)</f>
        <v>13</v>
      </c>
      <c r="M89" s="968" t="str">
        <f>IF(J89=0,"",J89)</f>
        <v>Среднесписочная численность основного производственного персонала</v>
      </c>
      <c r="N89" s="968" t="str">
        <f>IF(K89=0,"",K89)</f>
        <v/>
      </c>
      <c r="O89" s="1081" t="s">
        <v>154</v>
      </c>
      <c r="P89" s="1081" t="s">
        <v>149</v>
      </c>
      <c r="Q89" s="1081" t="s">
        <v>149</v>
      </c>
      <c r="R89" s="1081" t="s">
        <v>139</v>
      </c>
      <c r="S89" s="1081"/>
      <c r="T89" s="967" t="s">
        <v>831</v>
      </c>
      <c r="U89" s="967" t="s">
        <v>831</v>
      </c>
      <c r="V89" s="967" t="s">
        <v>831</v>
      </c>
      <c r="W89" s="967" t="s">
        <v>831</v>
      </c>
      <c r="X89" s="967"/>
      <c r="Y89" s="1124"/>
      <c r="Z89" s="970"/>
      <c r="AA89" s="973"/>
      <c r="AB89" s="970"/>
      <c r="AC89" s="970"/>
      <c r="AD89" s="970"/>
    </row>
    <row customHeight="1" ht="27">
      <c r="A90" s="969"/>
      <c r="B90" s="1023">
        <v>73</v>
      </c>
      <c r="C90" s="967" t="s">
        <v>2602</v>
      </c>
      <c r="D90" s="1091"/>
      <c r="E90" s="967"/>
      <c r="F90" s="967"/>
      <c r="G90" s="967"/>
      <c r="H90" s="1015"/>
      <c r="I90" s="1129" t="str">
        <f>INDEX(TEMPLATE_NUMBER_POINT_FHD,B90,MATCH(TEMPLATE_SPHERE,TEMPLATE_SPHERE_LIST_FOR_NOTE,0))</f>
        <v>14</v>
      </c>
      <c r="J90" s="1129" t="str">
        <f>INDEX(TEMPLATE_DATA_POINT_FHD,B90,MATCH(TEMPLATE_SPHERE,TEMPLATE_SPHERE_LIST_FOR_NOTE,0))</f>
        <v>Среднесписочная численность административно-управленческого персонала</v>
      </c>
      <c r="K90" s="1129">
        <f>INDEX(TEMPLATE_NOTE_POINT_FHD,B90,MATCH(TEMPLATE_SPHERE,TEMPLATE_SPHERE_LIST_FOR_NOTE,0))</f>
        <v>0</v>
      </c>
      <c r="L90" s="968" t="str">
        <f>IF(I90=0,"",I90)</f>
        <v>14</v>
      </c>
      <c r="M90" s="968" t="str">
        <f>IF(J90=0,"",J90)</f>
        <v>Среднесписочная численность административно-управленческого персонала</v>
      </c>
      <c r="N90" s="968" t="str">
        <f>IF(K90=0,"",K90)</f>
        <v/>
      </c>
      <c r="O90" s="1081" t="s">
        <v>159</v>
      </c>
      <c r="P90" s="1081"/>
      <c r="Q90" s="1081"/>
      <c r="R90" s="1081"/>
      <c r="S90" s="1081"/>
      <c r="T90" s="967" t="s">
        <v>833</v>
      </c>
      <c r="U90" s="967"/>
      <c r="V90" s="967"/>
      <c r="W90" s="967"/>
      <c r="X90" s="967"/>
      <c r="Y90" s="1124"/>
      <c r="Z90" s="970"/>
      <c r="AA90" s="973"/>
      <c r="AB90" s="970"/>
      <c r="AC90" s="970"/>
      <c r="AD90" s="970"/>
    </row>
    <row customHeight="1" ht="18">
      <c r="A91" s="969"/>
      <c r="B91" s="1023">
        <v>74</v>
      </c>
      <c r="C91" s="967"/>
      <c r="D91" s="1091" t="s">
        <v>2600</v>
      </c>
      <c r="E91" s="967" t="s">
        <v>2600</v>
      </c>
      <c r="F91" s="967"/>
      <c r="G91" s="967"/>
      <c r="H91" s="1015"/>
      <c r="I91" s="1129">
        <f>INDEX(TEMPLATE_NUMBER_POINT_FHD,B91,MATCH(TEMPLATE_SPHERE,TEMPLATE_SPHERE_LIST_FOR_NOTE,0))</f>
        <v>0</v>
      </c>
      <c r="J91" s="1129">
        <f>INDEX(TEMPLATE_DATA_POINT_FHD,B91,MATCH(TEMPLATE_SPHERE,TEMPLATE_SPHERE_LIST_FOR_NOTE,0))</f>
        <v>0</v>
      </c>
      <c r="K91" s="1129">
        <f>INDEX(TEMPLATE_NOTE_POINT_FHD,B91,MATCH(TEMPLATE_SPHERE,TEMPLATE_SPHERE_LIST_FOR_NOTE,0))</f>
        <v>0</v>
      </c>
      <c r="L91" s="968" t="str">
        <f>IF(I91=0,"",I91)</f>
        <v/>
      </c>
      <c r="M91" s="968" t="str">
        <f>IF(J91=0,"",J91)</f>
        <v/>
      </c>
      <c r="N91" s="968" t="str">
        <f>IF(K91=0,"",K91)</f>
        <v/>
      </c>
      <c r="O91" s="1081"/>
      <c r="P91" s="1081" t="s">
        <v>154</v>
      </c>
      <c r="Q91" s="1081" t="s">
        <v>154</v>
      </c>
      <c r="R91" s="1081"/>
      <c r="S91" s="1081"/>
      <c r="T91" s="967"/>
      <c r="U91" s="967" t="s">
        <v>2603</v>
      </c>
      <c r="V91" s="967" t="s">
        <v>2603</v>
      </c>
      <c r="W91" s="967"/>
      <c r="X91" s="967"/>
      <c r="Y91" s="1124"/>
      <c r="Z91" s="970"/>
      <c r="AA91" s="973"/>
      <c r="AB91" s="970"/>
      <c r="AC91" s="970"/>
      <c r="AD91" s="970"/>
    </row>
    <row customHeight="1" ht="27">
      <c r="A92" s="969"/>
      <c r="B92" s="1023">
        <v>75</v>
      </c>
      <c r="C92" s="967"/>
      <c r="D92" s="1091" t="s">
        <v>2601</v>
      </c>
      <c r="E92" s="967"/>
      <c r="F92" s="967"/>
      <c r="G92" s="967"/>
      <c r="H92" s="1015"/>
      <c r="I92" s="1129">
        <f>INDEX(TEMPLATE_NUMBER_POINT_FHD,B92,MATCH(TEMPLATE_SPHERE,TEMPLATE_SPHERE_LIST_FOR_NOTE,0))</f>
        <v>0</v>
      </c>
      <c r="J92" s="1129">
        <f>INDEX(TEMPLATE_DATA_POINT_FHD,B92,MATCH(TEMPLATE_SPHERE,TEMPLATE_SPHERE_LIST_FOR_NOTE,0))</f>
        <v>0</v>
      </c>
      <c r="K92" s="1129">
        <f>INDEX(TEMPLATE_NOTE_POINT_FHD,B92,MATCH(TEMPLATE_SPHERE,TEMPLATE_SPHERE_LIST_FOR_NOTE,0))</f>
        <v>0</v>
      </c>
      <c r="L92" s="968" t="str">
        <f>IF(I92=0,"",I92)</f>
        <v/>
      </c>
      <c r="M92" s="968" t="str">
        <f>IF(J92=0,"",J92)</f>
        <v/>
      </c>
      <c r="N92" s="968" t="str">
        <f>IF(K92=0,"",K92)</f>
        <v/>
      </c>
      <c r="O92" s="1081"/>
      <c r="P92" s="1081" t="s">
        <v>159</v>
      </c>
      <c r="Q92" s="1081"/>
      <c r="R92" s="1081"/>
      <c r="S92" s="1081"/>
      <c r="T92" s="967"/>
      <c r="U92" s="967" t="s">
        <v>2604</v>
      </c>
      <c r="V92" s="967"/>
      <c r="W92" s="967"/>
      <c r="X92" s="967"/>
      <c r="Y92" s="1124"/>
      <c r="Z92" s="970"/>
      <c r="AA92" s="973" t="s">
        <v>2605</v>
      </c>
      <c r="AB92" s="970"/>
      <c r="AC92" s="970"/>
      <c r="AD92" s="970"/>
    </row>
    <row customHeight="1" ht="27">
      <c r="A93" s="969"/>
      <c r="B93" s="1023">
        <v>76</v>
      </c>
      <c r="C93" s="967"/>
      <c r="D93" s="1091"/>
      <c r="E93" s="967"/>
      <c r="F93" s="967"/>
      <c r="G93" s="967"/>
      <c r="H93" s="1015"/>
      <c r="I93" s="1129">
        <f>INDEX(TEMPLATE_NUMBER_POINT_FHD,B93,MATCH(TEMPLATE_SPHERE,TEMPLATE_SPHERE_LIST_FOR_NOTE,0))</f>
        <v>0</v>
      </c>
      <c r="J93" s="1129">
        <f>INDEX(TEMPLATE_DATA_POINT_FHD,B93,MATCH(TEMPLATE_SPHERE,TEMPLATE_SPHERE_LIST_FOR_NOTE,0))</f>
        <v>0</v>
      </c>
      <c r="K93" s="1129">
        <f>INDEX(TEMPLATE_NOTE_POINT_FHD,B93,MATCH(TEMPLATE_SPHERE,TEMPLATE_SPHERE_LIST_FOR_NOTE,0))</f>
        <v>0</v>
      </c>
      <c r="L93" s="968" t="str">
        <f>IF(I93=0,"",I93)</f>
        <v/>
      </c>
      <c r="M93" s="968" t="str">
        <f>IF(J93=0,"",J93)</f>
        <v/>
      </c>
      <c r="N93" s="968" t="str">
        <f>IF(K93=0,"",K93)</f>
        <v/>
      </c>
      <c r="O93" s="1081"/>
      <c r="P93" s="1081" t="s">
        <v>2513</v>
      </c>
      <c r="Q93" s="1081"/>
      <c r="R93" s="1081"/>
      <c r="S93" s="1081"/>
      <c r="T93" s="967"/>
      <c r="U93" s="967" t="s">
        <v>2606</v>
      </c>
      <c r="V93" s="967"/>
      <c r="W93" s="967"/>
      <c r="X93" s="967"/>
      <c r="Y93" s="1124"/>
      <c r="Z93" s="970"/>
      <c r="AA93" s="973" t="s">
        <v>2607</v>
      </c>
      <c r="AB93" s="970"/>
      <c r="AC93" s="970"/>
      <c r="AD93" s="970"/>
    </row>
    <row customHeight="1" ht="45">
      <c r="A94" s="969"/>
      <c r="B94" s="1023">
        <v>77</v>
      </c>
      <c r="C94" s="967"/>
      <c r="D94" s="1091" t="s">
        <v>2602</v>
      </c>
      <c r="E94" s="967"/>
      <c r="F94" s="967"/>
      <c r="G94" s="967"/>
      <c r="H94" s="1015"/>
      <c r="I94" s="1129">
        <f>INDEX(TEMPLATE_NUMBER_POINT_FHD,B94,MATCH(TEMPLATE_SPHERE,TEMPLATE_SPHERE_LIST_FOR_NOTE,0))</f>
        <v>0</v>
      </c>
      <c r="J94" s="1129">
        <f>INDEX(TEMPLATE_DATA_POINT_FHD,B94,MATCH(TEMPLATE_SPHERE,TEMPLATE_SPHERE_LIST_FOR_NOTE,0))</f>
        <v>0</v>
      </c>
      <c r="K94" s="1129">
        <f>INDEX(TEMPLATE_NOTE_POINT_FHD,B94,MATCH(TEMPLATE_SPHERE,TEMPLATE_SPHERE_LIST_FOR_NOTE,0))</f>
        <v>0</v>
      </c>
      <c r="L94" s="968" t="str">
        <f>IF(I94=0,"",I94)</f>
        <v/>
      </c>
      <c r="M94" s="968" t="str">
        <f>IF(J94=0,"",J94)</f>
        <v/>
      </c>
      <c r="N94" s="968" t="str">
        <f>IF(K94=0,"",K94)</f>
        <v/>
      </c>
      <c r="O94" s="1081"/>
      <c r="P94" s="1081" t="s">
        <v>164</v>
      </c>
      <c r="Q94" s="1081"/>
      <c r="R94" s="1081"/>
      <c r="S94" s="1081"/>
      <c r="T94" s="967"/>
      <c r="U94" s="967" t="s">
        <v>2608</v>
      </c>
      <c r="V94" s="967"/>
      <c r="W94" s="967"/>
      <c r="X94" s="967"/>
      <c r="Y94" s="1124"/>
      <c r="Z94" s="970"/>
      <c r="AA94" s="973" t="s">
        <v>2609</v>
      </c>
      <c r="AB94" s="970"/>
      <c r="AC94" s="970"/>
      <c r="AD94" s="970"/>
    </row>
    <row customHeight="1" ht="99">
      <c r="A95" s="969"/>
      <c r="B95" s="1023">
        <v>78</v>
      </c>
      <c r="C95" s="967" t="s">
        <v>2610</v>
      </c>
      <c r="D95" s="1091"/>
      <c r="E95" s="967"/>
      <c r="F95" s="967"/>
      <c r="G95" s="967"/>
      <c r="H95" s="1015"/>
      <c r="I95" s="1129" t="str">
        <f>INDEX(TEMPLATE_NUMBER_POINT_FHD,B95,MATCH(TEMPLATE_SPHERE,TEMPLATE_SPHERE_LIST_FOR_NOTE,0))</f>
        <v>15</v>
      </c>
      <c r="J95" s="112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129">
        <f>INDEX(TEMPLATE_NOTE_POINT_FHD,B95,MATCH(TEMPLATE_SPHERE,TEMPLATE_SPHERE_LIST_FOR_NOTE,0))</f>
        <v>0</v>
      </c>
      <c r="L95" s="968" t="str">
        <f>IF(I95=0,"",I95)</f>
        <v>15</v>
      </c>
      <c r="M95" s="96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968" t="str">
        <f>IF(K95=0,"",K95)</f>
        <v/>
      </c>
      <c r="O95" s="1081" t="s">
        <v>164</v>
      </c>
      <c r="P95" s="1081"/>
      <c r="Q95" s="1081"/>
      <c r="R95" s="1081"/>
      <c r="S95" s="1081"/>
      <c r="T95" s="967" t="s">
        <v>2611</v>
      </c>
      <c r="U95" s="967"/>
      <c r="V95" s="967"/>
      <c r="W95" s="967"/>
      <c r="X95" s="967"/>
      <c r="Y95" s="1124"/>
      <c r="Z95" s="970"/>
      <c r="AA95" s="973"/>
      <c r="AB95" s="970"/>
      <c r="AC95" s="970"/>
      <c r="AD95" s="970"/>
    </row>
    <row customHeight="1" ht="99">
      <c r="A96" s="969"/>
      <c r="B96" s="1023">
        <v>79</v>
      </c>
      <c r="C96" s="967" t="s">
        <v>1578</v>
      </c>
      <c r="D96" s="1091"/>
      <c r="E96" s="967"/>
      <c r="F96" s="967"/>
      <c r="G96" s="967"/>
      <c r="H96" s="1015"/>
      <c r="I96" s="1129" t="str">
        <f>INDEX(TEMPLATE_NUMBER_POINT_FHD,B96,MATCH(TEMPLATE_SPHERE,TEMPLATE_SPHERE_LIST_FOR_NOTE,0))</f>
        <v>16</v>
      </c>
      <c r="J96" s="112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12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968" t="str">
        <f>IF(I96=0,"",I96)</f>
        <v>16</v>
      </c>
      <c r="M96" s="96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96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081" t="s">
        <v>169</v>
      </c>
      <c r="P96" s="1081"/>
      <c r="Q96" s="1081"/>
      <c r="R96" s="1081"/>
      <c r="S96" s="1081"/>
      <c r="T96" s="967" t="s">
        <v>2612</v>
      </c>
      <c r="U96" s="967"/>
      <c r="V96" s="967"/>
      <c r="W96" s="967"/>
      <c r="X96" s="967"/>
      <c r="Y96" s="1124"/>
      <c r="Z96" s="970" t="s">
        <v>2613</v>
      </c>
      <c r="AA96" s="973"/>
      <c r="AB96" s="970"/>
      <c r="AC96" s="970"/>
      <c r="AD96" s="970"/>
    </row>
    <row customHeight="1" ht="63">
      <c r="A97" s="969"/>
      <c r="B97" s="1023">
        <v>80</v>
      </c>
      <c r="C97" s="967" t="s">
        <v>2614</v>
      </c>
      <c r="D97" s="1091"/>
      <c r="E97" s="967"/>
      <c r="F97" s="967"/>
      <c r="G97" s="967"/>
      <c r="H97" s="1015"/>
      <c r="I97" s="1129" t="str">
        <f>INDEX(TEMPLATE_NUMBER_POINT_FHD,B97,MATCH(TEMPLATE_SPHERE,TEMPLATE_SPHERE_LIST_FOR_NOTE,0))</f>
        <v>17</v>
      </c>
      <c r="J97" s="112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12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968" t="str">
        <f>IF(I97=0,"",I97)</f>
        <v>17</v>
      </c>
      <c r="M97" s="96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968" t="str">
        <f>IF(K97=0,"",K97)</f>
        <v>Регулируемыми организациями указывается информация с по договорам, заключенным в рамках осуществления регулируемой деятельности.</v>
      </c>
      <c r="O97" s="1081" t="s">
        <v>174</v>
      </c>
      <c r="P97" s="1081"/>
      <c r="Q97" s="1081"/>
      <c r="R97" s="1081"/>
      <c r="S97" s="1081"/>
      <c r="T97" s="967" t="s">
        <v>2615</v>
      </c>
      <c r="U97" s="967"/>
      <c r="V97" s="967"/>
      <c r="W97" s="967"/>
      <c r="X97" s="967"/>
      <c r="Y97" s="1124"/>
      <c r="Z97" s="970" t="s">
        <v>2616</v>
      </c>
      <c r="AA97" s="973"/>
      <c r="AB97" s="970"/>
      <c r="AC97" s="970"/>
      <c r="AD97" s="970"/>
    </row>
    <row customHeight="1" ht="63">
      <c r="A98" s="969"/>
      <c r="B98" s="1023">
        <v>81</v>
      </c>
      <c r="C98" s="967" t="s">
        <v>2617</v>
      </c>
      <c r="D98" s="1091"/>
      <c r="E98" s="967"/>
      <c r="F98" s="967"/>
      <c r="G98" s="967"/>
      <c r="H98" s="1015"/>
      <c r="I98" s="1129" t="str">
        <f>INDEX(TEMPLATE_NUMBER_POINT_FHD,B98,MATCH(TEMPLATE_SPHERE,TEMPLATE_SPHERE_LIST_FOR_NOTE,0))</f>
        <v>18</v>
      </c>
      <c r="J98" s="112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12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968" t="str">
        <f>IF(I98=0,"",I98)</f>
        <v>18</v>
      </c>
      <c r="M98" s="96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968" t="str">
        <f>IF(K98=0,"",K98)</f>
        <v>Регулируемыми организациями указывается информация с по договорам, заключенным в рамках осуществления регулируемой деятельности.</v>
      </c>
      <c r="O98" s="1081" t="s">
        <v>179</v>
      </c>
      <c r="P98" s="1081"/>
      <c r="Q98" s="1081"/>
      <c r="R98" s="1081"/>
      <c r="S98" s="1081"/>
      <c r="T98" s="967" t="s">
        <v>2618</v>
      </c>
      <c r="U98" s="967"/>
      <c r="V98" s="967"/>
      <c r="W98" s="967"/>
      <c r="X98" s="967"/>
      <c r="Y98" s="1124"/>
      <c r="Z98" s="970" t="s">
        <v>2616</v>
      </c>
      <c r="AA98" s="973"/>
      <c r="AB98" s="970"/>
      <c r="AC98" s="970"/>
      <c r="AD98" s="970"/>
    </row>
    <row customHeight="1" ht="90">
      <c r="A99" s="969"/>
      <c r="B99" s="1023">
        <v>82</v>
      </c>
      <c r="C99" s="967" t="s">
        <v>2619</v>
      </c>
      <c r="D99" s="1091"/>
      <c r="E99" s="967"/>
      <c r="F99" s="967"/>
      <c r="G99" s="967"/>
      <c r="H99" s="1015"/>
      <c r="I99" s="1129" t="str">
        <f>INDEX(TEMPLATE_NUMBER_POINT_FHD,B99,MATCH(TEMPLATE_SPHERE,TEMPLATE_SPHERE_LIST_FOR_NOTE,0))</f>
        <v>19</v>
      </c>
      <c r="J99" s="112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129" t="str">
        <f>INDEX(TEMPLATE_NOTE_POINT_FHD,B99,MATCH(TEMPLATE_SPHERE,TEMPLATE_SPHERE_LIST_FOR_NOTE,0))</f>
        <v>Указывается ссылка на документ, предварительно загруженный в хранилище файлов ФГИС ЕИАС.</v>
      </c>
      <c r="L99" s="968" t="str">
        <f>IF(I99=0,"",I99)</f>
        <v>19</v>
      </c>
      <c r="M99" s="96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968" t="str">
        <f>IF(K99=0,"",K99)</f>
        <v>Указывается ссылка на документ, предварительно загруженный в хранилище файлов ФГИС ЕИАС.</v>
      </c>
      <c r="O99" s="1081" t="s">
        <v>184</v>
      </c>
      <c r="P99" s="1081"/>
      <c r="Q99" s="1081"/>
      <c r="R99" s="1081"/>
      <c r="S99" s="1081"/>
      <c r="T99" s="967" t="s">
        <v>2620</v>
      </c>
      <c r="U99" s="967"/>
      <c r="V99" s="967"/>
      <c r="W99" s="967"/>
      <c r="X99" s="967"/>
      <c r="Y99" s="1124"/>
      <c r="Z99" s="970" t="s">
        <v>788</v>
      </c>
      <c r="AA99" s="973"/>
      <c r="AB99" s="970"/>
      <c r="AC99" s="970"/>
      <c r="AD99" s="970"/>
    </row>
    <row customHeight="1" ht="27">
      <c r="A100" s="969"/>
      <c r="B100" s="1023">
        <v>83</v>
      </c>
      <c r="C100" s="967"/>
      <c r="D100" s="1091"/>
      <c r="E100" s="967"/>
      <c r="F100" s="967"/>
      <c r="G100" s="967"/>
      <c r="H100" s="1015"/>
      <c r="I100" s="1129" t="str">
        <f>INDEX(TEMPLATE_NUMBER_POINT_FHD,B100,MATCH(TEMPLATE_SPHERE,TEMPLATE_SPHERE_LIST_FOR_NOTE,0))</f>
        <v>19.1</v>
      </c>
      <c r="J100" s="1129" t="str">
        <f>INDEX(TEMPLATE_DATA_POINT_FHD,B100,MATCH(TEMPLATE_SPHERE,TEMPLATE_SPHERE_LIST_FOR_NOTE,0))</f>
        <v>Информация о показателях физического износа объектов теплоснабжения</v>
      </c>
      <c r="K100" s="1129" t="str">
        <f>INDEX(TEMPLATE_NOTE_POINT_FHD,B100,MATCH(TEMPLATE_SPHERE,TEMPLATE_SPHERE_LIST_FOR_NOTE,0))</f>
        <v>Указывается ссылка на документ, предварительно загруженный в хранилище файлов ФГИС ЕИАС.</v>
      </c>
      <c r="L100" s="968" t="str">
        <f>IF(I100=0,"",I100)</f>
        <v>19.1</v>
      </c>
      <c r="M100" s="968" t="str">
        <f>IF(J100=0,"",J100)</f>
        <v>Информация о показателях физического износа объектов теплоснабжения</v>
      </c>
      <c r="N100" s="968" t="str">
        <f>IF(K100=0,"",K100)</f>
        <v>Указывается ссылка на документ, предварительно загруженный в хранилище файлов ФГИС ЕИАС.</v>
      </c>
      <c r="O100" s="1081" t="s">
        <v>2621</v>
      </c>
      <c r="P100" s="1081"/>
      <c r="Q100" s="1081"/>
      <c r="R100" s="1081"/>
      <c r="S100" s="1081"/>
      <c r="T100" s="967" t="s">
        <v>2622</v>
      </c>
      <c r="U100" s="967"/>
      <c r="V100" s="967"/>
      <c r="W100" s="967"/>
      <c r="X100" s="967"/>
      <c r="Y100" s="1124"/>
      <c r="Z100" s="970" t="s">
        <v>788</v>
      </c>
      <c r="AA100" s="973"/>
      <c r="AB100" s="970"/>
      <c r="AC100" s="970"/>
      <c r="AD100" s="970"/>
    </row>
    <row customHeight="1" ht="27">
      <c r="A101" s="969"/>
      <c r="B101" s="1023">
        <v>84</v>
      </c>
      <c r="C101" s="967"/>
      <c r="D101" s="1091"/>
      <c r="E101" s="967"/>
      <c r="F101" s="967"/>
      <c r="G101" s="967"/>
      <c r="H101" s="1015"/>
      <c r="I101" s="1129" t="str">
        <f>INDEX(TEMPLATE_NUMBER_POINT_FHD,B101,MATCH(TEMPLATE_SPHERE,TEMPLATE_SPHERE_LIST_FOR_NOTE,0))</f>
        <v>19.2</v>
      </c>
      <c r="J101" s="1129" t="str">
        <f>INDEX(TEMPLATE_DATA_POINT_FHD,B101,MATCH(TEMPLATE_SPHERE,TEMPLATE_SPHERE_LIST_FOR_NOTE,0))</f>
        <v>Информация о показателях энергетической эффективности объектов теплоснабжения</v>
      </c>
      <c r="K101" s="1129" t="str">
        <f>INDEX(TEMPLATE_NOTE_POINT_FHD,B101,MATCH(TEMPLATE_SPHERE,TEMPLATE_SPHERE_LIST_FOR_NOTE,0))</f>
        <v>Указывается ссылка на документ, предварительно загруженный в хранилище файлов ФГИС ЕИАС.</v>
      </c>
      <c r="L101" s="968" t="str">
        <f>IF(I101=0,"",I101)</f>
        <v>19.2</v>
      </c>
      <c r="M101" s="968" t="str">
        <f>IF(J101=0,"",J101)</f>
        <v>Информация о показателях энергетической эффективности объектов теплоснабжения</v>
      </c>
      <c r="N101" s="968" t="str">
        <f>IF(K101=0,"",K101)</f>
        <v>Указывается ссылка на документ, предварительно загруженный в хранилище файлов ФГИС ЕИАС.</v>
      </c>
      <c r="O101" s="1081" t="s">
        <v>2623</v>
      </c>
      <c r="P101" s="1081"/>
      <c r="Q101" s="1081"/>
      <c r="R101" s="1081"/>
      <c r="S101" s="1081"/>
      <c r="T101" s="967" t="s">
        <v>2624</v>
      </c>
      <c r="U101" s="967"/>
      <c r="V101" s="967"/>
      <c r="W101" s="967"/>
      <c r="X101" s="967"/>
      <c r="Y101" s="1124"/>
      <c r="Z101" s="970" t="s">
        <v>788</v>
      </c>
      <c r="AA101" s="973"/>
      <c r="AB101" s="970"/>
      <c r="AC101" s="970"/>
      <c r="AD101" s="970"/>
    </row>
    <row customHeight="1" ht="9">
      <c r="A102" s="969"/>
      <c r="B102" s="969"/>
      <c r="C102" s="967"/>
      <c r="D102" s="967"/>
      <c r="E102" s="967"/>
      <c r="F102" s="967"/>
      <c r="G102" s="967"/>
      <c r="H102" s="1015"/>
      <c r="I102" s="1015"/>
      <c r="J102" s="1015"/>
      <c r="K102" s="1015"/>
      <c r="L102" s="1015"/>
      <c r="M102" s="967"/>
      <c r="N102" s="1014"/>
      <c r="O102" s="1081"/>
      <c r="P102" s="1081"/>
      <c r="Q102" s="1081"/>
      <c r="R102" s="1081"/>
      <c r="S102" s="967"/>
      <c r="T102" s="967"/>
      <c r="U102" s="967"/>
      <c r="V102" s="967"/>
      <c r="W102" s="967"/>
      <c r="X102" s="967"/>
      <c r="Y102" s="1124"/>
      <c r="Z102" s="970"/>
      <c r="AA102" s="973"/>
      <c r="AB102" s="970"/>
      <c r="AC102" s="970"/>
      <c r="AD102" s="970"/>
    </row>
    <row customHeight="1" ht="9">
      <c r="A103" s="969"/>
      <c r="B103" s="969"/>
      <c r="C103" s="967"/>
      <c r="D103" s="967"/>
      <c r="E103" s="967"/>
      <c r="F103" s="967"/>
      <c r="G103" s="967"/>
      <c r="H103" s="1015"/>
      <c r="I103" s="1015"/>
      <c r="J103" s="1015"/>
      <c r="K103" s="1015"/>
      <c r="L103" s="1015"/>
      <c r="M103" s="967"/>
      <c r="N103" s="1014"/>
      <c r="O103" s="1081"/>
      <c r="P103" s="1081"/>
      <c r="Q103" s="1081"/>
      <c r="R103" s="1081"/>
      <c r="S103" s="967"/>
      <c r="T103" s="967"/>
      <c r="U103" s="967"/>
      <c r="V103" s="967"/>
      <c r="W103" s="967"/>
      <c r="X103" s="967"/>
      <c r="Y103" s="1124"/>
      <c r="Z103" s="970"/>
      <c r="AA103" s="973"/>
      <c r="AB103" s="970"/>
      <c r="AC103" s="970"/>
      <c r="AD103" s="970"/>
    </row>
    <row customHeight="1" ht="9">
      <c r="A104" s="969"/>
      <c r="B104" s="969"/>
      <c r="C104" s="967"/>
      <c r="D104" s="967"/>
      <c r="E104" s="967"/>
      <c r="F104" s="967"/>
      <c r="G104" s="967"/>
      <c r="H104" s="1015"/>
      <c r="I104" s="1015"/>
      <c r="J104" s="1015"/>
      <c r="K104" s="1015"/>
      <c r="L104" s="1015"/>
      <c r="M104" s="967"/>
      <c r="N104" s="1014"/>
      <c r="O104" s="1081"/>
      <c r="P104" s="1081"/>
      <c r="Q104" s="1081"/>
      <c r="R104" s="1081"/>
      <c r="S104" s="967"/>
      <c r="T104" s="967"/>
      <c r="U104" s="967"/>
      <c r="V104" s="967"/>
      <c r="W104" s="967"/>
      <c r="X104" s="967"/>
      <c r="Y104" s="1124"/>
      <c r="Z104" s="970"/>
      <c r="AA104" s="973"/>
      <c r="AB104" s="970"/>
      <c r="AC104" s="970"/>
      <c r="AD104" s="970"/>
    </row>
    <row customHeight="1" ht="9">
      <c r="A105" s="969"/>
      <c r="B105" s="969"/>
      <c r="C105" s="967"/>
      <c r="D105" s="967"/>
      <c r="E105" s="967"/>
      <c r="F105" s="967"/>
      <c r="G105" s="967"/>
      <c r="H105" s="1015"/>
      <c r="I105" s="1015"/>
      <c r="J105" s="1015"/>
      <c r="K105" s="1015"/>
      <c r="L105" s="1015"/>
      <c r="M105" s="967"/>
      <c r="N105" s="1014"/>
      <c r="O105" s="1081"/>
      <c r="P105" s="1081"/>
      <c r="Q105" s="1081"/>
      <c r="R105" s="1081"/>
      <c r="S105" s="967"/>
      <c r="T105" s="967"/>
      <c r="U105" s="967"/>
      <c r="V105" s="967"/>
      <c r="W105" s="967"/>
      <c r="X105" s="967"/>
      <c r="Y105" s="1124"/>
      <c r="Z105" s="970"/>
      <c r="AA105" s="973"/>
      <c r="AB105" s="970"/>
      <c r="AC105" s="970"/>
      <c r="AD105" s="970"/>
    </row>
    <row customHeight="1" ht="9">
      <c r="A106" s="969"/>
      <c r="B106" s="969"/>
      <c r="C106" s="967"/>
      <c r="D106" s="967"/>
      <c r="E106" s="967"/>
      <c r="F106" s="967"/>
      <c r="G106" s="967"/>
      <c r="H106" s="1015"/>
      <c r="I106" s="1015"/>
      <c r="J106" s="1015"/>
      <c r="K106" s="1015"/>
      <c r="L106" s="1015"/>
      <c r="M106" s="967"/>
      <c r="N106" s="1014"/>
      <c r="O106" s="1081"/>
      <c r="P106" s="1081"/>
      <c r="Q106" s="1081"/>
      <c r="R106" s="1081"/>
      <c r="S106" s="967"/>
      <c r="T106" s="967"/>
      <c r="U106" s="967"/>
      <c r="V106" s="967"/>
      <c r="W106" s="967"/>
      <c r="X106" s="967"/>
      <c r="Y106" s="1124"/>
      <c r="Z106" s="970"/>
      <c r="AA106" s="973"/>
      <c r="AB106" s="970"/>
      <c r="AC106" s="970"/>
      <c r="AD106" s="970"/>
    </row>
    <row customHeight="1" ht="9">
      <c r="A107" s="969"/>
      <c r="B107" s="969"/>
      <c r="C107" s="967"/>
      <c r="D107" s="967"/>
      <c r="E107" s="967"/>
      <c r="F107" s="967"/>
      <c r="G107" s="967"/>
      <c r="H107" s="1015"/>
      <c r="I107" s="1015"/>
      <c r="J107" s="1015"/>
      <c r="K107" s="1015"/>
      <c r="L107" s="1015"/>
      <c r="M107" s="967"/>
      <c r="N107" s="1014"/>
      <c r="O107" s="1081"/>
      <c r="P107" s="1081"/>
      <c r="Q107" s="1081"/>
      <c r="R107" s="1081"/>
      <c r="S107" s="967"/>
      <c r="T107" s="967"/>
      <c r="U107" s="967"/>
      <c r="V107" s="967"/>
      <c r="W107" s="967"/>
      <c r="X107" s="967"/>
      <c r="Y107" s="1124"/>
      <c r="Z107" s="970"/>
      <c r="AA107" s="973"/>
      <c r="AB107" s="970"/>
      <c r="AC107" s="970"/>
      <c r="AD107" s="970"/>
    </row>
    <row customHeight="1" ht="9">
      <c r="A108" s="969"/>
      <c r="B108" s="969"/>
      <c r="C108" s="967"/>
      <c r="D108" s="967"/>
      <c r="E108" s="967"/>
      <c r="F108" s="967"/>
      <c r="G108" s="967"/>
      <c r="H108" s="1015"/>
      <c r="I108" s="1015"/>
      <c r="J108" s="1015"/>
      <c r="K108" s="1015"/>
      <c r="L108" s="1015"/>
      <c r="M108" s="967"/>
      <c r="N108" s="1014"/>
      <c r="O108" s="1081"/>
      <c r="P108" s="1081"/>
      <c r="Q108" s="1081"/>
      <c r="R108" s="1081"/>
      <c r="S108" s="967"/>
      <c r="T108" s="967"/>
      <c r="U108" s="967"/>
      <c r="V108" s="967"/>
      <c r="W108" s="967"/>
      <c r="X108" s="967"/>
      <c r="Y108" s="1124"/>
      <c r="Z108" s="970"/>
      <c r="AA108" s="973"/>
      <c r="AB108" s="970"/>
      <c r="AC108" s="970"/>
      <c r="AD108" s="970"/>
    </row>
    <row customHeight="1" ht="9">
      <c r="A109" s="969"/>
      <c r="B109" s="969"/>
      <c r="C109" s="967"/>
      <c r="D109" s="967"/>
      <c r="E109" s="967"/>
      <c r="F109" s="967"/>
      <c r="G109" s="967"/>
      <c r="H109" s="1015"/>
      <c r="I109" s="1015"/>
      <c r="J109" s="1015"/>
      <c r="K109" s="1015"/>
      <c r="L109" s="1015"/>
      <c r="M109" s="967"/>
      <c r="N109" s="1014"/>
      <c r="O109" s="1081"/>
      <c r="P109" s="1081"/>
      <c r="Q109" s="1081"/>
      <c r="R109" s="1081"/>
      <c r="S109" s="967"/>
      <c r="T109" s="967"/>
      <c r="U109" s="967"/>
      <c r="V109" s="967"/>
      <c r="W109" s="967"/>
      <c r="X109" s="967"/>
      <c r="Y109" s="1124"/>
      <c r="Z109" s="970"/>
      <c r="AA109" s="973"/>
      <c r="AB109" s="970"/>
      <c r="AC109" s="970"/>
      <c r="AD109" s="970"/>
    </row>
    <row customHeight="1" ht="9">
      <c r="A110" s="969"/>
      <c r="B110" s="969"/>
      <c r="C110" s="967"/>
      <c r="D110" s="967"/>
      <c r="E110" s="967"/>
      <c r="F110" s="967"/>
      <c r="G110" s="967"/>
      <c r="H110" s="1015"/>
      <c r="I110" s="1015"/>
      <c r="J110" s="1015"/>
      <c r="K110" s="1015"/>
      <c r="L110" s="1015"/>
      <c r="M110" s="967"/>
      <c r="N110" s="1014"/>
      <c r="O110" s="1081"/>
      <c r="P110" s="1081"/>
      <c r="Q110" s="1081"/>
      <c r="R110" s="1081"/>
      <c r="S110" s="967"/>
      <c r="T110" s="967"/>
      <c r="U110" s="967"/>
      <c r="V110" s="967"/>
      <c r="W110" s="967"/>
      <c r="X110" s="967"/>
      <c r="Y110" s="1124"/>
      <c r="Z110" s="970"/>
      <c r="AA110" s="973"/>
      <c r="AB110" s="970"/>
      <c r="AC110" s="970"/>
      <c r="AD110" s="970"/>
    </row>
    <row customHeight="1" ht="9">
      <c r="A111" s="969"/>
      <c r="B111" s="969"/>
      <c r="C111" s="967"/>
      <c r="D111" s="967"/>
      <c r="E111" s="967"/>
      <c r="F111" s="967"/>
      <c r="G111" s="967"/>
      <c r="H111" s="1015"/>
      <c r="I111" s="1015"/>
      <c r="J111" s="1015"/>
      <c r="K111" s="1015"/>
      <c r="L111" s="1015"/>
      <c r="M111" s="967"/>
      <c r="N111" s="1014"/>
      <c r="O111" s="1081"/>
      <c r="P111" s="1081"/>
      <c r="Q111" s="1081"/>
      <c r="R111" s="1081"/>
      <c r="S111" s="967"/>
      <c r="T111" s="967"/>
      <c r="U111" s="967"/>
      <c r="V111" s="967"/>
      <c r="W111" s="967"/>
      <c r="X111" s="967"/>
      <c r="Y111" s="1124"/>
      <c r="Z111" s="970"/>
      <c r="AA111" s="973"/>
      <c r="AB111" s="970"/>
      <c r="AC111" s="970"/>
      <c r="AD111" s="970"/>
    </row>
    <row customHeight="1" ht="9">
      <c r="A112" s="969"/>
      <c r="B112" s="969"/>
      <c r="C112" s="967"/>
      <c r="D112" s="967"/>
      <c r="E112" s="967"/>
      <c r="F112" s="967"/>
      <c r="G112" s="967"/>
      <c r="H112" s="1015"/>
      <c r="I112" s="1015"/>
      <c r="J112" s="1015"/>
      <c r="K112" s="1015"/>
      <c r="L112" s="1015"/>
      <c r="M112" s="967"/>
      <c r="N112" s="1014"/>
      <c r="O112" s="1081"/>
      <c r="P112" s="1081"/>
      <c r="Q112" s="1081"/>
      <c r="R112" s="1081"/>
      <c r="S112" s="967"/>
      <c r="T112" s="967"/>
      <c r="U112" s="967"/>
      <c r="V112" s="967"/>
      <c r="W112" s="967"/>
      <c r="X112" s="967"/>
      <c r="Y112" s="1124"/>
      <c r="Z112" s="970"/>
      <c r="AA112" s="973"/>
      <c r="AB112" s="970"/>
      <c r="AC112" s="970"/>
      <c r="AD112" s="970"/>
    </row>
    <row customHeight="1" ht="9">
      <c r="A113" s="969"/>
      <c r="B113" s="969"/>
      <c r="C113" s="967"/>
      <c r="D113" s="967"/>
      <c r="E113" s="967"/>
      <c r="F113" s="967"/>
      <c r="G113" s="967"/>
      <c r="H113" s="1015"/>
      <c r="I113" s="1015"/>
      <c r="J113" s="1015"/>
      <c r="K113" s="1015"/>
      <c r="L113" s="1015"/>
      <c r="M113" s="967"/>
      <c r="N113" s="1014"/>
      <c r="O113" s="1081"/>
      <c r="P113" s="1081"/>
      <c r="Q113" s="1081"/>
      <c r="R113" s="1081"/>
      <c r="S113" s="967"/>
      <c r="T113" s="967"/>
      <c r="U113" s="967"/>
      <c r="V113" s="967"/>
      <c r="W113" s="967"/>
      <c r="X113" s="967"/>
      <c r="Y113" s="1124"/>
      <c r="Z113" s="970"/>
      <c r="AA113" s="973"/>
      <c r="AB113" s="970"/>
      <c r="AC113" s="970"/>
      <c r="AD113" s="970"/>
    </row>
    <row customHeight="1" ht="9">
      <c r="A114" s="969"/>
      <c r="B114" s="969"/>
      <c r="C114" s="967"/>
      <c r="D114" s="967"/>
      <c r="E114" s="967"/>
      <c r="F114" s="967"/>
      <c r="G114" s="967"/>
      <c r="H114" s="1015"/>
      <c r="I114" s="1015"/>
      <c r="J114" s="1015"/>
      <c r="K114" s="1015"/>
      <c r="L114" s="1015"/>
      <c r="M114" s="967"/>
      <c r="N114" s="1014"/>
      <c r="O114" s="1081"/>
      <c r="P114" s="1081"/>
      <c r="Q114" s="1081"/>
      <c r="R114" s="1081"/>
      <c r="S114" s="967"/>
      <c r="T114" s="967"/>
      <c r="U114" s="967"/>
      <c r="V114" s="967"/>
      <c r="W114" s="967"/>
      <c r="X114" s="967"/>
      <c r="Y114" s="1124"/>
      <c r="Z114" s="970"/>
      <c r="AA114" s="973"/>
      <c r="AB114" s="970"/>
      <c r="AC114" s="970"/>
      <c r="AD114" s="970"/>
    </row>
    <row customHeight="1" ht="9">
      <c r="A115" s="969"/>
      <c r="B115" s="969"/>
      <c r="C115" s="967"/>
      <c r="D115" s="967"/>
      <c r="E115" s="967"/>
      <c r="F115" s="967"/>
      <c r="G115" s="967"/>
      <c r="H115" s="1015"/>
      <c r="I115" s="1015"/>
      <c r="J115" s="1015"/>
      <c r="K115" s="1015"/>
      <c r="L115" s="1015"/>
      <c r="M115" s="967"/>
      <c r="N115" s="1014"/>
      <c r="O115" s="1081"/>
      <c r="P115" s="1081"/>
      <c r="Q115" s="1081"/>
      <c r="R115" s="1081"/>
      <c r="S115" s="967"/>
      <c r="T115" s="967"/>
      <c r="U115" s="967"/>
      <c r="V115" s="967"/>
      <c r="W115" s="967"/>
      <c r="X115" s="967"/>
      <c r="Y115" s="1124"/>
      <c r="Z115" s="970"/>
      <c r="AA115" s="973"/>
      <c r="AB115" s="970"/>
      <c r="AC115" s="970"/>
      <c r="AD115" s="970"/>
    </row>
    <row customHeight="1" ht="9">
      <c r="A116" s="969"/>
      <c r="B116" s="969"/>
      <c r="C116" s="967"/>
      <c r="D116" s="967"/>
      <c r="E116" s="967"/>
      <c r="F116" s="967"/>
      <c r="G116" s="967"/>
      <c r="H116" s="1015"/>
      <c r="I116" s="1015"/>
      <c r="J116" s="1015"/>
      <c r="K116" s="1015"/>
      <c r="L116" s="1015"/>
      <c r="M116" s="967"/>
      <c r="N116" s="1014"/>
      <c r="O116" s="1081"/>
      <c r="P116" s="1081"/>
      <c r="Q116" s="1081"/>
      <c r="R116" s="1081"/>
      <c r="S116" s="967"/>
      <c r="T116" s="967"/>
      <c r="U116" s="967"/>
      <c r="V116" s="967"/>
      <c r="W116" s="967"/>
      <c r="X116" s="967"/>
      <c r="Y116" s="1124"/>
      <c r="Z116" s="970"/>
      <c r="AA116" s="973"/>
      <c r="AB116" s="970"/>
      <c r="AC116" s="970"/>
      <c r="AD116" s="970"/>
    </row>
    <row customHeight="1" ht="9">
      <c r="A117" s="969"/>
      <c r="B117" s="969"/>
      <c r="C117" s="967"/>
      <c r="D117" s="967"/>
      <c r="E117" s="967"/>
      <c r="F117" s="967"/>
      <c r="G117" s="967"/>
      <c r="H117" s="1015"/>
      <c r="I117" s="1015"/>
      <c r="J117" s="1015"/>
      <c r="K117" s="1015"/>
      <c r="L117" s="1015"/>
      <c r="M117" s="967"/>
      <c r="N117" s="1014"/>
      <c r="O117" s="1081"/>
      <c r="P117" s="1081"/>
      <c r="Q117" s="1081"/>
      <c r="R117" s="1081"/>
      <c r="S117" s="967"/>
      <c r="T117" s="967"/>
      <c r="U117" s="967"/>
      <c r="V117" s="967"/>
      <c r="W117" s="967"/>
      <c r="X117" s="967"/>
      <c r="Y117" s="1124"/>
      <c r="Z117" s="970"/>
      <c r="AA117" s="973"/>
      <c r="AB117" s="970"/>
      <c r="AC117" s="970"/>
      <c r="AD117" s="970"/>
    </row>
    <row customHeight="1" ht="9">
      <c r="A118" s="969"/>
      <c r="B118" s="969"/>
      <c r="C118" s="967"/>
      <c r="D118" s="967"/>
      <c r="E118" s="967"/>
      <c r="F118" s="967"/>
      <c r="G118" s="967"/>
      <c r="H118" s="1015"/>
      <c r="I118" s="1015"/>
      <c r="J118" s="1015"/>
      <c r="K118" s="1015"/>
      <c r="L118" s="1015"/>
      <c r="M118" s="967"/>
      <c r="N118" s="1014"/>
      <c r="O118" s="1081"/>
      <c r="P118" s="1081"/>
      <c r="Q118" s="1081"/>
      <c r="R118" s="1081"/>
      <c r="S118" s="967"/>
      <c r="T118" s="967"/>
      <c r="U118" s="967"/>
      <c r="V118" s="967"/>
      <c r="W118" s="967"/>
      <c r="X118" s="967"/>
      <c r="Y118" s="1124"/>
      <c r="Z118" s="970"/>
      <c r="AA118" s="973"/>
      <c r="AB118" s="970"/>
      <c r="AC118" s="970"/>
      <c r="AD118" s="970"/>
    </row>
    <row customHeight="1" ht="9">
      <c r="A119" s="969"/>
      <c r="B119" s="969"/>
      <c r="C119" s="967"/>
      <c r="D119" s="967"/>
      <c r="E119" s="967"/>
      <c r="F119" s="967"/>
      <c r="G119" s="967"/>
      <c r="H119" s="1015"/>
      <c r="I119" s="1015"/>
      <c r="J119" s="1015"/>
      <c r="K119" s="1015"/>
      <c r="L119" s="1015"/>
      <c r="M119" s="967"/>
      <c r="N119" s="1014"/>
      <c r="O119" s="1081"/>
      <c r="P119" s="1081"/>
      <c r="Q119" s="1081"/>
      <c r="R119" s="1081"/>
      <c r="S119" s="967"/>
      <c r="T119" s="967"/>
      <c r="U119" s="967"/>
      <c r="V119" s="967"/>
      <c r="W119" s="967"/>
      <c r="X119" s="967"/>
      <c r="Y119" s="1124"/>
      <c r="Z119" s="970"/>
      <c r="AA119" s="973"/>
      <c r="AB119" s="970"/>
      <c r="AC119" s="970"/>
      <c r="AD119" s="970"/>
    </row>
    <row customHeight="1" ht="9">
      <c r="A120" s="969"/>
      <c r="B120" s="969"/>
      <c r="C120" s="967"/>
      <c r="D120" s="967"/>
      <c r="E120" s="967"/>
      <c r="F120" s="967"/>
      <c r="G120" s="967"/>
      <c r="H120" s="1015"/>
      <c r="I120" s="1015"/>
      <c r="J120" s="1015"/>
      <c r="K120" s="1015"/>
      <c r="L120" s="1015"/>
      <c r="M120" s="967"/>
      <c r="N120" s="1014"/>
      <c r="O120" s="1081"/>
      <c r="P120" s="1081"/>
      <c r="Q120" s="1081"/>
      <c r="R120" s="1081"/>
      <c r="S120" s="967"/>
      <c r="T120" s="967"/>
      <c r="U120" s="967"/>
      <c r="V120" s="967"/>
      <c r="W120" s="967"/>
      <c r="X120" s="967"/>
      <c r="Y120" s="1124"/>
      <c r="Z120" s="970"/>
      <c r="AA120" s="973"/>
      <c r="AB120" s="970"/>
      <c r="AC120" s="970"/>
      <c r="AD120" s="970"/>
    </row>
    <row customHeight="1" ht="9">
      <c r="A121" s="969"/>
      <c r="B121" s="969"/>
      <c r="C121" s="967"/>
      <c r="D121" s="967"/>
      <c r="E121" s="967"/>
      <c r="F121" s="967"/>
      <c r="G121" s="967"/>
      <c r="H121" s="1015"/>
      <c r="I121" s="1015"/>
      <c r="J121" s="1015"/>
      <c r="K121" s="1015"/>
      <c r="L121" s="1015"/>
      <c r="M121" s="967"/>
      <c r="N121" s="1014"/>
      <c r="O121" s="1081"/>
      <c r="P121" s="1081"/>
      <c r="Q121" s="1081"/>
      <c r="R121" s="1081"/>
      <c r="S121" s="967"/>
      <c r="T121" s="967"/>
      <c r="U121" s="967"/>
      <c r="V121" s="967"/>
      <c r="W121" s="967"/>
      <c r="X121" s="967"/>
      <c r="Y121" s="1124"/>
      <c r="Z121" s="970"/>
      <c r="AA121" s="973"/>
      <c r="AB121" s="970"/>
      <c r="AC121" s="970"/>
      <c r="AD121" s="970"/>
    </row>
    <row customHeight="1" ht="9">
      <c r="A122" s="969"/>
      <c r="B122" s="969"/>
      <c r="C122" s="967"/>
      <c r="D122" s="967"/>
      <c r="E122" s="967"/>
      <c r="F122" s="967"/>
      <c r="G122" s="967"/>
      <c r="H122" s="1015"/>
      <c r="I122" s="1015"/>
      <c r="J122" s="1015"/>
      <c r="K122" s="1015"/>
      <c r="L122" s="1015"/>
      <c r="M122" s="967"/>
      <c r="N122" s="1014"/>
      <c r="O122" s="1081"/>
      <c r="P122" s="1081"/>
      <c r="Q122" s="1081"/>
      <c r="R122" s="1081"/>
      <c r="S122" s="967"/>
      <c r="T122" s="967"/>
      <c r="U122" s="967"/>
      <c r="V122" s="967"/>
      <c r="W122" s="967"/>
      <c r="X122" s="967"/>
      <c r="Y122" s="1124"/>
      <c r="Z122" s="970"/>
      <c r="AA122" s="973"/>
      <c r="AB122" s="970"/>
      <c r="AC122" s="970"/>
      <c r="AD122" s="970"/>
    </row>
    <row customHeight="1" ht="9">
      <c r="A123" s="969"/>
      <c r="B123" s="969"/>
      <c r="C123" s="967"/>
      <c r="D123" s="967"/>
      <c r="E123" s="967"/>
      <c r="F123" s="967"/>
      <c r="G123" s="967"/>
      <c r="H123" s="1015"/>
      <c r="I123" s="1015"/>
      <c r="J123" s="1015"/>
      <c r="K123" s="1015"/>
      <c r="L123" s="1015"/>
      <c r="M123" s="967"/>
      <c r="N123" s="1014"/>
      <c r="O123" s="1081"/>
      <c r="P123" s="1081"/>
      <c r="Q123" s="1081"/>
      <c r="R123" s="1081"/>
      <c r="S123" s="967"/>
      <c r="T123" s="967"/>
      <c r="U123" s="967"/>
      <c r="V123" s="967"/>
      <c r="W123" s="967"/>
      <c r="X123" s="967"/>
      <c r="Y123" s="1124"/>
      <c r="Z123" s="970"/>
      <c r="AA123" s="973"/>
      <c r="AB123" s="970"/>
      <c r="AC123" s="970"/>
      <c r="AD123" s="970"/>
    </row>
    <row customHeight="1" ht="9">
      <c r="A124" s="969"/>
      <c r="B124" s="969"/>
      <c r="C124" s="967"/>
      <c r="D124" s="967"/>
      <c r="E124" s="967"/>
      <c r="F124" s="967"/>
      <c r="G124" s="967"/>
      <c r="H124" s="1015"/>
      <c r="I124" s="1015"/>
      <c r="J124" s="1015"/>
      <c r="K124" s="1015"/>
      <c r="L124" s="1015"/>
      <c r="M124" s="967"/>
      <c r="N124" s="1014"/>
      <c r="O124" s="1081"/>
      <c r="P124" s="1081"/>
      <c r="Q124" s="1081"/>
      <c r="R124" s="1081"/>
      <c r="S124" s="967"/>
      <c r="T124" s="967"/>
      <c r="U124" s="967"/>
      <c r="V124" s="967"/>
      <c r="W124" s="967"/>
      <c r="X124" s="967"/>
      <c r="Y124" s="1124"/>
      <c r="Z124" s="970"/>
      <c r="AA124" s="973"/>
      <c r="AB124" s="970"/>
      <c r="AC124" s="970"/>
      <c r="AD124" s="970"/>
    </row>
    <row customHeight="1" ht="9">
      <c r="A125" s="969"/>
      <c r="B125" s="969"/>
      <c r="C125" s="967"/>
      <c r="D125" s="967"/>
      <c r="E125" s="967"/>
      <c r="F125" s="967"/>
      <c r="G125" s="967"/>
      <c r="H125" s="1015"/>
      <c r="I125" s="1015"/>
      <c r="J125" s="1015"/>
      <c r="K125" s="1015"/>
      <c r="L125" s="1015"/>
      <c r="M125" s="967"/>
      <c r="N125" s="1014"/>
      <c r="O125" s="1081"/>
      <c r="P125" s="1081"/>
      <c r="Q125" s="1081"/>
      <c r="R125" s="1081"/>
      <c r="S125" s="967"/>
      <c r="T125" s="967"/>
      <c r="U125" s="967"/>
      <c r="V125" s="967"/>
      <c r="W125" s="967"/>
      <c r="X125" s="967"/>
      <c r="Y125" s="1124"/>
      <c r="Z125" s="970"/>
      <c r="AA125" s="973"/>
      <c r="AB125" s="970"/>
      <c r="AC125" s="970"/>
      <c r="AD125" s="970"/>
    </row>
    <row customHeight="1" ht="9">
      <c r="A126" s="969"/>
      <c r="B126" s="969"/>
      <c r="C126" s="967"/>
      <c r="D126" s="967"/>
      <c r="E126" s="967"/>
      <c r="F126" s="967"/>
      <c r="G126" s="967"/>
      <c r="H126" s="1015"/>
      <c r="I126" s="1015"/>
      <c r="J126" s="1015"/>
      <c r="K126" s="1015"/>
      <c r="L126" s="1015"/>
      <c r="M126" s="967"/>
      <c r="N126" s="1014"/>
      <c r="O126" s="1081"/>
      <c r="P126" s="1081"/>
      <c r="Q126" s="1081"/>
      <c r="R126" s="1081"/>
      <c r="S126" s="967"/>
      <c r="T126" s="967"/>
      <c r="U126" s="967"/>
      <c r="V126" s="967"/>
      <c r="W126" s="967"/>
      <c r="X126" s="967"/>
      <c r="Y126" s="1124"/>
      <c r="Z126" s="970"/>
      <c r="AA126" s="973"/>
      <c r="AB126" s="970"/>
      <c r="AC126" s="970"/>
      <c r="AD126" s="970"/>
    </row>
    <row customHeight="1" ht="9">
      <c r="A127" s="969"/>
      <c r="B127" s="969"/>
      <c r="C127" s="967"/>
      <c r="D127" s="967"/>
      <c r="E127" s="967"/>
      <c r="F127" s="967"/>
      <c r="G127" s="967"/>
      <c r="H127" s="1015"/>
      <c r="I127" s="1015"/>
      <c r="J127" s="1015"/>
      <c r="K127" s="1015"/>
      <c r="L127" s="1015"/>
      <c r="M127" s="967"/>
      <c r="N127" s="1014"/>
      <c r="O127" s="1081"/>
      <c r="P127" s="1081"/>
      <c r="Q127" s="1081"/>
      <c r="R127" s="1081"/>
      <c r="S127" s="967"/>
      <c r="T127" s="967"/>
      <c r="U127" s="967"/>
      <c r="V127" s="967"/>
      <c r="W127" s="967"/>
      <c r="X127" s="967"/>
      <c r="Y127" s="1124"/>
      <c r="Z127" s="970"/>
      <c r="AA127" s="973"/>
      <c r="AB127" s="970"/>
      <c r="AC127" s="970"/>
      <c r="AD127" s="970"/>
    </row>
    <row customHeight="1" ht="9">
      <c r="A128" s="969"/>
      <c r="B128" s="969"/>
      <c r="C128" s="967"/>
      <c r="D128" s="967"/>
      <c r="E128" s="967"/>
      <c r="F128" s="967"/>
      <c r="G128" s="967"/>
      <c r="H128" s="1015"/>
      <c r="I128" s="1015"/>
      <c r="J128" s="1015"/>
      <c r="K128" s="1015"/>
      <c r="L128" s="1015"/>
      <c r="M128" s="967"/>
      <c r="N128" s="1014"/>
      <c r="O128" s="1081"/>
      <c r="P128" s="1081"/>
      <c r="Q128" s="1081"/>
      <c r="R128" s="1081"/>
      <c r="S128" s="967"/>
      <c r="T128" s="967"/>
      <c r="U128" s="967"/>
      <c r="V128" s="967"/>
      <c r="W128" s="967"/>
      <c r="X128" s="967"/>
      <c r="Y128" s="1124"/>
      <c r="Z128" s="970"/>
      <c r="AA128" s="973"/>
      <c r="AB128" s="970"/>
      <c r="AC128" s="970"/>
      <c r="AD128" s="970"/>
    </row>
    <row customHeight="1" ht="9">
      <c r="A129" s="969"/>
      <c r="B129" s="969"/>
      <c r="C129" s="967"/>
      <c r="D129" s="967"/>
      <c r="E129" s="967"/>
      <c r="F129" s="967"/>
      <c r="G129" s="967"/>
      <c r="H129" s="1015"/>
      <c r="I129" s="1015"/>
      <c r="J129" s="1015"/>
      <c r="K129" s="1015"/>
      <c r="L129" s="1015"/>
      <c r="M129" s="967"/>
      <c r="N129" s="1014"/>
      <c r="O129" s="1081"/>
      <c r="P129" s="1081"/>
      <c r="Q129" s="1081"/>
      <c r="R129" s="1081"/>
      <c r="S129" s="967"/>
      <c r="T129" s="967"/>
      <c r="U129" s="967"/>
      <c r="V129" s="967"/>
      <c r="W129" s="967"/>
      <c r="X129" s="967"/>
      <c r="Y129" s="1124"/>
      <c r="Z129" s="970"/>
      <c r="AA129" s="973"/>
      <c r="AB129" s="970"/>
      <c r="AC129" s="970"/>
      <c r="AD129" s="970"/>
    </row>
    <row customHeight="1" ht="9">
      <c r="A130" s="969"/>
      <c r="B130" s="969"/>
      <c r="C130" s="967"/>
      <c r="D130" s="967"/>
      <c r="E130" s="967"/>
      <c r="F130" s="967"/>
      <c r="G130" s="967"/>
      <c r="H130" s="1015"/>
      <c r="I130" s="1015"/>
      <c r="J130" s="1015"/>
      <c r="K130" s="1015"/>
      <c r="L130" s="1015"/>
      <c r="M130" s="967"/>
      <c r="N130" s="1014"/>
      <c r="O130" s="1083"/>
      <c r="P130" s="1083"/>
      <c r="Q130" s="1083"/>
      <c r="R130" s="1083"/>
      <c r="S130" s="967"/>
      <c r="T130" s="967"/>
      <c r="U130" s="967"/>
      <c r="V130" s="967"/>
      <c r="W130" s="967"/>
      <c r="X130" s="967"/>
      <c r="Y130" s="1124"/>
      <c r="Z130" s="970"/>
      <c r="AA130" s="973"/>
      <c r="AB130" s="970"/>
      <c r="AC130" s="970"/>
      <c r="AD130" s="970"/>
    </row>
    <row customHeight="1" ht="9">
      <c r="A131" s="969"/>
      <c r="B131" s="969"/>
      <c r="C131" s="967"/>
      <c r="D131" s="967"/>
      <c r="E131" s="967"/>
      <c r="F131" s="967"/>
      <c r="G131" s="967"/>
      <c r="H131" s="1015"/>
      <c r="I131" s="1015"/>
      <c r="J131" s="1015"/>
      <c r="K131" s="1015"/>
      <c r="L131" s="1015"/>
      <c r="M131" s="967"/>
      <c r="N131" s="1014"/>
      <c r="O131" s="1084"/>
      <c r="P131" s="1084"/>
      <c r="Q131" s="1084"/>
      <c r="R131" s="1084"/>
      <c r="S131" s="967"/>
      <c r="T131" s="967"/>
      <c r="U131" s="967"/>
      <c r="V131" s="967"/>
      <c r="W131" s="967"/>
      <c r="X131" s="967"/>
      <c r="Y131" s="1124"/>
      <c r="Z131" s="970"/>
      <c r="AA131" s="973"/>
      <c r="AB131" s="970"/>
      <c r="AC131" s="970"/>
      <c r="AD131" s="970"/>
    </row>
    <row customHeight="1" ht="9">
      <c r="A132" s="969"/>
      <c r="B132" s="969"/>
      <c r="C132" s="967"/>
      <c r="D132" s="967"/>
      <c r="E132" s="967"/>
      <c r="F132" s="967"/>
      <c r="G132" s="967"/>
      <c r="H132" s="1015"/>
      <c r="I132" s="1015"/>
      <c r="J132" s="1015"/>
      <c r="K132" s="1015"/>
      <c r="L132" s="1015"/>
      <c r="M132" s="967"/>
      <c r="N132" s="1014"/>
      <c r="O132" s="1083"/>
      <c r="P132" s="1083"/>
      <c r="Q132" s="1083"/>
      <c r="R132" s="1083"/>
      <c r="S132" s="967"/>
      <c r="T132" s="967"/>
      <c r="U132" s="967"/>
      <c r="V132" s="967"/>
      <c r="W132" s="967"/>
      <c r="X132" s="967"/>
      <c r="Y132" s="1124"/>
      <c r="Z132" s="970"/>
      <c r="AA132" s="973"/>
      <c r="AB132" s="970"/>
      <c r="AC132" s="970"/>
      <c r="AD132" s="970"/>
    </row>
    <row customHeight="1" ht="9">
      <c r="A133" s="969"/>
      <c r="B133" s="969"/>
      <c r="C133" s="967"/>
      <c r="D133" s="967"/>
      <c r="E133" s="967"/>
      <c r="F133" s="967"/>
      <c r="G133" s="967"/>
      <c r="H133" s="1015"/>
      <c r="I133" s="1015"/>
      <c r="J133" s="1015"/>
      <c r="K133" s="1015"/>
      <c r="L133" s="1015"/>
      <c r="M133" s="967"/>
      <c r="N133" s="1014"/>
      <c r="O133" s="1084"/>
      <c r="P133" s="1084"/>
      <c r="Q133" s="1084"/>
      <c r="R133" s="1084"/>
      <c r="S133" s="967"/>
      <c r="T133" s="967"/>
      <c r="U133" s="967"/>
      <c r="V133" s="967"/>
      <c r="W133" s="967"/>
      <c r="X133" s="967"/>
      <c r="Y133" s="1124"/>
      <c r="Z133" s="970"/>
      <c r="AA133" s="973"/>
      <c r="AB133" s="970"/>
      <c r="AC133" s="970"/>
      <c r="AD133" s="970"/>
    </row>
    <row customHeight="1" ht="9">
      <c r="A134" s="969"/>
      <c r="B134" s="969"/>
      <c r="C134" s="967"/>
      <c r="D134" s="967"/>
      <c r="E134" s="967"/>
      <c r="F134" s="967"/>
      <c r="G134" s="967"/>
      <c r="H134" s="1015"/>
      <c r="I134" s="1015"/>
      <c r="J134" s="1015"/>
      <c r="K134" s="1015"/>
      <c r="L134" s="1015"/>
      <c r="M134" s="967"/>
      <c r="N134" s="1014"/>
      <c r="O134" s="1081"/>
      <c r="P134" s="1081"/>
      <c r="Q134" s="1081"/>
      <c r="R134" s="1081"/>
      <c r="S134" s="967"/>
      <c r="T134" s="967"/>
      <c r="U134" s="967"/>
      <c r="V134" s="967"/>
      <c r="W134" s="967"/>
      <c r="X134" s="967"/>
      <c r="Y134" s="1124"/>
      <c r="Z134" s="970"/>
      <c r="AA134" s="973"/>
      <c r="AB134" s="970"/>
      <c r="AC134" s="970"/>
      <c r="AD134" s="970"/>
    </row>
    <row customHeight="1" ht="9">
      <c r="A135" s="969"/>
      <c r="B135" s="969"/>
      <c r="C135" s="967"/>
      <c r="D135" s="967"/>
      <c r="E135" s="967"/>
      <c r="F135" s="967"/>
      <c r="G135" s="967"/>
      <c r="H135" s="1015"/>
      <c r="I135" s="1015"/>
      <c r="J135" s="1015"/>
      <c r="K135" s="1015"/>
      <c r="L135" s="1015"/>
      <c r="M135" s="967"/>
      <c r="N135" s="1014"/>
      <c r="O135" s="1081"/>
      <c r="P135" s="1081"/>
      <c r="Q135" s="1081"/>
      <c r="R135" s="1081"/>
      <c r="S135" s="967"/>
      <c r="T135" s="967"/>
      <c r="U135" s="967"/>
      <c r="V135" s="967"/>
      <c r="W135" s="967"/>
      <c r="X135" s="967"/>
      <c r="Y135" s="1124"/>
      <c r="Z135" s="970"/>
      <c r="AA135" s="973"/>
      <c r="AB135" s="970"/>
      <c r="AC135" s="970"/>
      <c r="AD135" s="970"/>
    </row>
    <row customHeight="1" ht="9">
      <c r="A136" s="969"/>
      <c r="B136" s="969"/>
      <c r="C136" s="967"/>
      <c r="D136" s="967"/>
      <c r="E136" s="967"/>
      <c r="F136" s="967"/>
      <c r="G136" s="967"/>
      <c r="H136" s="1015"/>
      <c r="I136" s="1015"/>
      <c r="J136" s="1015"/>
      <c r="K136" s="1015"/>
      <c r="L136" s="1015"/>
      <c r="M136" s="967"/>
      <c r="N136" s="1014"/>
      <c r="O136" s="1081"/>
      <c r="P136" s="1081"/>
      <c r="Q136" s="1081"/>
      <c r="R136" s="1081"/>
      <c r="S136" s="967"/>
      <c r="T136" s="967"/>
      <c r="U136" s="967"/>
      <c r="V136" s="967"/>
      <c r="W136" s="967"/>
      <c r="X136" s="967"/>
      <c r="Y136" s="1124"/>
      <c r="Z136" s="970"/>
      <c r="AA136" s="973"/>
      <c r="AB136" s="970"/>
      <c r="AC136" s="970"/>
      <c r="AD136" s="970"/>
    </row>
    <row customHeight="1" ht="9">
      <c r="A137" s="969"/>
      <c r="B137" s="969"/>
      <c r="C137" s="967"/>
      <c r="D137" s="967"/>
      <c r="E137" s="967"/>
      <c r="F137" s="967"/>
      <c r="G137" s="967"/>
      <c r="H137" s="1015"/>
      <c r="I137" s="1015"/>
      <c r="J137" s="1015"/>
      <c r="K137" s="1015"/>
      <c r="L137" s="1015"/>
      <c r="M137" s="967"/>
      <c r="N137" s="1014"/>
      <c r="O137" s="1085"/>
      <c r="P137" s="1085"/>
      <c r="Q137" s="1085"/>
      <c r="R137" s="1085"/>
      <c r="S137" s="967"/>
      <c r="T137" s="967"/>
      <c r="U137" s="967"/>
      <c r="V137" s="967"/>
      <c r="W137" s="967"/>
      <c r="X137" s="967"/>
      <c r="Y137" s="1124"/>
      <c r="Z137" s="970"/>
      <c r="AA137" s="973"/>
      <c r="AB137" s="970"/>
      <c r="AC137" s="970"/>
      <c r="AD137" s="970"/>
    </row>
    <row customHeight="1" ht="9">
      <c r="A138" s="969"/>
      <c r="B138" s="969"/>
      <c r="C138" s="967"/>
      <c r="D138" s="967"/>
      <c r="E138" s="967"/>
      <c r="F138" s="967"/>
      <c r="G138" s="967"/>
      <c r="H138" s="1015"/>
      <c r="I138" s="1015"/>
      <c r="J138" s="1015"/>
      <c r="K138" s="1015"/>
      <c r="L138" s="1015"/>
      <c r="M138" s="967"/>
      <c r="N138" s="1014"/>
      <c r="O138" s="1082"/>
      <c r="P138" s="1082"/>
      <c r="Q138" s="1082"/>
      <c r="R138" s="1082"/>
      <c r="S138" s="967"/>
      <c r="T138" s="967"/>
      <c r="U138" s="967"/>
      <c r="V138" s="967"/>
      <c r="W138" s="967"/>
      <c r="X138" s="967"/>
      <c r="Y138" s="1124"/>
      <c r="Z138" s="970"/>
      <c r="AA138" s="973"/>
      <c r="AB138" s="970"/>
      <c r="AC138" s="970"/>
      <c r="AD138" s="970"/>
    </row>
    <row customHeight="1" ht="9">
      <c r="A139" s="969"/>
      <c r="B139" s="969"/>
      <c r="C139" s="967"/>
      <c r="D139" s="967"/>
      <c r="E139" s="967"/>
      <c r="F139" s="967"/>
      <c r="G139" s="967"/>
      <c r="H139" s="1015"/>
      <c r="I139" s="1015"/>
      <c r="J139" s="1015"/>
      <c r="K139" s="1015"/>
      <c r="L139" s="1015"/>
      <c r="M139" s="967"/>
      <c r="N139" s="1014"/>
      <c r="O139" s="967"/>
      <c r="P139" s="967"/>
      <c r="Q139" s="967"/>
      <c r="R139" s="967"/>
      <c r="S139" s="967"/>
      <c r="T139" s="967"/>
      <c r="U139" s="967"/>
      <c r="V139" s="967"/>
      <c r="W139" s="967"/>
      <c r="X139" s="967"/>
      <c r="Y139" s="1124"/>
      <c r="Z139" s="970"/>
      <c r="AA139" s="973"/>
      <c r="AB139" s="970"/>
      <c r="AC139" s="970"/>
      <c r="AD139" s="970"/>
    </row>
    <row customHeight="1" ht="9">
      <c r="A140" s="969"/>
      <c r="B140" s="969"/>
      <c r="C140" s="967"/>
      <c r="D140" s="967"/>
      <c r="E140" s="967"/>
      <c r="F140" s="967"/>
      <c r="G140" s="967"/>
      <c r="H140" s="1015"/>
      <c r="I140" s="1015"/>
      <c r="J140" s="1015"/>
      <c r="K140" s="1015"/>
      <c r="L140" s="1015"/>
      <c r="M140" s="967"/>
      <c r="N140" s="1014"/>
      <c r="O140" s="967"/>
      <c r="P140" s="967"/>
      <c r="Q140" s="967"/>
      <c r="R140" s="967"/>
      <c r="S140" s="967"/>
      <c r="T140" s="967"/>
      <c r="U140" s="967"/>
      <c r="V140" s="967"/>
      <c r="W140" s="967"/>
      <c r="X140" s="967"/>
      <c r="Y140" s="1124"/>
      <c r="Z140" s="970"/>
      <c r="AA140" s="973"/>
      <c r="AB140" s="970"/>
      <c r="AC140" s="970"/>
      <c r="AD140" s="970"/>
    </row>
    <row customHeight="1" ht="9">
      <c r="A141" s="969"/>
      <c r="B141" s="969"/>
      <c r="C141" s="967"/>
      <c r="D141" s="967"/>
      <c r="E141" s="967"/>
      <c r="F141" s="967"/>
      <c r="G141" s="967"/>
      <c r="H141" s="1015"/>
      <c r="I141" s="1015"/>
      <c r="J141" s="1015"/>
      <c r="K141" s="1015"/>
      <c r="L141" s="1015"/>
      <c r="M141" s="967"/>
      <c r="N141" s="1014"/>
      <c r="O141" s="967"/>
      <c r="P141" s="967"/>
      <c r="Q141" s="967"/>
      <c r="R141" s="967"/>
      <c r="S141" s="967"/>
      <c r="T141" s="967"/>
      <c r="U141" s="967"/>
      <c r="V141" s="967"/>
      <c r="W141" s="967"/>
      <c r="X141" s="967"/>
      <c r="Y141" s="1124"/>
      <c r="Z141" s="970"/>
      <c r="AA141" s="973"/>
      <c r="AB141" s="970"/>
      <c r="AC141" s="970"/>
      <c r="AD141" s="970"/>
    </row>
    <row customHeight="1" ht="9">
      <c r="A142" s="969"/>
      <c r="B142" s="969"/>
      <c r="C142" s="967"/>
      <c r="D142" s="967"/>
      <c r="E142" s="967"/>
      <c r="F142" s="967"/>
      <c r="G142" s="967"/>
      <c r="H142" s="1015"/>
      <c r="I142" s="1015"/>
      <c r="J142" s="1015"/>
      <c r="K142" s="1015"/>
      <c r="L142" s="1015"/>
      <c r="M142" s="967"/>
      <c r="N142" s="1014"/>
      <c r="O142" s="967"/>
      <c r="P142" s="967"/>
      <c r="Q142" s="967"/>
      <c r="R142" s="967"/>
      <c r="S142" s="967"/>
      <c r="T142" s="967"/>
      <c r="U142" s="967"/>
      <c r="V142" s="967"/>
      <c r="W142" s="967"/>
      <c r="X142" s="967"/>
      <c r="Y142" s="1124"/>
      <c r="Z142" s="970"/>
      <c r="AA142" s="973"/>
      <c r="AB142" s="970"/>
      <c r="AC142" s="970"/>
      <c r="AD142" s="970"/>
    </row>
    <row customHeight="1" ht="9">
      <c r="A143" s="969"/>
      <c r="B143" s="969"/>
      <c r="C143" s="967"/>
      <c r="D143" s="967"/>
      <c r="E143" s="967"/>
      <c r="F143" s="967"/>
      <c r="G143" s="967"/>
      <c r="H143" s="1015"/>
      <c r="I143" s="1015"/>
      <c r="J143" s="1015"/>
      <c r="K143" s="1015"/>
      <c r="L143" s="1015"/>
      <c r="M143" s="967"/>
      <c r="N143" s="1014"/>
      <c r="O143" s="967"/>
      <c r="P143" s="967"/>
      <c r="Q143" s="967"/>
      <c r="R143" s="967"/>
      <c r="S143" s="967"/>
      <c r="T143" s="967"/>
      <c r="U143" s="967"/>
      <c r="V143" s="967"/>
      <c r="W143" s="967"/>
      <c r="X143" s="967"/>
      <c r="Y143" s="1124"/>
      <c r="Z143" s="970"/>
      <c r="AA143" s="973"/>
      <c r="AB143" s="970"/>
      <c r="AC143" s="970"/>
      <c r="AD143" s="970"/>
    </row>
    <row customHeight="1" ht="9">
      <c r="A144" s="969"/>
      <c r="B144" s="969"/>
      <c r="C144" s="967"/>
      <c r="D144" s="967"/>
      <c r="E144" s="967"/>
      <c r="F144" s="967"/>
      <c r="G144" s="967"/>
      <c r="H144" s="1015"/>
      <c r="I144" s="1015"/>
      <c r="J144" s="1015"/>
      <c r="K144" s="1015"/>
      <c r="L144" s="1015"/>
      <c r="M144" s="967"/>
      <c r="N144" s="1014"/>
      <c r="O144" s="967"/>
      <c r="P144" s="967"/>
      <c r="Q144" s="967"/>
      <c r="R144" s="967"/>
      <c r="S144" s="967"/>
      <c r="T144" s="967"/>
      <c r="U144" s="967"/>
      <c r="V144" s="967"/>
      <c r="W144" s="967"/>
      <c r="X144" s="967"/>
      <c r="Y144" s="1124"/>
      <c r="Z144" s="970"/>
      <c r="AA144" s="973"/>
      <c r="AB144" s="970"/>
      <c r="AC144" s="970"/>
      <c r="AD144" s="970"/>
    </row>
    <row customHeight="1" ht="9">
      <c r="A145" s="969"/>
      <c r="B145" s="969"/>
      <c r="C145" s="967"/>
      <c r="D145" s="967"/>
      <c r="E145" s="967"/>
      <c r="F145" s="967"/>
      <c r="G145" s="967"/>
      <c r="H145" s="1015"/>
      <c r="I145" s="1015"/>
      <c r="J145" s="1015"/>
      <c r="K145" s="1015"/>
      <c r="L145" s="1015"/>
      <c r="M145" s="967"/>
      <c r="N145" s="1014"/>
      <c r="O145" s="967"/>
      <c r="P145" s="967"/>
      <c r="Q145" s="967"/>
      <c r="R145" s="967"/>
      <c r="S145" s="967"/>
      <c r="T145" s="967"/>
      <c r="U145" s="967"/>
      <c r="V145" s="967"/>
      <c r="W145" s="967"/>
      <c r="X145" s="967"/>
      <c r="Y145" s="1124"/>
      <c r="Z145" s="970"/>
      <c r="AA145" s="973"/>
      <c r="AB145" s="970"/>
      <c r="AC145" s="970"/>
      <c r="AD145" s="970"/>
    </row>
    <row customHeight="1" ht="9">
      <c r="A146" s="969"/>
      <c r="B146" s="969"/>
      <c r="C146" s="967"/>
      <c r="D146" s="967"/>
      <c r="E146" s="967"/>
      <c r="F146" s="967"/>
      <c r="G146" s="967"/>
      <c r="H146" s="1015"/>
      <c r="I146" s="1015"/>
      <c r="J146" s="1015"/>
      <c r="K146" s="1015"/>
      <c r="L146" s="1015"/>
      <c r="M146" s="967"/>
      <c r="N146" s="1014"/>
      <c r="O146" s="967"/>
      <c r="P146" s="967"/>
      <c r="Q146" s="967"/>
      <c r="R146" s="967"/>
      <c r="S146" s="967"/>
      <c r="T146" s="967"/>
      <c r="U146" s="967"/>
      <c r="V146" s="967"/>
      <c r="W146" s="967"/>
      <c r="X146" s="967"/>
      <c r="Y146" s="1124"/>
      <c r="Z146" s="970"/>
      <c r="AA146" s="973"/>
      <c r="AB146" s="970"/>
      <c r="AC146" s="970"/>
      <c r="AD146" s="970"/>
    </row>
    <row customHeight="1" ht="9">
      <c r="A147" s="969"/>
      <c r="B147" s="969"/>
      <c r="C147" s="969"/>
      <c r="D147" s="969"/>
      <c r="E147" s="969"/>
      <c r="F147" s="969"/>
      <c r="G147" s="969"/>
      <c r="H147" s="969"/>
      <c r="I147" s="969"/>
      <c r="J147" s="969"/>
      <c r="K147" s="969"/>
      <c r="L147" s="969"/>
      <c r="M147" s="969"/>
      <c r="N147" s="969"/>
      <c r="O147" s="969"/>
      <c r="P147" s="969"/>
      <c r="Q147" s="969"/>
      <c r="R147" s="969"/>
      <c r="S147" s="969"/>
      <c r="T147" s="969"/>
      <c r="U147" s="969"/>
      <c r="V147" s="969"/>
      <c r="W147" s="969"/>
      <c r="X147" s="969"/>
      <c r="Y147" s="969"/>
      <c r="Z147" s="969"/>
      <c r="AA147" s="969"/>
      <c r="AB147" s="969"/>
      <c r="AC147" s="969"/>
      <c r="AD147" s="969"/>
    </row>
    <row customHeight="1" ht="90">
      <c r="A148" s="969" t="s">
        <v>2070</v>
      </c>
      <c r="B148" s="969"/>
      <c r="C148" s="967" t="s">
        <v>2625</v>
      </c>
      <c r="D148" s="967" t="s">
        <v>1364</v>
      </c>
      <c r="E148" s="967" t="s">
        <v>2072</v>
      </c>
      <c r="F148" s="967" t="s">
        <v>2626</v>
      </c>
      <c r="G148" s="967"/>
      <c r="H148" s="967"/>
      <c r="I148" s="1087"/>
      <c r="J148" s="1087"/>
      <c r="K148" s="1087"/>
      <c r="L148" s="1087"/>
      <c r="M148" s="10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972"/>
      <c r="O148" s="967"/>
      <c r="P148" s="968"/>
      <c r="Q148" s="968"/>
      <c r="R148" s="968"/>
      <c r="S148" s="967"/>
      <c r="T148" s="967" t="s">
        <v>2627</v>
      </c>
      <c r="U148" s="96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968"/>
      <c r="W148" s="968"/>
      <c r="X148" s="967" t="s">
        <v>2628</v>
      </c>
      <c r="Y148" s="1124"/>
      <c r="Z148" s="970"/>
      <c r="AA148" s="973"/>
      <c r="AB148" s="970"/>
      <c r="AC148" s="970"/>
      <c r="AD148" s="970"/>
    </row>
    <row customHeight="1" ht="9">
      <c r="A149" s="969"/>
      <c r="B149" s="969"/>
      <c r="C149" s="969"/>
      <c r="D149" s="969"/>
      <c r="E149" s="969"/>
      <c r="F149" s="969"/>
      <c r="G149" s="969"/>
      <c r="H149" s="969"/>
      <c r="I149" s="969"/>
      <c r="J149" s="969"/>
      <c r="K149" s="969"/>
      <c r="L149" s="969"/>
      <c r="M149" s="969"/>
      <c r="N149" s="969"/>
      <c r="O149" s="969"/>
      <c r="P149" s="969"/>
      <c r="Q149" s="969"/>
      <c r="R149" s="969"/>
      <c r="S149" s="969"/>
      <c r="T149" s="969"/>
      <c r="U149" s="969"/>
      <c r="V149" s="969"/>
      <c r="W149" s="969"/>
      <c r="X149" s="969"/>
      <c r="Y149" s="969"/>
      <c r="Z149" s="969"/>
      <c r="AA149" s="969"/>
      <c r="AB149" s="969"/>
      <c r="AC149" s="969"/>
      <c r="AD149" s="969"/>
    </row>
    <row customHeight="1" ht="9">
      <c r="A150" s="969" t="s">
        <v>2074</v>
      </c>
      <c r="B150" s="969"/>
      <c r="C150" s="967"/>
      <c r="D150" s="967"/>
      <c r="E150" s="967"/>
      <c r="F150" s="967"/>
      <c r="G150" s="967"/>
      <c r="H150" s="967"/>
      <c r="I150" s="967"/>
      <c r="J150" s="967"/>
      <c r="K150" s="967"/>
      <c r="L150" s="967"/>
      <c r="M150" s="967"/>
      <c r="N150" s="967"/>
      <c r="O150" s="967"/>
      <c r="P150" s="967"/>
      <c r="Q150" s="967"/>
      <c r="R150" s="967"/>
      <c r="S150" s="967"/>
      <c r="T150" s="967"/>
      <c r="U150" s="967"/>
      <c r="V150" s="967"/>
      <c r="W150" s="967"/>
      <c r="X150" s="967"/>
      <c r="Y150" s="1124"/>
      <c r="Z150" s="970"/>
      <c r="AA150" s="973"/>
      <c r="AB150" s="970"/>
      <c r="AC150" s="970"/>
      <c r="AD150" s="970"/>
    </row>
    <row customHeight="1" ht="9">
      <c r="A151" s="969"/>
      <c r="B151" s="969"/>
      <c r="C151" s="969"/>
      <c r="D151" s="969"/>
      <c r="E151" s="969"/>
      <c r="F151" s="969"/>
      <c r="G151" s="969"/>
      <c r="H151" s="969"/>
      <c r="I151" s="969"/>
      <c r="J151" s="969"/>
      <c r="K151" s="969"/>
      <c r="L151" s="969"/>
      <c r="M151" s="969"/>
      <c r="N151" s="969"/>
      <c r="O151" s="969"/>
      <c r="P151" s="969"/>
      <c r="Q151" s="969"/>
      <c r="R151" s="969"/>
      <c r="S151" s="969"/>
      <c r="T151" s="969"/>
      <c r="U151" s="969"/>
      <c r="V151" s="969"/>
      <c r="W151" s="969"/>
      <c r="X151" s="969"/>
      <c r="Y151" s="969"/>
      <c r="Z151" s="969"/>
      <c r="AA151" s="969"/>
      <c r="AB151" s="969"/>
      <c r="AC151" s="969"/>
      <c r="AD151" s="969"/>
    </row>
    <row customHeight="1" ht="9">
      <c r="A152" s="969" t="s">
        <v>2077</v>
      </c>
      <c r="B152" s="969"/>
      <c r="C152" s="967"/>
      <c r="D152" s="967"/>
      <c r="E152" s="967"/>
      <c r="F152" s="967"/>
      <c r="G152" s="967"/>
      <c r="H152" s="967"/>
      <c r="I152" s="967"/>
      <c r="J152" s="967"/>
      <c r="K152" s="967"/>
      <c r="L152" s="967"/>
      <c r="M152" s="967"/>
      <c r="N152" s="967"/>
      <c r="O152" s="967"/>
      <c r="P152" s="967"/>
      <c r="Q152" s="967"/>
      <c r="R152" s="967"/>
      <c r="S152" s="967"/>
      <c r="T152" s="967"/>
      <c r="U152" s="967"/>
      <c r="V152" s="967"/>
      <c r="W152" s="967"/>
      <c r="X152" s="967"/>
      <c r="Y152" s="1124"/>
      <c r="Z152" s="970"/>
      <c r="AA152" s="973"/>
      <c r="AB152" s="970"/>
      <c r="AC152" s="970"/>
      <c r="AD152" s="970"/>
    </row>
    <row customHeight="1" ht="9">
      <c r="A153" s="969"/>
      <c r="B153" s="969"/>
      <c r="C153" s="969"/>
      <c r="D153" s="969"/>
      <c r="E153" s="969"/>
      <c r="F153" s="969"/>
      <c r="G153" s="969"/>
      <c r="H153" s="969"/>
      <c r="I153" s="969"/>
      <c r="J153" s="969"/>
      <c r="K153" s="969"/>
      <c r="L153" s="969"/>
      <c r="M153" s="969"/>
      <c r="N153" s="969"/>
      <c r="O153" s="969"/>
      <c r="P153" s="969"/>
      <c r="Q153" s="969"/>
      <c r="R153" s="969"/>
      <c r="S153" s="969"/>
      <c r="T153" s="969"/>
      <c r="U153" s="969"/>
      <c r="V153" s="969"/>
      <c r="W153" s="969"/>
      <c r="X153" s="969"/>
      <c r="Y153" s="969"/>
      <c r="Z153" s="969"/>
      <c r="AA153" s="969"/>
      <c r="AB153" s="969"/>
      <c r="AC153" s="969"/>
      <c r="AD153" s="969"/>
    </row>
    <row customHeight="1" ht="9">
      <c r="A154" s="969" t="s">
        <v>2082</v>
      </c>
      <c r="B154" s="969"/>
      <c r="C154" s="967"/>
      <c r="D154" s="967"/>
      <c r="E154" s="967"/>
      <c r="F154" s="967"/>
      <c r="G154" s="967"/>
      <c r="H154" s="967"/>
      <c r="I154" s="967"/>
      <c r="J154" s="967"/>
      <c r="K154" s="967"/>
      <c r="L154" s="967"/>
      <c r="M154" s="967"/>
      <c r="N154" s="967"/>
      <c r="O154" s="967"/>
      <c r="P154" s="967"/>
      <c r="Q154" s="967"/>
      <c r="R154" s="967"/>
      <c r="S154" s="967"/>
      <c r="T154" s="967"/>
      <c r="U154" s="967"/>
      <c r="V154" s="967"/>
      <c r="W154" s="967"/>
      <c r="X154" s="967"/>
      <c r="Y154" s="1124"/>
      <c r="Z154" s="970"/>
      <c r="AA154" s="973"/>
      <c r="AB154" s="970"/>
      <c r="AC154" s="970"/>
      <c r="AD154" s="97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BAF235-D188-CF98-FA18-F0D99AEB91D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7158" width="10.57421875" hidden="1"/>
    <col min="2" max="2" style="7158" width="11.00390625" hidden="1" customWidth="1"/>
    <col min="3" max="3" style="7158" width="10.57421875" hidden="1"/>
    <col min="4" max="4" style="7158" width="11.8515625" hidden="1" customWidth="1"/>
    <col min="5" max="5" style="7158" width="12.28125" hidden="1" customWidth="1"/>
    <col min="6" max="8" style="6374" width="12.28125" hidden="1" customWidth="1"/>
    <col min="9" max="9" style="7916" width="3.00390625" customWidth="1"/>
    <col min="10" max="11" style="7183" width="3.00390625" customWidth="1"/>
    <col min="12" max="12" style="7888" width="12.00390625" customWidth="1"/>
    <col min="13" max="13" style="7213" width="31.00390625" customWidth="1"/>
    <col min="14" max="14" style="7213" width="1.00390625" customWidth="1"/>
    <col min="15" max="18" style="7213" width="24.00390625" customWidth="1"/>
    <col min="19" max="19" style="7213" width="11.00390625" customWidth="1"/>
    <col min="20" max="20" style="7213" width="3.7109375" customWidth="1"/>
    <col min="21" max="21" style="7213" width="11.00390625" customWidth="1"/>
    <col min="22" max="22" style="7213" width="8.57421875" customWidth="1"/>
    <col min="23" max="23" style="7213" width="4.00390625" customWidth="1"/>
    <col min="24" max="24" style="7213" width="115.00390625" customWidth="1"/>
    <col min="25" max="29" style="6698" width="10.00390625" customWidth="1"/>
    <col min="30" max="30" style="7213" width="10.57421875" hidden="1"/>
  </cols>
  <sheetData>
    <row customHeight="1" ht="22.5" hidden="1">
      <c r="R1" s="451"/>
      <c r="S1" s="451"/>
      <c r="AD1" s="1279" t="s">
        <v>14</v>
      </c>
    </row>
    <row customHeight="1" ht="14.25" hidden="1">
      <c r="V2" s="451"/>
      <c r="AD2" s="1279">
        <v>0</v>
      </c>
    </row>
    <row customHeight="1" ht="14.25" hidden="1">
      <c r="AD3" s="1279">
        <v>0</v>
      </c>
    </row>
    <row customHeight="1" ht="14.699999999999998">
      <c r="J4" s="500"/>
      <c r="K4" s="500"/>
      <c r="L4" s="1399"/>
      <c r="M4" s="487"/>
      <c r="N4" s="487"/>
      <c r="O4" s="633"/>
      <c r="P4" s="633"/>
      <c r="Q4" s="633"/>
      <c r="R4" s="633"/>
      <c r="S4" s="633"/>
      <c r="T4" s="633"/>
      <c r="U4" s="633"/>
      <c r="V4" s="633"/>
      <c r="AD4" s="1279">
        <v>14</v>
      </c>
    </row>
    <row customHeight="1" ht="67.2">
      <c r="J5" s="500"/>
      <c r="K5" s="500"/>
      <c r="L5" s="2740" t="s">
        <v>2629</v>
      </c>
      <c r="M5" s="2740"/>
      <c r="N5" s="2740"/>
      <c r="O5" s="2740"/>
      <c r="P5" s="2740"/>
      <c r="Q5" s="2740"/>
      <c r="R5" s="2740"/>
      <c r="S5" s="2740"/>
      <c r="T5" s="2740"/>
      <c r="U5" s="2740"/>
      <c r="V5" s="1367"/>
      <c r="AD5" s="1279">
        <v>64</v>
      </c>
    </row>
    <row customHeight="1" ht="14.699999999999998">
      <c r="J6" s="500"/>
      <c r="K6" s="500"/>
      <c r="L6" s="2741" t="str">
        <f>IF(org=0,"Не определено",org)</f>
        <v>ООО "СамРЭК-Эксплуатация"</v>
      </c>
      <c r="M6" s="2741"/>
      <c r="N6" s="2741"/>
      <c r="O6" s="2741"/>
      <c r="P6" s="2741"/>
      <c r="Q6" s="2741"/>
      <c r="R6" s="2741"/>
      <c r="S6" s="2741"/>
      <c r="T6" s="2741"/>
      <c r="U6" s="2741"/>
      <c r="V6" s="1367"/>
      <c r="AD6" s="1279">
        <v>14</v>
      </c>
    </row>
    <row customHeight="1" ht="14.699999999999998">
      <c r="J7" s="500"/>
      <c r="K7" s="500"/>
      <c r="L7" s="1399"/>
      <c r="M7" s="487"/>
      <c r="N7" s="487"/>
      <c r="O7" s="446"/>
      <c r="P7" s="446"/>
      <c r="Q7" s="446"/>
      <c r="R7" s="446"/>
      <c r="S7" s="446"/>
      <c r="T7" s="446"/>
      <c r="U7" s="446"/>
      <c r="V7" s="446"/>
      <c r="W7" s="633"/>
      <c r="AD7" s="1279">
        <v>14</v>
      </c>
    </row>
    <row s="7787" customFormat="1" customHeight="1" ht="48.29999999999999">
      <c r="A8" s="1492"/>
      <c r="B8" s="1492"/>
      <c r="C8" s="1492"/>
      <c r="D8" s="1492"/>
      <c r="E8" s="1492"/>
      <c r="F8" s="1492"/>
      <c r="G8" s="1492"/>
      <c r="H8" s="1492"/>
      <c r="L8" s="1400"/>
      <c r="M8" s="419" t="s">
        <v>41</v>
      </c>
      <c r="N8" s="428"/>
      <c r="O8" s="2388" t="str">
        <f>IF(TITLE_NAME_OR_PR_CHANGE="",IF(TITLE_NAME_OR_PR="","",TITLE_NAME_OR_PR),TITLE_NAME_OR_PR_CHANGE)</f>
        <v/>
      </c>
      <c r="P8" s="2388"/>
      <c r="Q8" s="2388"/>
      <c r="R8" s="2388"/>
      <c r="S8" s="2388"/>
      <c r="T8" s="2388"/>
      <c r="U8" s="2388"/>
      <c r="V8" s="450"/>
      <c r="W8" s="450"/>
      <c r="X8" s="404"/>
      <c r="Y8" s="492"/>
      <c r="Z8" s="492"/>
      <c r="AA8" s="492"/>
      <c r="AB8" s="492"/>
      <c r="AC8" s="492"/>
      <c r="AD8" s="542">
        <v>46</v>
      </c>
    </row>
    <row s="7787" customFormat="1" customHeight="1" ht="24">
      <c r="A9" s="1492"/>
      <c r="B9" s="1492"/>
      <c r="C9" s="1492"/>
      <c r="D9" s="1492"/>
      <c r="E9" s="1492"/>
      <c r="F9" s="1492"/>
      <c r="G9" s="1492"/>
      <c r="H9" s="1492"/>
      <c r="L9" s="1400"/>
      <c r="M9" s="419" t="s">
        <v>535</v>
      </c>
      <c r="N9" s="428"/>
      <c r="O9" s="2388" t="str">
        <f>IF(TITLE_DATE_CHANGE_PERIOD="",IF(TITLE_DATE_PR="","",TITLE_DATE_PR),TITLE_DATE_CHANGE_PERIOD)</f>
        <v/>
      </c>
      <c r="P9" s="2388"/>
      <c r="Q9" s="2388"/>
      <c r="R9" s="2388"/>
      <c r="S9" s="2388"/>
      <c r="T9" s="2388"/>
      <c r="U9" s="2388"/>
      <c r="V9" s="450"/>
      <c r="W9" s="450"/>
      <c r="X9" s="404"/>
      <c r="Y9" s="492"/>
      <c r="Z9" s="492"/>
      <c r="AA9" s="492"/>
      <c r="AB9" s="492"/>
      <c r="AC9" s="492"/>
      <c r="AD9" s="542">
        <v>23</v>
      </c>
    </row>
    <row s="7787" customFormat="1" customHeight="1" ht="24">
      <c r="A10" s="1492"/>
      <c r="B10" s="1492"/>
      <c r="C10" s="1492"/>
      <c r="D10" s="1492"/>
      <c r="E10" s="1492"/>
      <c r="F10" s="1492"/>
      <c r="G10" s="1492"/>
      <c r="H10" s="1492"/>
      <c r="L10" s="1374"/>
      <c r="M10" s="419" t="s">
        <v>536</v>
      </c>
      <c r="N10" s="428"/>
      <c r="O10" s="2388" t="str">
        <f>IF(TITLE_NUMBER_PR_CHANGE="",IF(TITLE_NUMBER_PR="","",TITLE_NUMBER_PR),TITLE_NUMBER_PR_CHANGE)</f>
        <v/>
      </c>
      <c r="P10" s="2388"/>
      <c r="Q10" s="2388"/>
      <c r="R10" s="2388"/>
      <c r="S10" s="2388"/>
      <c r="T10" s="2388"/>
      <c r="U10" s="2388"/>
      <c r="V10" s="450"/>
      <c r="W10" s="450"/>
      <c r="X10" s="404"/>
      <c r="Y10" s="492"/>
      <c r="Z10" s="492"/>
      <c r="AA10" s="492"/>
      <c r="AB10" s="492"/>
      <c r="AC10" s="492"/>
      <c r="AD10" s="542">
        <v>23</v>
      </c>
    </row>
    <row s="7787" customFormat="1" customHeight="1" ht="24">
      <c r="A11" s="1492"/>
      <c r="B11" s="1492"/>
      <c r="C11" s="1492"/>
      <c r="D11" s="1492"/>
      <c r="E11" s="1492"/>
      <c r="F11" s="1492"/>
      <c r="G11" s="1492"/>
      <c r="H11" s="1492"/>
      <c r="L11" s="1374"/>
      <c r="M11" s="419" t="s">
        <v>42</v>
      </c>
      <c r="N11" s="428"/>
      <c r="O11" s="2388" t="str">
        <f>IF(TITLE_IST_PUB_CHANGE="",IF(TITLE_IST_PUB="","",TITLE_IST_PUB),TITLE_IST_PUB_CHANGE)</f>
        <v/>
      </c>
      <c r="P11" s="2388"/>
      <c r="Q11" s="2388"/>
      <c r="R11" s="2388"/>
      <c r="S11" s="2388"/>
      <c r="T11" s="2388"/>
      <c r="U11" s="2388"/>
      <c r="V11" s="450"/>
      <c r="W11" s="450"/>
      <c r="X11" s="404"/>
      <c r="Y11" s="492"/>
      <c r="Z11" s="492"/>
      <c r="AA11" s="492"/>
      <c r="AB11" s="492"/>
      <c r="AC11" s="492"/>
      <c r="AD11" s="542">
        <v>23</v>
      </c>
    </row>
    <row s="7787" customFormat="1" customHeight="1" ht="11.25" hidden="1">
      <c r="A12" s="1492"/>
      <c r="B12" s="1492"/>
      <c r="C12" s="1492"/>
      <c r="D12" s="1492"/>
      <c r="E12" s="1492"/>
      <c r="F12" s="1492"/>
      <c r="G12" s="1492"/>
      <c r="H12" s="1492"/>
      <c r="L12" s="2742"/>
      <c r="M12" s="2742"/>
      <c r="N12" s="1411"/>
      <c r="O12" s="450"/>
      <c r="P12" s="450"/>
      <c r="Q12" s="450"/>
      <c r="R12" s="450"/>
      <c r="S12" s="450"/>
      <c r="T12" s="450"/>
      <c r="U12" s="450"/>
      <c r="V12" s="402" t="s">
        <v>539</v>
      </c>
      <c r="Y12" s="492"/>
      <c r="Z12" s="492"/>
      <c r="AA12" s="492"/>
      <c r="AB12" s="492"/>
      <c r="AC12" s="492"/>
      <c r="AD12" s="542">
        <v>0</v>
      </c>
    </row>
    <row customHeight="1" ht="14.699999999999998">
      <c r="J13" s="500"/>
      <c r="K13" s="500"/>
      <c r="L13" s="1399"/>
      <c r="M13" s="487"/>
      <c r="N13" s="1368"/>
      <c r="O13" s="2389"/>
      <c r="P13" s="2389"/>
      <c r="Q13" s="2389"/>
      <c r="R13" s="2389"/>
      <c r="S13" s="2389"/>
      <c r="T13" s="2389"/>
      <c r="U13" s="2389"/>
      <c r="V13" s="2389"/>
      <c r="AD13" s="1279">
        <v>14</v>
      </c>
    </row>
    <row customHeight="1" ht="14.699999999999998">
      <c r="J14" s="500"/>
      <c r="K14" s="500"/>
      <c r="L14" s="2264" t="s">
        <v>412</v>
      </c>
      <c r="M14" s="2264"/>
      <c r="N14" s="2264"/>
      <c r="O14" s="2264"/>
      <c r="P14" s="2264"/>
      <c r="Q14" s="2264"/>
      <c r="R14" s="2264"/>
      <c r="S14" s="2264"/>
      <c r="T14" s="2264"/>
      <c r="U14" s="2264"/>
      <c r="V14" s="2264"/>
      <c r="W14" s="2264"/>
      <c r="X14" s="2264" t="s">
        <v>413</v>
      </c>
      <c r="AD14" s="1279">
        <v>14</v>
      </c>
    </row>
    <row customHeight="1" ht="14.699999999999998">
      <c r="J15" s="500"/>
      <c r="K15" s="500"/>
      <c r="L15" s="2410" t="s">
        <v>88</v>
      </c>
      <c r="M15" s="2346" t="s">
        <v>540</v>
      </c>
      <c r="N15" s="425"/>
      <c r="O15" s="2411" t="s">
        <v>2630</v>
      </c>
      <c r="P15" s="2412"/>
      <c r="Q15" s="2412"/>
      <c r="R15" s="2412"/>
      <c r="S15" s="2412"/>
      <c r="T15" s="2412"/>
      <c r="U15" s="2413"/>
      <c r="V15" s="2414" t="s">
        <v>542</v>
      </c>
      <c r="W15" s="2417" t="s">
        <v>1575</v>
      </c>
      <c r="X15" s="2264"/>
      <c r="AD15" s="1279">
        <v>14</v>
      </c>
    </row>
    <row customHeight="1" ht="35.699999999999996">
      <c r="J16" s="500"/>
      <c r="K16" s="500"/>
      <c r="L16" s="2410"/>
      <c r="M16" s="2346"/>
      <c r="N16" s="1155"/>
      <c r="O16" s="2397" t="s">
        <v>545</v>
      </c>
      <c r="P16" s="2397" t="s">
        <v>546</v>
      </c>
      <c r="Q16" s="2399" t="s">
        <v>547</v>
      </c>
      <c r="R16" s="2400"/>
      <c r="S16" s="2399" t="s">
        <v>561</v>
      </c>
      <c r="T16" s="2406"/>
      <c r="U16" s="2400"/>
      <c r="V16" s="2415"/>
      <c r="W16" s="2418"/>
      <c r="X16" s="2264"/>
      <c r="AD16" s="1279">
        <v>34</v>
      </c>
    </row>
    <row customHeight="1" ht="35.699999999999996">
      <c r="A17" s="1494" t="s">
        <v>254</v>
      </c>
      <c r="B17" s="1494" t="s">
        <v>255</v>
      </c>
      <c r="C17" s="1494" t="s">
        <v>256</v>
      </c>
      <c r="D17" s="1494" t="s">
        <v>257</v>
      </c>
      <c r="E17" s="1494"/>
      <c r="J17" s="500"/>
      <c r="K17" s="500"/>
      <c r="L17" s="2410"/>
      <c r="M17" s="2346"/>
      <c r="N17" s="426"/>
      <c r="O17" s="2398"/>
      <c r="P17" s="2398"/>
      <c r="Q17" s="1346" t="s">
        <v>556</v>
      </c>
      <c r="R17" s="1346" t="s">
        <v>557</v>
      </c>
      <c r="S17" s="1416" t="s">
        <v>558</v>
      </c>
      <c r="T17" s="2407" t="s">
        <v>559</v>
      </c>
      <c r="U17" s="2408"/>
      <c r="V17" s="2416"/>
      <c r="W17" s="2419"/>
      <c r="X17" s="2264"/>
      <c r="AD17" s="1279">
        <v>34</v>
      </c>
    </row>
    <row s="6292" customFormat="1" customHeight="1" ht="11.549999999999999">
      <c r="A18" s="1494"/>
      <c r="B18" s="1494"/>
      <c r="C18" s="1494"/>
      <c r="D18" s="1494"/>
      <c r="E18" s="1494"/>
      <c r="F18" s="1486"/>
      <c r="G18" s="1486"/>
      <c r="H18" s="1486"/>
      <c r="I18" s="1370"/>
      <c r="J18" s="1371"/>
      <c r="K18" s="1378">
        <v>1</v>
      </c>
      <c r="L18" s="1401" t="s">
        <v>210</v>
      </c>
      <c r="M18" s="1379" t="s">
        <v>102</v>
      </c>
      <c r="N18" s="1369" t="str">
        <f>OFFSET(N18,0,-1)</f>
        <v>2</v>
      </c>
      <c r="O18" s="1413">
        <f>OFFSET(O18,0,-1)+1</f>
        <v>3</v>
      </c>
      <c r="P18" s="1413"/>
      <c r="Q18" s="1413">
        <f>OFFSET(Q18,0,-1)+1</f>
        <v>1</v>
      </c>
      <c r="R18" s="1413">
        <f>OFFSET(R18,0,-1)+1</f>
        <v>2</v>
      </c>
      <c r="S18" s="1413">
        <f>OFFSET(S18,0,-1)+1</f>
        <v>3</v>
      </c>
      <c r="T18" s="2409">
        <f>OFFSET(T18,0,-1)+1</f>
        <v>4</v>
      </c>
      <c r="U18" s="2409"/>
      <c r="V18" s="1413">
        <f>OFFSET(V18,0,-2)+1</f>
        <v>5</v>
      </c>
      <c r="W18" s="1369">
        <f>OFFSET(W18,0,-1)</f>
        <v>5</v>
      </c>
      <c r="X18" s="1413">
        <f>OFFSET(X18,0,-1)+1</f>
        <v>6</v>
      </c>
      <c r="Y18" s="635"/>
      <c r="Z18" s="635"/>
      <c r="AA18" s="635"/>
      <c r="AB18" s="635"/>
      <c r="AC18" s="635"/>
      <c r="AD18" s="620">
        <v>11</v>
      </c>
    </row>
    <row customHeight="1" ht="21">
      <c r="A19" s="1487" t="s">
        <v>282</v>
      </c>
      <c r="B19" s="1487" t="s">
        <v>283</v>
      </c>
      <c r="C19" s="1487" t="s">
        <v>284</v>
      </c>
      <c r="D19" s="1487" t="s">
        <v>285</v>
      </c>
      <c r="E19" s="1487"/>
      <c r="F19" s="1489"/>
      <c r="G19" s="1489"/>
      <c r="H19" s="1489"/>
      <c r="I19" s="485"/>
      <c r="J19" s="484"/>
      <c r="K19" s="479"/>
      <c r="L19" s="1417">
        <f>INDEX(PT_DIFFERENTIATION_NUM_NTAR,MATCH(A19,PT_DIFFERENTIATION_NTAR_ID,0))</f>
        <v>0</v>
      </c>
      <c r="M19" s="422" t="s">
        <v>243</v>
      </c>
      <c r="N19" s="424"/>
      <c r="O19" s="2743" t="str">
        <f>INDEX(PT_DIFFERENTIATION_NTAR,MATCH(A19,PT_DIFFERENTIATION_NTAR_ID,0))</f>
        <v/>
      </c>
      <c r="P19" s="2743"/>
      <c r="Q19" s="2743"/>
      <c r="R19" s="2743"/>
      <c r="S19" s="2743"/>
      <c r="T19" s="2743"/>
      <c r="U19" s="2743"/>
      <c r="V19" s="2743"/>
      <c r="W19" s="2743"/>
      <c r="X19" s="1382" t="s">
        <v>508</v>
      </c>
      <c r="Z19" s="624"/>
      <c r="AA19" s="624" t="str">
        <f>IF(M19="","",M19)</f>
        <v>Наименование тарифа</v>
      </c>
      <c r="AB19" s="624"/>
      <c r="AC19" s="624"/>
      <c r="AD19" s="1279">
        <v>20</v>
      </c>
    </row>
    <row customHeight="1" ht="21">
      <c r="A20" s="1487" t="s">
        <v>282</v>
      </c>
      <c r="B20" s="1487" t="s">
        <v>283</v>
      </c>
      <c r="C20" s="1487" t="s">
        <v>284</v>
      </c>
      <c r="D20" s="1487" t="s">
        <v>285</v>
      </c>
      <c r="E20" s="1487"/>
      <c r="F20" s="1489"/>
      <c r="G20" s="1489"/>
      <c r="H20" s="1489"/>
      <c r="I20" s="1414"/>
      <c r="J20" s="476"/>
      <c r="K20" s="477"/>
      <c r="L20" s="1417" t="str">
        <f>INDEX(PT_DIFFERENTIATION_NUM_TER,MATCH(B19,PT_DIFFERENTIATION_TER_ID,0))</f>
        <v>.</v>
      </c>
      <c r="M20" s="432" t="s">
        <v>509</v>
      </c>
      <c r="N20" s="424"/>
      <c r="O20" s="2743" t="str">
        <f>INDEX(PT_DIFFERENTIATION_TER,MATCH(B19,PT_DIFFERENTIATION_TER_ID,0))</f>
        <v/>
      </c>
      <c r="P20" s="2743"/>
      <c r="Q20" s="2743"/>
      <c r="R20" s="2743"/>
      <c r="S20" s="2743"/>
      <c r="T20" s="2743"/>
      <c r="U20" s="2743"/>
      <c r="V20" s="2743"/>
      <c r="W20" s="2743"/>
      <c r="X20" s="1382" t="s">
        <v>510</v>
      </c>
      <c r="Z20" s="624"/>
      <c r="AA20" s="624" t="str">
        <f>IF(M20="","",M20)</f>
        <v>Территория действия тарифа</v>
      </c>
      <c r="AB20" s="624"/>
      <c r="AC20" s="624"/>
      <c r="AD20" s="1279">
        <v>20</v>
      </c>
    </row>
    <row customHeight="1" ht="24">
      <c r="A21" s="1487" t="s">
        <v>282</v>
      </c>
      <c r="B21" s="1487" t="s">
        <v>283</v>
      </c>
      <c r="C21" s="1487" t="s">
        <v>284</v>
      </c>
      <c r="D21" s="1487" t="s">
        <v>285</v>
      </c>
      <c r="E21" s="1487"/>
      <c r="F21" s="1489"/>
      <c r="G21" s="1489"/>
      <c r="H21" s="1489"/>
      <c r="I21" s="478"/>
      <c r="J21" s="476"/>
      <c r="K21" s="477"/>
      <c r="L21" s="1417" t="str">
        <f>INDEX(PT_DIFFERENTIATION_NUM_CS,MATCH(C19,PT_DIFFERENTIATION_CS_ID,0))</f>
        <v>..</v>
      </c>
      <c r="M21" s="433" t="s">
        <v>511</v>
      </c>
      <c r="N21" s="424"/>
      <c r="O21" s="2743" t="str">
        <f>INDEX(PT_DIFFERENTIATION_CS,MATCH(C19,PT_DIFFERENTIATION_CS_ID,0))</f>
        <v/>
      </c>
      <c r="P21" s="2743"/>
      <c r="Q21" s="2743"/>
      <c r="R21" s="2743"/>
      <c r="S21" s="2743"/>
      <c r="T21" s="2743"/>
      <c r="U21" s="2743"/>
      <c r="V21" s="2743"/>
      <c r="W21" s="2743"/>
      <c r="X21" s="1382" t="s">
        <v>512</v>
      </c>
      <c r="Z21" s="624"/>
      <c r="AA21" s="624" t="str">
        <f>IF(M21="","",M21)</f>
        <v>Наименование системы теплоснабжения </v>
      </c>
      <c r="AB21" s="624"/>
      <c r="AC21" s="624"/>
      <c r="AD21" s="1279">
        <v>23</v>
      </c>
    </row>
    <row customHeight="1" ht="21">
      <c r="A22" s="1487" t="s">
        <v>282</v>
      </c>
      <c r="B22" s="1487" t="s">
        <v>283</v>
      </c>
      <c r="C22" s="1487" t="s">
        <v>284</v>
      </c>
      <c r="D22" s="1487" t="s">
        <v>285</v>
      </c>
      <c r="E22" s="1487"/>
      <c r="F22" s="1489"/>
      <c r="G22" s="1489"/>
      <c r="H22" s="1489"/>
      <c r="I22" s="478"/>
      <c r="J22" s="476"/>
      <c r="K22" s="477"/>
      <c r="L22" s="1417" t="str">
        <f>INDEX(PT_DIFFERENTIATION_NUM_IST_TE,MATCH(D19,PT_DIFFERENTIATION_IST_TE_ID,0))</f>
        <v>...</v>
      </c>
      <c r="M22" s="434" t="s">
        <v>513</v>
      </c>
      <c r="N22" s="424"/>
      <c r="O22" s="2743" t="str">
        <f>INDEX(PT_DIFFERENTIATION_IST_TE,MATCH(D19,PT_DIFFERENTIATION_IST_TE_ID,0))</f>
        <v/>
      </c>
      <c r="P22" s="2743"/>
      <c r="Q22" s="2743"/>
      <c r="R22" s="2743"/>
      <c r="S22" s="2743"/>
      <c r="T22" s="2743"/>
      <c r="U22" s="2743"/>
      <c r="V22" s="2743"/>
      <c r="W22" s="2743"/>
      <c r="X22" s="1382" t="s">
        <v>514</v>
      </c>
      <c r="Z22" s="624"/>
      <c r="AA22" s="624" t="str">
        <f>IF(M22="","",M22)</f>
        <v>Источник тепловой энергии  </v>
      </c>
      <c r="AB22" s="624"/>
      <c r="AC22" s="624"/>
      <c r="AD22" s="1279">
        <v>20</v>
      </c>
    </row>
    <row customHeight="1" ht="96.75">
      <c r="A23" s="1487" t="s">
        <v>282</v>
      </c>
      <c r="B23" s="1487" t="s">
        <v>283</v>
      </c>
      <c r="C23" s="1487" t="s">
        <v>284</v>
      </c>
      <c r="D23" s="1487" t="s">
        <v>285</v>
      </c>
      <c r="E23" s="1487"/>
      <c r="F23" s="2744" t="str">
        <f>L22&amp;".1"</f>
        <v>....1</v>
      </c>
      <c r="I23" s="2394">
        <v>1</v>
      </c>
      <c r="J23" s="1415"/>
      <c r="K23" s="480"/>
      <c r="L23" s="1417" t="str">
        <f>$F$23</f>
        <v>....1</v>
      </c>
      <c r="M23" s="409" t="s">
        <v>516</v>
      </c>
      <c r="N23" s="424"/>
      <c r="O23" s="2442"/>
      <c r="P23" s="2442"/>
      <c r="Q23" s="2442"/>
      <c r="R23" s="2442"/>
      <c r="S23" s="2442"/>
      <c r="T23" s="2442"/>
      <c r="U23" s="2442"/>
      <c r="V23" s="2442"/>
      <c r="W23" s="2442"/>
      <c r="X23" s="1382" t="s">
        <v>517</v>
      </c>
      <c r="Z23" s="624"/>
      <c r="AA23" s="624" t="str">
        <f>IF(M23="","",M23)</f>
        <v>Схема подключения теплопотребляющей установки к коллектору источника тепловой энергии</v>
      </c>
      <c r="AB23" s="624"/>
      <c r="AC23" s="624"/>
      <c r="AD23" s="1279">
        <v>92</v>
      </c>
    </row>
    <row customHeight="1" ht="86.25">
      <c r="A24" s="1487" t="s">
        <v>282</v>
      </c>
      <c r="B24" s="1487" t="s">
        <v>283</v>
      </c>
      <c r="C24" s="1487" t="s">
        <v>284</v>
      </c>
      <c r="D24" s="1487" t="s">
        <v>285</v>
      </c>
      <c r="E24" s="1487"/>
      <c r="F24" s="2744"/>
      <c r="G24" s="2354" t="str">
        <f>F23&amp;".1"</f>
        <v>....1.1</v>
      </c>
      <c r="I24" s="2394"/>
      <c r="J24" s="2394">
        <v>1</v>
      </c>
      <c r="K24" s="481"/>
      <c r="L24" s="1417" t="str">
        <f>$G$24</f>
        <v>....1.1</v>
      </c>
      <c r="M24" s="410" t="s">
        <v>519</v>
      </c>
      <c r="N24" s="424"/>
      <c r="O24" s="2382"/>
      <c r="P24" s="2383"/>
      <c r="Q24" s="2383"/>
      <c r="R24" s="2383"/>
      <c r="S24" s="2383"/>
      <c r="T24" s="2383"/>
      <c r="U24" s="2383"/>
      <c r="V24" s="2383"/>
      <c r="W24" s="2384"/>
      <c r="X24" s="1382" t="s">
        <v>520</v>
      </c>
      <c r="Z24" s="624"/>
      <c r="AA24" s="624" t="str">
        <f>IF(M24="","",M24)</f>
        <v>Группа потребителей</v>
      </c>
      <c r="AB24" s="624"/>
      <c r="AC24" s="624"/>
      <c r="AD24" s="1279">
        <v>82</v>
      </c>
    </row>
    <row customHeight="1" ht="11.549999999999999">
      <c r="A25" s="1487" t="s">
        <v>282</v>
      </c>
      <c r="B25" s="1487" t="s">
        <v>283</v>
      </c>
      <c r="C25" s="1487" t="s">
        <v>284</v>
      </c>
      <c r="D25" s="1487" t="s">
        <v>285</v>
      </c>
      <c r="E25" s="1487"/>
      <c r="F25" s="2744"/>
      <c r="G25" s="2354"/>
      <c r="H25" s="2354" t="str">
        <f>G24&amp;".1"</f>
        <v>....1.1.1</v>
      </c>
      <c r="I25" s="2394"/>
      <c r="J25" s="2394"/>
      <c r="K25" s="481">
        <v>1</v>
      </c>
      <c r="L25" s="1417" t="str">
        <f>$H$25</f>
        <v>....1.1.1</v>
      </c>
      <c r="M25" s="1471"/>
      <c r="N25" s="424"/>
      <c r="O25" s="875"/>
      <c r="P25" s="449"/>
      <c r="Q25" s="875"/>
      <c r="R25" s="1381"/>
      <c r="S25" s="2739"/>
      <c r="T25" s="2244" t="s">
        <v>62</v>
      </c>
      <c r="U25" s="2739"/>
      <c r="V25" s="2244" t="s">
        <v>19</v>
      </c>
      <c r="W25" s="449"/>
      <c r="X25" s="2390" t="s">
        <v>522</v>
      </c>
      <c r="Y25" s="635">
        <f>STRCHECKDATE(O26:W26)</f>
      </c>
      <c r="Z25" s="624"/>
      <c r="AA25" s="624" t="str">
        <f>IF(M25="","",M25)</f>
        <v/>
      </c>
      <c r="AB25" s="624"/>
      <c r="AC25" s="624"/>
      <c r="AD25" s="1279">
        <v>11</v>
      </c>
    </row>
    <row customHeight="1" ht="11.549999999999999">
      <c r="A26" s="1487" t="s">
        <v>282</v>
      </c>
      <c r="B26" s="1487" t="s">
        <v>283</v>
      </c>
      <c r="C26" s="1487" t="s">
        <v>284</v>
      </c>
      <c r="D26" s="1487" t="s">
        <v>285</v>
      </c>
      <c r="E26" s="1487"/>
      <c r="F26" s="2744"/>
      <c r="G26" s="2354"/>
      <c r="H26" s="2354"/>
      <c r="I26" s="2394"/>
      <c r="J26" s="2394"/>
      <c r="K26" s="481"/>
      <c r="L26" s="1418"/>
      <c r="M26" s="424"/>
      <c r="N26" s="424"/>
      <c r="O26" s="449"/>
      <c r="P26" s="449"/>
      <c r="Q26" s="449"/>
      <c r="R26" s="452" t="str">
        <f>S25&amp;"-"&amp;U25</f>
        <v>-</v>
      </c>
      <c r="S26" s="2403"/>
      <c r="T26" s="2244"/>
      <c r="U26" s="2403"/>
      <c r="V26" s="2244"/>
      <c r="W26" s="449"/>
      <c r="X26" s="2391"/>
      <c r="Z26" s="624"/>
      <c r="AA26" s="624" t="str">
        <f>IF(M26="","",M26)</f>
        <v/>
      </c>
      <c r="AB26" s="624"/>
      <c r="AC26" s="624"/>
      <c r="AD26" s="1279">
        <v>11</v>
      </c>
    </row>
    <row customHeight="1" ht="15.75">
      <c r="A27" s="1487" t="s">
        <v>282</v>
      </c>
      <c r="B27" s="1487" t="s">
        <v>283</v>
      </c>
      <c r="C27" s="1487" t="s">
        <v>284</v>
      </c>
      <c r="D27" s="1487" t="s">
        <v>285</v>
      </c>
      <c r="E27" s="1487"/>
      <c r="F27" s="2744"/>
      <c r="G27" s="2354"/>
      <c r="I27" s="2394"/>
      <c r="J27" s="2394"/>
      <c r="K27" s="480"/>
      <c r="L27" s="1402"/>
      <c r="M27" s="412" t="s">
        <v>523</v>
      </c>
      <c r="N27" s="491"/>
      <c r="O27" s="491"/>
      <c r="P27" s="491"/>
      <c r="Q27" s="491"/>
      <c r="R27" s="491"/>
      <c r="S27" s="491"/>
      <c r="T27" s="491"/>
      <c r="U27" s="491"/>
      <c r="V27" s="491"/>
      <c r="W27" s="448"/>
      <c r="X27" s="2392"/>
      <c r="Z27" s="624"/>
      <c r="AA27" s="624" t="str">
        <f>IF(M27="","",M27)</f>
        <v>Добавить вид теплоносителя (параметры теплоносителя)</v>
      </c>
      <c r="AB27" s="624"/>
      <c r="AC27" s="624"/>
      <c r="AD27" s="1279">
        <v>15</v>
      </c>
    </row>
    <row customHeight="1" ht="15.75">
      <c r="A28" s="1487" t="s">
        <v>282</v>
      </c>
      <c r="B28" s="1487" t="s">
        <v>283</v>
      </c>
      <c r="C28" s="1487" t="s">
        <v>284</v>
      </c>
      <c r="D28" s="1487" t="s">
        <v>285</v>
      </c>
      <c r="E28" s="1487"/>
      <c r="F28" s="2744"/>
      <c r="I28" s="2394"/>
      <c r="J28" s="1415"/>
      <c r="K28" s="480"/>
      <c r="L28" s="1402"/>
      <c r="M28" s="411" t="s">
        <v>524</v>
      </c>
      <c r="N28" s="491"/>
      <c r="O28" s="491"/>
      <c r="P28" s="491"/>
      <c r="Q28" s="491"/>
      <c r="R28" s="491"/>
      <c r="S28" s="491"/>
      <c r="T28" s="491"/>
      <c r="U28" s="491"/>
      <c r="V28" s="490"/>
      <c r="W28" s="491"/>
      <c r="X28" s="427"/>
      <c r="Z28" s="624"/>
      <c r="AA28" s="624" t="str">
        <f>IF(M28="","",M28)</f>
        <v>Добавить группу потребителей</v>
      </c>
      <c r="AB28" s="624"/>
      <c r="AC28" s="624"/>
      <c r="AD28" s="1279">
        <v>15</v>
      </c>
    </row>
    <row customHeight="1" ht="14.699999999999998">
      <c r="A29" s="1487" t="s">
        <v>282</v>
      </c>
      <c r="B29" s="1487" t="s">
        <v>283</v>
      </c>
      <c r="C29" s="1487" t="s">
        <v>284</v>
      </c>
      <c r="D29" s="1487" t="s">
        <v>285</v>
      </c>
      <c r="E29" s="1487"/>
      <c r="F29" s="1489"/>
      <c r="G29" s="1489"/>
      <c r="H29" s="661"/>
      <c r="I29" s="484"/>
      <c r="J29" s="499"/>
      <c r="K29" s="479"/>
      <c r="L29" s="1402"/>
      <c r="M29" s="489" t="s">
        <v>525</v>
      </c>
      <c r="N29" s="491"/>
      <c r="O29" s="491"/>
      <c r="P29" s="491"/>
      <c r="Q29" s="491"/>
      <c r="R29" s="491"/>
      <c r="S29" s="491"/>
      <c r="T29" s="491"/>
      <c r="U29" s="491"/>
      <c r="V29" s="490"/>
      <c r="W29" s="491"/>
      <c r="X29" s="427"/>
      <c r="Z29" s="624"/>
      <c r="AA29" s="624" t="str">
        <f>IF(M29="","",M29)</f>
        <v>Добавить схему подключения</v>
      </c>
      <c r="AB29" s="624"/>
      <c r="AC29" s="624"/>
      <c r="AD29" s="1279">
        <v>14</v>
      </c>
    </row>
    <row customHeight="1" ht="14.699999999999998">
      <c r="A30" s="1487" t="s">
        <v>282</v>
      </c>
      <c r="B30" s="1487" t="s">
        <v>283</v>
      </c>
      <c r="C30" s="1487" t="s">
        <v>284</v>
      </c>
      <c r="D30" s="1487"/>
      <c r="E30" s="1487" t="s">
        <v>723</v>
      </c>
      <c r="F30" s="1489"/>
      <c r="G30" s="1489"/>
      <c r="H30" s="661"/>
      <c r="I30" s="484"/>
      <c r="J30" s="499"/>
      <c r="K30" s="479"/>
      <c r="L30" s="1403"/>
      <c r="M30" s="1392"/>
      <c r="N30" s="1393"/>
      <c r="O30" s="1393"/>
      <c r="P30" s="1393"/>
      <c r="Q30" s="1393"/>
      <c r="R30" s="1393"/>
      <c r="S30" s="1393"/>
      <c r="T30" s="1393"/>
      <c r="U30" s="1393"/>
      <c r="V30" s="1394"/>
      <c r="W30" s="1393"/>
      <c r="X30" s="1395"/>
      <c r="Z30" s="624"/>
      <c r="AA30" s="624" t="str">
        <f>IF(M30="","",M30)</f>
        <v/>
      </c>
      <c r="AB30" s="624"/>
      <c r="AC30" s="624"/>
      <c r="AD30" s="1279">
        <v>14</v>
      </c>
    </row>
    <row customHeight="1" ht="14.699999999999998">
      <c r="A31" s="1487" t="s">
        <v>282</v>
      </c>
      <c r="B31" s="1487" t="s">
        <v>283</v>
      </c>
      <c r="C31" s="1487"/>
      <c r="D31" s="1487"/>
      <c r="E31" s="1487" t="s">
        <v>2631</v>
      </c>
      <c r="F31" s="1641"/>
      <c r="G31" s="1641"/>
      <c r="H31" s="661"/>
      <c r="I31" s="482"/>
      <c r="J31" s="499"/>
      <c r="K31" s="483"/>
      <c r="L31" s="1403"/>
      <c r="M31" s="1396"/>
      <c r="N31" s="1393"/>
      <c r="O31" s="1393"/>
      <c r="P31" s="1393"/>
      <c r="Q31" s="1393"/>
      <c r="R31" s="1393"/>
      <c r="S31" s="1393"/>
      <c r="T31" s="1393"/>
      <c r="U31" s="1393"/>
      <c r="V31" s="1394"/>
      <c r="W31" s="1393"/>
      <c r="X31" s="1395"/>
      <c r="Z31" s="624"/>
      <c r="AA31" s="624" t="str">
        <f>IF(M31="","",M31)</f>
        <v/>
      </c>
      <c r="AB31" s="624"/>
      <c r="AC31" s="624"/>
      <c r="AD31" s="1279">
        <v>14</v>
      </c>
    </row>
    <row customHeight="1" ht="14.699999999999998">
      <c r="A32" s="1487" t="s">
        <v>2632</v>
      </c>
      <c r="B32" s="1487"/>
      <c r="C32" s="1487"/>
      <c r="D32" s="1487"/>
      <c r="E32" s="1487" t="s">
        <v>205</v>
      </c>
      <c r="F32" s="1641"/>
      <c r="G32" s="1641"/>
      <c r="H32" s="661"/>
      <c r="I32" s="484"/>
      <c r="J32" s="499"/>
      <c r="K32" s="479"/>
      <c r="L32" s="1403"/>
      <c r="M32" s="1397"/>
      <c r="N32" s="1393"/>
      <c r="O32" s="1393"/>
      <c r="P32" s="1393"/>
      <c r="Q32" s="1393"/>
      <c r="R32" s="1393"/>
      <c r="S32" s="1393"/>
      <c r="T32" s="1393"/>
      <c r="U32" s="1393"/>
      <c r="V32" s="1394"/>
      <c r="W32" s="1393"/>
      <c r="X32" s="1395"/>
      <c r="Z32" s="624"/>
      <c r="AA32" s="624" t="str">
        <f>IF(M32="","",M32)</f>
        <v/>
      </c>
      <c r="AB32" s="624"/>
      <c r="AC32" s="624"/>
      <c r="AD32" s="1279">
        <v>14</v>
      </c>
    </row>
    <row s="7954" customFormat="1" customHeight="1" ht="11.549999999999999">
      <c r="A33" s="1487"/>
      <c r="B33" s="1487"/>
      <c r="C33" s="1487"/>
      <c r="D33" s="1487"/>
      <c r="E33" s="1487" t="s">
        <v>560</v>
      </c>
      <c r="F33" s="1642"/>
      <c r="G33" s="1643"/>
      <c r="H33" s="661"/>
      <c r="L33" s="1404"/>
      <c r="M33" s="1398"/>
      <c r="N33" s="1393"/>
      <c r="O33" s="1393"/>
      <c r="P33" s="1393"/>
      <c r="Q33" s="1393"/>
      <c r="R33" s="1393"/>
      <c r="S33" s="1393"/>
      <c r="T33" s="1393"/>
      <c r="U33" s="1393"/>
      <c r="V33" s="1394"/>
      <c r="W33" s="1393"/>
      <c r="X33" s="1395"/>
      <c r="Y33" s="503"/>
      <c r="Z33" s="503"/>
      <c r="AA33" s="503"/>
      <c r="AB33" s="503"/>
      <c r="AC33" s="503"/>
      <c r="AD33" s="497">
        <v>11</v>
      </c>
    </row>
    <row customHeight="1" ht="11.549999999999999">
      <c r="F34" s="1284"/>
      <c r="G34" s="1284"/>
      <c r="H34" s="661"/>
      <c r="I34" s="1279"/>
      <c r="J34" s="1279"/>
      <c r="K34" s="1279"/>
      <c r="Y34" s="1279"/>
      <c r="Z34" s="1279"/>
      <c r="AA34" s="1279"/>
      <c r="AB34" s="1279"/>
      <c r="AC34" s="1279"/>
      <c r="AD34" s="1279">
        <v>11</v>
      </c>
    </row>
    <row customHeight="1" ht="28.5">
      <c r="H35" s="661"/>
      <c r="L35" s="1412" t="s">
        <v>978</v>
      </c>
      <c r="M35" s="2422" t="s">
        <v>2633</v>
      </c>
      <c r="N35" s="2422"/>
      <c r="O35" s="2422"/>
      <c r="P35" s="2422"/>
      <c r="Q35" s="2422"/>
      <c r="R35" s="2422"/>
      <c r="S35" s="2422"/>
      <c r="T35" s="2422"/>
      <c r="U35" s="2422"/>
      <c r="V35" s="2422"/>
      <c r="W35" s="2422"/>
      <c r="X35" s="2422"/>
      <c r="AD35" s="1279">
        <v>27</v>
      </c>
    </row>
    <row customHeight="1" ht="109.19999999999999">
      <c r="H36" s="661"/>
      <c r="I36" s="1427"/>
      <c r="M36" s="2422" t="s">
        <v>2634</v>
      </c>
      <c r="N36" s="2422"/>
      <c r="O36" s="2422"/>
      <c r="P36" s="2422"/>
      <c r="Q36" s="2422"/>
      <c r="R36" s="2422"/>
      <c r="S36" s="2422"/>
      <c r="T36" s="2422"/>
      <c r="U36" s="2422"/>
      <c r="V36" s="2422"/>
      <c r="W36" s="2422"/>
      <c r="X36" s="2422"/>
      <c r="AD36" s="1279">
        <v>104</v>
      </c>
    </row>
    <row customHeight="1" ht="14.699999999999998">
      <c r="H37" s="661"/>
      <c r="AD37" s="1279">
        <v>14</v>
      </c>
    </row>
    <row customHeight="1" ht="14.699999999999998">
      <c r="H38" s="661"/>
      <c r="AD38" s="1279">
        <v>14</v>
      </c>
    </row>
    <row customHeight="1" ht="14.699999999999998">
      <c r="H39" s="661"/>
      <c r="AD39" s="1279">
        <v>14</v>
      </c>
    </row>
    <row customHeight="1" ht="14.699999999999998">
      <c r="H40" s="661"/>
      <c r="AD40" s="1279">
        <v>14</v>
      </c>
    </row>
    <row customHeight="1" ht="22.5" hidden="1">
      <c r="A41" s="1284" t="s">
        <v>82</v>
      </c>
      <c r="B41" s="1284">
        <v>0</v>
      </c>
      <c r="C41" s="1284">
        <v>0</v>
      </c>
      <c r="D41" s="1284">
        <v>0</v>
      </c>
      <c r="E41" s="1284">
        <v>0</v>
      </c>
      <c r="F41" s="1486">
        <v>0</v>
      </c>
      <c r="G41" s="1486">
        <v>0</v>
      </c>
      <c r="H41" s="1486">
        <v>0</v>
      </c>
      <c r="I41" s="1410">
        <v>3</v>
      </c>
      <c r="J41" s="468">
        <v>3</v>
      </c>
      <c r="K41" s="468">
        <v>3</v>
      </c>
      <c r="L41" s="705">
        <v>12</v>
      </c>
      <c r="M41" s="1279">
        <v>31</v>
      </c>
      <c r="N41" s="1279">
        <v>1</v>
      </c>
      <c r="O41" s="1279">
        <v>24</v>
      </c>
      <c r="P41" s="1279">
        <v>24</v>
      </c>
      <c r="Q41" s="1279">
        <v>24</v>
      </c>
      <c r="R41" s="1279">
        <v>24</v>
      </c>
      <c r="S41" s="1279">
        <v>11</v>
      </c>
      <c r="T41" s="1279">
        <v>3</v>
      </c>
      <c r="U41" s="1279">
        <v>11</v>
      </c>
      <c r="V41" s="1279">
        <v>8</v>
      </c>
      <c r="W41" s="1279">
        <v>4</v>
      </c>
      <c r="X41" s="1279">
        <v>115</v>
      </c>
      <c r="Y41" s="635">
        <v>10</v>
      </c>
      <c r="Z41" s="635">
        <v>10</v>
      </c>
      <c r="AA41" s="635">
        <v>10</v>
      </c>
      <c r="AB41" s="635">
        <v>10</v>
      </c>
      <c r="AC41" s="635">
        <v>10</v>
      </c>
      <c r="AD41" s="127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2B5EE8-B2E8-5B61-18A8-5A98FB53419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D47B48-0818-E3C8-8348-8058F35A0CA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45EE4-DD88-3582-D218-985C86DBA7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BFCA18-BF78-7C38-5E95-3D96CC11FE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74DD8-BF08-4718-D6D8-212B5CD413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423948-690C-B8B7-BBC8-5F236511C11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7487" width="15.00390625" hidden="1" customWidth="1"/>
    <col min="2" max="2" style="5920" width="15.00390625" hidden="1" customWidth="1"/>
    <col min="3" max="3" style="5964" width="3.00390625" customWidth="1"/>
    <col min="4" max="4" style="5965" width="6.00390625" customWidth="1"/>
    <col min="5" max="5" style="5964" width="52.00390625" customWidth="1"/>
    <col min="6" max="6" style="5964" width="48.00390625" customWidth="1"/>
    <col min="7" max="7" style="5964" width="121.00390625" customWidth="1"/>
    <col min="8" max="8" style="5964" width="8.00390625" customWidth="1"/>
    <col min="9" max="9" style="5964" width="64.00390625" customWidth="1"/>
    <col min="10" max="10" style="5964" width="9.140625" hidden="1"/>
  </cols>
  <sheetData>
    <row customHeight="1" ht="11.25" hidden="1">
      <c r="A1" s="1809" t="s">
        <v>411</v>
      </c>
      <c r="J1" s="579" t="s">
        <v>14</v>
      </c>
    </row>
    <row customHeight="1" ht="11.25" hidden="1">
      <c r="J2" s="579">
        <v>0</v>
      </c>
    </row>
    <row s="5882" customFormat="1" customHeight="1" ht="11.549999999999999">
      <c r="A3" s="1809"/>
      <c r="B3" s="625"/>
      <c r="D3" s="602"/>
      <c r="J3" s="601">
        <v>11</v>
      </c>
    </row>
    <row customHeight="1" ht="27.299999999999997">
      <c r="D4" s="22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5"/>
      <c r="F4" s="2296"/>
      <c r="I4" s="839"/>
      <c r="J4" s="579">
        <v>26</v>
      </c>
    </row>
    <row customHeight="1" ht="18">
      <c r="D5" s="2313" t="str">
        <f>IF(org=0,"Не определено",org)</f>
        <v>ООО "СамРЭК-Эксплуатация"</v>
      </c>
      <c r="E5" s="2313"/>
      <c r="F5" s="2313"/>
      <c r="I5" s="839"/>
      <c r="J5" s="579">
        <v>17</v>
      </c>
    </row>
    <row s="5882" customFormat="1" customHeight="1" ht="11.549999999999999">
      <c r="A6" s="1809"/>
      <c r="B6" s="625"/>
      <c r="D6" s="838"/>
      <c r="E6" s="838"/>
      <c r="F6" s="876"/>
      <c r="G6" s="838"/>
      <c r="J6" s="601">
        <v>11</v>
      </c>
    </row>
    <row customHeight="1" ht="11.25" hidden="1">
      <c r="A7" s="581"/>
      <c r="B7" s="626"/>
      <c r="C7" s="581"/>
      <c r="D7" s="587"/>
      <c r="E7" s="2344"/>
      <c r="F7" s="2344"/>
      <c r="J7" s="579">
        <v>0</v>
      </c>
    </row>
    <row customHeight="1" ht="11.549999999999999">
      <c r="A8" s="581"/>
      <c r="B8" s="626"/>
      <c r="C8" s="581"/>
      <c r="D8" s="2341" t="s">
        <v>412</v>
      </c>
      <c r="E8" s="2342"/>
      <c r="F8" s="2342"/>
      <c r="G8" s="2345" t="s">
        <v>413</v>
      </c>
      <c r="J8" s="579">
        <v>11</v>
      </c>
    </row>
    <row customHeight="1" ht="11.549999999999999">
      <c r="A9" s="581"/>
      <c r="B9" s="626"/>
      <c r="C9" s="581"/>
      <c r="D9" s="596" t="s">
        <v>88</v>
      </c>
      <c r="E9" s="570" t="s">
        <v>414</v>
      </c>
      <c r="F9" s="570" t="s">
        <v>415</v>
      </c>
      <c r="G9" s="2346"/>
      <c r="J9" s="579">
        <v>11</v>
      </c>
    </row>
    <row customHeight="1" ht="12" hidden="1">
      <c r="A10" s="581"/>
      <c r="B10" s="626"/>
      <c r="C10" s="581"/>
      <c r="D10" s="588"/>
      <c r="E10" s="588"/>
      <c r="F10" s="588"/>
      <c r="G10" s="588"/>
      <c r="J10" s="579">
        <v>0</v>
      </c>
    </row>
    <row customHeight="1" ht="22.5" hidden="1">
      <c r="A11" s="581"/>
      <c r="B11" s="626"/>
      <c r="C11" s="581"/>
      <c r="D11" s="1133" t="s">
        <v>210</v>
      </c>
      <c r="E11" s="1136" t="s">
        <v>416</v>
      </c>
      <c r="F11" s="1135" t="str">
        <f>IF(region_name="","",region_name)</f>
        <v>Самарская область</v>
      </c>
      <c r="G11" s="1136" t="s">
        <v>417</v>
      </c>
      <c r="H11" s="599"/>
      <c r="J11" s="579">
        <v>0</v>
      </c>
    </row>
    <row customHeight="1" ht="22.5" hidden="1">
      <c r="A12" s="581"/>
      <c r="B12" s="626"/>
      <c r="C12" s="581"/>
      <c r="D12" s="569" t="s">
        <v>210</v>
      </c>
      <c r="E12" s="5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567" t="s">
        <v>418</v>
      </c>
      <c r="G12" s="598"/>
      <c r="H12" s="599"/>
      <c r="J12" s="579">
        <v>0</v>
      </c>
    </row>
    <row customHeight="1" ht="23.25">
      <c r="A13" s="581"/>
      <c r="B13" s="626"/>
      <c r="C13" s="581"/>
      <c r="D13" s="569" t="s">
        <v>210</v>
      </c>
      <c r="E13" s="566" t="str">
        <f>"Наименование юридического лица"&amp;IF(TEMPLATE_SPHERE="TKO"," (индивидуального предпринимателя)","")</f>
        <v>Наименование юридического лица</v>
      </c>
      <c r="F13" s="565"/>
      <c r="G13" s="5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599"/>
      <c r="J13" s="579">
        <v>22</v>
      </c>
    </row>
    <row customHeight="1" ht="22.5" hidden="1">
      <c r="A14" s="581"/>
      <c r="B14" s="626"/>
      <c r="C14" s="581"/>
      <c r="D14" s="1133" t="s">
        <v>419</v>
      </c>
      <c r="E14" s="1134" t="s">
        <v>420</v>
      </c>
      <c r="F14" s="1135" t="str">
        <f>IF(inn="","",inn)</f>
        <v>6315648332</v>
      </c>
      <c r="G14" s="1136" t="s">
        <v>421</v>
      </c>
      <c r="H14" s="599"/>
      <c r="J14" s="579">
        <v>0</v>
      </c>
    </row>
    <row customHeight="1" ht="22.5" hidden="1">
      <c r="A15" s="581"/>
      <c r="B15" s="626"/>
      <c r="C15" s="581"/>
      <c r="D15" s="1133" t="s">
        <v>422</v>
      </c>
      <c r="E15" s="1134" t="s">
        <v>423</v>
      </c>
      <c r="F15" s="1135" t="str">
        <f>IF(kpp="","",kpp)</f>
        <v>631201001</v>
      </c>
      <c r="G15" s="1136" t="s">
        <v>424</v>
      </c>
      <c r="H15" s="599"/>
      <c r="J15" s="579">
        <v>0</v>
      </c>
    </row>
    <row customHeight="1" ht="39">
      <c r="A16" s="581"/>
      <c r="B16" s="626"/>
      <c r="C16" s="581"/>
      <c r="D16" s="569" t="s">
        <v>102</v>
      </c>
      <c r="E16" s="5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65"/>
      <c r="G16" s="5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599"/>
      <c r="J16" s="579">
        <v>37</v>
      </c>
    </row>
    <row customHeight="1" ht="23.25">
      <c r="A17" s="581"/>
      <c r="B17" s="626"/>
      <c r="C17" s="581"/>
      <c r="D17" s="569" t="s">
        <v>90</v>
      </c>
      <c r="E17" s="566" t="str">
        <f>"Дата присвоения ОГРН"&amp;IF(TEMPLATE_SPHERE="TKO",""," (ОГРНИП)")</f>
        <v>Дата присвоения ОГРН (ОГРНИП)</v>
      </c>
      <c r="F17" s="1855" t="s">
        <v>22</v>
      </c>
      <c r="G17" s="568" t="str">
        <f>"Дата присвоения ОГРН"&amp;IF(TEMPLATE_SPHERE="TKO",""," (ОГРНИП)")&amp;" указывается в виде «ДД.ММ.ГГГГ»."</f>
        <v>Дата присвоения ОГРН (ОГРНИП) указывается в виде «ДД.ММ.ГГГГ».</v>
      </c>
      <c r="H17" s="599"/>
      <c r="J17" s="579">
        <v>22</v>
      </c>
    </row>
    <row customHeight="1" ht="71.25">
      <c r="A18" s="581"/>
      <c r="B18" s="626"/>
      <c r="C18" s="581"/>
      <c r="D18" s="569" t="s">
        <v>91</v>
      </c>
      <c r="E18" s="5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65"/>
      <c r="G18" s="598"/>
      <c r="H18" s="599"/>
      <c r="J18" s="579">
        <v>68</v>
      </c>
    </row>
    <row customHeight="1" ht="22.5" hidden="1">
      <c r="A19" s="2339" t="s">
        <v>425</v>
      </c>
      <c r="B19" s="626"/>
      <c r="C19" s="2350"/>
      <c r="D19" s="569" t="str">
        <f>A19</f>
        <v>5.1</v>
      </c>
      <c r="E19" s="566" t="s">
        <v>426</v>
      </c>
      <c r="F19" s="567" t="s">
        <v>418</v>
      </c>
      <c r="G19" s="568" t="s">
        <v>427</v>
      </c>
      <c r="H19" s="599"/>
      <c r="I19" s="976"/>
      <c r="J19" s="579">
        <v>0</v>
      </c>
    </row>
    <row customHeight="1" ht="24" hidden="1">
      <c r="A20" s="2339"/>
      <c r="B20" s="626"/>
      <c r="C20" s="2350"/>
      <c r="D20" s="564" t="str">
        <f>D19&amp;".1"</f>
        <v>5.1.1</v>
      </c>
      <c r="E20" s="563" t="s">
        <v>428</v>
      </c>
      <c r="F20" s="1005" t="s">
        <v>22</v>
      </c>
      <c r="G20" s="598"/>
      <c r="H20" s="599"/>
      <c r="I20" s="976"/>
      <c r="J20" s="579">
        <v>0</v>
      </c>
    </row>
    <row customHeight="1" ht="22.5" hidden="1">
      <c r="A21" s="2339"/>
      <c r="B21" s="626"/>
      <c r="C21" s="2350"/>
      <c r="D21" s="564" t="str">
        <f>D19&amp;".2"</f>
        <v>5.1.2</v>
      </c>
      <c r="E21" s="563" t="s">
        <v>429</v>
      </c>
      <c r="F21" s="1856" t="s">
        <v>22</v>
      </c>
      <c r="G21" s="568" t="s">
        <v>430</v>
      </c>
      <c r="H21" s="599"/>
      <c r="I21" s="976"/>
      <c r="J21" s="579">
        <v>0</v>
      </c>
    </row>
    <row customHeight="1" ht="22.5" hidden="1">
      <c r="A22" s="2339"/>
      <c r="B22" s="626"/>
      <c r="C22" s="2350"/>
      <c r="D22" s="564" t="str">
        <f>D19&amp;".3"</f>
        <v>5.1.3</v>
      </c>
      <c r="E22" s="563" t="s">
        <v>431</v>
      </c>
      <c r="F22" s="1005" t="s">
        <v>22</v>
      </c>
      <c r="G22" s="598"/>
      <c r="H22" s="599"/>
      <c r="I22" s="976"/>
      <c r="J22" s="579">
        <v>0</v>
      </c>
    </row>
    <row customHeight="1" ht="22.5" hidden="1">
      <c r="A23" s="2339"/>
      <c r="B23" s="626"/>
      <c r="C23" s="2350"/>
      <c r="D23" s="564" t="str">
        <f>D19&amp;".4"</f>
        <v>5.1.4</v>
      </c>
      <c r="E23" s="563" t="s">
        <v>432</v>
      </c>
      <c r="F23" s="1005" t="s">
        <v>22</v>
      </c>
      <c r="G23" s="568" t="s">
        <v>433</v>
      </c>
      <c r="H23" s="599"/>
      <c r="I23" s="976"/>
      <c r="J23" s="579">
        <v>0</v>
      </c>
    </row>
    <row customHeight="1" ht="22.5" hidden="1">
      <c r="A24" s="2099"/>
      <c r="B24" s="626"/>
      <c r="C24" s="616"/>
      <c r="D24" s="591"/>
      <c r="E24" s="1292" t="s">
        <v>434</v>
      </c>
      <c r="F24" s="592"/>
      <c r="G24" s="593"/>
      <c r="H24" s="599"/>
      <c r="I24" s="976"/>
      <c r="J24" s="579">
        <v>0</v>
      </c>
    </row>
    <row s="5920" customFormat="1" customHeight="1" ht="24.75" hidden="1">
      <c r="A25" s="581"/>
      <c r="B25" s="626"/>
      <c r="C25" s="626"/>
      <c r="D25" s="1130" t="s">
        <v>90</v>
      </c>
      <c r="E25" s="1132" t="s">
        <v>435</v>
      </c>
      <c r="F25" s="1137" t="s">
        <v>418</v>
      </c>
      <c r="G25" s="1132"/>
      <c r="J25" s="625">
        <v>0</v>
      </c>
    </row>
    <row s="5920" customFormat="1" customHeight="1" ht="11.25" hidden="1">
      <c r="A26" s="581"/>
      <c r="B26" s="626"/>
      <c r="C26" s="626"/>
      <c r="D26" s="1130" t="s">
        <v>436</v>
      </c>
      <c r="E26" s="1131" t="s">
        <v>437</v>
      </c>
      <c r="F26" s="1137" t="s">
        <v>418</v>
      </c>
      <c r="G26" s="1132"/>
      <c r="J26" s="625">
        <v>0</v>
      </c>
    </row>
    <row s="5920" customFormat="1" customHeight="1" ht="11.25" hidden="1">
      <c r="A27" s="581"/>
      <c r="B27" s="626"/>
      <c r="C27" s="626"/>
      <c r="D27" s="1130" t="s">
        <v>438</v>
      </c>
      <c r="E27" s="1138" t="s">
        <v>439</v>
      </c>
      <c r="F27" s="1139"/>
      <c r="G27" s="11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25">
        <v>0</v>
      </c>
    </row>
    <row s="5920" customFormat="1" customHeight="1" ht="11.25" hidden="1">
      <c r="A28" s="581"/>
      <c r="B28" s="626"/>
      <c r="C28" s="626"/>
      <c r="D28" s="1130" t="s">
        <v>440</v>
      </c>
      <c r="E28" s="1138" t="s">
        <v>441</v>
      </c>
      <c r="F28" s="1139"/>
      <c r="G28" s="11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25">
        <v>0</v>
      </c>
    </row>
    <row s="5920" customFormat="1" customHeight="1" ht="11.25" hidden="1">
      <c r="A29" s="581"/>
      <c r="B29" s="626"/>
      <c r="C29" s="626"/>
      <c r="D29" s="1130" t="s">
        <v>442</v>
      </c>
      <c r="E29" s="1138" t="s">
        <v>443</v>
      </c>
      <c r="F29" s="1139"/>
      <c r="G29" s="11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25">
        <v>0</v>
      </c>
    </row>
    <row s="5920" customFormat="1" customHeight="1" ht="11.25" hidden="1">
      <c r="A30" s="581"/>
      <c r="B30" s="626"/>
      <c r="C30" s="626"/>
      <c r="D30" s="1130" t="s">
        <v>444</v>
      </c>
      <c r="E30" s="1131" t="s">
        <v>445</v>
      </c>
      <c r="F30" s="1139"/>
      <c r="G30" s="1132"/>
      <c r="J30" s="625">
        <v>0</v>
      </c>
    </row>
    <row s="5920" customFormat="1" customHeight="1" ht="11.25" hidden="1">
      <c r="A31" s="581"/>
      <c r="B31" s="626"/>
      <c r="C31" s="626"/>
      <c r="D31" s="1130" t="s">
        <v>446</v>
      </c>
      <c r="E31" s="1131" t="s">
        <v>447</v>
      </c>
      <c r="F31" s="1139"/>
      <c r="G31" s="1132"/>
      <c r="J31" s="625">
        <v>0</v>
      </c>
    </row>
    <row s="5920" customFormat="1" customHeight="1" ht="11.25" hidden="1">
      <c r="A32" s="581"/>
      <c r="B32" s="626"/>
      <c r="C32" s="626"/>
      <c r="D32" s="1130" t="s">
        <v>448</v>
      </c>
      <c r="E32" s="1131" t="s">
        <v>449</v>
      </c>
      <c r="F32" s="1140"/>
      <c r="G32" s="1132"/>
      <c r="J32" s="625">
        <v>0</v>
      </c>
    </row>
    <row customHeight="1" ht="24">
      <c r="A33" s="581" t="str">
        <f>IF(TEMPLATE_SPHERE="HEAT","6","5")</f>
        <v>6</v>
      </c>
      <c r="B33" s="626"/>
      <c r="C33" s="581"/>
      <c r="D33" s="564" t="str">
        <f>A33</f>
        <v>6</v>
      </c>
      <c r="E33" s="5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567" t="s">
        <v>418</v>
      </c>
      <c r="G33" s="598"/>
      <c r="H33" s="599"/>
      <c r="J33" s="579">
        <v>23</v>
      </c>
    </row>
    <row customHeight="1" ht="23.25">
      <c r="A34" s="581"/>
      <c r="B34" s="626"/>
      <c r="C34" s="581"/>
      <c r="D34" s="564" t="str">
        <f>D33&amp;".1"</f>
        <v>6.1</v>
      </c>
      <c r="E34" s="566" t="str">
        <f>"фамилия"&amp;IF(TEMPLATE_SPHERE&lt;&gt;"HEAT"," руководителя","")</f>
        <v>фамилия</v>
      </c>
      <c r="F34" s="565"/>
      <c r="G34" s="5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599"/>
      <c r="J34" s="579">
        <v>22</v>
      </c>
    </row>
    <row customHeight="1" ht="23.25">
      <c r="A35" s="581"/>
      <c r="B35" s="626"/>
      <c r="C35" s="581"/>
      <c r="D35" s="564" t="str">
        <f>D33&amp;".2"</f>
        <v>6.2</v>
      </c>
      <c r="E35" s="566" t="str">
        <f>"имя"&amp;IF(TEMPLATE_SPHERE&lt;&gt;"HEAT"," руководителя","")</f>
        <v>имя</v>
      </c>
      <c r="F35" s="565"/>
      <c r="G35" s="5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599"/>
      <c r="J35" s="579">
        <v>22</v>
      </c>
    </row>
    <row customHeight="1" ht="24">
      <c r="A36" s="581"/>
      <c r="B36" s="626"/>
      <c r="C36" s="581"/>
      <c r="D36" s="564" t="str">
        <f>D33&amp;".3"</f>
        <v>6.3</v>
      </c>
      <c r="E36" s="566" t="str">
        <f>"отчество"&amp;IF(TEMPLATE_SPHERE&lt;&gt;"HEAT"," руководителя","")</f>
        <v>отчество</v>
      </c>
      <c r="F36" s="822"/>
      <c r="G36" s="5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599"/>
      <c r="J36" s="579">
        <v>23</v>
      </c>
    </row>
    <row customHeight="1" ht="35.699999999999996">
      <c r="A37" s="581"/>
      <c r="B37" s="626"/>
      <c r="C37" s="581"/>
      <c r="D37" s="564">
        <f>D33+1</f>
        <v>7</v>
      </c>
      <c r="E37" s="5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565"/>
      <c r="G37" s="568" t="s">
        <v>450</v>
      </c>
      <c r="H37" s="599"/>
      <c r="J37" s="579">
        <v>34</v>
      </c>
    </row>
    <row customHeight="1" ht="35.699999999999996">
      <c r="A38" s="581"/>
      <c r="B38" s="626"/>
      <c r="C38" s="581"/>
      <c r="D38" s="564">
        <f>D37+1</f>
        <v>8</v>
      </c>
      <c r="E38" s="5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565"/>
      <c r="G38" s="568" t="s">
        <v>450</v>
      </c>
      <c r="H38" s="599"/>
      <c r="J38" s="579">
        <v>34</v>
      </c>
    </row>
    <row customHeight="1" ht="23.25">
      <c r="A39" s="581"/>
      <c r="B39" s="626"/>
      <c r="C39" s="581"/>
      <c r="D39" s="564">
        <f>D38+1</f>
        <v>9</v>
      </c>
      <c r="E39" s="5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567" t="s">
        <v>418</v>
      </c>
      <c r="G39" s="23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599"/>
      <c r="J39" s="579">
        <v>22</v>
      </c>
    </row>
    <row customHeight="1" ht="22.5" hidden="1">
      <c r="A40" s="581"/>
      <c r="B40" s="626"/>
      <c r="C40" s="581"/>
      <c r="D40" s="564" t="str">
        <f>D39&amp;".0"</f>
        <v>9.0</v>
      </c>
      <c r="E40" s="1729"/>
      <c r="F40" s="1005"/>
      <c r="G40" s="2348"/>
      <c r="H40" s="599"/>
      <c r="J40" s="579">
        <v>0</v>
      </c>
    </row>
    <row customHeight="1" ht="23.25">
      <c r="A41" s="581"/>
      <c r="B41" s="581"/>
      <c r="C41" s="1811"/>
      <c r="D41" s="564" t="str">
        <f>D39&amp;".1"</f>
        <v>9.1</v>
      </c>
      <c r="E41" s="984"/>
      <c r="F41" s="985"/>
      <c r="G41" s="2348"/>
      <c r="H41" s="599"/>
      <c r="J41" s="579">
        <v>22</v>
      </c>
    </row>
    <row customHeight="1" ht="15.75">
      <c r="A42" s="581"/>
      <c r="B42" s="626"/>
      <c r="C42" s="581"/>
      <c r="D42" s="591"/>
      <c r="E42" s="539" t="s">
        <v>451</v>
      </c>
      <c r="F42" s="593"/>
      <c r="G42" s="2349"/>
      <c r="H42" s="600"/>
      <c r="J42" s="579">
        <v>15</v>
      </c>
    </row>
    <row customHeight="1" ht="27.299999999999997">
      <c r="A43" s="581"/>
      <c r="B43" s="626"/>
      <c r="C43" s="581"/>
      <c r="D43" s="564">
        <f>D39+1</f>
        <v>10</v>
      </c>
      <c r="E43" s="5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986"/>
      <c r="G43" s="5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599"/>
      <c r="J43" s="579">
        <v>26</v>
      </c>
    </row>
    <row customHeight="1" ht="23.25">
      <c r="A44" s="581"/>
      <c r="B44" s="626"/>
      <c r="C44" s="581"/>
      <c r="D44" s="564">
        <f>D43+1</f>
        <v>11</v>
      </c>
      <c r="E44" s="5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502"/>
      <c r="G44" s="598" t="s">
        <v>452</v>
      </c>
      <c r="H44" s="599"/>
      <c r="J44" s="579">
        <v>22</v>
      </c>
    </row>
    <row customHeight="1" ht="23.25">
      <c r="A45" s="581"/>
      <c r="B45" s="626"/>
      <c r="C45" s="581"/>
      <c r="D45" s="564">
        <f>D44+1</f>
        <v>12</v>
      </c>
      <c r="E45" s="562" t="s">
        <v>453</v>
      </c>
      <c r="F45" s="567" t="s">
        <v>418</v>
      </c>
      <c r="G45" s="561" t="str">
        <f>IF(TEMPLATE_SPHERE="TKO","Указывается режим работы организации.","")</f>
        <v/>
      </c>
      <c r="H45" s="599"/>
      <c r="J45" s="579">
        <v>22</v>
      </c>
    </row>
    <row customHeight="1" ht="24">
      <c r="A46" s="581"/>
      <c r="B46" s="626"/>
      <c r="C46" s="581"/>
      <c r="D46" s="564" t="str">
        <f>D45&amp;".1"</f>
        <v>12.1</v>
      </c>
      <c r="E46" s="566" t="str">
        <f>"режим работы регулируемой организации"&amp;IF(TEMPLATE_SPHERE="HEAT",", ЕТО, ТО","")</f>
        <v>режим работы регулируемой организации, ЕТО, ТО</v>
      </c>
      <c r="F46" s="1807"/>
      <c r="G46" s="561" t="s">
        <v>454</v>
      </c>
      <c r="H46" s="599"/>
      <c r="J46" s="579">
        <v>23</v>
      </c>
    </row>
    <row customHeight="1" ht="24">
      <c r="A47" s="2339"/>
      <c r="B47" s="626"/>
      <c r="C47" s="616"/>
      <c r="D47" s="564" t="str">
        <f>D45&amp;".2"</f>
        <v>12.2</v>
      </c>
      <c r="E47" s="566" t="s">
        <v>455</v>
      </c>
      <c r="F47" s="614"/>
      <c r="G47" s="561" t="s">
        <v>456</v>
      </c>
      <c r="H47" s="599"/>
      <c r="J47" s="579">
        <v>23</v>
      </c>
    </row>
    <row customHeight="1" ht="24">
      <c r="A48" s="2339"/>
      <c r="B48" s="626"/>
      <c r="C48" s="616"/>
      <c r="D48" s="564" t="str">
        <f>D45&amp;".3"</f>
        <v>12.3</v>
      </c>
      <c r="E48" s="566" t="s">
        <v>457</v>
      </c>
      <c r="F48" s="614"/>
      <c r="G48" s="561" t="s">
        <v>458</v>
      </c>
      <c r="H48" s="599"/>
      <c r="J48" s="579">
        <v>23</v>
      </c>
    </row>
    <row customHeight="1" ht="24">
      <c r="A49" s="2339"/>
      <c r="B49" s="626"/>
      <c r="C49" s="616"/>
      <c r="D49" s="564" t="str">
        <f>IF(TEMPLATE_SPHERE="TKO",D45&amp;".0",D45&amp;".4")</f>
        <v>12.4</v>
      </c>
      <c r="E49" s="560" t="s">
        <v>459</v>
      </c>
      <c r="F49" s="1808"/>
      <c r="G49" s="1885" t="s">
        <v>460</v>
      </c>
      <c r="H49" s="599"/>
      <c r="J49" s="579">
        <v>23</v>
      </c>
    </row>
    <row customHeight="1" ht="24">
      <c r="A50" s="581"/>
      <c r="B50" s="626"/>
      <c r="C50" s="581"/>
      <c r="D50" s="591"/>
      <c r="E50" s="539" t="s">
        <v>461</v>
      </c>
      <c r="F50" s="592"/>
      <c r="G50" s="1885" t="s">
        <v>462</v>
      </c>
      <c r="H50" s="600"/>
      <c r="J50" s="579">
        <v>23</v>
      </c>
    </row>
    <row customHeight="1" ht="24">
      <c r="A51" s="982"/>
      <c r="B51" s="626"/>
      <c r="C51" s="616"/>
      <c r="D51" s="564">
        <f>D45+1</f>
        <v>13</v>
      </c>
      <c r="E51" s="652" t="s">
        <v>463</v>
      </c>
      <c r="F51" s="614"/>
      <c r="G51" s="181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599"/>
      <c r="J51" s="579">
        <v>23</v>
      </c>
    </row>
    <row customHeight="1" ht="11.549999999999999">
      <c r="A52" s="581"/>
      <c r="B52" s="626"/>
      <c r="C52" s="581"/>
      <c r="J52" s="579">
        <v>11</v>
      </c>
    </row>
    <row s="5955" customFormat="1" customHeight="1" ht="31.5">
      <c r="A53" s="1810"/>
      <c r="B53" s="627"/>
      <c r="C53" s="2340"/>
      <c r="D53" s="23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3"/>
      <c r="F53" s="2343"/>
      <c r="G53" s="2343"/>
      <c r="H53" s="578"/>
      <c r="I53" s="578"/>
      <c r="J53" s="584">
        <v>30</v>
      </c>
    </row>
    <row s="5955" customFormat="1" customHeight="1" ht="42">
      <c r="A54" s="581"/>
      <c r="B54" s="626"/>
      <c r="C54" s="2340"/>
      <c r="D54" s="23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3"/>
      <c r="F54" s="2343"/>
      <c r="G54" s="2343"/>
      <c r="J54" s="584">
        <v>40</v>
      </c>
    </row>
    <row customHeight="1" ht="11.549999999999999">
      <c r="D55" s="582"/>
      <c r="E55" s="583"/>
      <c r="F55" s="583"/>
      <c r="G55" s="583"/>
      <c r="J55" s="579">
        <v>11</v>
      </c>
    </row>
    <row customHeight="1" ht="28.5">
      <c r="D56" s="585"/>
      <c r="E56" s="582"/>
      <c r="F56" s="594"/>
      <c r="G56" s="594"/>
      <c r="J56" s="579">
        <v>27</v>
      </c>
    </row>
    <row customHeight="1" ht="11.549999999999999">
      <c r="D57" s="582"/>
      <c r="E57" s="582"/>
      <c r="F57" s="583"/>
      <c r="G57" s="583"/>
      <c r="J57" s="579">
        <v>11</v>
      </c>
    </row>
    <row customHeight="1" ht="40.949999999999996">
      <c r="D58" s="586"/>
      <c r="E58" s="595"/>
      <c r="F58" s="595"/>
      <c r="G58" s="595"/>
      <c r="J58" s="579">
        <v>39</v>
      </c>
    </row>
    <row customHeight="1" ht="28.5">
      <c r="D59" s="586"/>
      <c r="E59" s="595"/>
      <c r="F59" s="595"/>
      <c r="G59" s="595"/>
      <c r="J59" s="579">
        <v>27</v>
      </c>
    </row>
    <row customHeight="1" ht="11.25" hidden="1">
      <c r="A60" s="1809" t="s">
        <v>82</v>
      </c>
      <c r="B60" s="625">
        <v>0</v>
      </c>
      <c r="C60" s="579">
        <v>3</v>
      </c>
      <c r="D60" s="580">
        <v>6</v>
      </c>
      <c r="E60" s="579">
        <v>52</v>
      </c>
      <c r="F60" s="579">
        <v>48</v>
      </c>
      <c r="G60" s="579">
        <v>121</v>
      </c>
      <c r="H60" s="579">
        <v>8</v>
      </c>
      <c r="I60" s="579">
        <v>64</v>
      </c>
      <c r="J60" s="57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03382F-7AB8-5B38-5538-F7D3C4E6729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6FD5F8-E6A8-D208-7548-E419409AF54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E65B28-2118-8FB5-92A8-02A087A35E3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9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47782A-F5E8-CEFA-2628-BD7E90346233}" mc:Ignorable="x14ac xr xr2 xr3">
  <dimension ref="A1:E8"/>
  <sheetViews>
    <sheetView topLeftCell="A1" showGridLines="0" workbookViewId="0">
      <selection activeCell="A1" sqref="A1"/>
    </sheetView>
  </sheetViews>
  <sheetFormatPr customHeight="1" defaultRowHeight="11.25"/>
  <cols>
    <col min="1" max="1" style="7954" width="10.57421875" customWidth="1"/>
    <col min="2" max="2" style="7954" width="8.7109375" customWidth="1"/>
    <col min="3" max="3" style="7954" width="18.140625" customWidth="1"/>
    <col min="4" max="4" style="7954" width="12.57421875" customWidth="1"/>
  </cols>
  <sheetData>
    <row customHeight="1" ht="11.25">
      <c r="A1" s="2753" t="s">
        <v>2635</v>
      </c>
      <c r="B1" s="2754" t="s">
        <v>2636</v>
      </c>
      <c r="C1" s="2755" t="s">
        <v>2637</v>
      </c>
      <c r="D1" s="2756"/>
      <c r="E1" s="960" t="s">
        <v>2638</v>
      </c>
    </row>
    <row customHeight="1" ht="11.25">
      <c r="A2" s="2757"/>
      <c r="B2" s="889" t="s">
        <v>27</v>
      </c>
      <c r="C2" s="877"/>
      <c r="D2" s="888"/>
      <c r="E2" s="960"/>
    </row>
    <row customHeight="1" ht="11.25">
      <c r="A3" s="2758"/>
      <c r="B3" s="2759" t="s">
        <v>33</v>
      </c>
      <c r="C3" s="877"/>
      <c r="D3" s="888"/>
      <c r="E3" s="960"/>
    </row>
    <row customHeight="1" ht="11.25">
      <c r="A4" s="2760"/>
      <c r="B4" s="890" t="s">
        <v>2070</v>
      </c>
      <c r="C4" s="877"/>
      <c r="D4" s="888"/>
      <c r="E4" s="960"/>
    </row>
    <row customHeight="1" ht="11.25">
      <c r="A5" s="2761"/>
      <c r="B5" s="890" t="s">
        <v>2065</v>
      </c>
      <c r="C5" s="2762" t="s">
        <v>2405</v>
      </c>
      <c r="D5" s="2763" t="s">
        <v>2639</v>
      </c>
      <c r="E5" s="960"/>
    </row>
    <row s="7954" customFormat="1" customHeight="1" ht="11.25">
      <c r="A6" s="2764"/>
      <c r="B6" s="890" t="s">
        <v>2074</v>
      </c>
      <c r="C6" s="877"/>
      <c r="D6" s="888"/>
      <c r="E6" s="960"/>
    </row>
    <row customHeight="1" ht="11.25">
      <c r="A7" s="2765"/>
      <c r="B7" s="890" t="s">
        <v>2082</v>
      </c>
      <c r="C7" s="877"/>
      <c r="D7" s="888"/>
      <c r="E7" s="960"/>
    </row>
    <row customHeight="1" ht="11.25">
      <c r="A8" s="880"/>
      <c r="B8" s="890" t="s">
        <v>2077</v>
      </c>
      <c r="C8" s="877"/>
      <c r="D8" s="888"/>
      <c r="E8" s="96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E09E69-06B6-FB73-61A8-3699DB9EBD6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40EE28-5238-7C3C-68AB-FCB594ABF9F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CC32BF-FA57-8868-1C58-6C01499AEFF2}" mc:Ignorable="x14ac xr xr2 xr3">
  <sheetPr>
    <tabColor rgb="FFFFCC99"/>
  </sheetPr>
  <dimension ref="A1:I621"/>
  <sheetViews>
    <sheetView topLeftCell="A1" showGridLines="0" workbookViewId="0">
      <selection activeCell="A1" sqref="A1"/>
    </sheetView>
  </sheetViews>
  <sheetFormatPr defaultColWidth="9.140625" customHeight="1" defaultRowHeight="11.25"/>
  <cols>
    <col min="1" max="2" style="7954" width="9.140625"/>
    <col min="3" max="3" style="7954" width="20.7109375" customWidth="1"/>
    <col min="4" max="4" style="7954" width="25.140625" customWidth="1"/>
    <col min="5" max="9" style="7954" width="9.140625"/>
  </cols>
  <sheetData>
    <row customHeight="1" ht="11.25">
      <c r="A1" s="192" t="s">
        <v>2640</v>
      </c>
      <c r="B1" s="192" t="s">
        <v>2641</v>
      </c>
      <c r="C1" s="192" t="s">
        <v>2642</v>
      </c>
      <c r="D1" s="192" t="s">
        <v>2643</v>
      </c>
      <c r="E1" s="192" t="s">
        <v>2644</v>
      </c>
      <c r="F1" s="192" t="s">
        <v>2645</v>
      </c>
      <c r="G1" s="192" t="s">
        <v>2646</v>
      </c>
      <c r="H1" s="192" t="s">
        <v>2647</v>
      </c>
      <c r="I1" s="192" t="s">
        <v>2648</v>
      </c>
    </row>
    <row customHeight="1" ht="11.25">
      <c r="A2" s="7954" t="s">
        <v>2649</v>
      </c>
      <c r="B2" s="7954" t="s">
        <v>16</v>
      </c>
      <c r="C2" s="7954" t="s">
        <v>2650</v>
      </c>
      <c r="D2" s="7954" t="s">
        <v>2651</v>
      </c>
      <c r="E2" s="7954" t="s">
        <v>2652</v>
      </c>
      <c r="F2" s="7954" t="s">
        <v>2653</v>
      </c>
      <c r="G2" s="7954" t="s">
        <v>2654</v>
      </c>
      <c r="H2" s="7954" t="s">
        <v>22</v>
      </c>
      <c r="I2" s="7954" t="s">
        <v>982</v>
      </c>
    </row>
    <row customHeight="1" ht="11.25">
      <c r="A3" s="7954" t="s">
        <v>2649</v>
      </c>
      <c r="B3" s="7954" t="s">
        <v>16</v>
      </c>
      <c r="C3" s="7954" t="s">
        <v>2655</v>
      </c>
      <c r="D3" s="7954" t="s">
        <v>2656</v>
      </c>
      <c r="E3" s="7954" t="s">
        <v>2657</v>
      </c>
      <c r="F3" s="7954" t="s">
        <v>2658</v>
      </c>
      <c r="G3" s="7954" t="s">
        <v>2659</v>
      </c>
      <c r="H3" s="7954" t="s">
        <v>22</v>
      </c>
      <c r="I3" s="7954" t="s">
        <v>982</v>
      </c>
    </row>
    <row customHeight="1" ht="11.25">
      <c r="A4" s="7954" t="s">
        <v>2649</v>
      </c>
      <c r="B4" s="7954" t="s">
        <v>16</v>
      </c>
      <c r="C4" s="7954" t="s">
        <v>2660</v>
      </c>
      <c r="D4" s="7954" t="s">
        <v>2661</v>
      </c>
      <c r="E4" s="7954" t="s">
        <v>2662</v>
      </c>
      <c r="F4" s="7954" t="s">
        <v>2663</v>
      </c>
      <c r="G4" s="7954" t="s">
        <v>22</v>
      </c>
      <c r="H4" s="7954" t="s">
        <v>22</v>
      </c>
      <c r="I4" s="7954" t="s">
        <v>982</v>
      </c>
    </row>
    <row customHeight="1" ht="11.25">
      <c r="A5" s="7954" t="s">
        <v>2649</v>
      </c>
      <c r="B5" s="7954" t="s">
        <v>16</v>
      </c>
      <c r="C5" s="7954" t="s">
        <v>2664</v>
      </c>
      <c r="D5" s="7954" t="s">
        <v>2665</v>
      </c>
      <c r="E5" s="7954" t="s">
        <v>2666</v>
      </c>
      <c r="F5" s="7954" t="s">
        <v>2663</v>
      </c>
      <c r="G5" s="7954" t="s">
        <v>22</v>
      </c>
      <c r="H5" s="7954" t="s">
        <v>22</v>
      </c>
      <c r="I5" s="7954" t="s">
        <v>982</v>
      </c>
    </row>
    <row customHeight="1" ht="11.25">
      <c r="A6" s="7954" t="s">
        <v>2649</v>
      </c>
      <c r="B6" s="7954" t="s">
        <v>16</v>
      </c>
      <c r="C6" s="7954" t="s">
        <v>2667</v>
      </c>
      <c r="D6" s="7954" t="s">
        <v>2668</v>
      </c>
      <c r="E6" s="7954" t="s">
        <v>2669</v>
      </c>
      <c r="F6" s="7954" t="s">
        <v>2670</v>
      </c>
      <c r="G6" s="7954" t="s">
        <v>22</v>
      </c>
      <c r="H6" s="7954" t="s">
        <v>22</v>
      </c>
      <c r="I6" s="7954" t="s">
        <v>982</v>
      </c>
    </row>
    <row customHeight="1" ht="11.25">
      <c r="A7" s="7954" t="s">
        <v>2649</v>
      </c>
      <c r="B7" s="7954" t="s">
        <v>16</v>
      </c>
      <c r="C7" s="7954" t="s">
        <v>2671</v>
      </c>
      <c r="D7" s="7954" t="s">
        <v>2672</v>
      </c>
      <c r="E7" s="7954" t="s">
        <v>2673</v>
      </c>
      <c r="F7" s="7954" t="s">
        <v>2658</v>
      </c>
      <c r="G7" s="7954" t="s">
        <v>2674</v>
      </c>
      <c r="H7" s="7954" t="s">
        <v>22</v>
      </c>
      <c r="I7" s="7954" t="s">
        <v>982</v>
      </c>
    </row>
    <row customHeight="1" ht="11.25">
      <c r="A8" s="7954" t="s">
        <v>2649</v>
      </c>
      <c r="B8" s="7954" t="s">
        <v>16</v>
      </c>
      <c r="C8" s="7954" t="s">
        <v>2675</v>
      </c>
      <c r="D8" s="7954" t="s">
        <v>2676</v>
      </c>
      <c r="E8" s="7954" t="s">
        <v>2677</v>
      </c>
      <c r="F8" s="7954" t="s">
        <v>2678</v>
      </c>
      <c r="G8" s="7954" t="s">
        <v>22</v>
      </c>
      <c r="H8" s="7954" t="s">
        <v>22</v>
      </c>
      <c r="I8" s="7954" t="s">
        <v>982</v>
      </c>
    </row>
    <row customHeight="1" ht="11.25">
      <c r="A9" s="7954" t="s">
        <v>2649</v>
      </c>
      <c r="B9" s="7954" t="s">
        <v>16</v>
      </c>
      <c r="C9" s="7954" t="s">
        <v>2679</v>
      </c>
      <c r="D9" s="7954" t="s">
        <v>2680</v>
      </c>
      <c r="E9" s="7954" t="s">
        <v>2681</v>
      </c>
      <c r="F9" s="7954" t="s">
        <v>2682</v>
      </c>
      <c r="G9" s="7954" t="s">
        <v>22</v>
      </c>
      <c r="H9" s="7954" t="s">
        <v>22</v>
      </c>
      <c r="I9" s="7954" t="s">
        <v>982</v>
      </c>
    </row>
    <row customHeight="1" ht="11.25">
      <c r="A10" s="7954" t="s">
        <v>2649</v>
      </c>
      <c r="B10" s="7954" t="s">
        <v>16</v>
      </c>
      <c r="C10" s="7954" t="s">
        <v>2683</v>
      </c>
      <c r="D10" s="7954" t="s">
        <v>2684</v>
      </c>
      <c r="E10" s="7954" t="s">
        <v>2685</v>
      </c>
      <c r="F10" s="7954" t="s">
        <v>2686</v>
      </c>
      <c r="G10" s="7954" t="s">
        <v>22</v>
      </c>
      <c r="H10" s="7954" t="s">
        <v>22</v>
      </c>
      <c r="I10" s="7954" t="s">
        <v>982</v>
      </c>
    </row>
    <row customHeight="1" ht="11.25">
      <c r="A11" s="7954" t="s">
        <v>2649</v>
      </c>
      <c r="B11" s="7954" t="s">
        <v>16</v>
      </c>
      <c r="C11" s="7954" t="s">
        <v>2687</v>
      </c>
      <c r="D11" s="7954" t="s">
        <v>2688</v>
      </c>
      <c r="E11" s="7954" t="s">
        <v>2689</v>
      </c>
      <c r="F11" s="7954" t="s">
        <v>2690</v>
      </c>
      <c r="G11" s="7954" t="s">
        <v>22</v>
      </c>
      <c r="H11" s="7954" t="s">
        <v>22</v>
      </c>
      <c r="I11" s="7954" t="s">
        <v>982</v>
      </c>
    </row>
    <row customHeight="1" ht="11.25">
      <c r="A12" s="7954" t="s">
        <v>2649</v>
      </c>
      <c r="B12" s="7954" t="s">
        <v>16</v>
      </c>
      <c r="C12" s="7954" t="s">
        <v>2691</v>
      </c>
      <c r="D12" s="7954" t="s">
        <v>2692</v>
      </c>
      <c r="E12" s="7954" t="s">
        <v>2693</v>
      </c>
      <c r="F12" s="7954" t="s">
        <v>2694</v>
      </c>
      <c r="G12" s="7954" t="s">
        <v>22</v>
      </c>
      <c r="H12" s="7954" t="s">
        <v>22</v>
      </c>
      <c r="I12" s="7954" t="s">
        <v>982</v>
      </c>
    </row>
    <row customHeight="1" ht="11.25">
      <c r="A13" s="7954" t="s">
        <v>2649</v>
      </c>
      <c r="B13" s="7954" t="s">
        <v>16</v>
      </c>
      <c r="C13" s="7954" t="s">
        <v>2695</v>
      </c>
      <c r="D13" s="7954" t="s">
        <v>2696</v>
      </c>
      <c r="E13" s="7954" t="s">
        <v>2697</v>
      </c>
      <c r="F13" s="7954" t="s">
        <v>2678</v>
      </c>
      <c r="G13" s="7954" t="s">
        <v>22</v>
      </c>
      <c r="H13" s="7954" t="s">
        <v>22</v>
      </c>
      <c r="I13" s="7954" t="s">
        <v>982</v>
      </c>
    </row>
    <row customHeight="1" ht="11.25">
      <c r="A14" s="7954" t="s">
        <v>2649</v>
      </c>
      <c r="B14" s="7954" t="s">
        <v>16</v>
      </c>
      <c r="C14" s="7954" t="s">
        <v>2698</v>
      </c>
      <c r="D14" s="7954" t="s">
        <v>2699</v>
      </c>
      <c r="E14" s="7954" t="s">
        <v>2700</v>
      </c>
      <c r="F14" s="7954" t="s">
        <v>2658</v>
      </c>
      <c r="G14" s="7954" t="s">
        <v>22</v>
      </c>
      <c r="H14" s="7954" t="s">
        <v>22</v>
      </c>
      <c r="I14" s="7954" t="s">
        <v>982</v>
      </c>
    </row>
    <row customHeight="1" ht="11.25">
      <c r="A15" s="7954" t="s">
        <v>2649</v>
      </c>
      <c r="B15" s="7954" t="s">
        <v>16</v>
      </c>
      <c r="C15" s="7954" t="s">
        <v>2701</v>
      </c>
      <c r="D15" s="7954" t="s">
        <v>2702</v>
      </c>
      <c r="E15" s="7954" t="s">
        <v>2703</v>
      </c>
      <c r="F15" s="7954" t="s">
        <v>2704</v>
      </c>
      <c r="G15" s="7954" t="s">
        <v>2705</v>
      </c>
      <c r="H15" s="7954" t="s">
        <v>22</v>
      </c>
      <c r="I15" s="7954" t="s">
        <v>982</v>
      </c>
    </row>
    <row customHeight="1" ht="11.25">
      <c r="A16" s="7954" t="s">
        <v>2649</v>
      </c>
      <c r="B16" s="7954" t="s">
        <v>16</v>
      </c>
      <c r="C16" s="7954" t="s">
        <v>2706</v>
      </c>
      <c r="D16" s="7954" t="s">
        <v>2707</v>
      </c>
      <c r="E16" s="7954" t="s">
        <v>2708</v>
      </c>
      <c r="F16" s="7954" t="s">
        <v>2709</v>
      </c>
      <c r="G16" s="7954" t="s">
        <v>22</v>
      </c>
      <c r="H16" s="7954" t="s">
        <v>22</v>
      </c>
      <c r="I16" s="7954" t="s">
        <v>982</v>
      </c>
    </row>
    <row customHeight="1" ht="11.25">
      <c r="A17" s="7954" t="s">
        <v>2649</v>
      </c>
      <c r="B17" s="7954" t="s">
        <v>16</v>
      </c>
      <c r="C17" s="7954" t="s">
        <v>2710</v>
      </c>
      <c r="D17" s="7954" t="s">
        <v>2711</v>
      </c>
      <c r="E17" s="7954" t="s">
        <v>2703</v>
      </c>
      <c r="F17" s="7954" t="s">
        <v>2712</v>
      </c>
      <c r="G17" s="7954" t="s">
        <v>22</v>
      </c>
      <c r="H17" s="7954" t="s">
        <v>22</v>
      </c>
      <c r="I17" s="7954" t="s">
        <v>982</v>
      </c>
    </row>
    <row customHeight="1" ht="11.25">
      <c r="A18" s="7954" t="s">
        <v>2649</v>
      </c>
      <c r="B18" s="7954" t="s">
        <v>16</v>
      </c>
      <c r="C18" s="7954" t="s">
        <v>2713</v>
      </c>
      <c r="D18" s="7954" t="s">
        <v>2714</v>
      </c>
      <c r="E18" s="7954" t="s">
        <v>2715</v>
      </c>
      <c r="F18" s="7954" t="s">
        <v>50</v>
      </c>
      <c r="G18" s="7954" t="s">
        <v>22</v>
      </c>
      <c r="H18" s="7954" t="s">
        <v>22</v>
      </c>
      <c r="I18" s="7954" t="s">
        <v>982</v>
      </c>
    </row>
    <row customHeight="1" ht="11.25">
      <c r="A19" s="7954" t="s">
        <v>2649</v>
      </c>
      <c r="B19" s="7954" t="s">
        <v>16</v>
      </c>
      <c r="C19" s="7954" t="s">
        <v>2716</v>
      </c>
      <c r="D19" s="7954" t="s">
        <v>2717</v>
      </c>
      <c r="E19" s="7954" t="s">
        <v>2718</v>
      </c>
      <c r="F19" s="7954" t="s">
        <v>2719</v>
      </c>
      <c r="G19" s="7954" t="s">
        <v>22</v>
      </c>
      <c r="H19" s="7954" t="s">
        <v>22</v>
      </c>
      <c r="I19" s="7954" t="s">
        <v>982</v>
      </c>
    </row>
    <row customHeight="1" ht="11.25">
      <c r="A20" s="7954" t="s">
        <v>2649</v>
      </c>
      <c r="B20" s="7954" t="s">
        <v>16</v>
      </c>
      <c r="C20" s="7954" t="s">
        <v>2720</v>
      </c>
      <c r="D20" s="7954" t="s">
        <v>2721</v>
      </c>
      <c r="E20" s="7954" t="s">
        <v>2722</v>
      </c>
      <c r="F20" s="7954" t="s">
        <v>2723</v>
      </c>
      <c r="G20" s="7954" t="s">
        <v>22</v>
      </c>
      <c r="H20" s="7954" t="s">
        <v>22</v>
      </c>
      <c r="I20" s="7954" t="s">
        <v>982</v>
      </c>
    </row>
    <row customHeight="1" ht="11.25">
      <c r="A21" s="7954" t="s">
        <v>2649</v>
      </c>
      <c r="B21" s="7954" t="s">
        <v>16</v>
      </c>
      <c r="C21" s="7954" t="s">
        <v>2724</v>
      </c>
      <c r="D21" s="7954" t="s">
        <v>2725</v>
      </c>
      <c r="E21" s="7954" t="s">
        <v>2726</v>
      </c>
      <c r="F21" s="7954" t="s">
        <v>2727</v>
      </c>
      <c r="G21" s="7954" t="s">
        <v>22</v>
      </c>
      <c r="H21" s="7954" t="s">
        <v>22</v>
      </c>
      <c r="I21" s="7954" t="s">
        <v>982</v>
      </c>
    </row>
    <row customHeight="1" ht="11.25">
      <c r="A22" s="7954" t="s">
        <v>2649</v>
      </c>
      <c r="B22" s="7954" t="s">
        <v>16</v>
      </c>
      <c r="C22" s="7954" t="s">
        <v>2728</v>
      </c>
      <c r="D22" s="7954" t="s">
        <v>2729</v>
      </c>
      <c r="E22" s="7954" t="s">
        <v>2730</v>
      </c>
      <c r="F22" s="7954" t="s">
        <v>2731</v>
      </c>
      <c r="G22" s="7954" t="s">
        <v>2674</v>
      </c>
      <c r="H22" s="7954" t="s">
        <v>22</v>
      </c>
      <c r="I22" s="7954" t="s">
        <v>982</v>
      </c>
    </row>
    <row customHeight="1" ht="11.25">
      <c r="A23" s="7954" t="s">
        <v>2649</v>
      </c>
      <c r="B23" s="7954" t="s">
        <v>16</v>
      </c>
      <c r="C23" s="7954" t="s">
        <v>2732</v>
      </c>
      <c r="D23" s="7954" t="s">
        <v>2733</v>
      </c>
      <c r="E23" s="7954" t="s">
        <v>2734</v>
      </c>
      <c r="F23" s="7954" t="s">
        <v>2709</v>
      </c>
      <c r="G23" s="7954" t="s">
        <v>22</v>
      </c>
      <c r="H23" s="7954" t="s">
        <v>22</v>
      </c>
      <c r="I23" s="7954" t="s">
        <v>982</v>
      </c>
    </row>
    <row customHeight="1" ht="11.25">
      <c r="A24" s="7954" t="s">
        <v>2649</v>
      </c>
      <c r="B24" s="7954" t="s">
        <v>16</v>
      </c>
      <c r="C24" s="7954" t="s">
        <v>2735</v>
      </c>
      <c r="D24" s="7954" t="s">
        <v>2736</v>
      </c>
      <c r="E24" s="7954" t="s">
        <v>2737</v>
      </c>
      <c r="F24" s="7954" t="s">
        <v>2738</v>
      </c>
      <c r="G24" s="7954" t="s">
        <v>22</v>
      </c>
      <c r="H24" s="7954" t="s">
        <v>22</v>
      </c>
      <c r="I24" s="7954" t="s">
        <v>982</v>
      </c>
    </row>
    <row customHeight="1" ht="11.25">
      <c r="A25" s="7954" t="s">
        <v>2649</v>
      </c>
      <c r="B25" s="7954" t="s">
        <v>16</v>
      </c>
      <c r="C25" s="7954" t="s">
        <v>2739</v>
      </c>
      <c r="D25" s="7954" t="s">
        <v>2740</v>
      </c>
      <c r="E25" s="7954" t="s">
        <v>2741</v>
      </c>
      <c r="F25" s="7954" t="s">
        <v>2742</v>
      </c>
      <c r="G25" s="7954" t="s">
        <v>22</v>
      </c>
      <c r="H25" s="7954" t="s">
        <v>2743</v>
      </c>
      <c r="I25" s="7954" t="s">
        <v>982</v>
      </c>
    </row>
    <row customHeight="1" ht="11.25">
      <c r="A26" s="7954" t="s">
        <v>2649</v>
      </c>
      <c r="B26" s="7954" t="s">
        <v>16</v>
      </c>
      <c r="C26" s="7954" t="s">
        <v>2744</v>
      </c>
      <c r="D26" s="7954" t="s">
        <v>2745</v>
      </c>
      <c r="E26" s="7954" t="s">
        <v>2746</v>
      </c>
      <c r="F26" s="7954" t="s">
        <v>2682</v>
      </c>
      <c r="G26" s="7954" t="s">
        <v>22</v>
      </c>
      <c r="H26" s="7954" t="s">
        <v>22</v>
      </c>
      <c r="I26" s="7954" t="s">
        <v>982</v>
      </c>
    </row>
    <row customHeight="1" ht="11.25">
      <c r="A27" s="7954" t="s">
        <v>2649</v>
      </c>
      <c r="B27" s="7954" t="s">
        <v>16</v>
      </c>
      <c r="C27" s="7954" t="s">
        <v>2747</v>
      </c>
      <c r="D27" s="7954" t="s">
        <v>2748</v>
      </c>
      <c r="E27" s="7954" t="s">
        <v>2749</v>
      </c>
      <c r="F27" s="7954" t="s">
        <v>2750</v>
      </c>
      <c r="G27" s="7954" t="s">
        <v>22</v>
      </c>
      <c r="H27" s="7954" t="s">
        <v>22</v>
      </c>
      <c r="I27" s="7954" t="s">
        <v>982</v>
      </c>
    </row>
    <row customHeight="1" ht="11.25">
      <c r="A28" s="7954" t="s">
        <v>2649</v>
      </c>
      <c r="B28" s="7954" t="s">
        <v>16</v>
      </c>
      <c r="C28" s="7954" t="s">
        <v>2751</v>
      </c>
      <c r="D28" s="7954" t="s">
        <v>2752</v>
      </c>
      <c r="E28" s="7954" t="s">
        <v>2749</v>
      </c>
      <c r="F28" s="7954" t="s">
        <v>2753</v>
      </c>
      <c r="G28" s="7954" t="s">
        <v>22</v>
      </c>
      <c r="H28" s="7954" t="s">
        <v>22</v>
      </c>
      <c r="I28" s="7954" t="s">
        <v>982</v>
      </c>
    </row>
    <row customHeight="1" ht="11.25">
      <c r="A29" s="7954" t="s">
        <v>2649</v>
      </c>
      <c r="B29" s="7954" t="s">
        <v>16</v>
      </c>
      <c r="C29" s="7954" t="s">
        <v>2754</v>
      </c>
      <c r="D29" s="7954" t="s">
        <v>2755</v>
      </c>
      <c r="E29" s="7954" t="s">
        <v>2756</v>
      </c>
      <c r="F29" s="7954" t="s">
        <v>2742</v>
      </c>
      <c r="G29" s="7954" t="s">
        <v>22</v>
      </c>
      <c r="H29" s="7954" t="s">
        <v>22</v>
      </c>
      <c r="I29" s="7954" t="s">
        <v>982</v>
      </c>
    </row>
    <row customHeight="1" ht="11.25">
      <c r="A30" s="7954" t="s">
        <v>2649</v>
      </c>
      <c r="B30" s="7954" t="s">
        <v>16</v>
      </c>
      <c r="C30" s="7954" t="s">
        <v>2757</v>
      </c>
      <c r="D30" s="7954" t="s">
        <v>2758</v>
      </c>
      <c r="E30" s="7954" t="s">
        <v>2759</v>
      </c>
      <c r="F30" s="7954" t="s">
        <v>2686</v>
      </c>
      <c r="G30" s="7954" t="s">
        <v>22</v>
      </c>
      <c r="H30" s="7954" t="s">
        <v>22</v>
      </c>
      <c r="I30" s="7954" t="s">
        <v>982</v>
      </c>
    </row>
    <row customHeight="1" ht="11.25">
      <c r="A31" s="7954" t="s">
        <v>2649</v>
      </c>
      <c r="B31" s="7954" t="s">
        <v>16</v>
      </c>
      <c r="C31" s="7954" t="s">
        <v>2760</v>
      </c>
      <c r="D31" s="7954" t="s">
        <v>2761</v>
      </c>
      <c r="E31" s="7954" t="s">
        <v>2762</v>
      </c>
      <c r="F31" s="7954" t="s">
        <v>2678</v>
      </c>
      <c r="G31" s="7954" t="s">
        <v>22</v>
      </c>
      <c r="H31" s="7954" t="s">
        <v>22</v>
      </c>
      <c r="I31" s="7954" t="s">
        <v>982</v>
      </c>
    </row>
    <row customHeight="1" ht="11.25">
      <c r="A32" s="7954" t="s">
        <v>2649</v>
      </c>
      <c r="B32" s="7954" t="s">
        <v>16</v>
      </c>
      <c r="C32" s="7954" t="s">
        <v>2763</v>
      </c>
      <c r="D32" s="7954" t="s">
        <v>2764</v>
      </c>
      <c r="E32" s="7954" t="s">
        <v>2765</v>
      </c>
      <c r="F32" s="7954" t="s">
        <v>2719</v>
      </c>
      <c r="G32" s="7954" t="s">
        <v>22</v>
      </c>
      <c r="H32" s="7954" t="s">
        <v>22</v>
      </c>
      <c r="I32" s="7954" t="s">
        <v>982</v>
      </c>
    </row>
    <row customHeight="1" ht="11.25">
      <c r="A33" s="7954" t="s">
        <v>2649</v>
      </c>
      <c r="B33" s="7954" t="s">
        <v>16</v>
      </c>
      <c r="C33" s="7954" t="s">
        <v>2766</v>
      </c>
      <c r="D33" s="7954" t="s">
        <v>2767</v>
      </c>
      <c r="E33" s="7954" t="s">
        <v>2768</v>
      </c>
      <c r="F33" s="7954" t="s">
        <v>2769</v>
      </c>
      <c r="G33" s="7954" t="s">
        <v>22</v>
      </c>
      <c r="H33" s="7954" t="s">
        <v>22</v>
      </c>
      <c r="I33" s="7954" t="s">
        <v>982</v>
      </c>
    </row>
    <row customHeight="1" ht="11.25">
      <c r="A34" s="7954" t="s">
        <v>2649</v>
      </c>
      <c r="B34" s="7954" t="s">
        <v>16</v>
      </c>
      <c r="C34" s="7954" t="s">
        <v>2770</v>
      </c>
      <c r="D34" s="7954" t="s">
        <v>2771</v>
      </c>
      <c r="E34" s="7954" t="s">
        <v>2772</v>
      </c>
      <c r="F34" s="7954" t="s">
        <v>2773</v>
      </c>
      <c r="G34" s="7954" t="s">
        <v>22</v>
      </c>
      <c r="H34" s="7954" t="s">
        <v>22</v>
      </c>
      <c r="I34" s="7954" t="s">
        <v>982</v>
      </c>
    </row>
    <row customHeight="1" ht="11.25">
      <c r="A35" s="7954" t="s">
        <v>2649</v>
      </c>
      <c r="B35" s="7954" t="s">
        <v>16</v>
      </c>
      <c r="C35" s="7954" t="s">
        <v>2774</v>
      </c>
      <c r="D35" s="7954" t="s">
        <v>2775</v>
      </c>
      <c r="E35" s="7954" t="s">
        <v>2776</v>
      </c>
      <c r="F35" s="7954" t="s">
        <v>2777</v>
      </c>
      <c r="G35" s="7954" t="s">
        <v>22</v>
      </c>
      <c r="H35" s="7954" t="s">
        <v>22</v>
      </c>
      <c r="I35" s="7954" t="s">
        <v>982</v>
      </c>
    </row>
    <row customHeight="1" ht="11.25">
      <c r="A36" s="7954" t="s">
        <v>2649</v>
      </c>
      <c r="B36" s="7954" t="s">
        <v>16</v>
      </c>
      <c r="C36" s="7954" t="s">
        <v>2778</v>
      </c>
      <c r="D36" s="7954" t="s">
        <v>2779</v>
      </c>
      <c r="E36" s="7954" t="s">
        <v>2780</v>
      </c>
      <c r="F36" s="7954" t="s">
        <v>2781</v>
      </c>
      <c r="G36" s="7954" t="s">
        <v>22</v>
      </c>
      <c r="H36" s="7954" t="s">
        <v>22</v>
      </c>
      <c r="I36" s="7954" t="s">
        <v>982</v>
      </c>
    </row>
    <row customHeight="1" ht="11.25">
      <c r="A37" s="7954" t="s">
        <v>2649</v>
      </c>
      <c r="B37" s="7954" t="s">
        <v>16</v>
      </c>
      <c r="C37" s="7954" t="s">
        <v>2782</v>
      </c>
      <c r="D37" s="7954" t="s">
        <v>2783</v>
      </c>
      <c r="E37" s="7954" t="s">
        <v>2784</v>
      </c>
      <c r="F37" s="7954" t="s">
        <v>2785</v>
      </c>
      <c r="G37" s="7954" t="s">
        <v>2786</v>
      </c>
      <c r="H37" s="7954" t="s">
        <v>22</v>
      </c>
      <c r="I37" s="7954" t="s">
        <v>982</v>
      </c>
    </row>
    <row customHeight="1" ht="11.25">
      <c r="A38" s="7954" t="s">
        <v>2649</v>
      </c>
      <c r="B38" s="7954" t="s">
        <v>16</v>
      </c>
      <c r="C38" s="7954" t="s">
        <v>2787</v>
      </c>
      <c r="D38" s="7954" t="s">
        <v>2788</v>
      </c>
      <c r="E38" s="7954" t="s">
        <v>2789</v>
      </c>
      <c r="F38" s="7954" t="s">
        <v>2719</v>
      </c>
      <c r="G38" s="7954" t="s">
        <v>22</v>
      </c>
      <c r="H38" s="7954" t="s">
        <v>22</v>
      </c>
      <c r="I38" s="7954" t="s">
        <v>982</v>
      </c>
    </row>
    <row customHeight="1" ht="11.25">
      <c r="A39" s="7954" t="s">
        <v>2649</v>
      </c>
      <c r="B39" s="7954" t="s">
        <v>16</v>
      </c>
      <c r="C39" s="7954" t="s">
        <v>2790</v>
      </c>
      <c r="D39" s="7954" t="s">
        <v>2791</v>
      </c>
      <c r="E39" s="7954" t="s">
        <v>2792</v>
      </c>
      <c r="F39" s="7954" t="s">
        <v>2793</v>
      </c>
      <c r="G39" s="7954" t="s">
        <v>22</v>
      </c>
      <c r="H39" s="7954" t="s">
        <v>22</v>
      </c>
      <c r="I39" s="7954" t="s">
        <v>982</v>
      </c>
    </row>
    <row customHeight="1" ht="11.25">
      <c r="A40" s="7954" t="s">
        <v>2649</v>
      </c>
      <c r="B40" s="7954" t="s">
        <v>16</v>
      </c>
      <c r="C40" s="7954" t="s">
        <v>2794</v>
      </c>
      <c r="D40" s="7954" t="s">
        <v>2795</v>
      </c>
      <c r="E40" s="7954" t="s">
        <v>2796</v>
      </c>
      <c r="F40" s="7954" t="s">
        <v>50</v>
      </c>
      <c r="G40" s="7954" t="s">
        <v>22</v>
      </c>
      <c r="H40" s="7954" t="s">
        <v>22</v>
      </c>
      <c r="I40" s="7954" t="s">
        <v>982</v>
      </c>
    </row>
    <row customHeight="1" ht="11.25">
      <c r="A41" s="7954" t="s">
        <v>2649</v>
      </c>
      <c r="B41" s="7954" t="s">
        <v>16</v>
      </c>
      <c r="C41" s="7954" t="s">
        <v>2797</v>
      </c>
      <c r="D41" s="7954" t="s">
        <v>2798</v>
      </c>
      <c r="E41" s="7954" t="s">
        <v>2799</v>
      </c>
      <c r="F41" s="7954" t="s">
        <v>693</v>
      </c>
      <c r="G41" s="7954" t="s">
        <v>22</v>
      </c>
      <c r="H41" s="7954" t="s">
        <v>22</v>
      </c>
      <c r="I41" s="7954" t="s">
        <v>982</v>
      </c>
    </row>
    <row customHeight="1" ht="11.25">
      <c r="A42" s="7954" t="s">
        <v>2649</v>
      </c>
      <c r="B42" s="7954" t="s">
        <v>16</v>
      </c>
      <c r="C42" s="7954" t="s">
        <v>2800</v>
      </c>
      <c r="D42" s="7954" t="s">
        <v>2801</v>
      </c>
      <c r="E42" s="7954" t="s">
        <v>2802</v>
      </c>
      <c r="F42" s="7954" t="s">
        <v>693</v>
      </c>
      <c r="G42" s="7954" t="s">
        <v>22</v>
      </c>
      <c r="H42" s="7954" t="s">
        <v>22</v>
      </c>
      <c r="I42" s="7954" t="s">
        <v>982</v>
      </c>
    </row>
    <row customHeight="1" ht="11.25">
      <c r="A43" s="7954" t="s">
        <v>2649</v>
      </c>
      <c r="B43" s="7954" t="s">
        <v>16</v>
      </c>
      <c r="C43" s="7954" t="s">
        <v>2803</v>
      </c>
      <c r="D43" s="7954" t="s">
        <v>2804</v>
      </c>
      <c r="E43" s="7954" t="s">
        <v>2805</v>
      </c>
      <c r="F43" s="7954" t="s">
        <v>693</v>
      </c>
      <c r="G43" s="7954" t="s">
        <v>2806</v>
      </c>
      <c r="H43" s="7954" t="s">
        <v>22</v>
      </c>
      <c r="I43" s="7954" t="s">
        <v>982</v>
      </c>
    </row>
    <row customHeight="1" ht="11.25">
      <c r="A44" s="7954" t="s">
        <v>2649</v>
      </c>
      <c r="B44" s="7954" t="s">
        <v>16</v>
      </c>
      <c r="C44" s="7954" t="s">
        <v>2807</v>
      </c>
      <c r="D44" s="7954" t="s">
        <v>2808</v>
      </c>
      <c r="E44" s="7954" t="s">
        <v>2809</v>
      </c>
      <c r="F44" s="7954" t="s">
        <v>693</v>
      </c>
      <c r="G44" s="7954" t="s">
        <v>22</v>
      </c>
      <c r="H44" s="7954" t="s">
        <v>22</v>
      </c>
      <c r="I44" s="7954" t="s">
        <v>982</v>
      </c>
    </row>
    <row customHeight="1" ht="11.25">
      <c r="A45" s="7954" t="s">
        <v>2649</v>
      </c>
      <c r="B45" s="7954" t="s">
        <v>16</v>
      </c>
      <c r="C45" s="7954" t="s">
        <v>2810</v>
      </c>
      <c r="D45" s="7954" t="s">
        <v>2811</v>
      </c>
      <c r="E45" s="7954" t="s">
        <v>2812</v>
      </c>
      <c r="F45" s="7954" t="s">
        <v>2813</v>
      </c>
      <c r="G45" s="7954" t="s">
        <v>2814</v>
      </c>
      <c r="H45" s="7954" t="s">
        <v>22</v>
      </c>
      <c r="I45" s="7954" t="s">
        <v>982</v>
      </c>
    </row>
    <row customHeight="1" ht="11.25">
      <c r="A46" s="7954" t="s">
        <v>2649</v>
      </c>
      <c r="B46" s="7954" t="s">
        <v>16</v>
      </c>
      <c r="C46" s="7954" t="s">
        <v>22</v>
      </c>
      <c r="D46" s="7954" t="s">
        <v>2815</v>
      </c>
      <c r="E46" s="7954" t="s">
        <v>2816</v>
      </c>
      <c r="F46" s="7954" t="s">
        <v>2663</v>
      </c>
      <c r="G46" s="7954" t="s">
        <v>22</v>
      </c>
      <c r="H46" s="7954" t="s">
        <v>22</v>
      </c>
      <c r="I46" s="7954" t="s">
        <v>982</v>
      </c>
    </row>
    <row customHeight="1" ht="11.25">
      <c r="A47" s="7954" t="s">
        <v>2649</v>
      </c>
      <c r="B47" s="7954" t="s">
        <v>16</v>
      </c>
      <c r="C47" s="7954" t="s">
        <v>2817</v>
      </c>
      <c r="D47" s="7954" t="s">
        <v>2818</v>
      </c>
      <c r="E47" s="7954" t="s">
        <v>2819</v>
      </c>
      <c r="F47" s="7954" t="s">
        <v>2820</v>
      </c>
      <c r="G47" s="7954" t="s">
        <v>22</v>
      </c>
      <c r="H47" s="7954" t="s">
        <v>22</v>
      </c>
      <c r="I47" s="7954" t="s">
        <v>982</v>
      </c>
    </row>
    <row customHeight="1" ht="11.25">
      <c r="A48" s="7954" t="s">
        <v>2649</v>
      </c>
      <c r="B48" s="7954" t="s">
        <v>16</v>
      </c>
      <c r="C48" s="7954" t="s">
        <v>2821</v>
      </c>
      <c r="D48" s="7954" t="s">
        <v>2822</v>
      </c>
      <c r="E48" s="7954" t="s">
        <v>2772</v>
      </c>
      <c r="F48" s="7954" t="s">
        <v>2823</v>
      </c>
      <c r="G48" s="7954" t="s">
        <v>22</v>
      </c>
      <c r="H48" s="7954" t="s">
        <v>22</v>
      </c>
      <c r="I48" s="7954" t="s">
        <v>982</v>
      </c>
    </row>
    <row customHeight="1" ht="11.25">
      <c r="A49" s="7954" t="s">
        <v>2649</v>
      </c>
      <c r="B49" s="7954" t="s">
        <v>16</v>
      </c>
      <c r="C49" s="7954" t="s">
        <v>2824</v>
      </c>
      <c r="D49" s="7954" t="s">
        <v>2825</v>
      </c>
      <c r="E49" s="7954" t="s">
        <v>2826</v>
      </c>
      <c r="F49" s="7954" t="s">
        <v>2827</v>
      </c>
      <c r="G49" s="7954" t="s">
        <v>2828</v>
      </c>
      <c r="H49" s="7954" t="s">
        <v>22</v>
      </c>
      <c r="I49" s="7954" t="s">
        <v>982</v>
      </c>
    </row>
    <row customHeight="1" ht="11.25">
      <c r="A50" s="7954" t="s">
        <v>2649</v>
      </c>
      <c r="B50" s="7954" t="s">
        <v>16</v>
      </c>
      <c r="C50" s="7954" t="s">
        <v>2829</v>
      </c>
      <c r="D50" s="7954" t="s">
        <v>2830</v>
      </c>
      <c r="E50" s="7954" t="s">
        <v>2831</v>
      </c>
      <c r="F50" s="7954" t="s">
        <v>2832</v>
      </c>
      <c r="G50" s="7954" t="s">
        <v>22</v>
      </c>
      <c r="H50" s="7954" t="s">
        <v>22</v>
      </c>
      <c r="I50" s="7954" t="s">
        <v>982</v>
      </c>
    </row>
    <row customHeight="1" ht="11.25">
      <c r="A51" s="7954" t="s">
        <v>2649</v>
      </c>
      <c r="B51" s="7954" t="s">
        <v>16</v>
      </c>
      <c r="C51" s="7954" t="s">
        <v>2833</v>
      </c>
      <c r="D51" s="7954" t="s">
        <v>2834</v>
      </c>
      <c r="E51" s="7954" t="s">
        <v>2835</v>
      </c>
      <c r="F51" s="7954" t="s">
        <v>2781</v>
      </c>
      <c r="G51" s="7954" t="s">
        <v>22</v>
      </c>
      <c r="H51" s="7954" t="s">
        <v>22</v>
      </c>
      <c r="I51" s="7954" t="s">
        <v>982</v>
      </c>
    </row>
    <row customHeight="1" ht="11.25">
      <c r="A52" s="7954" t="s">
        <v>2649</v>
      </c>
      <c r="B52" s="7954" t="s">
        <v>16</v>
      </c>
      <c r="C52" s="7954" t="s">
        <v>2836</v>
      </c>
      <c r="D52" s="7954" t="s">
        <v>2837</v>
      </c>
      <c r="E52" s="7954" t="s">
        <v>2838</v>
      </c>
      <c r="F52" s="7954" t="s">
        <v>2832</v>
      </c>
      <c r="G52" s="7954" t="s">
        <v>2839</v>
      </c>
      <c r="H52" s="7954" t="s">
        <v>22</v>
      </c>
      <c r="I52" s="7954" t="s">
        <v>982</v>
      </c>
    </row>
    <row customHeight="1" ht="11.25">
      <c r="A53" s="7954" t="s">
        <v>2649</v>
      </c>
      <c r="B53" s="7954" t="s">
        <v>16</v>
      </c>
      <c r="C53" s="7954" t="s">
        <v>2840</v>
      </c>
      <c r="D53" s="7954" t="s">
        <v>2841</v>
      </c>
      <c r="E53" s="7954" t="s">
        <v>2842</v>
      </c>
      <c r="F53" s="7954" t="s">
        <v>2832</v>
      </c>
      <c r="G53" s="7954" t="s">
        <v>2843</v>
      </c>
      <c r="H53" s="7954" t="s">
        <v>22</v>
      </c>
      <c r="I53" s="7954" t="s">
        <v>982</v>
      </c>
    </row>
    <row customHeight="1" ht="11.25">
      <c r="A54" s="7954" t="s">
        <v>2649</v>
      </c>
      <c r="B54" s="7954" t="s">
        <v>16</v>
      </c>
      <c r="C54" s="7954" t="s">
        <v>2844</v>
      </c>
      <c r="D54" s="7954" t="s">
        <v>2845</v>
      </c>
      <c r="E54" s="7954" t="s">
        <v>2846</v>
      </c>
      <c r="F54" s="7954" t="s">
        <v>2781</v>
      </c>
      <c r="G54" s="7954" t="s">
        <v>22</v>
      </c>
      <c r="H54" s="7954" t="s">
        <v>22</v>
      </c>
      <c r="I54" s="7954" t="s">
        <v>982</v>
      </c>
    </row>
    <row customHeight="1" ht="11.25">
      <c r="A55" s="7954" t="s">
        <v>2649</v>
      </c>
      <c r="B55" s="7954" t="s">
        <v>16</v>
      </c>
      <c r="C55" s="7954" t="s">
        <v>2847</v>
      </c>
      <c r="D55" s="7954" t="s">
        <v>2848</v>
      </c>
      <c r="E55" s="7954" t="s">
        <v>2849</v>
      </c>
      <c r="F55" s="7954" t="s">
        <v>2832</v>
      </c>
      <c r="G55" s="7954" t="s">
        <v>22</v>
      </c>
      <c r="H55" s="7954" t="s">
        <v>22</v>
      </c>
      <c r="I55" s="7954" t="s">
        <v>982</v>
      </c>
    </row>
    <row customHeight="1" ht="11.25">
      <c r="A56" s="7954" t="s">
        <v>2649</v>
      </c>
      <c r="B56" s="7954" t="s">
        <v>16</v>
      </c>
      <c r="C56" s="7954" t="s">
        <v>2850</v>
      </c>
      <c r="D56" s="7954" t="s">
        <v>2851</v>
      </c>
      <c r="E56" s="7954" t="s">
        <v>2852</v>
      </c>
      <c r="F56" s="7954" t="s">
        <v>2853</v>
      </c>
      <c r="G56" s="7954" t="s">
        <v>22</v>
      </c>
      <c r="H56" s="7954" t="s">
        <v>22</v>
      </c>
      <c r="I56" s="7954" t="s">
        <v>982</v>
      </c>
    </row>
    <row customHeight="1" ht="11.25">
      <c r="A57" s="7954" t="s">
        <v>2649</v>
      </c>
      <c r="B57" s="7954" t="s">
        <v>16</v>
      </c>
      <c r="C57" s="7954" t="s">
        <v>2854</v>
      </c>
      <c r="D57" s="7954" t="s">
        <v>2855</v>
      </c>
      <c r="E57" s="7954" t="s">
        <v>2856</v>
      </c>
      <c r="F57" s="7954" t="s">
        <v>2857</v>
      </c>
      <c r="G57" s="7954" t="s">
        <v>22</v>
      </c>
      <c r="H57" s="7954" t="s">
        <v>22</v>
      </c>
      <c r="I57" s="7954" t="s">
        <v>982</v>
      </c>
    </row>
    <row customHeight="1" ht="11.25">
      <c r="A58" s="7954" t="s">
        <v>2649</v>
      </c>
      <c r="B58" s="7954" t="s">
        <v>16</v>
      </c>
      <c r="C58" s="7954" t="s">
        <v>2858</v>
      </c>
      <c r="D58" s="7954" t="s">
        <v>2859</v>
      </c>
      <c r="E58" s="7954" t="s">
        <v>2860</v>
      </c>
      <c r="F58" s="7954" t="s">
        <v>2663</v>
      </c>
      <c r="G58" s="7954" t="s">
        <v>22</v>
      </c>
      <c r="H58" s="7954" t="s">
        <v>22</v>
      </c>
      <c r="I58" s="7954" t="s">
        <v>982</v>
      </c>
    </row>
    <row customHeight="1" ht="11.25">
      <c r="A59" s="7954" t="s">
        <v>2649</v>
      </c>
      <c r="B59" s="7954" t="s">
        <v>16</v>
      </c>
      <c r="C59" s="7954" t="s">
        <v>2861</v>
      </c>
      <c r="D59" s="7954" t="s">
        <v>2862</v>
      </c>
      <c r="E59" s="7954" t="s">
        <v>2863</v>
      </c>
      <c r="F59" s="7954" t="s">
        <v>2864</v>
      </c>
      <c r="G59" s="7954" t="s">
        <v>2865</v>
      </c>
      <c r="H59" s="7954" t="s">
        <v>22</v>
      </c>
      <c r="I59" s="7954" t="s">
        <v>982</v>
      </c>
    </row>
    <row customHeight="1" ht="11.25">
      <c r="A60" s="7954" t="s">
        <v>2649</v>
      </c>
      <c r="B60" s="7954" t="s">
        <v>16</v>
      </c>
      <c r="C60" s="7954" t="s">
        <v>2866</v>
      </c>
      <c r="D60" s="7954" t="s">
        <v>2867</v>
      </c>
      <c r="E60" s="7954" t="s">
        <v>2868</v>
      </c>
      <c r="F60" s="7954" t="s">
        <v>2832</v>
      </c>
      <c r="G60" s="7954" t="s">
        <v>22</v>
      </c>
      <c r="H60" s="7954" t="s">
        <v>22</v>
      </c>
      <c r="I60" s="7954" t="s">
        <v>982</v>
      </c>
    </row>
    <row customHeight="1" ht="11.25">
      <c r="A61" s="7954" t="s">
        <v>2649</v>
      </c>
      <c r="B61" s="7954" t="s">
        <v>16</v>
      </c>
      <c r="C61" s="7954" t="s">
        <v>2869</v>
      </c>
      <c r="D61" s="7954" t="s">
        <v>2870</v>
      </c>
      <c r="E61" s="7954" t="s">
        <v>2871</v>
      </c>
      <c r="F61" s="7954" t="s">
        <v>2709</v>
      </c>
      <c r="G61" s="7954" t="s">
        <v>22</v>
      </c>
      <c r="H61" s="7954" t="s">
        <v>22</v>
      </c>
      <c r="I61" s="7954" t="s">
        <v>982</v>
      </c>
    </row>
    <row customHeight="1" ht="11.25">
      <c r="A62" s="7954" t="s">
        <v>2649</v>
      </c>
      <c r="B62" s="7954" t="s">
        <v>16</v>
      </c>
      <c r="C62" s="7954" t="s">
        <v>2872</v>
      </c>
      <c r="D62" s="7954" t="s">
        <v>2873</v>
      </c>
      <c r="E62" s="7954" t="s">
        <v>2874</v>
      </c>
      <c r="F62" s="7954" t="s">
        <v>2875</v>
      </c>
      <c r="G62" s="7954" t="s">
        <v>22</v>
      </c>
      <c r="H62" s="7954" t="s">
        <v>22</v>
      </c>
      <c r="I62" s="7954" t="s">
        <v>982</v>
      </c>
    </row>
    <row customHeight="1" ht="11.25">
      <c r="A63" s="7954" t="s">
        <v>2649</v>
      </c>
      <c r="B63" s="7954" t="s">
        <v>16</v>
      </c>
      <c r="C63" s="7954" t="s">
        <v>2876</v>
      </c>
      <c r="D63" s="7954" t="s">
        <v>2877</v>
      </c>
      <c r="E63" s="7954" t="s">
        <v>2878</v>
      </c>
      <c r="F63" s="7954" t="s">
        <v>2709</v>
      </c>
      <c r="G63" s="7954" t="s">
        <v>2879</v>
      </c>
      <c r="H63" s="7954" t="s">
        <v>22</v>
      </c>
      <c r="I63" s="7954" t="s">
        <v>982</v>
      </c>
    </row>
    <row customHeight="1" ht="11.25">
      <c r="A64" s="7954" t="s">
        <v>2649</v>
      </c>
      <c r="B64" s="7954" t="s">
        <v>16</v>
      </c>
      <c r="C64" s="7954" t="s">
        <v>2880</v>
      </c>
      <c r="D64" s="7954" t="s">
        <v>2881</v>
      </c>
      <c r="E64" s="7954" t="s">
        <v>2882</v>
      </c>
      <c r="F64" s="7954" t="s">
        <v>2709</v>
      </c>
      <c r="G64" s="7954" t="s">
        <v>22</v>
      </c>
      <c r="H64" s="7954" t="s">
        <v>22</v>
      </c>
      <c r="I64" s="7954" t="s">
        <v>982</v>
      </c>
    </row>
    <row customHeight="1" ht="11.25">
      <c r="A65" s="7954" t="s">
        <v>2649</v>
      </c>
      <c r="B65" s="7954" t="s">
        <v>16</v>
      </c>
      <c r="C65" s="7954" t="s">
        <v>2883</v>
      </c>
      <c r="D65" s="7954" t="s">
        <v>2884</v>
      </c>
      <c r="E65" s="7954" t="s">
        <v>2885</v>
      </c>
      <c r="F65" s="7954" t="s">
        <v>2886</v>
      </c>
      <c r="G65" s="7954" t="s">
        <v>22</v>
      </c>
      <c r="H65" s="7954" t="s">
        <v>22</v>
      </c>
      <c r="I65" s="7954" t="s">
        <v>982</v>
      </c>
    </row>
    <row customHeight="1" ht="11.25">
      <c r="A66" s="7954" t="s">
        <v>2649</v>
      </c>
      <c r="B66" s="7954" t="s">
        <v>16</v>
      </c>
      <c r="C66" s="7954" t="s">
        <v>2887</v>
      </c>
      <c r="D66" s="7954" t="s">
        <v>2888</v>
      </c>
      <c r="E66" s="7954" t="s">
        <v>2889</v>
      </c>
      <c r="F66" s="7954" t="s">
        <v>2886</v>
      </c>
      <c r="G66" s="7954" t="s">
        <v>22</v>
      </c>
      <c r="H66" s="7954" t="s">
        <v>22</v>
      </c>
      <c r="I66" s="7954" t="s">
        <v>982</v>
      </c>
    </row>
    <row customHeight="1" ht="11.25">
      <c r="A67" s="7954" t="s">
        <v>2649</v>
      </c>
      <c r="B67" s="7954" t="s">
        <v>16</v>
      </c>
      <c r="C67" s="7954" t="s">
        <v>2890</v>
      </c>
      <c r="D67" s="7954" t="s">
        <v>2891</v>
      </c>
      <c r="E67" s="7954" t="s">
        <v>2892</v>
      </c>
      <c r="F67" s="7954" t="s">
        <v>2709</v>
      </c>
      <c r="G67" s="7954" t="s">
        <v>22</v>
      </c>
      <c r="H67" s="7954" t="s">
        <v>22</v>
      </c>
      <c r="I67" s="7954" t="s">
        <v>982</v>
      </c>
    </row>
    <row customHeight="1" ht="11.25">
      <c r="A68" s="7954" t="s">
        <v>2649</v>
      </c>
      <c r="B68" s="7954" t="s">
        <v>16</v>
      </c>
      <c r="C68" s="7954" t="s">
        <v>2893</v>
      </c>
      <c r="D68" s="7954" t="s">
        <v>2894</v>
      </c>
      <c r="E68" s="7954" t="s">
        <v>2895</v>
      </c>
      <c r="F68" s="7954" t="s">
        <v>2896</v>
      </c>
      <c r="G68" s="7954" t="s">
        <v>22</v>
      </c>
      <c r="H68" s="7954" t="s">
        <v>22</v>
      </c>
      <c r="I68" s="7954" t="s">
        <v>982</v>
      </c>
    </row>
    <row customHeight="1" ht="11.25">
      <c r="A69" s="7954" t="s">
        <v>2649</v>
      </c>
      <c r="B69" s="7954" t="s">
        <v>16</v>
      </c>
      <c r="C69" s="7954" t="s">
        <v>2897</v>
      </c>
      <c r="D69" s="7954" t="s">
        <v>2898</v>
      </c>
      <c r="E69" s="7954" t="s">
        <v>2899</v>
      </c>
      <c r="F69" s="7954" t="s">
        <v>2896</v>
      </c>
      <c r="G69" s="7954" t="s">
        <v>22</v>
      </c>
      <c r="H69" s="7954" t="s">
        <v>22</v>
      </c>
      <c r="I69" s="7954" t="s">
        <v>982</v>
      </c>
    </row>
    <row customHeight="1" ht="11.25">
      <c r="A70" s="7954" t="s">
        <v>2649</v>
      </c>
      <c r="B70" s="7954" t="s">
        <v>16</v>
      </c>
      <c r="C70" s="7954" t="s">
        <v>2900</v>
      </c>
      <c r="D70" s="7954" t="s">
        <v>2901</v>
      </c>
      <c r="E70" s="7954" t="s">
        <v>2902</v>
      </c>
      <c r="F70" s="7954" t="s">
        <v>2875</v>
      </c>
      <c r="G70" s="7954" t="s">
        <v>22</v>
      </c>
      <c r="H70" s="7954" t="s">
        <v>22</v>
      </c>
      <c r="I70" s="7954" t="s">
        <v>982</v>
      </c>
    </row>
    <row customHeight="1" ht="11.25">
      <c r="A71" s="7954" t="s">
        <v>2649</v>
      </c>
      <c r="B71" s="7954" t="s">
        <v>16</v>
      </c>
      <c r="C71" s="7954" t="s">
        <v>2903</v>
      </c>
      <c r="D71" s="7954" t="s">
        <v>2904</v>
      </c>
      <c r="E71" s="7954" t="s">
        <v>2905</v>
      </c>
      <c r="F71" s="7954" t="s">
        <v>2886</v>
      </c>
      <c r="G71" s="7954" t="s">
        <v>22</v>
      </c>
      <c r="H71" s="7954" t="s">
        <v>22</v>
      </c>
      <c r="I71" s="7954" t="s">
        <v>982</v>
      </c>
    </row>
    <row customHeight="1" ht="11.25">
      <c r="A72" s="7954" t="s">
        <v>2649</v>
      </c>
      <c r="B72" s="7954" t="s">
        <v>16</v>
      </c>
      <c r="C72" s="7954" t="s">
        <v>2906</v>
      </c>
      <c r="D72" s="7954" t="s">
        <v>2907</v>
      </c>
      <c r="E72" s="7954" t="s">
        <v>2908</v>
      </c>
      <c r="F72" s="7954" t="s">
        <v>2832</v>
      </c>
      <c r="G72" s="7954" t="s">
        <v>22</v>
      </c>
      <c r="H72" s="7954" t="s">
        <v>22</v>
      </c>
      <c r="I72" s="7954" t="s">
        <v>982</v>
      </c>
    </row>
    <row customHeight="1" ht="11.25">
      <c r="A73" s="7954" t="s">
        <v>2649</v>
      </c>
      <c r="B73" s="7954" t="s">
        <v>16</v>
      </c>
      <c r="C73" s="7954" t="s">
        <v>2909</v>
      </c>
      <c r="D73" s="7954" t="s">
        <v>2910</v>
      </c>
      <c r="E73" s="7954" t="s">
        <v>2911</v>
      </c>
      <c r="F73" s="7954" t="s">
        <v>2896</v>
      </c>
      <c r="G73" s="7954" t="s">
        <v>22</v>
      </c>
      <c r="H73" s="7954" t="s">
        <v>22</v>
      </c>
      <c r="I73" s="7954" t="s">
        <v>982</v>
      </c>
    </row>
    <row customHeight="1" ht="11.25">
      <c r="A74" s="7954" t="s">
        <v>2649</v>
      </c>
      <c r="B74" s="7954" t="s">
        <v>16</v>
      </c>
      <c r="C74" s="7954" t="s">
        <v>2912</v>
      </c>
      <c r="D74" s="7954" t="s">
        <v>2913</v>
      </c>
      <c r="E74" s="7954" t="s">
        <v>2914</v>
      </c>
      <c r="F74" s="7954" t="s">
        <v>2915</v>
      </c>
      <c r="G74" s="7954" t="s">
        <v>22</v>
      </c>
      <c r="H74" s="7954" t="s">
        <v>22</v>
      </c>
      <c r="I74" s="7954" t="s">
        <v>982</v>
      </c>
    </row>
    <row customHeight="1" ht="11.25">
      <c r="A75" s="7954" t="s">
        <v>2649</v>
      </c>
      <c r="B75" s="7954" t="s">
        <v>16</v>
      </c>
      <c r="C75" s="7954" t="s">
        <v>2916</v>
      </c>
      <c r="D75" s="7954" t="s">
        <v>2917</v>
      </c>
      <c r="E75" s="7954" t="s">
        <v>2918</v>
      </c>
      <c r="F75" s="7954" t="s">
        <v>2896</v>
      </c>
      <c r="G75" s="7954" t="s">
        <v>22</v>
      </c>
      <c r="H75" s="7954" t="s">
        <v>22</v>
      </c>
      <c r="I75" s="7954" t="s">
        <v>982</v>
      </c>
    </row>
    <row customHeight="1" ht="11.25">
      <c r="A76" s="7954" t="s">
        <v>2649</v>
      </c>
      <c r="B76" s="7954" t="s">
        <v>16</v>
      </c>
      <c r="C76" s="7954" t="s">
        <v>2919</v>
      </c>
      <c r="D76" s="7954" t="s">
        <v>2920</v>
      </c>
      <c r="E76" s="7954" t="s">
        <v>2921</v>
      </c>
      <c r="F76" s="7954" t="s">
        <v>2875</v>
      </c>
      <c r="G76" s="7954" t="s">
        <v>22</v>
      </c>
      <c r="H76" s="7954" t="s">
        <v>22</v>
      </c>
      <c r="I76" s="7954" t="s">
        <v>982</v>
      </c>
    </row>
    <row customHeight="1" ht="11.25">
      <c r="A77" s="7954" t="s">
        <v>2649</v>
      </c>
      <c r="B77" s="7954" t="s">
        <v>16</v>
      </c>
      <c r="C77" s="7954" t="s">
        <v>2922</v>
      </c>
      <c r="D77" s="7954" t="s">
        <v>2923</v>
      </c>
      <c r="E77" s="7954" t="s">
        <v>2924</v>
      </c>
      <c r="F77" s="7954" t="s">
        <v>2925</v>
      </c>
      <c r="G77" s="7954" t="s">
        <v>22</v>
      </c>
      <c r="H77" s="7954" t="s">
        <v>22</v>
      </c>
      <c r="I77" s="7954" t="s">
        <v>982</v>
      </c>
    </row>
    <row customHeight="1" ht="11.25">
      <c r="A78" s="7954" t="s">
        <v>2649</v>
      </c>
      <c r="B78" s="7954" t="s">
        <v>16</v>
      </c>
      <c r="C78" s="7954" t="s">
        <v>2926</v>
      </c>
      <c r="D78" s="7954" t="s">
        <v>2927</v>
      </c>
      <c r="E78" s="7954" t="s">
        <v>2928</v>
      </c>
      <c r="F78" s="7954" t="s">
        <v>2827</v>
      </c>
      <c r="G78" s="7954" t="s">
        <v>22</v>
      </c>
      <c r="H78" s="7954" t="s">
        <v>22</v>
      </c>
      <c r="I78" s="7954" t="s">
        <v>982</v>
      </c>
    </row>
    <row customHeight="1" ht="11.25">
      <c r="A79" s="7954" t="s">
        <v>2649</v>
      </c>
      <c r="B79" s="7954" t="s">
        <v>16</v>
      </c>
      <c r="C79" s="7954" t="s">
        <v>2929</v>
      </c>
      <c r="D79" s="7954" t="s">
        <v>2930</v>
      </c>
      <c r="E79" s="7954" t="s">
        <v>2931</v>
      </c>
      <c r="F79" s="7954" t="s">
        <v>2709</v>
      </c>
      <c r="G79" s="7954" t="s">
        <v>22</v>
      </c>
      <c r="H79" s="7954" t="s">
        <v>22</v>
      </c>
      <c r="I79" s="7954" t="s">
        <v>982</v>
      </c>
    </row>
    <row customHeight="1" ht="11.25">
      <c r="A80" s="7954" t="s">
        <v>2649</v>
      </c>
      <c r="B80" s="7954" t="s">
        <v>16</v>
      </c>
      <c r="C80" s="7954" t="s">
        <v>2932</v>
      </c>
      <c r="D80" s="7954" t="s">
        <v>2933</v>
      </c>
      <c r="E80" s="7954" t="s">
        <v>2934</v>
      </c>
      <c r="F80" s="7954" t="s">
        <v>2935</v>
      </c>
      <c r="G80" s="7954" t="s">
        <v>22</v>
      </c>
      <c r="H80" s="7954" t="s">
        <v>22</v>
      </c>
      <c r="I80" s="7954" t="s">
        <v>982</v>
      </c>
    </row>
    <row customHeight="1" ht="11.25">
      <c r="A81" s="7954" t="s">
        <v>2649</v>
      </c>
      <c r="B81" s="7954" t="s">
        <v>16</v>
      </c>
      <c r="C81" s="7954" t="s">
        <v>2936</v>
      </c>
      <c r="D81" s="7954" t="s">
        <v>2937</v>
      </c>
      <c r="E81" s="7954" t="s">
        <v>2938</v>
      </c>
      <c r="F81" s="7954" t="s">
        <v>2896</v>
      </c>
      <c r="G81" s="7954" t="s">
        <v>22</v>
      </c>
      <c r="H81" s="7954" t="s">
        <v>22</v>
      </c>
      <c r="I81" s="7954" t="s">
        <v>982</v>
      </c>
    </row>
    <row customHeight="1" ht="11.25">
      <c r="A82" s="7954" t="s">
        <v>2649</v>
      </c>
      <c r="B82" s="7954" t="s">
        <v>16</v>
      </c>
      <c r="C82" s="7954" t="s">
        <v>2939</v>
      </c>
      <c r="D82" s="7954" t="s">
        <v>2940</v>
      </c>
      <c r="E82" s="7954" t="s">
        <v>2941</v>
      </c>
      <c r="F82" s="7954" t="s">
        <v>2793</v>
      </c>
      <c r="G82" s="7954" t="s">
        <v>22</v>
      </c>
      <c r="H82" s="7954" t="s">
        <v>22</v>
      </c>
      <c r="I82" s="7954" t="s">
        <v>982</v>
      </c>
    </row>
    <row customHeight="1" ht="11.25">
      <c r="A83" s="7954" t="s">
        <v>2649</v>
      </c>
      <c r="B83" s="7954" t="s">
        <v>16</v>
      </c>
      <c r="C83" s="7954" t="s">
        <v>2942</v>
      </c>
      <c r="D83" s="7954" t="s">
        <v>2943</v>
      </c>
      <c r="E83" s="7954" t="s">
        <v>2944</v>
      </c>
      <c r="F83" s="7954" t="s">
        <v>2832</v>
      </c>
      <c r="G83" s="7954" t="s">
        <v>22</v>
      </c>
      <c r="H83" s="7954" t="s">
        <v>22</v>
      </c>
      <c r="I83" s="7954" t="s">
        <v>982</v>
      </c>
    </row>
    <row customHeight="1" ht="11.25">
      <c r="A84" s="7954" t="s">
        <v>2649</v>
      </c>
      <c r="B84" s="7954" t="s">
        <v>16</v>
      </c>
      <c r="C84" s="7954" t="s">
        <v>2945</v>
      </c>
      <c r="D84" s="7954" t="s">
        <v>2946</v>
      </c>
      <c r="E84" s="7954" t="s">
        <v>2947</v>
      </c>
      <c r="F84" s="7954" t="s">
        <v>2948</v>
      </c>
      <c r="G84" s="7954" t="s">
        <v>22</v>
      </c>
      <c r="H84" s="7954" t="s">
        <v>22</v>
      </c>
      <c r="I84" s="7954" t="s">
        <v>982</v>
      </c>
    </row>
    <row customHeight="1" ht="11.25">
      <c r="A85" s="7954" t="s">
        <v>2649</v>
      </c>
      <c r="B85" s="7954" t="s">
        <v>16</v>
      </c>
      <c r="C85" s="7954" t="s">
        <v>2949</v>
      </c>
      <c r="D85" s="7954" t="s">
        <v>2950</v>
      </c>
      <c r="E85" s="7954" t="s">
        <v>2951</v>
      </c>
      <c r="F85" s="7954" t="s">
        <v>2678</v>
      </c>
      <c r="G85" s="7954" t="s">
        <v>22</v>
      </c>
      <c r="H85" s="7954" t="s">
        <v>22</v>
      </c>
      <c r="I85" s="7954" t="s">
        <v>982</v>
      </c>
    </row>
    <row customHeight="1" ht="11.25">
      <c r="A86" s="7954" t="s">
        <v>2649</v>
      </c>
      <c r="B86" s="7954" t="s">
        <v>16</v>
      </c>
      <c r="C86" s="7954" t="s">
        <v>2952</v>
      </c>
      <c r="D86" s="7954" t="s">
        <v>2953</v>
      </c>
      <c r="E86" s="7954" t="s">
        <v>2954</v>
      </c>
      <c r="F86" s="7954" t="s">
        <v>2955</v>
      </c>
      <c r="G86" s="7954" t="s">
        <v>22</v>
      </c>
      <c r="H86" s="7954" t="s">
        <v>22</v>
      </c>
      <c r="I86" s="7954" t="s">
        <v>982</v>
      </c>
    </row>
    <row customHeight="1" ht="11.25">
      <c r="A87" s="7954" t="s">
        <v>2649</v>
      </c>
      <c r="B87" s="7954" t="s">
        <v>16</v>
      </c>
      <c r="C87" s="7954" t="s">
        <v>2956</v>
      </c>
      <c r="D87" s="7954" t="s">
        <v>2957</v>
      </c>
      <c r="E87" s="7954" t="s">
        <v>2958</v>
      </c>
      <c r="F87" s="7954" t="s">
        <v>50</v>
      </c>
      <c r="G87" s="7954" t="s">
        <v>22</v>
      </c>
      <c r="H87" s="7954" t="s">
        <v>22</v>
      </c>
      <c r="I87" s="7954" t="s">
        <v>982</v>
      </c>
    </row>
    <row customHeight="1" ht="11.25">
      <c r="A88" s="7954" t="s">
        <v>2649</v>
      </c>
      <c r="B88" s="7954" t="s">
        <v>16</v>
      </c>
      <c r="C88" s="7954" t="s">
        <v>2959</v>
      </c>
      <c r="D88" s="7954" t="s">
        <v>2960</v>
      </c>
      <c r="E88" s="7954" t="s">
        <v>2961</v>
      </c>
      <c r="F88" s="7954" t="s">
        <v>2962</v>
      </c>
      <c r="G88" s="7954" t="s">
        <v>22</v>
      </c>
      <c r="H88" s="7954" t="s">
        <v>22</v>
      </c>
      <c r="I88" s="7954" t="s">
        <v>982</v>
      </c>
    </row>
    <row customHeight="1" ht="11.25">
      <c r="A89" s="7954" t="s">
        <v>2649</v>
      </c>
      <c r="B89" s="7954" t="s">
        <v>16</v>
      </c>
      <c r="C89" s="7954" t="s">
        <v>2963</v>
      </c>
      <c r="D89" s="7954" t="s">
        <v>2964</v>
      </c>
      <c r="E89" s="7954" t="s">
        <v>2965</v>
      </c>
      <c r="F89" s="7954" t="s">
        <v>2653</v>
      </c>
      <c r="G89" s="7954" t="s">
        <v>22</v>
      </c>
      <c r="H89" s="7954" t="s">
        <v>22</v>
      </c>
      <c r="I89" s="7954" t="s">
        <v>982</v>
      </c>
    </row>
    <row customHeight="1" ht="11.25">
      <c r="A90" s="7954" t="s">
        <v>2649</v>
      </c>
      <c r="B90" s="7954" t="s">
        <v>16</v>
      </c>
      <c r="C90" s="7954" t="s">
        <v>2966</v>
      </c>
      <c r="D90" s="7954" t="s">
        <v>2967</v>
      </c>
      <c r="E90" s="7954" t="s">
        <v>2968</v>
      </c>
      <c r="F90" s="7954" t="s">
        <v>2925</v>
      </c>
      <c r="G90" s="7954" t="s">
        <v>22</v>
      </c>
      <c r="H90" s="7954" t="s">
        <v>22</v>
      </c>
      <c r="I90" s="7954" t="s">
        <v>982</v>
      </c>
    </row>
    <row customHeight="1" ht="11.25">
      <c r="A91" s="7954" t="s">
        <v>2649</v>
      </c>
      <c r="B91" s="7954" t="s">
        <v>16</v>
      </c>
      <c r="C91" s="7954" t="s">
        <v>2969</v>
      </c>
      <c r="D91" s="7954" t="s">
        <v>2970</v>
      </c>
      <c r="E91" s="7954" t="s">
        <v>2971</v>
      </c>
      <c r="F91" s="7954" t="s">
        <v>2769</v>
      </c>
      <c r="G91" s="7954" t="s">
        <v>22</v>
      </c>
      <c r="H91" s="7954" t="s">
        <v>22</v>
      </c>
      <c r="I91" s="7954" t="s">
        <v>982</v>
      </c>
    </row>
    <row customHeight="1" ht="11.25">
      <c r="A92" s="7954" t="s">
        <v>2649</v>
      </c>
      <c r="B92" s="7954" t="s">
        <v>16</v>
      </c>
      <c r="C92" s="7954" t="s">
        <v>2972</v>
      </c>
      <c r="D92" s="7954" t="s">
        <v>2973</v>
      </c>
      <c r="E92" s="7954" t="s">
        <v>2974</v>
      </c>
      <c r="F92" s="7954" t="s">
        <v>2769</v>
      </c>
      <c r="G92" s="7954" t="s">
        <v>22</v>
      </c>
      <c r="H92" s="7954" t="s">
        <v>22</v>
      </c>
      <c r="I92" s="7954" t="s">
        <v>982</v>
      </c>
    </row>
    <row customHeight="1" ht="11.25">
      <c r="A93" s="7954" t="s">
        <v>2649</v>
      </c>
      <c r="B93" s="7954" t="s">
        <v>16</v>
      </c>
      <c r="C93" s="7954" t="s">
        <v>2975</v>
      </c>
      <c r="D93" s="7954" t="s">
        <v>2976</v>
      </c>
      <c r="E93" s="7954" t="s">
        <v>2977</v>
      </c>
      <c r="F93" s="7954" t="s">
        <v>2709</v>
      </c>
      <c r="G93" s="7954" t="s">
        <v>2978</v>
      </c>
      <c r="H93" s="7954" t="s">
        <v>22</v>
      </c>
      <c r="I93" s="7954" t="s">
        <v>982</v>
      </c>
    </row>
    <row customHeight="1" ht="11.25">
      <c r="A94" s="7954" t="s">
        <v>2649</v>
      </c>
      <c r="B94" s="7954" t="s">
        <v>16</v>
      </c>
      <c r="C94" s="7954" t="s">
        <v>2979</v>
      </c>
      <c r="D94" s="7954" t="s">
        <v>2980</v>
      </c>
      <c r="E94" s="7954" t="s">
        <v>2981</v>
      </c>
      <c r="F94" s="7954" t="s">
        <v>2982</v>
      </c>
      <c r="G94" s="7954" t="s">
        <v>22</v>
      </c>
      <c r="H94" s="7954" t="s">
        <v>22</v>
      </c>
      <c r="I94" s="7954" t="s">
        <v>982</v>
      </c>
    </row>
    <row customHeight="1" ht="11.25">
      <c r="A95" s="7954" t="s">
        <v>2649</v>
      </c>
      <c r="B95" s="7954" t="s">
        <v>16</v>
      </c>
      <c r="C95" s="7954" t="s">
        <v>2983</v>
      </c>
      <c r="D95" s="7954" t="s">
        <v>2984</v>
      </c>
      <c r="E95" s="7954" t="s">
        <v>2981</v>
      </c>
      <c r="F95" s="7954" t="s">
        <v>2985</v>
      </c>
      <c r="G95" s="7954" t="s">
        <v>22</v>
      </c>
      <c r="H95" s="7954" t="s">
        <v>22</v>
      </c>
      <c r="I95" s="7954" t="s">
        <v>982</v>
      </c>
    </row>
    <row customHeight="1" ht="11.25">
      <c r="A96" s="7954" t="s">
        <v>2649</v>
      </c>
      <c r="B96" s="7954" t="s">
        <v>16</v>
      </c>
      <c r="C96" s="7954" t="s">
        <v>2986</v>
      </c>
      <c r="D96" s="7954" t="s">
        <v>2987</v>
      </c>
      <c r="E96" s="7954" t="s">
        <v>2988</v>
      </c>
      <c r="F96" s="7954" t="s">
        <v>2723</v>
      </c>
      <c r="G96" s="7954" t="s">
        <v>22</v>
      </c>
      <c r="H96" s="7954" t="s">
        <v>22</v>
      </c>
      <c r="I96" s="7954" t="s">
        <v>982</v>
      </c>
    </row>
    <row customHeight="1" ht="11.25">
      <c r="A97" s="7954" t="s">
        <v>2649</v>
      </c>
      <c r="B97" s="7954" t="s">
        <v>16</v>
      </c>
      <c r="C97" s="7954" t="s">
        <v>2989</v>
      </c>
      <c r="D97" s="7954" t="s">
        <v>2990</v>
      </c>
      <c r="E97" s="7954" t="s">
        <v>2991</v>
      </c>
      <c r="F97" s="7954" t="s">
        <v>50</v>
      </c>
      <c r="G97" s="7954" t="s">
        <v>22</v>
      </c>
      <c r="H97" s="7954" t="s">
        <v>22</v>
      </c>
      <c r="I97" s="7954" t="s">
        <v>982</v>
      </c>
    </row>
    <row customHeight="1" ht="11.25">
      <c r="A98" s="7954" t="s">
        <v>2649</v>
      </c>
      <c r="B98" s="7954" t="s">
        <v>16</v>
      </c>
      <c r="C98" s="7954" t="s">
        <v>2992</v>
      </c>
      <c r="D98" s="7954" t="s">
        <v>2993</v>
      </c>
      <c r="E98" s="7954" t="s">
        <v>2994</v>
      </c>
      <c r="F98" s="7954" t="s">
        <v>50</v>
      </c>
      <c r="G98" s="7954" t="s">
        <v>22</v>
      </c>
      <c r="H98" s="7954" t="s">
        <v>22</v>
      </c>
      <c r="I98" s="7954" t="s">
        <v>982</v>
      </c>
    </row>
    <row customHeight="1" ht="11.25">
      <c r="A99" s="7954" t="s">
        <v>2649</v>
      </c>
      <c r="B99" s="7954" t="s">
        <v>16</v>
      </c>
      <c r="C99" s="7954" t="s">
        <v>2995</v>
      </c>
      <c r="D99" s="7954" t="s">
        <v>2996</v>
      </c>
      <c r="E99" s="7954" t="s">
        <v>2997</v>
      </c>
      <c r="F99" s="7954" t="s">
        <v>50</v>
      </c>
      <c r="G99" s="7954" t="s">
        <v>2998</v>
      </c>
      <c r="H99" s="7954" t="s">
        <v>22</v>
      </c>
      <c r="I99" s="7954" t="s">
        <v>982</v>
      </c>
    </row>
    <row customHeight="1" ht="11.25">
      <c r="A100" s="7954" t="s">
        <v>2649</v>
      </c>
      <c r="B100" s="7954" t="s">
        <v>16</v>
      </c>
      <c r="C100" s="7954" t="s">
        <v>2999</v>
      </c>
      <c r="D100" s="7954" t="s">
        <v>3000</v>
      </c>
      <c r="E100" s="7954" t="s">
        <v>3001</v>
      </c>
      <c r="F100" s="7954" t="s">
        <v>2785</v>
      </c>
      <c r="G100" s="7954" t="s">
        <v>22</v>
      </c>
      <c r="H100" s="7954" t="s">
        <v>22</v>
      </c>
      <c r="I100" s="7954" t="s">
        <v>982</v>
      </c>
    </row>
    <row customHeight="1" ht="11.25">
      <c r="A101" s="7954" t="s">
        <v>2649</v>
      </c>
      <c r="B101" s="7954" t="s">
        <v>16</v>
      </c>
      <c r="C101" s="7954" t="s">
        <v>3002</v>
      </c>
      <c r="D101" s="7954" t="s">
        <v>3003</v>
      </c>
      <c r="E101" s="7954" t="s">
        <v>3004</v>
      </c>
      <c r="F101" s="7954" t="s">
        <v>50</v>
      </c>
      <c r="G101" s="7954" t="s">
        <v>3005</v>
      </c>
      <c r="H101" s="7954" t="s">
        <v>22</v>
      </c>
      <c r="I101" s="7954" t="s">
        <v>982</v>
      </c>
    </row>
    <row customHeight="1" ht="11.25">
      <c r="A102" s="7954" t="s">
        <v>2649</v>
      </c>
      <c r="B102" s="7954" t="s">
        <v>16</v>
      </c>
      <c r="C102" s="7954" t="s">
        <v>3006</v>
      </c>
      <c r="D102" s="7954" t="s">
        <v>3007</v>
      </c>
      <c r="E102" s="7954" t="s">
        <v>3008</v>
      </c>
      <c r="F102" s="7954" t="s">
        <v>2896</v>
      </c>
      <c r="G102" s="7954" t="s">
        <v>3009</v>
      </c>
      <c r="H102" s="7954" t="s">
        <v>22</v>
      </c>
      <c r="I102" s="7954" t="s">
        <v>982</v>
      </c>
    </row>
    <row customHeight="1" ht="11.25">
      <c r="A103" s="7954" t="s">
        <v>2649</v>
      </c>
      <c r="B103" s="7954" t="s">
        <v>16</v>
      </c>
      <c r="C103" s="7954" t="s">
        <v>3010</v>
      </c>
      <c r="D103" s="7954" t="s">
        <v>3011</v>
      </c>
      <c r="E103" s="7954" t="s">
        <v>3012</v>
      </c>
      <c r="F103" s="7954" t="s">
        <v>2832</v>
      </c>
      <c r="G103" s="7954" t="s">
        <v>3013</v>
      </c>
      <c r="H103" s="7954" t="s">
        <v>22</v>
      </c>
      <c r="I103" s="7954" t="s">
        <v>982</v>
      </c>
    </row>
    <row customHeight="1" ht="11.25">
      <c r="A104" s="7954" t="s">
        <v>2649</v>
      </c>
      <c r="B104" s="7954" t="s">
        <v>16</v>
      </c>
      <c r="C104" s="7954" t="s">
        <v>3014</v>
      </c>
      <c r="D104" s="7954" t="s">
        <v>3015</v>
      </c>
      <c r="E104" s="7954" t="s">
        <v>3016</v>
      </c>
      <c r="F104" s="7954" t="s">
        <v>2955</v>
      </c>
      <c r="G104" s="7954" t="s">
        <v>3017</v>
      </c>
      <c r="H104" s="7954" t="s">
        <v>22</v>
      </c>
      <c r="I104" s="7954" t="s">
        <v>982</v>
      </c>
    </row>
    <row customHeight="1" ht="11.25">
      <c r="A105" s="7954" t="s">
        <v>2649</v>
      </c>
      <c r="B105" s="7954" t="s">
        <v>16</v>
      </c>
      <c r="C105" s="7954" t="s">
        <v>3018</v>
      </c>
      <c r="D105" s="7954" t="s">
        <v>3019</v>
      </c>
      <c r="E105" s="7954" t="s">
        <v>3020</v>
      </c>
      <c r="F105" s="7954" t="s">
        <v>2777</v>
      </c>
      <c r="G105" s="7954" t="s">
        <v>22</v>
      </c>
      <c r="H105" s="7954" t="s">
        <v>22</v>
      </c>
      <c r="I105" s="7954" t="s">
        <v>982</v>
      </c>
    </row>
    <row customHeight="1" ht="11.25">
      <c r="A106" s="7954" t="s">
        <v>2649</v>
      </c>
      <c r="B106" s="7954" t="s">
        <v>16</v>
      </c>
      <c r="C106" s="7954" t="s">
        <v>3021</v>
      </c>
      <c r="D106" s="7954" t="s">
        <v>3022</v>
      </c>
      <c r="E106" s="7954" t="s">
        <v>3023</v>
      </c>
      <c r="F106" s="7954" t="s">
        <v>2769</v>
      </c>
      <c r="G106" s="7954" t="s">
        <v>22</v>
      </c>
      <c r="H106" s="7954" t="s">
        <v>22</v>
      </c>
      <c r="I106" s="7954" t="s">
        <v>982</v>
      </c>
    </row>
    <row customHeight="1" ht="11.25">
      <c r="A107" s="7954" t="s">
        <v>2649</v>
      </c>
      <c r="B107" s="7954" t="s">
        <v>16</v>
      </c>
      <c r="C107" s="7954" t="s">
        <v>3024</v>
      </c>
      <c r="D107" s="7954" t="s">
        <v>3025</v>
      </c>
      <c r="E107" s="7954" t="s">
        <v>3026</v>
      </c>
      <c r="F107" s="7954" t="s">
        <v>2723</v>
      </c>
      <c r="G107" s="7954" t="s">
        <v>22</v>
      </c>
      <c r="H107" s="7954" t="s">
        <v>22</v>
      </c>
      <c r="I107" s="7954" t="s">
        <v>982</v>
      </c>
    </row>
    <row customHeight="1" ht="11.25">
      <c r="A108" s="7954" t="s">
        <v>2649</v>
      </c>
      <c r="B108" s="7954" t="s">
        <v>16</v>
      </c>
      <c r="C108" s="7954" t="s">
        <v>3027</v>
      </c>
      <c r="D108" s="7954" t="s">
        <v>3028</v>
      </c>
      <c r="E108" s="7954" t="s">
        <v>3029</v>
      </c>
      <c r="F108" s="7954" t="s">
        <v>2709</v>
      </c>
      <c r="G108" s="7954" t="s">
        <v>3030</v>
      </c>
      <c r="H108" s="7954" t="s">
        <v>22</v>
      </c>
      <c r="I108" s="7954" t="s">
        <v>982</v>
      </c>
    </row>
    <row customHeight="1" ht="11.25">
      <c r="A109" s="7954" t="s">
        <v>2649</v>
      </c>
      <c r="B109" s="7954" t="s">
        <v>16</v>
      </c>
      <c r="C109" s="7954" t="s">
        <v>3031</v>
      </c>
      <c r="D109" s="7954" t="s">
        <v>3032</v>
      </c>
      <c r="E109" s="7954" t="s">
        <v>3033</v>
      </c>
      <c r="F109" s="7954" t="s">
        <v>2785</v>
      </c>
      <c r="G109" s="7954" t="s">
        <v>22</v>
      </c>
      <c r="H109" s="7954" t="s">
        <v>22</v>
      </c>
      <c r="I109" s="7954" t="s">
        <v>982</v>
      </c>
    </row>
    <row customHeight="1" ht="11.25">
      <c r="A110" s="7954" t="s">
        <v>2649</v>
      </c>
      <c r="B110" s="7954" t="s">
        <v>16</v>
      </c>
      <c r="C110" s="7954" t="s">
        <v>3034</v>
      </c>
      <c r="D110" s="7954" t="s">
        <v>3035</v>
      </c>
      <c r="E110" s="7954" t="s">
        <v>3036</v>
      </c>
      <c r="F110" s="7954" t="s">
        <v>2769</v>
      </c>
      <c r="G110" s="7954" t="s">
        <v>22</v>
      </c>
      <c r="H110" s="7954" t="s">
        <v>22</v>
      </c>
      <c r="I110" s="7954" t="s">
        <v>982</v>
      </c>
    </row>
    <row customHeight="1" ht="11.25">
      <c r="A111" s="7954" t="s">
        <v>2649</v>
      </c>
      <c r="B111" s="7954" t="s">
        <v>16</v>
      </c>
      <c r="C111" s="7954" t="s">
        <v>3037</v>
      </c>
      <c r="D111" s="7954" t="s">
        <v>3038</v>
      </c>
      <c r="E111" s="7954" t="s">
        <v>3039</v>
      </c>
      <c r="F111" s="7954" t="s">
        <v>2777</v>
      </c>
      <c r="G111" s="7954" t="s">
        <v>22</v>
      </c>
      <c r="H111" s="7954" t="s">
        <v>22</v>
      </c>
      <c r="I111" s="7954" t="s">
        <v>982</v>
      </c>
    </row>
    <row customHeight="1" ht="11.25">
      <c r="A112" s="7954" t="s">
        <v>2649</v>
      </c>
      <c r="B112" s="7954" t="s">
        <v>16</v>
      </c>
      <c r="C112" s="7954" t="s">
        <v>3040</v>
      </c>
      <c r="D112" s="7954" t="s">
        <v>3041</v>
      </c>
      <c r="E112" s="7954" t="s">
        <v>3042</v>
      </c>
      <c r="F112" s="7954" t="s">
        <v>50</v>
      </c>
      <c r="G112" s="7954" t="s">
        <v>3043</v>
      </c>
      <c r="H112" s="7954" t="s">
        <v>22</v>
      </c>
      <c r="I112" s="7954" t="s">
        <v>982</v>
      </c>
    </row>
    <row customHeight="1" ht="11.25">
      <c r="A113" s="7954" t="s">
        <v>2649</v>
      </c>
      <c r="B113" s="7954" t="s">
        <v>16</v>
      </c>
      <c r="C113" s="7954" t="s">
        <v>3044</v>
      </c>
      <c r="D113" s="7954" t="s">
        <v>3045</v>
      </c>
      <c r="E113" s="7954" t="s">
        <v>3046</v>
      </c>
      <c r="F113" s="7954" t="s">
        <v>2875</v>
      </c>
      <c r="G113" s="7954" t="s">
        <v>3047</v>
      </c>
      <c r="H113" s="7954" t="s">
        <v>22</v>
      </c>
      <c r="I113" s="7954" t="s">
        <v>982</v>
      </c>
    </row>
    <row customHeight="1" ht="11.25">
      <c r="A114" s="7954" t="s">
        <v>2649</v>
      </c>
      <c r="B114" s="7954" t="s">
        <v>16</v>
      </c>
      <c r="C114" s="7954" t="s">
        <v>3048</v>
      </c>
      <c r="D114" s="7954" t="s">
        <v>3049</v>
      </c>
      <c r="E114" s="7954" t="s">
        <v>3050</v>
      </c>
      <c r="F114" s="7954" t="s">
        <v>2864</v>
      </c>
      <c r="G114" s="7954" t="s">
        <v>3051</v>
      </c>
      <c r="H114" s="7954" t="s">
        <v>22</v>
      </c>
      <c r="I114" s="7954" t="s">
        <v>982</v>
      </c>
    </row>
    <row customHeight="1" ht="11.25">
      <c r="A115" s="7954" t="s">
        <v>2649</v>
      </c>
      <c r="B115" s="7954" t="s">
        <v>16</v>
      </c>
      <c r="C115" s="7954" t="s">
        <v>13</v>
      </c>
      <c r="D115" s="7954" t="s">
        <v>45</v>
      </c>
      <c r="E115" s="7954" t="s">
        <v>48</v>
      </c>
      <c r="F115" s="7954" t="s">
        <v>50</v>
      </c>
      <c r="G115" s="7954" t="s">
        <v>22</v>
      </c>
      <c r="H115" s="7954" t="s">
        <v>22</v>
      </c>
      <c r="I115" s="7954" t="s">
        <v>982</v>
      </c>
    </row>
    <row customHeight="1" ht="11.25">
      <c r="A116" s="7954" t="s">
        <v>2649</v>
      </c>
      <c r="B116" s="7954" t="s">
        <v>16</v>
      </c>
      <c r="C116" s="7954" t="s">
        <v>3052</v>
      </c>
      <c r="D116" s="7954" t="s">
        <v>3053</v>
      </c>
      <c r="E116" s="7954" t="s">
        <v>3054</v>
      </c>
      <c r="F116" s="7954" t="s">
        <v>50</v>
      </c>
      <c r="G116" s="7954" t="s">
        <v>3055</v>
      </c>
      <c r="H116" s="7954" t="s">
        <v>22</v>
      </c>
      <c r="I116" s="7954" t="s">
        <v>982</v>
      </c>
    </row>
    <row customHeight="1" ht="11.25">
      <c r="A117" s="7954" t="s">
        <v>2649</v>
      </c>
      <c r="B117" s="7954" t="s">
        <v>16</v>
      </c>
      <c r="C117" s="7954" t="s">
        <v>3056</v>
      </c>
      <c r="D117" s="7954" t="s">
        <v>3057</v>
      </c>
      <c r="E117" s="7954" t="s">
        <v>3058</v>
      </c>
      <c r="F117" s="7954" t="s">
        <v>2686</v>
      </c>
      <c r="G117" s="7954" t="s">
        <v>22</v>
      </c>
      <c r="H117" s="7954" t="s">
        <v>22</v>
      </c>
      <c r="I117" s="7954" t="s">
        <v>982</v>
      </c>
    </row>
    <row customHeight="1" ht="11.25">
      <c r="A118" s="7954" t="s">
        <v>2649</v>
      </c>
      <c r="B118" s="7954" t="s">
        <v>16</v>
      </c>
      <c r="C118" s="7954" t="s">
        <v>3059</v>
      </c>
      <c r="D118" s="7954" t="s">
        <v>3060</v>
      </c>
      <c r="E118" s="7954" t="s">
        <v>3061</v>
      </c>
      <c r="F118" s="7954" t="s">
        <v>2827</v>
      </c>
      <c r="G118" s="7954" t="s">
        <v>3062</v>
      </c>
      <c r="H118" s="7954" t="s">
        <v>22</v>
      </c>
      <c r="I118" s="7954" t="s">
        <v>982</v>
      </c>
    </row>
    <row customHeight="1" ht="11.25">
      <c r="A119" s="7954" t="s">
        <v>2649</v>
      </c>
      <c r="B119" s="7954" t="s">
        <v>16</v>
      </c>
      <c r="C119" s="7954" t="s">
        <v>3063</v>
      </c>
      <c r="D119" s="7954" t="s">
        <v>3064</v>
      </c>
      <c r="E119" s="7954" t="s">
        <v>3065</v>
      </c>
      <c r="F119" s="7954" t="s">
        <v>2709</v>
      </c>
      <c r="G119" s="7954" t="s">
        <v>3066</v>
      </c>
      <c r="H119" s="7954" t="s">
        <v>22</v>
      </c>
      <c r="I119" s="7954" t="s">
        <v>982</v>
      </c>
    </row>
    <row customHeight="1" ht="11.25">
      <c r="A120" s="7954" t="s">
        <v>2649</v>
      </c>
      <c r="B120" s="7954" t="s">
        <v>16</v>
      </c>
      <c r="C120" s="7954" t="s">
        <v>3067</v>
      </c>
      <c r="D120" s="7954" t="s">
        <v>3068</v>
      </c>
      <c r="E120" s="7954" t="s">
        <v>3069</v>
      </c>
      <c r="F120" s="7954" t="s">
        <v>2769</v>
      </c>
      <c r="G120" s="7954" t="s">
        <v>3070</v>
      </c>
      <c r="H120" s="7954" t="s">
        <v>22</v>
      </c>
      <c r="I120" s="7954" t="s">
        <v>982</v>
      </c>
    </row>
    <row customHeight="1" ht="11.25">
      <c r="A121" s="7954" t="s">
        <v>2649</v>
      </c>
      <c r="B121" s="7954" t="s">
        <v>16</v>
      </c>
      <c r="C121" s="7954" t="s">
        <v>3071</v>
      </c>
      <c r="D121" s="7954" t="s">
        <v>3072</v>
      </c>
      <c r="E121" s="7954" t="s">
        <v>3073</v>
      </c>
      <c r="F121" s="7954" t="s">
        <v>2663</v>
      </c>
      <c r="G121" s="7954" t="s">
        <v>22</v>
      </c>
      <c r="H121" s="7954" t="s">
        <v>22</v>
      </c>
      <c r="I121" s="7954" t="s">
        <v>982</v>
      </c>
    </row>
    <row customHeight="1" ht="11.25">
      <c r="A122" s="7954" t="s">
        <v>2649</v>
      </c>
      <c r="B122" s="7954" t="s">
        <v>16</v>
      </c>
      <c r="C122" s="7954" t="s">
        <v>3074</v>
      </c>
      <c r="D122" s="7954" t="s">
        <v>3075</v>
      </c>
      <c r="E122" s="7954" t="s">
        <v>3076</v>
      </c>
      <c r="F122" s="7954" t="s">
        <v>2742</v>
      </c>
      <c r="G122" s="7954" t="s">
        <v>3077</v>
      </c>
      <c r="H122" s="7954" t="s">
        <v>22</v>
      </c>
      <c r="I122" s="7954" t="s">
        <v>982</v>
      </c>
    </row>
    <row customHeight="1" ht="11.25">
      <c r="A123" s="7954" t="s">
        <v>2649</v>
      </c>
      <c r="B123" s="7954" t="s">
        <v>16</v>
      </c>
      <c r="C123" s="7954" t="s">
        <v>3078</v>
      </c>
      <c r="D123" s="7954" t="s">
        <v>3079</v>
      </c>
      <c r="E123" s="7954" t="s">
        <v>3080</v>
      </c>
      <c r="F123" s="7954" t="s">
        <v>2719</v>
      </c>
      <c r="G123" s="7954" t="s">
        <v>22</v>
      </c>
      <c r="H123" s="7954" t="s">
        <v>22</v>
      </c>
      <c r="I123" s="7954" t="s">
        <v>982</v>
      </c>
    </row>
    <row customHeight="1" ht="11.25">
      <c r="A124" s="7954" t="s">
        <v>2649</v>
      </c>
      <c r="B124" s="7954" t="s">
        <v>16</v>
      </c>
      <c r="C124" s="7954" t="s">
        <v>3081</v>
      </c>
      <c r="D124" s="7954" t="s">
        <v>3082</v>
      </c>
      <c r="E124" s="7954" t="s">
        <v>3083</v>
      </c>
      <c r="F124" s="7954" t="s">
        <v>2785</v>
      </c>
      <c r="G124" s="7954" t="s">
        <v>3084</v>
      </c>
      <c r="H124" s="7954" t="s">
        <v>22</v>
      </c>
      <c r="I124" s="7954" t="s">
        <v>982</v>
      </c>
    </row>
    <row customHeight="1" ht="11.25">
      <c r="A125" s="7954" t="s">
        <v>2649</v>
      </c>
      <c r="B125" s="7954" t="s">
        <v>16</v>
      </c>
      <c r="C125" s="7954" t="s">
        <v>3085</v>
      </c>
      <c r="D125" s="7954" t="s">
        <v>3086</v>
      </c>
      <c r="E125" s="7954" t="s">
        <v>3087</v>
      </c>
      <c r="F125" s="7954" t="s">
        <v>2832</v>
      </c>
      <c r="G125" s="7954" t="s">
        <v>22</v>
      </c>
      <c r="H125" s="7954" t="s">
        <v>22</v>
      </c>
      <c r="I125" s="7954" t="s">
        <v>982</v>
      </c>
    </row>
    <row customHeight="1" ht="11.25">
      <c r="A126" s="7954" t="s">
        <v>2649</v>
      </c>
      <c r="B126" s="7954" t="s">
        <v>16</v>
      </c>
      <c r="C126" s="7954" t="s">
        <v>3088</v>
      </c>
      <c r="D126" s="7954" t="s">
        <v>3089</v>
      </c>
      <c r="E126" s="7954" t="s">
        <v>3090</v>
      </c>
      <c r="F126" s="7954" t="s">
        <v>2781</v>
      </c>
      <c r="G126" s="7954" t="s">
        <v>3091</v>
      </c>
      <c r="H126" s="7954" t="s">
        <v>22</v>
      </c>
      <c r="I126" s="7954" t="s">
        <v>982</v>
      </c>
    </row>
    <row customHeight="1" ht="11.25">
      <c r="A127" s="7954" t="s">
        <v>2649</v>
      </c>
      <c r="B127" s="7954" t="s">
        <v>16</v>
      </c>
      <c r="C127" s="7954" t="s">
        <v>3092</v>
      </c>
      <c r="D127" s="7954" t="s">
        <v>3093</v>
      </c>
      <c r="E127" s="7954" t="s">
        <v>3094</v>
      </c>
      <c r="F127" s="7954" t="s">
        <v>2678</v>
      </c>
      <c r="G127" s="7954" t="s">
        <v>22</v>
      </c>
      <c r="H127" s="7954" t="s">
        <v>22</v>
      </c>
      <c r="I127" s="7954" t="s">
        <v>982</v>
      </c>
    </row>
    <row customHeight="1" ht="11.25">
      <c r="A128" s="7954" t="s">
        <v>2649</v>
      </c>
      <c r="B128" s="7954" t="s">
        <v>16</v>
      </c>
      <c r="C128" s="7954" t="s">
        <v>3095</v>
      </c>
      <c r="D128" s="7954" t="s">
        <v>3096</v>
      </c>
      <c r="E128" s="7954" t="s">
        <v>3097</v>
      </c>
      <c r="F128" s="7954" t="s">
        <v>3098</v>
      </c>
      <c r="G128" s="7954" t="s">
        <v>22</v>
      </c>
      <c r="H128" s="7954" t="s">
        <v>22</v>
      </c>
      <c r="I128" s="7954" t="s">
        <v>982</v>
      </c>
    </row>
    <row customHeight="1" ht="11.25">
      <c r="A129" s="7954" t="s">
        <v>2649</v>
      </c>
      <c r="B129" s="7954" t="s">
        <v>16</v>
      </c>
      <c r="C129" s="7954" t="s">
        <v>3099</v>
      </c>
      <c r="D129" s="7954" t="s">
        <v>3100</v>
      </c>
      <c r="E129" s="7954" t="s">
        <v>3101</v>
      </c>
      <c r="F129" s="7954" t="s">
        <v>2832</v>
      </c>
      <c r="G129" s="7954" t="s">
        <v>22</v>
      </c>
      <c r="H129" s="7954" t="s">
        <v>22</v>
      </c>
      <c r="I129" s="7954" t="s">
        <v>982</v>
      </c>
    </row>
    <row customHeight="1" ht="11.25">
      <c r="A130" s="7954" t="s">
        <v>2649</v>
      </c>
      <c r="B130" s="7954" t="s">
        <v>16</v>
      </c>
      <c r="C130" s="7954" t="s">
        <v>3102</v>
      </c>
      <c r="D130" s="7954" t="s">
        <v>3103</v>
      </c>
      <c r="E130" s="7954" t="s">
        <v>3104</v>
      </c>
      <c r="F130" s="7954" t="s">
        <v>2832</v>
      </c>
      <c r="G130" s="7954" t="s">
        <v>22</v>
      </c>
      <c r="H130" s="7954" t="s">
        <v>22</v>
      </c>
      <c r="I130" s="7954" t="s">
        <v>982</v>
      </c>
    </row>
    <row customHeight="1" ht="11.25">
      <c r="A131" s="7954" t="s">
        <v>2649</v>
      </c>
      <c r="B131" s="7954" t="s">
        <v>16</v>
      </c>
      <c r="C131" s="7954" t="s">
        <v>3105</v>
      </c>
      <c r="D131" s="7954" t="s">
        <v>3106</v>
      </c>
      <c r="E131" s="7954" t="s">
        <v>3107</v>
      </c>
      <c r="F131" s="7954" t="s">
        <v>2663</v>
      </c>
      <c r="G131" s="7954" t="s">
        <v>22</v>
      </c>
      <c r="H131" s="7954" t="s">
        <v>22</v>
      </c>
      <c r="I131" s="7954" t="s">
        <v>982</v>
      </c>
    </row>
    <row customHeight="1" ht="11.25">
      <c r="A132" s="7954" t="s">
        <v>2649</v>
      </c>
      <c r="B132" s="7954" t="s">
        <v>16</v>
      </c>
      <c r="C132" s="7954" t="s">
        <v>3108</v>
      </c>
      <c r="D132" s="7954" t="s">
        <v>3109</v>
      </c>
      <c r="E132" s="7954" t="s">
        <v>3110</v>
      </c>
      <c r="F132" s="7954" t="s">
        <v>2955</v>
      </c>
      <c r="G132" s="7954" t="s">
        <v>22</v>
      </c>
      <c r="H132" s="7954" t="s">
        <v>22</v>
      </c>
      <c r="I132" s="7954" t="s">
        <v>982</v>
      </c>
    </row>
    <row customHeight="1" ht="11.25">
      <c r="A133" s="7954" t="s">
        <v>2649</v>
      </c>
      <c r="B133" s="7954" t="s">
        <v>16</v>
      </c>
      <c r="C133" s="7954" t="s">
        <v>3111</v>
      </c>
      <c r="D133" s="7954" t="s">
        <v>3112</v>
      </c>
      <c r="E133" s="7954" t="s">
        <v>3113</v>
      </c>
      <c r="F133" s="7954" t="s">
        <v>2769</v>
      </c>
      <c r="G133" s="7954" t="s">
        <v>22</v>
      </c>
      <c r="H133" s="7954" t="s">
        <v>22</v>
      </c>
      <c r="I133" s="7954" t="s">
        <v>982</v>
      </c>
    </row>
    <row customHeight="1" ht="11.25">
      <c r="A134" s="7954" t="s">
        <v>2649</v>
      </c>
      <c r="B134" s="7954" t="s">
        <v>16</v>
      </c>
      <c r="C134" s="7954" t="s">
        <v>3114</v>
      </c>
      <c r="D134" s="7954" t="s">
        <v>3115</v>
      </c>
      <c r="E134" s="7954" t="s">
        <v>3116</v>
      </c>
      <c r="F134" s="7954" t="s">
        <v>2886</v>
      </c>
      <c r="G134" s="7954" t="s">
        <v>22</v>
      </c>
      <c r="H134" s="7954" t="s">
        <v>22</v>
      </c>
      <c r="I134" s="7954" t="s">
        <v>982</v>
      </c>
    </row>
    <row customHeight="1" ht="11.25">
      <c r="A135" s="7954" t="s">
        <v>2649</v>
      </c>
      <c r="B135" s="7954" t="s">
        <v>16</v>
      </c>
      <c r="C135" s="7954" t="s">
        <v>3117</v>
      </c>
      <c r="D135" s="7954" t="s">
        <v>3118</v>
      </c>
      <c r="E135" s="7954" t="s">
        <v>3119</v>
      </c>
      <c r="F135" s="7954" t="s">
        <v>2777</v>
      </c>
      <c r="G135" s="7954" t="s">
        <v>22</v>
      </c>
      <c r="H135" s="7954" t="s">
        <v>22</v>
      </c>
      <c r="I135" s="7954" t="s">
        <v>982</v>
      </c>
    </row>
    <row customHeight="1" ht="11.25">
      <c r="A136" s="7954" t="s">
        <v>2649</v>
      </c>
      <c r="B136" s="7954" t="s">
        <v>16</v>
      </c>
      <c r="C136" s="7954" t="s">
        <v>3120</v>
      </c>
      <c r="D136" s="7954" t="s">
        <v>3121</v>
      </c>
      <c r="E136" s="7954" t="s">
        <v>3122</v>
      </c>
      <c r="F136" s="7954" t="s">
        <v>2686</v>
      </c>
      <c r="G136" s="7954" t="s">
        <v>2843</v>
      </c>
      <c r="H136" s="7954" t="s">
        <v>22</v>
      </c>
      <c r="I136" s="7954" t="s">
        <v>982</v>
      </c>
    </row>
    <row customHeight="1" ht="11.25">
      <c r="A137" s="7954" t="s">
        <v>2649</v>
      </c>
      <c r="B137" s="7954" t="s">
        <v>16</v>
      </c>
      <c r="C137" s="7954" t="s">
        <v>3123</v>
      </c>
      <c r="D137" s="7954" t="s">
        <v>3124</v>
      </c>
      <c r="E137" s="7954" t="s">
        <v>3125</v>
      </c>
      <c r="F137" s="7954" t="s">
        <v>3126</v>
      </c>
      <c r="G137" s="7954" t="s">
        <v>22</v>
      </c>
      <c r="H137" s="7954" t="s">
        <v>22</v>
      </c>
      <c r="I137" s="7954" t="s">
        <v>982</v>
      </c>
    </row>
    <row customHeight="1" ht="11.25">
      <c r="A138" s="7954" t="s">
        <v>2649</v>
      </c>
      <c r="B138" s="7954" t="s">
        <v>16</v>
      </c>
      <c r="C138" s="7954" t="s">
        <v>3127</v>
      </c>
      <c r="D138" s="7954" t="s">
        <v>3128</v>
      </c>
      <c r="E138" s="7954" t="s">
        <v>2981</v>
      </c>
      <c r="F138" s="7954" t="s">
        <v>3129</v>
      </c>
      <c r="G138" s="7954" t="s">
        <v>22</v>
      </c>
      <c r="H138" s="7954" t="s">
        <v>22</v>
      </c>
      <c r="I138" s="7954" t="s">
        <v>982</v>
      </c>
    </row>
    <row customHeight="1" ht="11.25">
      <c r="A139" s="7954" t="s">
        <v>2649</v>
      </c>
      <c r="B139" s="7954" t="s">
        <v>16</v>
      </c>
      <c r="C139" s="7954" t="s">
        <v>3130</v>
      </c>
      <c r="D139" s="7954" t="s">
        <v>3131</v>
      </c>
      <c r="E139" s="7954" t="s">
        <v>2981</v>
      </c>
      <c r="F139" s="7954" t="s">
        <v>3132</v>
      </c>
      <c r="G139" s="7954" t="s">
        <v>22</v>
      </c>
      <c r="H139" s="7954" t="s">
        <v>22</v>
      </c>
      <c r="I139" s="7954" t="s">
        <v>982</v>
      </c>
    </row>
    <row customHeight="1" ht="11.25">
      <c r="A140" s="7954" t="s">
        <v>2649</v>
      </c>
      <c r="B140" s="7954" t="s">
        <v>16</v>
      </c>
      <c r="C140" s="7954" t="s">
        <v>3133</v>
      </c>
      <c r="D140" s="7954" t="s">
        <v>3134</v>
      </c>
      <c r="E140" s="7954" t="s">
        <v>2981</v>
      </c>
      <c r="F140" s="7954" t="s">
        <v>3135</v>
      </c>
      <c r="G140" s="7954" t="s">
        <v>22</v>
      </c>
      <c r="H140" s="7954" t="s">
        <v>22</v>
      </c>
      <c r="I140" s="7954" t="s">
        <v>982</v>
      </c>
    </row>
    <row customHeight="1" ht="11.25">
      <c r="A141" s="7954" t="s">
        <v>2649</v>
      </c>
      <c r="B141" s="7954" t="s">
        <v>16</v>
      </c>
      <c r="C141" s="7954" t="s">
        <v>3136</v>
      </c>
      <c r="D141" s="7954" t="s">
        <v>3137</v>
      </c>
      <c r="E141" s="7954" t="s">
        <v>3138</v>
      </c>
      <c r="F141" s="7954" t="s">
        <v>2769</v>
      </c>
      <c r="G141" s="7954" t="s">
        <v>22</v>
      </c>
      <c r="H141" s="7954" t="s">
        <v>22</v>
      </c>
      <c r="I141" s="7954" t="s">
        <v>982</v>
      </c>
    </row>
    <row customHeight="1" ht="11.25">
      <c r="A142" s="7954" t="s">
        <v>2649</v>
      </c>
      <c r="B142" s="7954" t="s">
        <v>16</v>
      </c>
      <c r="C142" s="7954" t="s">
        <v>3139</v>
      </c>
      <c r="D142" s="7954" t="s">
        <v>3140</v>
      </c>
      <c r="E142" s="7954" t="s">
        <v>3141</v>
      </c>
      <c r="F142" s="7954" t="s">
        <v>50</v>
      </c>
      <c r="G142" s="7954" t="s">
        <v>22</v>
      </c>
      <c r="H142" s="7954" t="s">
        <v>22</v>
      </c>
      <c r="I142" s="7954" t="s">
        <v>982</v>
      </c>
    </row>
    <row customHeight="1" ht="11.25">
      <c r="A143" s="7954" t="s">
        <v>2649</v>
      </c>
      <c r="B143" s="7954" t="s">
        <v>16</v>
      </c>
      <c r="C143" s="7954" t="s">
        <v>3142</v>
      </c>
      <c r="D143" s="7954" t="s">
        <v>3143</v>
      </c>
      <c r="E143" s="7954" t="s">
        <v>3144</v>
      </c>
      <c r="F143" s="7954" t="s">
        <v>2686</v>
      </c>
      <c r="G143" s="7954" t="s">
        <v>22</v>
      </c>
      <c r="H143" s="7954" t="s">
        <v>22</v>
      </c>
      <c r="I143" s="7954" t="s">
        <v>982</v>
      </c>
    </row>
    <row customHeight="1" ht="11.25">
      <c r="A144" s="7954" t="s">
        <v>2649</v>
      </c>
      <c r="B144" s="7954" t="s">
        <v>16</v>
      </c>
      <c r="C144" s="7954" t="s">
        <v>3145</v>
      </c>
      <c r="D144" s="7954" t="s">
        <v>3146</v>
      </c>
      <c r="E144" s="7954" t="s">
        <v>3147</v>
      </c>
      <c r="F144" s="7954" t="s">
        <v>2896</v>
      </c>
      <c r="G144" s="7954" t="s">
        <v>22</v>
      </c>
      <c r="H144" s="7954" t="s">
        <v>22</v>
      </c>
      <c r="I144" s="7954" t="s">
        <v>982</v>
      </c>
    </row>
    <row customHeight="1" ht="11.25">
      <c r="A145" s="7954" t="s">
        <v>2649</v>
      </c>
      <c r="B145" s="7954" t="s">
        <v>16</v>
      </c>
      <c r="C145" s="7954" t="s">
        <v>3148</v>
      </c>
      <c r="D145" s="7954" t="s">
        <v>3149</v>
      </c>
      <c r="E145" s="7954" t="s">
        <v>3150</v>
      </c>
      <c r="F145" s="7954" t="s">
        <v>2686</v>
      </c>
      <c r="G145" s="7954" t="s">
        <v>22</v>
      </c>
      <c r="H145" s="7954" t="s">
        <v>22</v>
      </c>
      <c r="I145" s="7954" t="s">
        <v>982</v>
      </c>
    </row>
    <row customHeight="1" ht="11.25">
      <c r="A146" s="7954" t="s">
        <v>2649</v>
      </c>
      <c r="B146" s="7954" t="s">
        <v>16</v>
      </c>
      <c r="C146" s="7954" t="s">
        <v>3151</v>
      </c>
      <c r="D146" s="7954" t="s">
        <v>3152</v>
      </c>
      <c r="E146" s="7954" t="s">
        <v>3153</v>
      </c>
      <c r="F146" s="7954" t="s">
        <v>2827</v>
      </c>
      <c r="G146" s="7954" t="s">
        <v>22</v>
      </c>
      <c r="H146" s="7954" t="s">
        <v>22</v>
      </c>
      <c r="I146" s="7954" t="s">
        <v>982</v>
      </c>
    </row>
    <row customHeight="1" ht="11.25">
      <c r="A147" s="7954" t="s">
        <v>2649</v>
      </c>
      <c r="B147" s="7954" t="s">
        <v>16</v>
      </c>
      <c r="C147" s="7954" t="s">
        <v>3154</v>
      </c>
      <c r="D147" s="7954" t="s">
        <v>3155</v>
      </c>
      <c r="E147" s="7954" t="s">
        <v>3156</v>
      </c>
      <c r="F147" s="7954" t="s">
        <v>2686</v>
      </c>
      <c r="G147" s="7954" t="s">
        <v>2843</v>
      </c>
      <c r="H147" s="7954" t="s">
        <v>22</v>
      </c>
      <c r="I147" s="7954" t="s">
        <v>982</v>
      </c>
    </row>
    <row customHeight="1" ht="11.25">
      <c r="A148" s="7954" t="s">
        <v>2649</v>
      </c>
      <c r="B148" s="7954" t="s">
        <v>16</v>
      </c>
      <c r="C148" s="7954" t="s">
        <v>3157</v>
      </c>
      <c r="D148" s="7954" t="s">
        <v>3158</v>
      </c>
      <c r="E148" s="7954" t="s">
        <v>3159</v>
      </c>
      <c r="F148" s="7954" t="s">
        <v>2686</v>
      </c>
      <c r="G148" s="7954" t="s">
        <v>22</v>
      </c>
      <c r="H148" s="7954" t="s">
        <v>22</v>
      </c>
      <c r="I148" s="7954" t="s">
        <v>982</v>
      </c>
    </row>
    <row customHeight="1" ht="11.25">
      <c r="A149" s="7954" t="s">
        <v>2649</v>
      </c>
      <c r="B149" s="7954" t="s">
        <v>16</v>
      </c>
      <c r="C149" s="7954" t="s">
        <v>3160</v>
      </c>
      <c r="D149" s="7954" t="s">
        <v>3161</v>
      </c>
      <c r="E149" s="7954" t="s">
        <v>3162</v>
      </c>
      <c r="F149" s="7954" t="s">
        <v>2781</v>
      </c>
      <c r="G149" s="7954" t="s">
        <v>22</v>
      </c>
      <c r="H149" s="7954" t="s">
        <v>22</v>
      </c>
      <c r="I149" s="7954" t="s">
        <v>982</v>
      </c>
    </row>
    <row customHeight="1" ht="11.25">
      <c r="A150" s="7954" t="s">
        <v>2649</v>
      </c>
      <c r="B150" s="7954" t="s">
        <v>16</v>
      </c>
      <c r="C150" s="7954" t="s">
        <v>3163</v>
      </c>
      <c r="D150" s="7954" t="s">
        <v>3164</v>
      </c>
      <c r="E150" s="7954" t="s">
        <v>3165</v>
      </c>
      <c r="F150" s="7954" t="s">
        <v>2886</v>
      </c>
      <c r="G150" s="7954" t="s">
        <v>22</v>
      </c>
      <c r="H150" s="7954" t="s">
        <v>22</v>
      </c>
      <c r="I150" s="7954" t="s">
        <v>982</v>
      </c>
    </row>
    <row customHeight="1" ht="11.25">
      <c r="A151" s="7954" t="s">
        <v>2649</v>
      </c>
      <c r="B151" s="7954" t="s">
        <v>16</v>
      </c>
      <c r="C151" s="7954" t="s">
        <v>3166</v>
      </c>
      <c r="D151" s="7954" t="s">
        <v>3167</v>
      </c>
      <c r="E151" s="7954" t="s">
        <v>3168</v>
      </c>
      <c r="F151" s="7954" t="s">
        <v>2896</v>
      </c>
      <c r="G151" s="7954" t="s">
        <v>22</v>
      </c>
      <c r="H151" s="7954" t="s">
        <v>22</v>
      </c>
      <c r="I151" s="7954" t="s">
        <v>982</v>
      </c>
    </row>
    <row customHeight="1" ht="11.25">
      <c r="A152" s="7954" t="s">
        <v>2649</v>
      </c>
      <c r="B152" s="7954" t="s">
        <v>16</v>
      </c>
      <c r="C152" s="7954" t="s">
        <v>3169</v>
      </c>
      <c r="D152" s="7954" t="s">
        <v>3170</v>
      </c>
      <c r="E152" s="7954" t="s">
        <v>3171</v>
      </c>
      <c r="F152" s="7954" t="s">
        <v>2678</v>
      </c>
      <c r="G152" s="7954" t="s">
        <v>22</v>
      </c>
      <c r="H152" s="7954" t="s">
        <v>22</v>
      </c>
      <c r="I152" s="7954" t="s">
        <v>982</v>
      </c>
    </row>
    <row customHeight="1" ht="11.25">
      <c r="A153" s="7954" t="s">
        <v>2649</v>
      </c>
      <c r="B153" s="7954" t="s">
        <v>16</v>
      </c>
      <c r="C153" s="7954" t="s">
        <v>3172</v>
      </c>
      <c r="D153" s="7954" t="s">
        <v>3173</v>
      </c>
      <c r="E153" s="7954" t="s">
        <v>3174</v>
      </c>
      <c r="F153" s="7954" t="s">
        <v>2769</v>
      </c>
      <c r="G153" s="7954" t="s">
        <v>22</v>
      </c>
      <c r="H153" s="7954" t="s">
        <v>22</v>
      </c>
      <c r="I153" s="7954" t="s">
        <v>982</v>
      </c>
    </row>
    <row customHeight="1" ht="11.25">
      <c r="A154" s="7954" t="s">
        <v>2649</v>
      </c>
      <c r="B154" s="7954" t="s">
        <v>16</v>
      </c>
      <c r="C154" s="7954" t="s">
        <v>3175</v>
      </c>
      <c r="D154" s="7954" t="s">
        <v>3176</v>
      </c>
      <c r="E154" s="7954" t="s">
        <v>3177</v>
      </c>
      <c r="F154" s="7954" t="s">
        <v>2663</v>
      </c>
      <c r="G154" s="7954" t="s">
        <v>22</v>
      </c>
      <c r="H154" s="7954" t="s">
        <v>22</v>
      </c>
      <c r="I154" s="7954" t="s">
        <v>982</v>
      </c>
    </row>
    <row customHeight="1" ht="11.25">
      <c r="A155" s="7954" t="s">
        <v>2649</v>
      </c>
      <c r="B155" s="7954" t="s">
        <v>16</v>
      </c>
      <c r="C155" s="7954" t="s">
        <v>3178</v>
      </c>
      <c r="D155" s="7954" t="s">
        <v>3179</v>
      </c>
      <c r="E155" s="7954" t="s">
        <v>3180</v>
      </c>
      <c r="F155" s="7954" t="s">
        <v>2727</v>
      </c>
      <c r="G155" s="7954" t="s">
        <v>22</v>
      </c>
      <c r="H155" s="7954" t="s">
        <v>22</v>
      </c>
      <c r="I155" s="7954" t="s">
        <v>982</v>
      </c>
    </row>
    <row customHeight="1" ht="11.25">
      <c r="A156" s="7954" t="s">
        <v>2649</v>
      </c>
      <c r="B156" s="7954" t="s">
        <v>16</v>
      </c>
      <c r="C156" s="7954" t="s">
        <v>3181</v>
      </c>
      <c r="D156" s="7954" t="s">
        <v>3182</v>
      </c>
      <c r="E156" s="7954" t="s">
        <v>3183</v>
      </c>
      <c r="F156" s="7954" t="s">
        <v>2686</v>
      </c>
      <c r="G156" s="7954" t="s">
        <v>22</v>
      </c>
      <c r="H156" s="7954" t="s">
        <v>22</v>
      </c>
      <c r="I156" s="7954" t="s">
        <v>982</v>
      </c>
    </row>
    <row customHeight="1" ht="11.25">
      <c r="A157" s="7954" t="s">
        <v>2649</v>
      </c>
      <c r="B157" s="7954" t="s">
        <v>16</v>
      </c>
      <c r="C157" s="7954" t="s">
        <v>3184</v>
      </c>
      <c r="D157" s="7954" t="s">
        <v>3185</v>
      </c>
      <c r="E157" s="7954" t="s">
        <v>3186</v>
      </c>
      <c r="F157" s="7954" t="s">
        <v>2886</v>
      </c>
      <c r="G157" s="7954" t="s">
        <v>22</v>
      </c>
      <c r="H157" s="7954" t="s">
        <v>22</v>
      </c>
      <c r="I157" s="7954" t="s">
        <v>982</v>
      </c>
    </row>
    <row customHeight="1" ht="11.25">
      <c r="A158" s="7954" t="s">
        <v>2649</v>
      </c>
      <c r="B158" s="7954" t="s">
        <v>16</v>
      </c>
      <c r="C158" s="7954" t="s">
        <v>3187</v>
      </c>
      <c r="D158" s="7954" t="s">
        <v>3188</v>
      </c>
      <c r="E158" s="7954" t="s">
        <v>3189</v>
      </c>
      <c r="F158" s="7954" t="s">
        <v>2663</v>
      </c>
      <c r="G158" s="7954" t="s">
        <v>3009</v>
      </c>
      <c r="H158" s="7954" t="s">
        <v>22</v>
      </c>
      <c r="I158" s="7954" t="s">
        <v>982</v>
      </c>
    </row>
    <row customHeight="1" ht="11.25">
      <c r="A159" s="7954" t="s">
        <v>2649</v>
      </c>
      <c r="B159" s="7954" t="s">
        <v>16</v>
      </c>
      <c r="C159" s="7954" t="s">
        <v>3190</v>
      </c>
      <c r="D159" s="7954" t="s">
        <v>3191</v>
      </c>
      <c r="E159" s="7954" t="s">
        <v>3192</v>
      </c>
      <c r="F159" s="7954" t="s">
        <v>2832</v>
      </c>
      <c r="G159" s="7954" t="s">
        <v>22</v>
      </c>
      <c r="H159" s="7954" t="s">
        <v>22</v>
      </c>
      <c r="I159" s="7954" t="s">
        <v>982</v>
      </c>
    </row>
    <row customHeight="1" ht="11.25">
      <c r="A160" s="7954" t="s">
        <v>2649</v>
      </c>
      <c r="B160" s="7954" t="s">
        <v>16</v>
      </c>
      <c r="C160" s="7954" t="s">
        <v>3193</v>
      </c>
      <c r="D160" s="7954" t="s">
        <v>3194</v>
      </c>
      <c r="E160" s="7954" t="s">
        <v>3195</v>
      </c>
      <c r="F160" s="7954" t="s">
        <v>2832</v>
      </c>
      <c r="G160" s="7954" t="s">
        <v>22</v>
      </c>
      <c r="H160" s="7954" t="s">
        <v>22</v>
      </c>
      <c r="I160" s="7954" t="s">
        <v>982</v>
      </c>
    </row>
    <row customHeight="1" ht="11.25">
      <c r="A161" s="7954" t="s">
        <v>2649</v>
      </c>
      <c r="B161" s="7954" t="s">
        <v>16</v>
      </c>
      <c r="C161" s="7954" t="s">
        <v>3196</v>
      </c>
      <c r="D161" s="7954" t="s">
        <v>3197</v>
      </c>
      <c r="E161" s="7954" t="s">
        <v>3198</v>
      </c>
      <c r="F161" s="7954" t="s">
        <v>2785</v>
      </c>
      <c r="G161" s="7954" t="s">
        <v>22</v>
      </c>
      <c r="H161" s="7954" t="s">
        <v>22</v>
      </c>
      <c r="I161" s="7954" t="s">
        <v>982</v>
      </c>
    </row>
    <row customHeight="1" ht="11.25">
      <c r="A162" s="7954" t="s">
        <v>2649</v>
      </c>
      <c r="B162" s="7954" t="s">
        <v>16</v>
      </c>
      <c r="C162" s="7954" t="s">
        <v>3199</v>
      </c>
      <c r="D162" s="7954" t="s">
        <v>3200</v>
      </c>
      <c r="E162" s="7954" t="s">
        <v>3201</v>
      </c>
      <c r="F162" s="7954" t="s">
        <v>50</v>
      </c>
      <c r="G162" s="7954" t="s">
        <v>3202</v>
      </c>
      <c r="H162" s="7954" t="s">
        <v>22</v>
      </c>
      <c r="I162" s="7954" t="s">
        <v>982</v>
      </c>
    </row>
    <row customHeight="1" ht="11.25">
      <c r="A163" s="7954" t="s">
        <v>2649</v>
      </c>
      <c r="B163" s="7954" t="s">
        <v>16</v>
      </c>
      <c r="C163" s="7954" t="s">
        <v>3203</v>
      </c>
      <c r="D163" s="7954" t="s">
        <v>3204</v>
      </c>
      <c r="E163" s="7954" t="s">
        <v>3205</v>
      </c>
      <c r="F163" s="7954" t="s">
        <v>2686</v>
      </c>
      <c r="G163" s="7954" t="s">
        <v>22</v>
      </c>
      <c r="H163" s="7954" t="s">
        <v>22</v>
      </c>
      <c r="I163" s="7954" t="s">
        <v>982</v>
      </c>
    </row>
    <row customHeight="1" ht="11.25">
      <c r="A164" s="7954" t="s">
        <v>2649</v>
      </c>
      <c r="B164" s="7954" t="s">
        <v>16</v>
      </c>
      <c r="C164" s="7954" t="s">
        <v>3206</v>
      </c>
      <c r="D164" s="7954" t="s">
        <v>3207</v>
      </c>
      <c r="E164" s="7954" t="s">
        <v>3208</v>
      </c>
      <c r="F164" s="7954" t="s">
        <v>2781</v>
      </c>
      <c r="G164" s="7954" t="s">
        <v>3209</v>
      </c>
      <c r="H164" s="7954" t="s">
        <v>22</v>
      </c>
      <c r="I164" s="7954" t="s">
        <v>982</v>
      </c>
    </row>
    <row customHeight="1" ht="11.25">
      <c r="A165" s="7954" t="s">
        <v>2649</v>
      </c>
      <c r="B165" s="7954" t="s">
        <v>16</v>
      </c>
      <c r="C165" s="7954" t="s">
        <v>3210</v>
      </c>
      <c r="D165" s="7954" t="s">
        <v>3211</v>
      </c>
      <c r="E165" s="7954" t="s">
        <v>3212</v>
      </c>
      <c r="F165" s="7954" t="s">
        <v>3213</v>
      </c>
      <c r="G165" s="7954" t="s">
        <v>22</v>
      </c>
      <c r="H165" s="7954" t="s">
        <v>22</v>
      </c>
      <c r="I165" s="7954" t="s">
        <v>982</v>
      </c>
    </row>
    <row customHeight="1" ht="11.25">
      <c r="A166" s="7954" t="s">
        <v>2649</v>
      </c>
      <c r="B166" s="7954" t="s">
        <v>16</v>
      </c>
      <c r="C166" s="7954" t="s">
        <v>3214</v>
      </c>
      <c r="D166" s="7954" t="s">
        <v>3215</v>
      </c>
      <c r="E166" s="7954" t="s">
        <v>3216</v>
      </c>
      <c r="F166" s="7954" t="s">
        <v>3217</v>
      </c>
      <c r="G166" s="7954" t="s">
        <v>22</v>
      </c>
      <c r="H166" s="7954" t="s">
        <v>22</v>
      </c>
      <c r="I166" s="7954" t="s">
        <v>982</v>
      </c>
    </row>
    <row customHeight="1" ht="11.25">
      <c r="A167" s="7954" t="s">
        <v>2649</v>
      </c>
      <c r="B167" s="7954" t="s">
        <v>16</v>
      </c>
      <c r="C167" s="7954" t="s">
        <v>3218</v>
      </c>
      <c r="D167" s="7954" t="s">
        <v>3219</v>
      </c>
      <c r="E167" s="7954" t="s">
        <v>3220</v>
      </c>
      <c r="F167" s="7954" t="s">
        <v>2955</v>
      </c>
      <c r="G167" s="7954" t="s">
        <v>22</v>
      </c>
      <c r="H167" s="7954" t="s">
        <v>22</v>
      </c>
      <c r="I167" s="7954" t="s">
        <v>982</v>
      </c>
    </row>
    <row customHeight="1" ht="11.25">
      <c r="A168" s="7954" t="s">
        <v>2649</v>
      </c>
      <c r="B168" s="7954" t="s">
        <v>16</v>
      </c>
      <c r="C168" s="7954" t="s">
        <v>3221</v>
      </c>
      <c r="D168" s="7954" t="s">
        <v>3222</v>
      </c>
      <c r="E168" s="7954" t="s">
        <v>3223</v>
      </c>
      <c r="F168" s="7954" t="s">
        <v>2955</v>
      </c>
      <c r="G168" s="7954" t="s">
        <v>22</v>
      </c>
      <c r="H168" s="7954" t="s">
        <v>22</v>
      </c>
      <c r="I168" s="7954" t="s">
        <v>982</v>
      </c>
    </row>
    <row customHeight="1" ht="11.25">
      <c r="A169" s="7954" t="s">
        <v>2649</v>
      </c>
      <c r="B169" s="7954" t="s">
        <v>16</v>
      </c>
      <c r="C169" s="7954" t="s">
        <v>3224</v>
      </c>
      <c r="D169" s="7954" t="s">
        <v>3225</v>
      </c>
      <c r="E169" s="7954" t="s">
        <v>3226</v>
      </c>
      <c r="F169" s="7954" t="s">
        <v>2955</v>
      </c>
      <c r="G169" s="7954" t="s">
        <v>22</v>
      </c>
      <c r="H169" s="7954" t="s">
        <v>22</v>
      </c>
      <c r="I169" s="7954" t="s">
        <v>982</v>
      </c>
    </row>
    <row customHeight="1" ht="11.25">
      <c r="A170" s="7954" t="s">
        <v>2649</v>
      </c>
      <c r="B170" s="7954" t="s">
        <v>16</v>
      </c>
      <c r="C170" s="7954" t="s">
        <v>3227</v>
      </c>
      <c r="D170" s="7954" t="s">
        <v>3228</v>
      </c>
      <c r="E170" s="7954" t="s">
        <v>3229</v>
      </c>
      <c r="F170" s="7954" t="s">
        <v>3230</v>
      </c>
      <c r="G170" s="7954" t="s">
        <v>22</v>
      </c>
      <c r="H170" s="7954" t="s">
        <v>22</v>
      </c>
      <c r="I170" s="7954" t="s">
        <v>982</v>
      </c>
    </row>
    <row customHeight="1" ht="11.25">
      <c r="A171" s="7954" t="s">
        <v>2649</v>
      </c>
      <c r="B171" s="7954" t="s">
        <v>16</v>
      </c>
      <c r="C171" s="7954" t="s">
        <v>3231</v>
      </c>
      <c r="D171" s="7954" t="s">
        <v>3232</v>
      </c>
      <c r="E171" s="7954" t="s">
        <v>3233</v>
      </c>
      <c r="F171" s="7954" t="s">
        <v>2827</v>
      </c>
      <c r="G171" s="7954" t="s">
        <v>22</v>
      </c>
      <c r="H171" s="7954" t="s">
        <v>22</v>
      </c>
      <c r="I171" s="7954" t="s">
        <v>982</v>
      </c>
    </row>
    <row customHeight="1" ht="11.25">
      <c r="A172" s="7954" t="s">
        <v>2649</v>
      </c>
      <c r="B172" s="7954" t="s">
        <v>16</v>
      </c>
      <c r="C172" s="7954" t="s">
        <v>3234</v>
      </c>
      <c r="D172" s="7954" t="s">
        <v>3235</v>
      </c>
      <c r="E172" s="7954" t="s">
        <v>3236</v>
      </c>
      <c r="F172" s="7954" t="s">
        <v>3237</v>
      </c>
      <c r="G172" s="7954" t="s">
        <v>3238</v>
      </c>
      <c r="H172" s="7954" t="s">
        <v>22</v>
      </c>
      <c r="I172" s="7954" t="s">
        <v>982</v>
      </c>
    </row>
    <row customHeight="1" ht="11.25">
      <c r="A173" s="7954" t="s">
        <v>2649</v>
      </c>
      <c r="B173" s="7954" t="s">
        <v>16</v>
      </c>
      <c r="C173" s="7954" t="s">
        <v>3239</v>
      </c>
      <c r="D173" s="7954" t="s">
        <v>3240</v>
      </c>
      <c r="E173" s="7954" t="s">
        <v>3241</v>
      </c>
      <c r="F173" s="7954" t="s">
        <v>2663</v>
      </c>
      <c r="G173" s="7954" t="s">
        <v>3242</v>
      </c>
      <c r="H173" s="7954" t="s">
        <v>22</v>
      </c>
      <c r="I173" s="7954" t="s">
        <v>982</v>
      </c>
    </row>
    <row customHeight="1" ht="11.25">
      <c r="A174" s="7954" t="s">
        <v>2649</v>
      </c>
      <c r="B174" s="7954" t="s">
        <v>16</v>
      </c>
      <c r="C174" s="7954" t="s">
        <v>3243</v>
      </c>
      <c r="D174" s="7954" t="s">
        <v>3244</v>
      </c>
      <c r="E174" s="7954" t="s">
        <v>3245</v>
      </c>
      <c r="F174" s="7954" t="s">
        <v>2896</v>
      </c>
      <c r="G174" s="7954" t="s">
        <v>22</v>
      </c>
      <c r="H174" s="7954" t="s">
        <v>22</v>
      </c>
      <c r="I174" s="7954" t="s">
        <v>982</v>
      </c>
    </row>
    <row customHeight="1" ht="11.25">
      <c r="A175" s="7954" t="s">
        <v>2649</v>
      </c>
      <c r="B175" s="7954" t="s">
        <v>16</v>
      </c>
      <c r="C175" s="7954" t="s">
        <v>3246</v>
      </c>
      <c r="D175" s="7954" t="s">
        <v>3247</v>
      </c>
      <c r="E175" s="7954" t="s">
        <v>3248</v>
      </c>
      <c r="F175" s="7954" t="s">
        <v>2719</v>
      </c>
      <c r="G175" s="7954" t="s">
        <v>22</v>
      </c>
      <c r="H175" s="7954" t="s">
        <v>22</v>
      </c>
      <c r="I175" s="7954" t="s">
        <v>982</v>
      </c>
    </row>
    <row customHeight="1" ht="11.25">
      <c r="A176" s="7954" t="s">
        <v>2649</v>
      </c>
      <c r="B176" s="7954" t="s">
        <v>16</v>
      </c>
      <c r="C176" s="7954" t="s">
        <v>3249</v>
      </c>
      <c r="D176" s="7954" t="s">
        <v>3250</v>
      </c>
      <c r="E176" s="7954" t="s">
        <v>3251</v>
      </c>
      <c r="F176" s="7954" t="s">
        <v>2785</v>
      </c>
      <c r="G176" s="7954" t="s">
        <v>22</v>
      </c>
      <c r="H176" s="7954" t="s">
        <v>22</v>
      </c>
      <c r="I176" s="7954" t="s">
        <v>982</v>
      </c>
    </row>
    <row customHeight="1" ht="11.25">
      <c r="A177" s="7954" t="s">
        <v>2649</v>
      </c>
      <c r="B177" s="7954" t="s">
        <v>16</v>
      </c>
      <c r="C177" s="7954" t="s">
        <v>3252</v>
      </c>
      <c r="D177" s="7954" t="s">
        <v>3253</v>
      </c>
      <c r="E177" s="7954" t="s">
        <v>3254</v>
      </c>
      <c r="F177" s="7954" t="s">
        <v>3237</v>
      </c>
      <c r="G177" s="7954" t="s">
        <v>22</v>
      </c>
      <c r="H177" s="7954" t="s">
        <v>22</v>
      </c>
      <c r="I177" s="7954" t="s">
        <v>982</v>
      </c>
    </row>
    <row customHeight="1" ht="11.25">
      <c r="A178" s="7954" t="s">
        <v>2649</v>
      </c>
      <c r="B178" s="7954" t="s">
        <v>16</v>
      </c>
      <c r="C178" s="7954" t="s">
        <v>3255</v>
      </c>
      <c r="D178" s="7954" t="s">
        <v>3256</v>
      </c>
      <c r="E178" s="7954" t="s">
        <v>3257</v>
      </c>
      <c r="F178" s="7954" t="s">
        <v>3237</v>
      </c>
      <c r="G178" s="7954" t="s">
        <v>22</v>
      </c>
      <c r="H178" s="7954" t="s">
        <v>22</v>
      </c>
      <c r="I178" s="7954" t="s">
        <v>982</v>
      </c>
    </row>
    <row customHeight="1" ht="11.25">
      <c r="A179" s="7954" t="s">
        <v>2649</v>
      </c>
      <c r="B179" s="7954" t="s">
        <v>16</v>
      </c>
      <c r="C179" s="7954" t="s">
        <v>3258</v>
      </c>
      <c r="D179" s="7954" t="s">
        <v>3259</v>
      </c>
      <c r="E179" s="7954" t="s">
        <v>3260</v>
      </c>
      <c r="F179" s="7954" t="s">
        <v>2719</v>
      </c>
      <c r="G179" s="7954" t="s">
        <v>22</v>
      </c>
      <c r="H179" s="7954" t="s">
        <v>22</v>
      </c>
      <c r="I179" s="7954" t="s">
        <v>982</v>
      </c>
    </row>
    <row customHeight="1" ht="11.25">
      <c r="A180" s="7954" t="s">
        <v>2649</v>
      </c>
      <c r="B180" s="7954" t="s">
        <v>16</v>
      </c>
      <c r="C180" s="7954" t="s">
        <v>3261</v>
      </c>
      <c r="D180" s="7954" t="s">
        <v>3262</v>
      </c>
      <c r="E180" s="7954" t="s">
        <v>3263</v>
      </c>
      <c r="F180" s="7954" t="s">
        <v>2678</v>
      </c>
      <c r="G180" s="7954" t="s">
        <v>22</v>
      </c>
      <c r="H180" s="7954" t="s">
        <v>22</v>
      </c>
      <c r="I180" s="7954" t="s">
        <v>982</v>
      </c>
    </row>
    <row customHeight="1" ht="11.25">
      <c r="A181" s="7954" t="s">
        <v>2649</v>
      </c>
      <c r="B181" s="7954" t="s">
        <v>16</v>
      </c>
      <c r="C181" s="7954" t="s">
        <v>3264</v>
      </c>
      <c r="D181" s="7954" t="s">
        <v>3265</v>
      </c>
      <c r="E181" s="7954" t="s">
        <v>2812</v>
      </c>
      <c r="F181" s="7954" t="s">
        <v>2723</v>
      </c>
      <c r="G181" s="7954" t="s">
        <v>22</v>
      </c>
      <c r="H181" s="7954" t="s">
        <v>22</v>
      </c>
      <c r="I181" s="7954" t="s">
        <v>982</v>
      </c>
    </row>
    <row customHeight="1" ht="11.25">
      <c r="A182" s="7954" t="s">
        <v>2649</v>
      </c>
      <c r="B182" s="7954" t="s">
        <v>16</v>
      </c>
      <c r="C182" s="7954" t="s">
        <v>3266</v>
      </c>
      <c r="D182" s="7954" t="s">
        <v>3267</v>
      </c>
      <c r="E182" s="7954" t="s">
        <v>3268</v>
      </c>
      <c r="F182" s="7954" t="s">
        <v>3269</v>
      </c>
      <c r="G182" s="7954" t="s">
        <v>22</v>
      </c>
      <c r="H182" s="7954" t="s">
        <v>22</v>
      </c>
      <c r="I182" s="7954" t="s">
        <v>982</v>
      </c>
    </row>
    <row customHeight="1" ht="11.25">
      <c r="A183" s="7954" t="s">
        <v>2649</v>
      </c>
      <c r="B183" s="7954" t="s">
        <v>16</v>
      </c>
      <c r="C183" s="7954" t="s">
        <v>3270</v>
      </c>
      <c r="D183" s="7954" t="s">
        <v>3271</v>
      </c>
      <c r="E183" s="7954" t="s">
        <v>3272</v>
      </c>
      <c r="F183" s="7954" t="s">
        <v>3273</v>
      </c>
      <c r="G183" s="7954" t="s">
        <v>22</v>
      </c>
      <c r="H183" s="7954" t="s">
        <v>22</v>
      </c>
      <c r="I183" s="7954" t="s">
        <v>982</v>
      </c>
    </row>
    <row customHeight="1" ht="11.25">
      <c r="A184" s="7954" t="s">
        <v>2649</v>
      </c>
      <c r="B184" s="7954" t="s">
        <v>16</v>
      </c>
      <c r="C184" s="7954" t="s">
        <v>3274</v>
      </c>
      <c r="D184" s="7954" t="s">
        <v>3275</v>
      </c>
      <c r="E184" s="7954" t="s">
        <v>2749</v>
      </c>
      <c r="F184" s="7954" t="s">
        <v>3276</v>
      </c>
      <c r="G184" s="7954" t="s">
        <v>22</v>
      </c>
      <c r="H184" s="7954" t="s">
        <v>22</v>
      </c>
      <c r="I184" s="7954" t="s">
        <v>982</v>
      </c>
    </row>
    <row customHeight="1" ht="11.25">
      <c r="A185" s="7954" t="s">
        <v>2649</v>
      </c>
      <c r="B185" s="7954" t="s">
        <v>16</v>
      </c>
      <c r="C185" s="7954" t="s">
        <v>3277</v>
      </c>
      <c r="D185" s="7954" t="s">
        <v>3278</v>
      </c>
      <c r="E185" s="7954" t="s">
        <v>3279</v>
      </c>
      <c r="F185" s="7954" t="s">
        <v>3280</v>
      </c>
      <c r="G185" s="7954" t="s">
        <v>22</v>
      </c>
      <c r="H185" s="7954" t="s">
        <v>22</v>
      </c>
      <c r="I185" s="7954" t="s">
        <v>982</v>
      </c>
    </row>
    <row customHeight="1" ht="11.25">
      <c r="A186" s="7954" t="s">
        <v>2649</v>
      </c>
      <c r="B186" s="7954" t="s">
        <v>16</v>
      </c>
      <c r="C186" s="7954" t="s">
        <v>3281</v>
      </c>
      <c r="D186" s="7954" t="s">
        <v>3282</v>
      </c>
      <c r="E186" s="7954" t="s">
        <v>3283</v>
      </c>
      <c r="F186" s="7954" t="s">
        <v>3284</v>
      </c>
      <c r="G186" s="7954" t="s">
        <v>22</v>
      </c>
      <c r="H186" s="7954" t="s">
        <v>22</v>
      </c>
      <c r="I186" s="7954" t="s">
        <v>982</v>
      </c>
    </row>
    <row customHeight="1" ht="11.25">
      <c r="A187" s="7954" t="s">
        <v>2649</v>
      </c>
      <c r="B187" s="7954" t="s">
        <v>16</v>
      </c>
      <c r="C187" s="7954" t="s">
        <v>2664</v>
      </c>
      <c r="D187" s="7954" t="s">
        <v>2665</v>
      </c>
      <c r="E187" s="7954" t="s">
        <v>2666</v>
      </c>
      <c r="F187" s="7954" t="s">
        <v>2663</v>
      </c>
      <c r="G187" s="7954" t="s">
        <v>22</v>
      </c>
      <c r="H187" s="7954" t="s">
        <v>22</v>
      </c>
      <c r="I187" s="7954" t="s">
        <v>1069</v>
      </c>
    </row>
    <row customHeight="1" ht="11.25">
      <c r="A188" s="7954" t="s">
        <v>2649</v>
      </c>
      <c r="B188" s="7954" t="s">
        <v>16</v>
      </c>
      <c r="C188" s="7954" t="s">
        <v>2667</v>
      </c>
      <c r="D188" s="7954" t="s">
        <v>2668</v>
      </c>
      <c r="E188" s="7954" t="s">
        <v>2669</v>
      </c>
      <c r="F188" s="7954" t="s">
        <v>2670</v>
      </c>
      <c r="G188" s="7954" t="s">
        <v>22</v>
      </c>
      <c r="H188" s="7954" t="s">
        <v>22</v>
      </c>
      <c r="I188" s="7954" t="s">
        <v>1069</v>
      </c>
    </row>
    <row customHeight="1" ht="11.25">
      <c r="A189" s="7954" t="s">
        <v>2649</v>
      </c>
      <c r="B189" s="7954" t="s">
        <v>16</v>
      </c>
      <c r="C189" s="7954" t="s">
        <v>2683</v>
      </c>
      <c r="D189" s="7954" t="s">
        <v>2684</v>
      </c>
      <c r="E189" s="7954" t="s">
        <v>2685</v>
      </c>
      <c r="F189" s="7954" t="s">
        <v>2686</v>
      </c>
      <c r="G189" s="7954" t="s">
        <v>22</v>
      </c>
      <c r="H189" s="7954" t="s">
        <v>22</v>
      </c>
      <c r="I189" s="7954" t="s">
        <v>1069</v>
      </c>
    </row>
    <row customHeight="1" ht="11.25">
      <c r="A190" s="7954" t="s">
        <v>2649</v>
      </c>
      <c r="B190" s="7954" t="s">
        <v>16</v>
      </c>
      <c r="C190" s="7954" t="s">
        <v>2687</v>
      </c>
      <c r="D190" s="7954" t="s">
        <v>2688</v>
      </c>
      <c r="E190" s="7954" t="s">
        <v>2689</v>
      </c>
      <c r="F190" s="7954" t="s">
        <v>2690</v>
      </c>
      <c r="G190" s="7954" t="s">
        <v>22</v>
      </c>
      <c r="H190" s="7954" t="s">
        <v>22</v>
      </c>
      <c r="I190" s="7954" t="s">
        <v>1069</v>
      </c>
    </row>
    <row customHeight="1" ht="11.25">
      <c r="A191" s="7954" t="s">
        <v>2649</v>
      </c>
      <c r="B191" s="7954" t="s">
        <v>16</v>
      </c>
      <c r="C191" s="7954" t="s">
        <v>2735</v>
      </c>
      <c r="D191" s="7954" t="s">
        <v>2736</v>
      </c>
      <c r="E191" s="7954" t="s">
        <v>2737</v>
      </c>
      <c r="F191" s="7954" t="s">
        <v>2738</v>
      </c>
      <c r="G191" s="7954" t="s">
        <v>22</v>
      </c>
      <c r="H191" s="7954" t="s">
        <v>22</v>
      </c>
      <c r="I191" s="7954" t="s">
        <v>1069</v>
      </c>
    </row>
    <row customHeight="1" ht="11.25">
      <c r="A192" s="7954" t="s">
        <v>2649</v>
      </c>
      <c r="B192" s="7954" t="s">
        <v>16</v>
      </c>
      <c r="C192" s="7954" t="s">
        <v>2754</v>
      </c>
      <c r="D192" s="7954" t="s">
        <v>2755</v>
      </c>
      <c r="E192" s="7954" t="s">
        <v>2756</v>
      </c>
      <c r="F192" s="7954" t="s">
        <v>2742</v>
      </c>
      <c r="G192" s="7954" t="s">
        <v>22</v>
      </c>
      <c r="H192" s="7954" t="s">
        <v>22</v>
      </c>
      <c r="I192" s="7954" t="s">
        <v>1069</v>
      </c>
    </row>
    <row customHeight="1" ht="11.25">
      <c r="A193" s="7954" t="s">
        <v>2649</v>
      </c>
      <c r="B193" s="7954" t="s">
        <v>16</v>
      </c>
      <c r="C193" s="7954" t="s">
        <v>2760</v>
      </c>
      <c r="D193" s="7954" t="s">
        <v>2761</v>
      </c>
      <c r="E193" s="7954" t="s">
        <v>2762</v>
      </c>
      <c r="F193" s="7954" t="s">
        <v>2678</v>
      </c>
      <c r="G193" s="7954" t="s">
        <v>22</v>
      </c>
      <c r="H193" s="7954" t="s">
        <v>22</v>
      </c>
      <c r="I193" s="7954" t="s">
        <v>1069</v>
      </c>
    </row>
    <row customHeight="1" ht="11.25">
      <c r="A194" s="7954" t="s">
        <v>2649</v>
      </c>
      <c r="B194" s="7954" t="s">
        <v>16</v>
      </c>
      <c r="C194" s="7954" t="s">
        <v>2782</v>
      </c>
      <c r="D194" s="7954" t="s">
        <v>2783</v>
      </c>
      <c r="E194" s="7954" t="s">
        <v>2784</v>
      </c>
      <c r="F194" s="7954" t="s">
        <v>2785</v>
      </c>
      <c r="G194" s="7954" t="s">
        <v>2786</v>
      </c>
      <c r="H194" s="7954" t="s">
        <v>22</v>
      </c>
      <c r="I194" s="7954" t="s">
        <v>1069</v>
      </c>
    </row>
    <row customHeight="1" ht="11.25">
      <c r="A195" s="7954" t="s">
        <v>2649</v>
      </c>
      <c r="B195" s="7954" t="s">
        <v>16</v>
      </c>
      <c r="C195" s="7954" t="s">
        <v>2787</v>
      </c>
      <c r="D195" s="7954" t="s">
        <v>2788</v>
      </c>
      <c r="E195" s="7954" t="s">
        <v>2789</v>
      </c>
      <c r="F195" s="7954" t="s">
        <v>2719</v>
      </c>
      <c r="G195" s="7954" t="s">
        <v>22</v>
      </c>
      <c r="H195" s="7954" t="s">
        <v>22</v>
      </c>
      <c r="I195" s="7954" t="s">
        <v>1069</v>
      </c>
    </row>
    <row customHeight="1" ht="11.25">
      <c r="A196" s="7954" t="s">
        <v>2649</v>
      </c>
      <c r="B196" s="7954" t="s">
        <v>16</v>
      </c>
      <c r="C196" s="7954" t="s">
        <v>2800</v>
      </c>
      <c r="D196" s="7954" t="s">
        <v>2801</v>
      </c>
      <c r="E196" s="7954" t="s">
        <v>2802</v>
      </c>
      <c r="F196" s="7954" t="s">
        <v>693</v>
      </c>
      <c r="G196" s="7954" t="s">
        <v>22</v>
      </c>
      <c r="H196" s="7954" t="s">
        <v>22</v>
      </c>
      <c r="I196" s="7954" t="s">
        <v>1069</v>
      </c>
    </row>
    <row customHeight="1" ht="11.25">
      <c r="A197" s="7954" t="s">
        <v>2649</v>
      </c>
      <c r="B197" s="7954" t="s">
        <v>16</v>
      </c>
      <c r="C197" s="7954" t="s">
        <v>2807</v>
      </c>
      <c r="D197" s="7954" t="s">
        <v>2808</v>
      </c>
      <c r="E197" s="7954" t="s">
        <v>2809</v>
      </c>
      <c r="F197" s="7954" t="s">
        <v>693</v>
      </c>
      <c r="G197" s="7954" t="s">
        <v>22</v>
      </c>
      <c r="H197" s="7954" t="s">
        <v>22</v>
      </c>
      <c r="I197" s="7954" t="s">
        <v>1069</v>
      </c>
    </row>
    <row customHeight="1" ht="11.25">
      <c r="A198" s="7954" t="s">
        <v>2649</v>
      </c>
      <c r="B198" s="7954" t="s">
        <v>16</v>
      </c>
      <c r="C198" s="7954" t="s">
        <v>2810</v>
      </c>
      <c r="D198" s="7954" t="s">
        <v>2811</v>
      </c>
      <c r="E198" s="7954" t="s">
        <v>2812</v>
      </c>
      <c r="F198" s="7954" t="s">
        <v>2813</v>
      </c>
      <c r="G198" s="7954" t="s">
        <v>2814</v>
      </c>
      <c r="H198" s="7954" t="s">
        <v>22</v>
      </c>
      <c r="I198" s="7954" t="s">
        <v>1069</v>
      </c>
    </row>
    <row customHeight="1" ht="11.25">
      <c r="A199" s="7954" t="s">
        <v>2649</v>
      </c>
      <c r="B199" s="7954" t="s">
        <v>16</v>
      </c>
      <c r="C199" s="7954" t="s">
        <v>22</v>
      </c>
      <c r="D199" s="7954" t="s">
        <v>2815</v>
      </c>
      <c r="E199" s="7954" t="s">
        <v>2816</v>
      </c>
      <c r="F199" s="7954" t="s">
        <v>2663</v>
      </c>
      <c r="G199" s="7954" t="s">
        <v>22</v>
      </c>
      <c r="H199" s="7954" t="s">
        <v>22</v>
      </c>
      <c r="I199" s="7954" t="s">
        <v>1069</v>
      </c>
    </row>
    <row customHeight="1" ht="11.25">
      <c r="A200" s="7954" t="s">
        <v>2649</v>
      </c>
      <c r="B200" s="7954" t="s">
        <v>16</v>
      </c>
      <c r="C200" s="7954" t="s">
        <v>2821</v>
      </c>
      <c r="D200" s="7954" t="s">
        <v>2822</v>
      </c>
      <c r="E200" s="7954" t="s">
        <v>2772</v>
      </c>
      <c r="F200" s="7954" t="s">
        <v>2823</v>
      </c>
      <c r="G200" s="7954" t="s">
        <v>22</v>
      </c>
      <c r="H200" s="7954" t="s">
        <v>22</v>
      </c>
      <c r="I200" s="7954" t="s">
        <v>1069</v>
      </c>
    </row>
    <row customHeight="1" ht="11.25">
      <c r="A201" s="7954" t="s">
        <v>2649</v>
      </c>
      <c r="B201" s="7954" t="s">
        <v>16</v>
      </c>
      <c r="C201" s="7954" t="s">
        <v>2847</v>
      </c>
      <c r="D201" s="7954" t="s">
        <v>2848</v>
      </c>
      <c r="E201" s="7954" t="s">
        <v>2849</v>
      </c>
      <c r="F201" s="7954" t="s">
        <v>2832</v>
      </c>
      <c r="G201" s="7954" t="s">
        <v>22</v>
      </c>
      <c r="H201" s="7954" t="s">
        <v>22</v>
      </c>
      <c r="I201" s="7954" t="s">
        <v>1069</v>
      </c>
    </row>
    <row customHeight="1" ht="11.25">
      <c r="A202" s="7954" t="s">
        <v>2649</v>
      </c>
      <c r="B202" s="7954" t="s">
        <v>16</v>
      </c>
      <c r="C202" s="7954" t="s">
        <v>2858</v>
      </c>
      <c r="D202" s="7954" t="s">
        <v>2859</v>
      </c>
      <c r="E202" s="7954" t="s">
        <v>2860</v>
      </c>
      <c r="F202" s="7954" t="s">
        <v>2663</v>
      </c>
      <c r="G202" s="7954" t="s">
        <v>22</v>
      </c>
      <c r="H202" s="7954" t="s">
        <v>22</v>
      </c>
      <c r="I202" s="7954" t="s">
        <v>1069</v>
      </c>
    </row>
    <row customHeight="1" ht="11.25">
      <c r="A203" s="7954" t="s">
        <v>2649</v>
      </c>
      <c r="B203" s="7954" t="s">
        <v>16</v>
      </c>
      <c r="C203" s="7954" t="s">
        <v>2861</v>
      </c>
      <c r="D203" s="7954" t="s">
        <v>2862</v>
      </c>
      <c r="E203" s="7954" t="s">
        <v>2863</v>
      </c>
      <c r="F203" s="7954" t="s">
        <v>2864</v>
      </c>
      <c r="G203" s="7954" t="s">
        <v>2865</v>
      </c>
      <c r="H203" s="7954" t="s">
        <v>22</v>
      </c>
      <c r="I203" s="7954" t="s">
        <v>1069</v>
      </c>
    </row>
    <row customHeight="1" ht="11.25">
      <c r="A204" s="7954" t="s">
        <v>2649</v>
      </c>
      <c r="B204" s="7954" t="s">
        <v>16</v>
      </c>
      <c r="C204" s="7954" t="s">
        <v>2866</v>
      </c>
      <c r="D204" s="7954" t="s">
        <v>2867</v>
      </c>
      <c r="E204" s="7954" t="s">
        <v>2868</v>
      </c>
      <c r="F204" s="7954" t="s">
        <v>2832</v>
      </c>
      <c r="G204" s="7954" t="s">
        <v>22</v>
      </c>
      <c r="H204" s="7954" t="s">
        <v>22</v>
      </c>
      <c r="I204" s="7954" t="s">
        <v>1069</v>
      </c>
    </row>
    <row customHeight="1" ht="11.25">
      <c r="A205" s="7954" t="s">
        <v>2649</v>
      </c>
      <c r="B205" s="7954" t="s">
        <v>16</v>
      </c>
      <c r="C205" s="7954" t="s">
        <v>2876</v>
      </c>
      <c r="D205" s="7954" t="s">
        <v>2877</v>
      </c>
      <c r="E205" s="7954" t="s">
        <v>2878</v>
      </c>
      <c r="F205" s="7954" t="s">
        <v>2709</v>
      </c>
      <c r="G205" s="7954" t="s">
        <v>2879</v>
      </c>
      <c r="H205" s="7954" t="s">
        <v>22</v>
      </c>
      <c r="I205" s="7954" t="s">
        <v>1069</v>
      </c>
    </row>
    <row customHeight="1" ht="11.25">
      <c r="A206" s="7954" t="s">
        <v>2649</v>
      </c>
      <c r="B206" s="7954" t="s">
        <v>16</v>
      </c>
      <c r="C206" s="7954" t="s">
        <v>2880</v>
      </c>
      <c r="D206" s="7954" t="s">
        <v>2881</v>
      </c>
      <c r="E206" s="7954" t="s">
        <v>2882</v>
      </c>
      <c r="F206" s="7954" t="s">
        <v>2709</v>
      </c>
      <c r="G206" s="7954" t="s">
        <v>22</v>
      </c>
      <c r="H206" s="7954" t="s">
        <v>22</v>
      </c>
      <c r="I206" s="7954" t="s">
        <v>1069</v>
      </c>
    </row>
    <row customHeight="1" ht="11.25">
      <c r="A207" s="7954" t="s">
        <v>2649</v>
      </c>
      <c r="B207" s="7954" t="s">
        <v>16</v>
      </c>
      <c r="C207" s="7954" t="s">
        <v>2893</v>
      </c>
      <c r="D207" s="7954" t="s">
        <v>2894</v>
      </c>
      <c r="E207" s="7954" t="s">
        <v>2895</v>
      </c>
      <c r="F207" s="7954" t="s">
        <v>2896</v>
      </c>
      <c r="G207" s="7954" t="s">
        <v>22</v>
      </c>
      <c r="H207" s="7954" t="s">
        <v>22</v>
      </c>
      <c r="I207" s="7954" t="s">
        <v>1069</v>
      </c>
    </row>
    <row customHeight="1" ht="11.25">
      <c r="A208" s="7954" t="s">
        <v>2649</v>
      </c>
      <c r="B208" s="7954" t="s">
        <v>16</v>
      </c>
      <c r="C208" s="7954" t="s">
        <v>2897</v>
      </c>
      <c r="D208" s="7954" t="s">
        <v>2898</v>
      </c>
      <c r="E208" s="7954" t="s">
        <v>2899</v>
      </c>
      <c r="F208" s="7954" t="s">
        <v>2896</v>
      </c>
      <c r="G208" s="7954" t="s">
        <v>22</v>
      </c>
      <c r="H208" s="7954" t="s">
        <v>22</v>
      </c>
      <c r="I208" s="7954" t="s">
        <v>1069</v>
      </c>
    </row>
    <row customHeight="1" ht="11.25">
      <c r="A209" s="7954" t="s">
        <v>2649</v>
      </c>
      <c r="B209" s="7954" t="s">
        <v>16</v>
      </c>
      <c r="C209" s="7954" t="s">
        <v>2906</v>
      </c>
      <c r="D209" s="7954" t="s">
        <v>2907</v>
      </c>
      <c r="E209" s="7954" t="s">
        <v>2908</v>
      </c>
      <c r="F209" s="7954" t="s">
        <v>2832</v>
      </c>
      <c r="G209" s="7954" t="s">
        <v>22</v>
      </c>
      <c r="H209" s="7954" t="s">
        <v>22</v>
      </c>
      <c r="I209" s="7954" t="s">
        <v>1069</v>
      </c>
    </row>
    <row customHeight="1" ht="11.25">
      <c r="A210" s="7954" t="s">
        <v>2649</v>
      </c>
      <c r="B210" s="7954" t="s">
        <v>16</v>
      </c>
      <c r="C210" s="7954" t="s">
        <v>2936</v>
      </c>
      <c r="D210" s="7954" t="s">
        <v>2937</v>
      </c>
      <c r="E210" s="7954" t="s">
        <v>2938</v>
      </c>
      <c r="F210" s="7954" t="s">
        <v>2896</v>
      </c>
      <c r="G210" s="7954" t="s">
        <v>22</v>
      </c>
      <c r="H210" s="7954" t="s">
        <v>22</v>
      </c>
      <c r="I210" s="7954" t="s">
        <v>1069</v>
      </c>
    </row>
    <row customHeight="1" ht="11.25">
      <c r="A211" s="7954" t="s">
        <v>2649</v>
      </c>
      <c r="B211" s="7954" t="s">
        <v>16</v>
      </c>
      <c r="C211" s="7954" t="s">
        <v>3285</v>
      </c>
      <c r="D211" s="7954" t="s">
        <v>3286</v>
      </c>
      <c r="E211" s="7954" t="s">
        <v>3287</v>
      </c>
      <c r="F211" s="7954" t="s">
        <v>2832</v>
      </c>
      <c r="G211" s="7954" t="s">
        <v>22</v>
      </c>
      <c r="H211" s="7954" t="s">
        <v>22</v>
      </c>
      <c r="I211" s="7954" t="s">
        <v>1069</v>
      </c>
    </row>
    <row customHeight="1" ht="11.25">
      <c r="A212" s="7954" t="s">
        <v>2649</v>
      </c>
      <c r="B212" s="7954" t="s">
        <v>16</v>
      </c>
      <c r="C212" s="7954" t="s">
        <v>2972</v>
      </c>
      <c r="D212" s="7954" t="s">
        <v>2973</v>
      </c>
      <c r="E212" s="7954" t="s">
        <v>2974</v>
      </c>
      <c r="F212" s="7954" t="s">
        <v>2769</v>
      </c>
      <c r="G212" s="7954" t="s">
        <v>22</v>
      </c>
      <c r="H212" s="7954" t="s">
        <v>22</v>
      </c>
      <c r="I212" s="7954" t="s">
        <v>1069</v>
      </c>
    </row>
    <row customHeight="1" ht="11.25">
      <c r="A213" s="7954" t="s">
        <v>2649</v>
      </c>
      <c r="B213" s="7954" t="s">
        <v>16</v>
      </c>
      <c r="C213" s="7954" t="s">
        <v>2986</v>
      </c>
      <c r="D213" s="7954" t="s">
        <v>2987</v>
      </c>
      <c r="E213" s="7954" t="s">
        <v>2988</v>
      </c>
      <c r="F213" s="7954" t="s">
        <v>2723</v>
      </c>
      <c r="G213" s="7954" t="s">
        <v>22</v>
      </c>
      <c r="H213" s="7954" t="s">
        <v>22</v>
      </c>
      <c r="I213" s="7954" t="s">
        <v>1069</v>
      </c>
    </row>
    <row customHeight="1" ht="11.25">
      <c r="A214" s="7954" t="s">
        <v>2649</v>
      </c>
      <c r="B214" s="7954" t="s">
        <v>16</v>
      </c>
      <c r="C214" s="7954" t="s">
        <v>2999</v>
      </c>
      <c r="D214" s="7954" t="s">
        <v>3000</v>
      </c>
      <c r="E214" s="7954" t="s">
        <v>3001</v>
      </c>
      <c r="F214" s="7954" t="s">
        <v>2785</v>
      </c>
      <c r="G214" s="7954" t="s">
        <v>22</v>
      </c>
      <c r="H214" s="7954" t="s">
        <v>22</v>
      </c>
      <c r="I214" s="7954" t="s">
        <v>1069</v>
      </c>
    </row>
    <row customHeight="1" ht="11.25">
      <c r="A215" s="7954" t="s">
        <v>2649</v>
      </c>
      <c r="B215" s="7954" t="s">
        <v>16</v>
      </c>
      <c r="C215" s="7954" t="s">
        <v>3006</v>
      </c>
      <c r="D215" s="7954" t="s">
        <v>3007</v>
      </c>
      <c r="E215" s="7954" t="s">
        <v>3008</v>
      </c>
      <c r="F215" s="7954" t="s">
        <v>2896</v>
      </c>
      <c r="G215" s="7954" t="s">
        <v>3009</v>
      </c>
      <c r="H215" s="7954" t="s">
        <v>22</v>
      </c>
      <c r="I215" s="7954" t="s">
        <v>1069</v>
      </c>
    </row>
    <row customHeight="1" ht="11.25">
      <c r="A216" s="7954" t="s">
        <v>2649</v>
      </c>
      <c r="B216" s="7954" t="s">
        <v>16</v>
      </c>
      <c r="C216" s="7954" t="s">
        <v>3014</v>
      </c>
      <c r="D216" s="7954" t="s">
        <v>3015</v>
      </c>
      <c r="E216" s="7954" t="s">
        <v>3016</v>
      </c>
      <c r="F216" s="7954" t="s">
        <v>2955</v>
      </c>
      <c r="G216" s="7954" t="s">
        <v>3017</v>
      </c>
      <c r="H216" s="7954" t="s">
        <v>22</v>
      </c>
      <c r="I216" s="7954" t="s">
        <v>1069</v>
      </c>
    </row>
    <row customHeight="1" ht="11.25">
      <c r="A217" s="7954" t="s">
        <v>2649</v>
      </c>
      <c r="B217" s="7954" t="s">
        <v>16</v>
      </c>
      <c r="C217" s="7954" t="s">
        <v>3021</v>
      </c>
      <c r="D217" s="7954" t="s">
        <v>3022</v>
      </c>
      <c r="E217" s="7954" t="s">
        <v>3023</v>
      </c>
      <c r="F217" s="7954" t="s">
        <v>2769</v>
      </c>
      <c r="G217" s="7954" t="s">
        <v>22</v>
      </c>
      <c r="H217" s="7954" t="s">
        <v>22</v>
      </c>
      <c r="I217" s="7954" t="s">
        <v>1069</v>
      </c>
    </row>
    <row customHeight="1" ht="11.25">
      <c r="A218" s="7954" t="s">
        <v>2649</v>
      </c>
      <c r="B218" s="7954" t="s">
        <v>16</v>
      </c>
      <c r="C218" s="7954" t="s">
        <v>3040</v>
      </c>
      <c r="D218" s="7954" t="s">
        <v>3041</v>
      </c>
      <c r="E218" s="7954" t="s">
        <v>3042</v>
      </c>
      <c r="F218" s="7954" t="s">
        <v>50</v>
      </c>
      <c r="G218" s="7954" t="s">
        <v>3043</v>
      </c>
      <c r="H218" s="7954" t="s">
        <v>22</v>
      </c>
      <c r="I218" s="7954" t="s">
        <v>1069</v>
      </c>
    </row>
    <row customHeight="1" ht="11.25">
      <c r="A219" s="7954" t="s">
        <v>2649</v>
      </c>
      <c r="B219" s="7954" t="s">
        <v>16</v>
      </c>
      <c r="C219" s="7954" t="s">
        <v>3044</v>
      </c>
      <c r="D219" s="7954" t="s">
        <v>3045</v>
      </c>
      <c r="E219" s="7954" t="s">
        <v>3046</v>
      </c>
      <c r="F219" s="7954" t="s">
        <v>2875</v>
      </c>
      <c r="G219" s="7954" t="s">
        <v>3047</v>
      </c>
      <c r="H219" s="7954" t="s">
        <v>22</v>
      </c>
      <c r="I219" s="7954" t="s">
        <v>1069</v>
      </c>
    </row>
    <row customHeight="1" ht="11.25">
      <c r="A220" s="7954" t="s">
        <v>2649</v>
      </c>
      <c r="B220" s="7954" t="s">
        <v>16</v>
      </c>
      <c r="C220" s="7954" t="s">
        <v>3048</v>
      </c>
      <c r="D220" s="7954" t="s">
        <v>3049</v>
      </c>
      <c r="E220" s="7954" t="s">
        <v>3050</v>
      </c>
      <c r="F220" s="7954" t="s">
        <v>2864</v>
      </c>
      <c r="G220" s="7954" t="s">
        <v>3051</v>
      </c>
      <c r="H220" s="7954" t="s">
        <v>22</v>
      </c>
      <c r="I220" s="7954" t="s">
        <v>1069</v>
      </c>
    </row>
    <row customHeight="1" ht="11.25">
      <c r="A221" s="7954" t="s">
        <v>2649</v>
      </c>
      <c r="B221" s="7954" t="s">
        <v>16</v>
      </c>
      <c r="C221" s="7954" t="s">
        <v>13</v>
      </c>
      <c r="D221" s="7954" t="s">
        <v>45</v>
      </c>
      <c r="E221" s="7954" t="s">
        <v>48</v>
      </c>
      <c r="F221" s="7954" t="s">
        <v>50</v>
      </c>
      <c r="G221" s="7954" t="s">
        <v>22</v>
      </c>
      <c r="H221" s="7954" t="s">
        <v>22</v>
      </c>
      <c r="I221" s="7954" t="s">
        <v>1069</v>
      </c>
    </row>
    <row customHeight="1" ht="11.25">
      <c r="A222" s="7954" t="s">
        <v>2649</v>
      </c>
      <c r="B222" s="7954" t="s">
        <v>16</v>
      </c>
      <c r="C222" s="7954" t="s">
        <v>3052</v>
      </c>
      <c r="D222" s="7954" t="s">
        <v>3053</v>
      </c>
      <c r="E222" s="7954" t="s">
        <v>3054</v>
      </c>
      <c r="F222" s="7954" t="s">
        <v>50</v>
      </c>
      <c r="G222" s="7954" t="s">
        <v>3055</v>
      </c>
      <c r="H222" s="7954" t="s">
        <v>22</v>
      </c>
      <c r="I222" s="7954" t="s">
        <v>1069</v>
      </c>
    </row>
    <row customHeight="1" ht="11.25">
      <c r="A223" s="7954" t="s">
        <v>2649</v>
      </c>
      <c r="B223" s="7954" t="s">
        <v>16</v>
      </c>
      <c r="C223" s="7954" t="s">
        <v>3059</v>
      </c>
      <c r="D223" s="7954" t="s">
        <v>3060</v>
      </c>
      <c r="E223" s="7954" t="s">
        <v>3061</v>
      </c>
      <c r="F223" s="7954" t="s">
        <v>2827</v>
      </c>
      <c r="G223" s="7954" t="s">
        <v>3062</v>
      </c>
      <c r="H223" s="7954" t="s">
        <v>22</v>
      </c>
      <c r="I223" s="7954" t="s">
        <v>1069</v>
      </c>
    </row>
    <row customHeight="1" ht="11.25">
      <c r="A224" s="7954" t="s">
        <v>2649</v>
      </c>
      <c r="B224" s="7954" t="s">
        <v>16</v>
      </c>
      <c r="C224" s="7954" t="s">
        <v>3067</v>
      </c>
      <c r="D224" s="7954" t="s">
        <v>3068</v>
      </c>
      <c r="E224" s="7954" t="s">
        <v>3069</v>
      </c>
      <c r="F224" s="7954" t="s">
        <v>2769</v>
      </c>
      <c r="G224" s="7954" t="s">
        <v>3070</v>
      </c>
      <c r="H224" s="7954" t="s">
        <v>22</v>
      </c>
      <c r="I224" s="7954" t="s">
        <v>1069</v>
      </c>
    </row>
    <row customHeight="1" ht="11.25">
      <c r="A225" s="7954" t="s">
        <v>2649</v>
      </c>
      <c r="B225" s="7954" t="s">
        <v>16</v>
      </c>
      <c r="C225" s="7954" t="s">
        <v>3085</v>
      </c>
      <c r="D225" s="7954" t="s">
        <v>3086</v>
      </c>
      <c r="E225" s="7954" t="s">
        <v>3087</v>
      </c>
      <c r="F225" s="7954" t="s">
        <v>2832</v>
      </c>
      <c r="G225" s="7954" t="s">
        <v>22</v>
      </c>
      <c r="H225" s="7954" t="s">
        <v>22</v>
      </c>
      <c r="I225" s="7954" t="s">
        <v>1069</v>
      </c>
    </row>
    <row customHeight="1" ht="11.25">
      <c r="A226" s="7954" t="s">
        <v>2649</v>
      </c>
      <c r="B226" s="7954" t="s">
        <v>16</v>
      </c>
      <c r="C226" s="7954" t="s">
        <v>3099</v>
      </c>
      <c r="D226" s="7954" t="s">
        <v>3100</v>
      </c>
      <c r="E226" s="7954" t="s">
        <v>3101</v>
      </c>
      <c r="F226" s="7954" t="s">
        <v>2832</v>
      </c>
      <c r="G226" s="7954" t="s">
        <v>22</v>
      </c>
      <c r="H226" s="7954" t="s">
        <v>22</v>
      </c>
      <c r="I226" s="7954" t="s">
        <v>1069</v>
      </c>
    </row>
    <row customHeight="1" ht="11.25">
      <c r="A227" s="7954" t="s">
        <v>2649</v>
      </c>
      <c r="B227" s="7954" t="s">
        <v>16</v>
      </c>
      <c r="C227" s="7954" t="s">
        <v>3136</v>
      </c>
      <c r="D227" s="7954" t="s">
        <v>3137</v>
      </c>
      <c r="E227" s="7954" t="s">
        <v>3138</v>
      </c>
      <c r="F227" s="7954" t="s">
        <v>2769</v>
      </c>
      <c r="G227" s="7954" t="s">
        <v>22</v>
      </c>
      <c r="H227" s="7954" t="s">
        <v>22</v>
      </c>
      <c r="I227" s="7954" t="s">
        <v>1069</v>
      </c>
    </row>
    <row customHeight="1" ht="11.25">
      <c r="A228" s="7954" t="s">
        <v>2649</v>
      </c>
      <c r="B228" s="7954" t="s">
        <v>16</v>
      </c>
      <c r="C228" s="7954" t="s">
        <v>3142</v>
      </c>
      <c r="D228" s="7954" t="s">
        <v>3143</v>
      </c>
      <c r="E228" s="7954" t="s">
        <v>3144</v>
      </c>
      <c r="F228" s="7954" t="s">
        <v>2686</v>
      </c>
      <c r="G228" s="7954" t="s">
        <v>22</v>
      </c>
      <c r="H228" s="7954" t="s">
        <v>22</v>
      </c>
      <c r="I228" s="7954" t="s">
        <v>1069</v>
      </c>
    </row>
    <row customHeight="1" ht="11.25">
      <c r="A229" s="7954" t="s">
        <v>2649</v>
      </c>
      <c r="B229" s="7954" t="s">
        <v>16</v>
      </c>
      <c r="C229" s="7954" t="s">
        <v>3154</v>
      </c>
      <c r="D229" s="7954" t="s">
        <v>3155</v>
      </c>
      <c r="E229" s="7954" t="s">
        <v>3156</v>
      </c>
      <c r="F229" s="7954" t="s">
        <v>2686</v>
      </c>
      <c r="G229" s="7954" t="s">
        <v>2843</v>
      </c>
      <c r="H229" s="7954" t="s">
        <v>22</v>
      </c>
      <c r="I229" s="7954" t="s">
        <v>1069</v>
      </c>
    </row>
    <row customHeight="1" ht="11.25">
      <c r="A230" s="7954" t="s">
        <v>2649</v>
      </c>
      <c r="B230" s="7954" t="s">
        <v>16</v>
      </c>
      <c r="C230" s="7954" t="s">
        <v>3169</v>
      </c>
      <c r="D230" s="7954" t="s">
        <v>3170</v>
      </c>
      <c r="E230" s="7954" t="s">
        <v>3171</v>
      </c>
      <c r="F230" s="7954" t="s">
        <v>2678</v>
      </c>
      <c r="G230" s="7954" t="s">
        <v>22</v>
      </c>
      <c r="H230" s="7954" t="s">
        <v>22</v>
      </c>
      <c r="I230" s="7954" t="s">
        <v>1069</v>
      </c>
    </row>
    <row customHeight="1" ht="11.25">
      <c r="A231" s="7954" t="s">
        <v>2649</v>
      </c>
      <c r="B231" s="7954" t="s">
        <v>16</v>
      </c>
      <c r="C231" s="7954" t="s">
        <v>3187</v>
      </c>
      <c r="D231" s="7954" t="s">
        <v>3188</v>
      </c>
      <c r="E231" s="7954" t="s">
        <v>3189</v>
      </c>
      <c r="F231" s="7954" t="s">
        <v>2663</v>
      </c>
      <c r="G231" s="7954" t="s">
        <v>3009</v>
      </c>
      <c r="H231" s="7954" t="s">
        <v>22</v>
      </c>
      <c r="I231" s="7954" t="s">
        <v>1069</v>
      </c>
    </row>
    <row customHeight="1" ht="11.25">
      <c r="A232" s="7954" t="s">
        <v>2649</v>
      </c>
      <c r="B232" s="7954" t="s">
        <v>16</v>
      </c>
      <c r="C232" s="7954" t="s">
        <v>3193</v>
      </c>
      <c r="D232" s="7954" t="s">
        <v>3194</v>
      </c>
      <c r="E232" s="7954" t="s">
        <v>3195</v>
      </c>
      <c r="F232" s="7954" t="s">
        <v>2832</v>
      </c>
      <c r="G232" s="7954" t="s">
        <v>22</v>
      </c>
      <c r="H232" s="7954" t="s">
        <v>22</v>
      </c>
      <c r="I232" s="7954" t="s">
        <v>1069</v>
      </c>
    </row>
    <row customHeight="1" ht="11.25">
      <c r="A233" s="7954" t="s">
        <v>2649</v>
      </c>
      <c r="B233" s="7954" t="s">
        <v>16</v>
      </c>
      <c r="C233" s="7954" t="s">
        <v>3199</v>
      </c>
      <c r="D233" s="7954" t="s">
        <v>3200</v>
      </c>
      <c r="E233" s="7954" t="s">
        <v>3201</v>
      </c>
      <c r="F233" s="7954" t="s">
        <v>50</v>
      </c>
      <c r="G233" s="7954" t="s">
        <v>3202</v>
      </c>
      <c r="H233" s="7954" t="s">
        <v>22</v>
      </c>
      <c r="I233" s="7954" t="s">
        <v>1069</v>
      </c>
    </row>
    <row customHeight="1" ht="11.25">
      <c r="A234" s="7954" t="s">
        <v>2649</v>
      </c>
      <c r="B234" s="7954" t="s">
        <v>16</v>
      </c>
      <c r="C234" s="7954" t="s">
        <v>3203</v>
      </c>
      <c r="D234" s="7954" t="s">
        <v>3204</v>
      </c>
      <c r="E234" s="7954" t="s">
        <v>3205</v>
      </c>
      <c r="F234" s="7954" t="s">
        <v>2686</v>
      </c>
      <c r="G234" s="7954" t="s">
        <v>22</v>
      </c>
      <c r="H234" s="7954" t="s">
        <v>22</v>
      </c>
      <c r="I234" s="7954" t="s">
        <v>1069</v>
      </c>
    </row>
    <row customHeight="1" ht="11.25">
      <c r="A235" s="7954" t="s">
        <v>2649</v>
      </c>
      <c r="B235" s="7954" t="s">
        <v>16</v>
      </c>
      <c r="C235" s="7954" t="s">
        <v>3206</v>
      </c>
      <c r="D235" s="7954" t="s">
        <v>3207</v>
      </c>
      <c r="E235" s="7954" t="s">
        <v>3208</v>
      </c>
      <c r="F235" s="7954" t="s">
        <v>2781</v>
      </c>
      <c r="G235" s="7954" t="s">
        <v>3209</v>
      </c>
      <c r="H235" s="7954" t="s">
        <v>22</v>
      </c>
      <c r="I235" s="7954" t="s">
        <v>1069</v>
      </c>
    </row>
    <row customHeight="1" ht="11.25">
      <c r="A236" s="7954" t="s">
        <v>2649</v>
      </c>
      <c r="B236" s="7954" t="s">
        <v>16</v>
      </c>
      <c r="C236" s="7954" t="s">
        <v>3224</v>
      </c>
      <c r="D236" s="7954" t="s">
        <v>3225</v>
      </c>
      <c r="E236" s="7954" t="s">
        <v>3226</v>
      </c>
      <c r="F236" s="7954" t="s">
        <v>2955</v>
      </c>
      <c r="G236" s="7954" t="s">
        <v>22</v>
      </c>
      <c r="H236" s="7954" t="s">
        <v>22</v>
      </c>
      <c r="I236" s="7954" t="s">
        <v>1069</v>
      </c>
    </row>
    <row customHeight="1" ht="11.25">
      <c r="A237" s="7954" t="s">
        <v>2649</v>
      </c>
      <c r="B237" s="7954" t="s">
        <v>16</v>
      </c>
      <c r="C237" s="7954" t="s">
        <v>3227</v>
      </c>
      <c r="D237" s="7954" t="s">
        <v>3228</v>
      </c>
      <c r="E237" s="7954" t="s">
        <v>3229</v>
      </c>
      <c r="F237" s="7954" t="s">
        <v>3230</v>
      </c>
      <c r="G237" s="7954" t="s">
        <v>22</v>
      </c>
      <c r="H237" s="7954" t="s">
        <v>22</v>
      </c>
      <c r="I237" s="7954" t="s">
        <v>1069</v>
      </c>
    </row>
    <row customHeight="1" ht="11.25">
      <c r="A238" s="7954" t="s">
        <v>2649</v>
      </c>
      <c r="B238" s="7954" t="s">
        <v>16</v>
      </c>
      <c r="C238" s="7954" t="s">
        <v>3231</v>
      </c>
      <c r="D238" s="7954" t="s">
        <v>3232</v>
      </c>
      <c r="E238" s="7954" t="s">
        <v>3233</v>
      </c>
      <c r="F238" s="7954" t="s">
        <v>2827</v>
      </c>
      <c r="G238" s="7954" t="s">
        <v>22</v>
      </c>
      <c r="H238" s="7954" t="s">
        <v>22</v>
      </c>
      <c r="I238" s="7954" t="s">
        <v>1069</v>
      </c>
    </row>
    <row customHeight="1" ht="11.25">
      <c r="A239" s="7954" t="s">
        <v>2649</v>
      </c>
      <c r="B239" s="7954" t="s">
        <v>16</v>
      </c>
      <c r="C239" s="7954" t="s">
        <v>3261</v>
      </c>
      <c r="D239" s="7954" t="s">
        <v>3262</v>
      </c>
      <c r="E239" s="7954" t="s">
        <v>3263</v>
      </c>
      <c r="F239" s="7954" t="s">
        <v>2678</v>
      </c>
      <c r="G239" s="7954" t="s">
        <v>22</v>
      </c>
      <c r="H239" s="7954" t="s">
        <v>22</v>
      </c>
      <c r="I239" s="7954" t="s">
        <v>1069</v>
      </c>
    </row>
    <row customHeight="1" ht="11.25">
      <c r="A240" s="7954" t="s">
        <v>2649</v>
      </c>
      <c r="B240" s="7954" t="s">
        <v>16</v>
      </c>
      <c r="C240" s="7954" t="s">
        <v>3264</v>
      </c>
      <c r="D240" s="7954" t="s">
        <v>3265</v>
      </c>
      <c r="E240" s="7954" t="s">
        <v>2812</v>
      </c>
      <c r="F240" s="7954" t="s">
        <v>2723</v>
      </c>
      <c r="G240" s="7954" t="s">
        <v>22</v>
      </c>
      <c r="H240" s="7954" t="s">
        <v>22</v>
      </c>
      <c r="I240" s="7954" t="s">
        <v>1069</v>
      </c>
    </row>
    <row customHeight="1" ht="11.25">
      <c r="A241" s="7954" t="s">
        <v>2649</v>
      </c>
      <c r="B241" s="7954" t="s">
        <v>16</v>
      </c>
      <c r="C241" s="7954" t="s">
        <v>3266</v>
      </c>
      <c r="D241" s="7954" t="s">
        <v>3267</v>
      </c>
      <c r="E241" s="7954" t="s">
        <v>3268</v>
      </c>
      <c r="F241" s="7954" t="s">
        <v>3269</v>
      </c>
      <c r="G241" s="7954" t="s">
        <v>22</v>
      </c>
      <c r="H241" s="7954" t="s">
        <v>22</v>
      </c>
      <c r="I241" s="7954" t="s">
        <v>1069</v>
      </c>
    </row>
    <row customHeight="1" ht="11.25">
      <c r="A242" s="7954" t="s">
        <v>2649</v>
      </c>
      <c r="B242" s="7954" t="s">
        <v>16</v>
      </c>
      <c r="C242" s="7954" t="s">
        <v>3277</v>
      </c>
      <c r="D242" s="7954" t="s">
        <v>3278</v>
      </c>
      <c r="E242" s="7954" t="s">
        <v>3279</v>
      </c>
      <c r="F242" s="7954" t="s">
        <v>3280</v>
      </c>
      <c r="G242" s="7954" t="s">
        <v>22</v>
      </c>
      <c r="H242" s="7954" t="s">
        <v>22</v>
      </c>
      <c r="I242" s="7954" t="s">
        <v>1069</v>
      </c>
    </row>
    <row customHeight="1" ht="11.25">
      <c r="A243" s="7954" t="s">
        <v>2649</v>
      </c>
      <c r="B243" s="7954" t="s">
        <v>16</v>
      </c>
      <c r="C243" s="7954" t="s">
        <v>2655</v>
      </c>
      <c r="D243" s="7954" t="s">
        <v>2656</v>
      </c>
      <c r="E243" s="7954" t="s">
        <v>2657</v>
      </c>
      <c r="F243" s="7954" t="s">
        <v>2658</v>
      </c>
      <c r="G243" s="7954" t="s">
        <v>2659</v>
      </c>
      <c r="H243" s="7954" t="s">
        <v>22</v>
      </c>
      <c r="I243" s="7954" t="s">
        <v>1029</v>
      </c>
    </row>
    <row customHeight="1" ht="11.25">
      <c r="A244" s="7954" t="s">
        <v>2649</v>
      </c>
      <c r="B244" s="7954" t="s">
        <v>16</v>
      </c>
      <c r="C244" s="7954" t="s">
        <v>3288</v>
      </c>
      <c r="D244" s="7954" t="s">
        <v>3289</v>
      </c>
      <c r="E244" s="7954" t="s">
        <v>3290</v>
      </c>
      <c r="F244" s="7954" t="s">
        <v>2875</v>
      </c>
      <c r="G244" s="7954" t="s">
        <v>3291</v>
      </c>
      <c r="H244" s="7954" t="s">
        <v>22</v>
      </c>
      <c r="I244" s="7954" t="s">
        <v>1029</v>
      </c>
    </row>
    <row customHeight="1" ht="11.25">
      <c r="A245" s="7954" t="s">
        <v>2649</v>
      </c>
      <c r="B245" s="7954" t="s">
        <v>16</v>
      </c>
      <c r="C245" s="7954" t="s">
        <v>2664</v>
      </c>
      <c r="D245" s="7954" t="s">
        <v>2665</v>
      </c>
      <c r="E245" s="7954" t="s">
        <v>2666</v>
      </c>
      <c r="F245" s="7954" t="s">
        <v>2663</v>
      </c>
      <c r="G245" s="7954" t="s">
        <v>22</v>
      </c>
      <c r="H245" s="7954" t="s">
        <v>22</v>
      </c>
      <c r="I245" s="7954" t="s">
        <v>1029</v>
      </c>
    </row>
    <row customHeight="1" ht="11.25">
      <c r="A246" s="7954" t="s">
        <v>2649</v>
      </c>
      <c r="B246" s="7954" t="s">
        <v>16</v>
      </c>
      <c r="C246" s="7954" t="s">
        <v>2667</v>
      </c>
      <c r="D246" s="7954" t="s">
        <v>2668</v>
      </c>
      <c r="E246" s="7954" t="s">
        <v>2669</v>
      </c>
      <c r="F246" s="7954" t="s">
        <v>2670</v>
      </c>
      <c r="G246" s="7954" t="s">
        <v>22</v>
      </c>
      <c r="H246" s="7954" t="s">
        <v>22</v>
      </c>
      <c r="I246" s="7954" t="s">
        <v>1029</v>
      </c>
    </row>
    <row customHeight="1" ht="11.25">
      <c r="A247" s="7954" t="s">
        <v>2649</v>
      </c>
      <c r="B247" s="7954" t="s">
        <v>16</v>
      </c>
      <c r="C247" s="7954" t="s">
        <v>2671</v>
      </c>
      <c r="D247" s="7954" t="s">
        <v>2672</v>
      </c>
      <c r="E247" s="7954" t="s">
        <v>2673</v>
      </c>
      <c r="F247" s="7954" t="s">
        <v>2658</v>
      </c>
      <c r="G247" s="7954" t="s">
        <v>2674</v>
      </c>
      <c r="H247" s="7954" t="s">
        <v>22</v>
      </c>
      <c r="I247" s="7954" t="s">
        <v>1029</v>
      </c>
    </row>
    <row customHeight="1" ht="11.25">
      <c r="A248" s="7954" t="s">
        <v>2649</v>
      </c>
      <c r="B248" s="7954" t="s">
        <v>16</v>
      </c>
      <c r="C248" s="7954" t="s">
        <v>2675</v>
      </c>
      <c r="D248" s="7954" t="s">
        <v>2676</v>
      </c>
      <c r="E248" s="7954" t="s">
        <v>2677</v>
      </c>
      <c r="F248" s="7954" t="s">
        <v>2678</v>
      </c>
      <c r="G248" s="7954" t="s">
        <v>22</v>
      </c>
      <c r="H248" s="7954" t="s">
        <v>22</v>
      </c>
      <c r="I248" s="7954" t="s">
        <v>1029</v>
      </c>
    </row>
    <row customHeight="1" ht="11.25">
      <c r="A249" s="7954" t="s">
        <v>2649</v>
      </c>
      <c r="B249" s="7954" t="s">
        <v>16</v>
      </c>
      <c r="C249" s="7954" t="s">
        <v>2679</v>
      </c>
      <c r="D249" s="7954" t="s">
        <v>2680</v>
      </c>
      <c r="E249" s="7954" t="s">
        <v>2681</v>
      </c>
      <c r="F249" s="7954" t="s">
        <v>2682</v>
      </c>
      <c r="G249" s="7954" t="s">
        <v>22</v>
      </c>
      <c r="H249" s="7954" t="s">
        <v>22</v>
      </c>
      <c r="I249" s="7954" t="s">
        <v>1029</v>
      </c>
    </row>
    <row customHeight="1" ht="11.25">
      <c r="A250" s="7954" t="s">
        <v>2649</v>
      </c>
      <c r="B250" s="7954" t="s">
        <v>16</v>
      </c>
      <c r="C250" s="7954" t="s">
        <v>3292</v>
      </c>
      <c r="D250" s="7954" t="s">
        <v>3293</v>
      </c>
      <c r="E250" s="7954" t="s">
        <v>3294</v>
      </c>
      <c r="F250" s="7954" t="s">
        <v>3295</v>
      </c>
      <c r="G250" s="7954" t="s">
        <v>22</v>
      </c>
      <c r="H250" s="7954" t="s">
        <v>22</v>
      </c>
      <c r="I250" s="7954" t="s">
        <v>1029</v>
      </c>
    </row>
    <row customHeight="1" ht="11.25">
      <c r="A251" s="7954" t="s">
        <v>2649</v>
      </c>
      <c r="B251" s="7954" t="s">
        <v>16</v>
      </c>
      <c r="C251" s="7954" t="s">
        <v>3296</v>
      </c>
      <c r="D251" s="7954" t="s">
        <v>3297</v>
      </c>
      <c r="E251" s="7954" t="s">
        <v>3298</v>
      </c>
      <c r="F251" s="7954" t="s">
        <v>2742</v>
      </c>
      <c r="G251" s="7954" t="s">
        <v>22</v>
      </c>
      <c r="H251" s="7954" t="s">
        <v>22</v>
      </c>
      <c r="I251" s="7954" t="s">
        <v>1029</v>
      </c>
    </row>
    <row customHeight="1" ht="11.25">
      <c r="A252" s="7954" t="s">
        <v>2649</v>
      </c>
      <c r="B252" s="7954" t="s">
        <v>16</v>
      </c>
      <c r="C252" s="7954" t="s">
        <v>2687</v>
      </c>
      <c r="D252" s="7954" t="s">
        <v>2688</v>
      </c>
      <c r="E252" s="7954" t="s">
        <v>2689</v>
      </c>
      <c r="F252" s="7954" t="s">
        <v>2690</v>
      </c>
      <c r="G252" s="7954" t="s">
        <v>22</v>
      </c>
      <c r="H252" s="7954" t="s">
        <v>22</v>
      </c>
      <c r="I252" s="7954" t="s">
        <v>1029</v>
      </c>
    </row>
    <row customHeight="1" ht="11.25">
      <c r="A253" s="7954" t="s">
        <v>2649</v>
      </c>
      <c r="B253" s="7954" t="s">
        <v>16</v>
      </c>
      <c r="C253" s="7954" t="s">
        <v>2691</v>
      </c>
      <c r="D253" s="7954" t="s">
        <v>2692</v>
      </c>
      <c r="E253" s="7954" t="s">
        <v>2693</v>
      </c>
      <c r="F253" s="7954" t="s">
        <v>2694</v>
      </c>
      <c r="G253" s="7954" t="s">
        <v>22</v>
      </c>
      <c r="H253" s="7954" t="s">
        <v>22</v>
      </c>
      <c r="I253" s="7954" t="s">
        <v>1029</v>
      </c>
    </row>
    <row customHeight="1" ht="11.25">
      <c r="A254" s="7954" t="s">
        <v>2649</v>
      </c>
      <c r="B254" s="7954" t="s">
        <v>16</v>
      </c>
      <c r="C254" s="7954" t="s">
        <v>2716</v>
      </c>
      <c r="D254" s="7954" t="s">
        <v>2717</v>
      </c>
      <c r="E254" s="7954" t="s">
        <v>2718</v>
      </c>
      <c r="F254" s="7954" t="s">
        <v>2719</v>
      </c>
      <c r="G254" s="7954" t="s">
        <v>22</v>
      </c>
      <c r="H254" s="7954" t="s">
        <v>22</v>
      </c>
      <c r="I254" s="7954" t="s">
        <v>1029</v>
      </c>
    </row>
    <row customHeight="1" ht="11.25">
      <c r="A255" s="7954" t="s">
        <v>2649</v>
      </c>
      <c r="B255" s="7954" t="s">
        <v>16</v>
      </c>
      <c r="C255" s="7954" t="s">
        <v>2728</v>
      </c>
      <c r="D255" s="7954" t="s">
        <v>2729</v>
      </c>
      <c r="E255" s="7954" t="s">
        <v>2730</v>
      </c>
      <c r="F255" s="7954" t="s">
        <v>2731</v>
      </c>
      <c r="G255" s="7954" t="s">
        <v>2674</v>
      </c>
      <c r="H255" s="7954" t="s">
        <v>22</v>
      </c>
      <c r="I255" s="7954" t="s">
        <v>1029</v>
      </c>
    </row>
    <row customHeight="1" ht="11.25">
      <c r="A256" s="7954" t="s">
        <v>2649</v>
      </c>
      <c r="B256" s="7954" t="s">
        <v>16</v>
      </c>
      <c r="C256" s="7954" t="s">
        <v>2735</v>
      </c>
      <c r="D256" s="7954" t="s">
        <v>2736</v>
      </c>
      <c r="E256" s="7954" t="s">
        <v>2737</v>
      </c>
      <c r="F256" s="7954" t="s">
        <v>2738</v>
      </c>
      <c r="G256" s="7954" t="s">
        <v>22</v>
      </c>
      <c r="H256" s="7954" t="s">
        <v>22</v>
      </c>
      <c r="I256" s="7954" t="s">
        <v>1029</v>
      </c>
    </row>
    <row customHeight="1" ht="11.25">
      <c r="A257" s="7954" t="s">
        <v>2649</v>
      </c>
      <c r="B257" s="7954" t="s">
        <v>16</v>
      </c>
      <c r="C257" s="7954" t="s">
        <v>2739</v>
      </c>
      <c r="D257" s="7954" t="s">
        <v>2740</v>
      </c>
      <c r="E257" s="7954" t="s">
        <v>2741</v>
      </c>
      <c r="F257" s="7954" t="s">
        <v>2742</v>
      </c>
      <c r="G257" s="7954" t="s">
        <v>22</v>
      </c>
      <c r="H257" s="7954" t="s">
        <v>2743</v>
      </c>
      <c r="I257" s="7954" t="s">
        <v>1029</v>
      </c>
    </row>
    <row customHeight="1" ht="11.25">
      <c r="A258" s="7954" t="s">
        <v>2649</v>
      </c>
      <c r="B258" s="7954" t="s">
        <v>16</v>
      </c>
      <c r="C258" s="7954" t="s">
        <v>2747</v>
      </c>
      <c r="D258" s="7954" t="s">
        <v>2748</v>
      </c>
      <c r="E258" s="7954" t="s">
        <v>2749</v>
      </c>
      <c r="F258" s="7954" t="s">
        <v>2750</v>
      </c>
      <c r="G258" s="7954" t="s">
        <v>22</v>
      </c>
      <c r="H258" s="7954" t="s">
        <v>22</v>
      </c>
      <c r="I258" s="7954" t="s">
        <v>1029</v>
      </c>
    </row>
    <row customHeight="1" ht="11.25">
      <c r="A259" s="7954" t="s">
        <v>2649</v>
      </c>
      <c r="B259" s="7954" t="s">
        <v>16</v>
      </c>
      <c r="C259" s="7954" t="s">
        <v>2751</v>
      </c>
      <c r="D259" s="7954" t="s">
        <v>2752</v>
      </c>
      <c r="E259" s="7954" t="s">
        <v>2749</v>
      </c>
      <c r="F259" s="7954" t="s">
        <v>2753</v>
      </c>
      <c r="G259" s="7954" t="s">
        <v>22</v>
      </c>
      <c r="H259" s="7954" t="s">
        <v>22</v>
      </c>
      <c r="I259" s="7954" t="s">
        <v>1029</v>
      </c>
    </row>
    <row customHeight="1" ht="11.25">
      <c r="A260" s="7954" t="s">
        <v>2649</v>
      </c>
      <c r="B260" s="7954" t="s">
        <v>16</v>
      </c>
      <c r="C260" s="7954" t="s">
        <v>3299</v>
      </c>
      <c r="D260" s="7954" t="s">
        <v>3300</v>
      </c>
      <c r="E260" s="7954" t="s">
        <v>3301</v>
      </c>
      <c r="F260" s="7954" t="s">
        <v>2925</v>
      </c>
      <c r="G260" s="7954" t="s">
        <v>22</v>
      </c>
      <c r="H260" s="7954" t="s">
        <v>22</v>
      </c>
      <c r="I260" s="7954" t="s">
        <v>1029</v>
      </c>
    </row>
    <row customHeight="1" ht="11.25">
      <c r="A261" s="7954" t="s">
        <v>2649</v>
      </c>
      <c r="B261" s="7954" t="s">
        <v>16</v>
      </c>
      <c r="C261" s="7954" t="s">
        <v>2754</v>
      </c>
      <c r="D261" s="7954" t="s">
        <v>2755</v>
      </c>
      <c r="E261" s="7954" t="s">
        <v>2756</v>
      </c>
      <c r="F261" s="7954" t="s">
        <v>2742</v>
      </c>
      <c r="G261" s="7954" t="s">
        <v>22</v>
      </c>
      <c r="H261" s="7954" t="s">
        <v>22</v>
      </c>
      <c r="I261" s="7954" t="s">
        <v>1029</v>
      </c>
    </row>
    <row customHeight="1" ht="11.25">
      <c r="A262" s="7954" t="s">
        <v>2649</v>
      </c>
      <c r="B262" s="7954" t="s">
        <v>16</v>
      </c>
      <c r="C262" s="7954" t="s">
        <v>2757</v>
      </c>
      <c r="D262" s="7954" t="s">
        <v>2758</v>
      </c>
      <c r="E262" s="7954" t="s">
        <v>2759</v>
      </c>
      <c r="F262" s="7954" t="s">
        <v>2686</v>
      </c>
      <c r="G262" s="7954" t="s">
        <v>22</v>
      </c>
      <c r="H262" s="7954" t="s">
        <v>22</v>
      </c>
      <c r="I262" s="7954" t="s">
        <v>1029</v>
      </c>
    </row>
    <row customHeight="1" ht="11.25">
      <c r="A263" s="7954" t="s">
        <v>2649</v>
      </c>
      <c r="B263" s="7954" t="s">
        <v>16</v>
      </c>
      <c r="C263" s="7954" t="s">
        <v>2763</v>
      </c>
      <c r="D263" s="7954" t="s">
        <v>2764</v>
      </c>
      <c r="E263" s="7954" t="s">
        <v>2765</v>
      </c>
      <c r="F263" s="7954" t="s">
        <v>2719</v>
      </c>
      <c r="G263" s="7954" t="s">
        <v>22</v>
      </c>
      <c r="H263" s="7954" t="s">
        <v>22</v>
      </c>
      <c r="I263" s="7954" t="s">
        <v>1029</v>
      </c>
    </row>
    <row customHeight="1" ht="11.25">
      <c r="A264" s="7954" t="s">
        <v>2649</v>
      </c>
      <c r="B264" s="7954" t="s">
        <v>16</v>
      </c>
      <c r="C264" s="7954" t="s">
        <v>2782</v>
      </c>
      <c r="D264" s="7954" t="s">
        <v>2783</v>
      </c>
      <c r="E264" s="7954" t="s">
        <v>2784</v>
      </c>
      <c r="F264" s="7954" t="s">
        <v>2785</v>
      </c>
      <c r="G264" s="7954" t="s">
        <v>2786</v>
      </c>
      <c r="H264" s="7954" t="s">
        <v>22</v>
      </c>
      <c r="I264" s="7954" t="s">
        <v>1029</v>
      </c>
    </row>
    <row customHeight="1" ht="11.25">
      <c r="A265" s="7954" t="s">
        <v>2649</v>
      </c>
      <c r="B265" s="7954" t="s">
        <v>16</v>
      </c>
      <c r="C265" s="7954" t="s">
        <v>2787</v>
      </c>
      <c r="D265" s="7954" t="s">
        <v>2788</v>
      </c>
      <c r="E265" s="7954" t="s">
        <v>2789</v>
      </c>
      <c r="F265" s="7954" t="s">
        <v>2719</v>
      </c>
      <c r="G265" s="7954" t="s">
        <v>22</v>
      </c>
      <c r="H265" s="7954" t="s">
        <v>22</v>
      </c>
      <c r="I265" s="7954" t="s">
        <v>1029</v>
      </c>
    </row>
    <row customHeight="1" ht="11.25">
      <c r="A266" s="7954" t="s">
        <v>2649</v>
      </c>
      <c r="B266" s="7954" t="s">
        <v>16</v>
      </c>
      <c r="C266" s="7954" t="s">
        <v>2790</v>
      </c>
      <c r="D266" s="7954" t="s">
        <v>2791</v>
      </c>
      <c r="E266" s="7954" t="s">
        <v>2792</v>
      </c>
      <c r="F266" s="7954" t="s">
        <v>2793</v>
      </c>
      <c r="G266" s="7954" t="s">
        <v>22</v>
      </c>
      <c r="H266" s="7954" t="s">
        <v>22</v>
      </c>
      <c r="I266" s="7954" t="s">
        <v>1029</v>
      </c>
    </row>
    <row customHeight="1" ht="11.25">
      <c r="A267" s="7954" t="s">
        <v>2649</v>
      </c>
      <c r="B267" s="7954" t="s">
        <v>16</v>
      </c>
      <c r="C267" s="7954" t="s">
        <v>2797</v>
      </c>
      <c r="D267" s="7954" t="s">
        <v>2798</v>
      </c>
      <c r="E267" s="7954" t="s">
        <v>2799</v>
      </c>
      <c r="F267" s="7954" t="s">
        <v>693</v>
      </c>
      <c r="G267" s="7954" t="s">
        <v>22</v>
      </c>
      <c r="H267" s="7954" t="s">
        <v>22</v>
      </c>
      <c r="I267" s="7954" t="s">
        <v>1029</v>
      </c>
    </row>
    <row customHeight="1" ht="11.25">
      <c r="A268" s="7954" t="s">
        <v>2649</v>
      </c>
      <c r="B268" s="7954" t="s">
        <v>16</v>
      </c>
      <c r="C268" s="7954" t="s">
        <v>2803</v>
      </c>
      <c r="D268" s="7954" t="s">
        <v>2804</v>
      </c>
      <c r="E268" s="7954" t="s">
        <v>2805</v>
      </c>
      <c r="F268" s="7954" t="s">
        <v>693</v>
      </c>
      <c r="G268" s="7954" t="s">
        <v>2806</v>
      </c>
      <c r="H268" s="7954" t="s">
        <v>22</v>
      </c>
      <c r="I268" s="7954" t="s">
        <v>1029</v>
      </c>
    </row>
    <row customHeight="1" ht="11.25">
      <c r="A269" s="7954" t="s">
        <v>2649</v>
      </c>
      <c r="B269" s="7954" t="s">
        <v>16</v>
      </c>
      <c r="C269" s="7954" t="s">
        <v>2807</v>
      </c>
      <c r="D269" s="7954" t="s">
        <v>2808</v>
      </c>
      <c r="E269" s="7954" t="s">
        <v>2809</v>
      </c>
      <c r="F269" s="7954" t="s">
        <v>693</v>
      </c>
      <c r="G269" s="7954" t="s">
        <v>22</v>
      </c>
      <c r="H269" s="7954" t="s">
        <v>22</v>
      </c>
      <c r="I269" s="7954" t="s">
        <v>1029</v>
      </c>
    </row>
    <row customHeight="1" ht="11.25">
      <c r="A270" s="7954" t="s">
        <v>2649</v>
      </c>
      <c r="B270" s="7954" t="s">
        <v>16</v>
      </c>
      <c r="C270" s="7954" t="s">
        <v>3302</v>
      </c>
      <c r="D270" s="7954" t="s">
        <v>3303</v>
      </c>
      <c r="E270" s="7954" t="s">
        <v>3304</v>
      </c>
      <c r="F270" s="7954" t="s">
        <v>693</v>
      </c>
      <c r="G270" s="7954" t="s">
        <v>3305</v>
      </c>
      <c r="H270" s="7954" t="s">
        <v>22</v>
      </c>
      <c r="I270" s="7954" t="s">
        <v>1029</v>
      </c>
    </row>
    <row customHeight="1" ht="11.25">
      <c r="A271" s="7954" t="s">
        <v>2649</v>
      </c>
      <c r="B271" s="7954" t="s">
        <v>16</v>
      </c>
      <c r="C271" s="7954" t="s">
        <v>22</v>
      </c>
      <c r="D271" s="7954" t="s">
        <v>2815</v>
      </c>
      <c r="E271" s="7954" t="s">
        <v>2816</v>
      </c>
      <c r="F271" s="7954" t="s">
        <v>2663</v>
      </c>
      <c r="G271" s="7954" t="s">
        <v>22</v>
      </c>
      <c r="H271" s="7954" t="s">
        <v>22</v>
      </c>
      <c r="I271" s="7954" t="s">
        <v>1029</v>
      </c>
    </row>
    <row customHeight="1" ht="11.25">
      <c r="A272" s="7954" t="s">
        <v>2649</v>
      </c>
      <c r="B272" s="7954" t="s">
        <v>16</v>
      </c>
      <c r="C272" s="7954" t="s">
        <v>2817</v>
      </c>
      <c r="D272" s="7954" t="s">
        <v>2818</v>
      </c>
      <c r="E272" s="7954" t="s">
        <v>2819</v>
      </c>
      <c r="F272" s="7954" t="s">
        <v>2820</v>
      </c>
      <c r="G272" s="7954" t="s">
        <v>22</v>
      </c>
      <c r="H272" s="7954" t="s">
        <v>22</v>
      </c>
      <c r="I272" s="7954" t="s">
        <v>1029</v>
      </c>
    </row>
    <row customHeight="1" ht="11.25">
      <c r="A273" s="7954" t="s">
        <v>2649</v>
      </c>
      <c r="B273" s="7954" t="s">
        <v>16</v>
      </c>
      <c r="C273" s="7954" t="s">
        <v>3306</v>
      </c>
      <c r="D273" s="7954" t="s">
        <v>3307</v>
      </c>
      <c r="E273" s="7954" t="s">
        <v>2819</v>
      </c>
      <c r="F273" s="7954" t="s">
        <v>3308</v>
      </c>
      <c r="G273" s="7954" t="s">
        <v>22</v>
      </c>
      <c r="H273" s="7954" t="s">
        <v>22</v>
      </c>
      <c r="I273" s="7954" t="s">
        <v>1029</v>
      </c>
    </row>
    <row customHeight="1" ht="11.25">
      <c r="A274" s="7954" t="s">
        <v>2649</v>
      </c>
      <c r="B274" s="7954" t="s">
        <v>16</v>
      </c>
      <c r="C274" s="7954" t="s">
        <v>2821</v>
      </c>
      <c r="D274" s="7954" t="s">
        <v>2822</v>
      </c>
      <c r="E274" s="7954" t="s">
        <v>2772</v>
      </c>
      <c r="F274" s="7954" t="s">
        <v>2823</v>
      </c>
      <c r="G274" s="7954" t="s">
        <v>22</v>
      </c>
      <c r="H274" s="7954" t="s">
        <v>22</v>
      </c>
      <c r="I274" s="7954" t="s">
        <v>1029</v>
      </c>
    </row>
    <row customHeight="1" ht="11.25">
      <c r="A275" s="7954" t="s">
        <v>2649</v>
      </c>
      <c r="B275" s="7954" t="s">
        <v>16</v>
      </c>
      <c r="C275" s="7954" t="s">
        <v>3309</v>
      </c>
      <c r="D275" s="7954" t="s">
        <v>3310</v>
      </c>
      <c r="E275" s="7954" t="s">
        <v>3311</v>
      </c>
      <c r="F275" s="7954" t="s">
        <v>2832</v>
      </c>
      <c r="G275" s="7954" t="s">
        <v>3312</v>
      </c>
      <c r="H275" s="7954" t="s">
        <v>22</v>
      </c>
      <c r="I275" s="7954" t="s">
        <v>1029</v>
      </c>
    </row>
    <row customHeight="1" ht="11.25">
      <c r="A276" s="7954" t="s">
        <v>2649</v>
      </c>
      <c r="B276" s="7954" t="s">
        <v>16</v>
      </c>
      <c r="C276" s="7954" t="s">
        <v>3313</v>
      </c>
      <c r="D276" s="7954" t="s">
        <v>3314</v>
      </c>
      <c r="E276" s="7954" t="s">
        <v>3315</v>
      </c>
      <c r="F276" s="7954" t="s">
        <v>2832</v>
      </c>
      <c r="G276" s="7954" t="s">
        <v>22</v>
      </c>
      <c r="H276" s="7954" t="s">
        <v>22</v>
      </c>
      <c r="I276" s="7954" t="s">
        <v>1029</v>
      </c>
    </row>
    <row customHeight="1" ht="11.25">
      <c r="A277" s="7954" t="s">
        <v>2649</v>
      </c>
      <c r="B277" s="7954" t="s">
        <v>16</v>
      </c>
      <c r="C277" s="7954" t="s">
        <v>2829</v>
      </c>
      <c r="D277" s="7954" t="s">
        <v>2830</v>
      </c>
      <c r="E277" s="7954" t="s">
        <v>2831</v>
      </c>
      <c r="F277" s="7954" t="s">
        <v>2832</v>
      </c>
      <c r="G277" s="7954" t="s">
        <v>22</v>
      </c>
      <c r="H277" s="7954" t="s">
        <v>22</v>
      </c>
      <c r="I277" s="7954" t="s">
        <v>1029</v>
      </c>
    </row>
    <row customHeight="1" ht="11.25">
      <c r="A278" s="7954" t="s">
        <v>2649</v>
      </c>
      <c r="B278" s="7954" t="s">
        <v>16</v>
      </c>
      <c r="C278" s="7954" t="s">
        <v>3316</v>
      </c>
      <c r="D278" s="7954" t="s">
        <v>3317</v>
      </c>
      <c r="E278" s="7954" t="s">
        <v>3318</v>
      </c>
      <c r="F278" s="7954" t="s">
        <v>2832</v>
      </c>
      <c r="G278" s="7954" t="s">
        <v>22</v>
      </c>
      <c r="H278" s="7954" t="s">
        <v>22</v>
      </c>
      <c r="I278" s="7954" t="s">
        <v>1029</v>
      </c>
    </row>
    <row customHeight="1" ht="11.25">
      <c r="A279" s="7954" t="s">
        <v>2649</v>
      </c>
      <c r="B279" s="7954" t="s">
        <v>16</v>
      </c>
      <c r="C279" s="7954" t="s">
        <v>3319</v>
      </c>
      <c r="D279" s="7954" t="s">
        <v>3320</v>
      </c>
      <c r="E279" s="7954" t="s">
        <v>3321</v>
      </c>
      <c r="F279" s="7954" t="s">
        <v>2832</v>
      </c>
      <c r="G279" s="7954" t="s">
        <v>22</v>
      </c>
      <c r="H279" s="7954" t="s">
        <v>22</v>
      </c>
      <c r="I279" s="7954" t="s">
        <v>1029</v>
      </c>
    </row>
    <row customHeight="1" ht="11.25">
      <c r="A280" s="7954" t="s">
        <v>2649</v>
      </c>
      <c r="B280" s="7954" t="s">
        <v>16</v>
      </c>
      <c r="C280" s="7954" t="s">
        <v>3322</v>
      </c>
      <c r="D280" s="7954" t="s">
        <v>3323</v>
      </c>
      <c r="E280" s="7954" t="s">
        <v>3324</v>
      </c>
      <c r="F280" s="7954" t="s">
        <v>2709</v>
      </c>
      <c r="G280" s="7954" t="s">
        <v>22</v>
      </c>
      <c r="H280" s="7954" t="s">
        <v>22</v>
      </c>
      <c r="I280" s="7954" t="s">
        <v>1029</v>
      </c>
    </row>
    <row customHeight="1" ht="11.25">
      <c r="A281" s="7954" t="s">
        <v>2649</v>
      </c>
      <c r="B281" s="7954" t="s">
        <v>16</v>
      </c>
      <c r="C281" s="7954" t="s">
        <v>2836</v>
      </c>
      <c r="D281" s="7954" t="s">
        <v>2837</v>
      </c>
      <c r="E281" s="7954" t="s">
        <v>2838</v>
      </c>
      <c r="F281" s="7954" t="s">
        <v>2832</v>
      </c>
      <c r="G281" s="7954" t="s">
        <v>2839</v>
      </c>
      <c r="H281" s="7954" t="s">
        <v>22</v>
      </c>
      <c r="I281" s="7954" t="s">
        <v>1029</v>
      </c>
    </row>
    <row customHeight="1" ht="11.25">
      <c r="A282" s="7954" t="s">
        <v>2649</v>
      </c>
      <c r="B282" s="7954" t="s">
        <v>16</v>
      </c>
      <c r="C282" s="7954" t="s">
        <v>2840</v>
      </c>
      <c r="D282" s="7954" t="s">
        <v>2841</v>
      </c>
      <c r="E282" s="7954" t="s">
        <v>2842</v>
      </c>
      <c r="F282" s="7954" t="s">
        <v>2832</v>
      </c>
      <c r="G282" s="7954" t="s">
        <v>2843</v>
      </c>
      <c r="H282" s="7954" t="s">
        <v>22</v>
      </c>
      <c r="I282" s="7954" t="s">
        <v>1029</v>
      </c>
    </row>
    <row customHeight="1" ht="11.25">
      <c r="A283" s="7954" t="s">
        <v>2649</v>
      </c>
      <c r="B283" s="7954" t="s">
        <v>16</v>
      </c>
      <c r="C283" s="7954" t="s">
        <v>3325</v>
      </c>
      <c r="D283" s="7954" t="s">
        <v>3326</v>
      </c>
      <c r="E283" s="7954" t="s">
        <v>3327</v>
      </c>
      <c r="F283" s="7954" t="s">
        <v>2781</v>
      </c>
      <c r="G283" s="7954" t="s">
        <v>22</v>
      </c>
      <c r="H283" s="7954" t="s">
        <v>22</v>
      </c>
      <c r="I283" s="7954" t="s">
        <v>1029</v>
      </c>
    </row>
    <row customHeight="1" ht="11.25">
      <c r="A284" s="7954" t="s">
        <v>2649</v>
      </c>
      <c r="B284" s="7954" t="s">
        <v>16</v>
      </c>
      <c r="C284" s="7954" t="s">
        <v>2844</v>
      </c>
      <c r="D284" s="7954" t="s">
        <v>2845</v>
      </c>
      <c r="E284" s="7954" t="s">
        <v>2846</v>
      </c>
      <c r="F284" s="7954" t="s">
        <v>2781</v>
      </c>
      <c r="G284" s="7954" t="s">
        <v>22</v>
      </c>
      <c r="H284" s="7954" t="s">
        <v>22</v>
      </c>
      <c r="I284" s="7954" t="s">
        <v>1029</v>
      </c>
    </row>
    <row customHeight="1" ht="11.25">
      <c r="A285" s="7954" t="s">
        <v>2649</v>
      </c>
      <c r="B285" s="7954" t="s">
        <v>16</v>
      </c>
      <c r="C285" s="7954" t="s">
        <v>3328</v>
      </c>
      <c r="D285" s="7954" t="s">
        <v>3329</v>
      </c>
      <c r="E285" s="7954" t="s">
        <v>3330</v>
      </c>
      <c r="F285" s="7954" t="s">
        <v>3331</v>
      </c>
      <c r="G285" s="7954" t="s">
        <v>22</v>
      </c>
      <c r="H285" s="7954" t="s">
        <v>22</v>
      </c>
      <c r="I285" s="7954" t="s">
        <v>1029</v>
      </c>
    </row>
    <row customHeight="1" ht="11.25">
      <c r="A286" s="7954" t="s">
        <v>2649</v>
      </c>
      <c r="B286" s="7954" t="s">
        <v>16</v>
      </c>
      <c r="C286" s="7954" t="s">
        <v>2847</v>
      </c>
      <c r="D286" s="7954" t="s">
        <v>2848</v>
      </c>
      <c r="E286" s="7954" t="s">
        <v>2849</v>
      </c>
      <c r="F286" s="7954" t="s">
        <v>2832</v>
      </c>
      <c r="G286" s="7954" t="s">
        <v>22</v>
      </c>
      <c r="H286" s="7954" t="s">
        <v>22</v>
      </c>
      <c r="I286" s="7954" t="s">
        <v>1029</v>
      </c>
    </row>
    <row customHeight="1" ht="11.25">
      <c r="A287" s="7954" t="s">
        <v>2649</v>
      </c>
      <c r="B287" s="7954" t="s">
        <v>16</v>
      </c>
      <c r="C287" s="7954" t="s">
        <v>2850</v>
      </c>
      <c r="D287" s="7954" t="s">
        <v>2851</v>
      </c>
      <c r="E287" s="7954" t="s">
        <v>2852</v>
      </c>
      <c r="F287" s="7954" t="s">
        <v>2853</v>
      </c>
      <c r="G287" s="7954" t="s">
        <v>22</v>
      </c>
      <c r="H287" s="7954" t="s">
        <v>22</v>
      </c>
      <c r="I287" s="7954" t="s">
        <v>1029</v>
      </c>
    </row>
    <row customHeight="1" ht="11.25">
      <c r="A288" s="7954" t="s">
        <v>2649</v>
      </c>
      <c r="B288" s="7954" t="s">
        <v>16</v>
      </c>
      <c r="C288" s="7954" t="s">
        <v>2854</v>
      </c>
      <c r="D288" s="7954" t="s">
        <v>2855</v>
      </c>
      <c r="E288" s="7954" t="s">
        <v>2856</v>
      </c>
      <c r="F288" s="7954" t="s">
        <v>2857</v>
      </c>
      <c r="G288" s="7954" t="s">
        <v>22</v>
      </c>
      <c r="H288" s="7954" t="s">
        <v>22</v>
      </c>
      <c r="I288" s="7954" t="s">
        <v>1029</v>
      </c>
    </row>
    <row customHeight="1" ht="11.25">
      <c r="A289" s="7954" t="s">
        <v>2649</v>
      </c>
      <c r="B289" s="7954" t="s">
        <v>16</v>
      </c>
      <c r="C289" s="7954" t="s">
        <v>3332</v>
      </c>
      <c r="D289" s="7954" t="s">
        <v>3333</v>
      </c>
      <c r="E289" s="7954" t="s">
        <v>3334</v>
      </c>
      <c r="F289" s="7954" t="s">
        <v>2777</v>
      </c>
      <c r="G289" s="7954" t="s">
        <v>22</v>
      </c>
      <c r="H289" s="7954" t="s">
        <v>22</v>
      </c>
      <c r="I289" s="7954" t="s">
        <v>1029</v>
      </c>
    </row>
    <row customHeight="1" ht="11.25">
      <c r="A290" s="7954" t="s">
        <v>2649</v>
      </c>
      <c r="B290" s="7954" t="s">
        <v>16</v>
      </c>
      <c r="C290" s="7954" t="s">
        <v>2861</v>
      </c>
      <c r="D290" s="7954" t="s">
        <v>2862</v>
      </c>
      <c r="E290" s="7954" t="s">
        <v>2863</v>
      </c>
      <c r="F290" s="7954" t="s">
        <v>2864</v>
      </c>
      <c r="G290" s="7954" t="s">
        <v>2865</v>
      </c>
      <c r="H290" s="7954" t="s">
        <v>22</v>
      </c>
      <c r="I290" s="7954" t="s">
        <v>1029</v>
      </c>
    </row>
    <row customHeight="1" ht="11.25">
      <c r="A291" s="7954" t="s">
        <v>2649</v>
      </c>
      <c r="B291" s="7954" t="s">
        <v>16</v>
      </c>
      <c r="C291" s="7954" t="s">
        <v>3335</v>
      </c>
      <c r="D291" s="7954" t="s">
        <v>3336</v>
      </c>
      <c r="E291" s="7954" t="s">
        <v>3337</v>
      </c>
      <c r="F291" s="7954" t="s">
        <v>2709</v>
      </c>
      <c r="G291" s="7954" t="s">
        <v>22</v>
      </c>
      <c r="H291" s="7954" t="s">
        <v>22</v>
      </c>
      <c r="I291" s="7954" t="s">
        <v>1029</v>
      </c>
    </row>
    <row customHeight="1" ht="11.25">
      <c r="A292" s="7954" t="s">
        <v>2649</v>
      </c>
      <c r="B292" s="7954" t="s">
        <v>16</v>
      </c>
      <c r="C292" s="7954" t="s">
        <v>3338</v>
      </c>
      <c r="D292" s="7954" t="s">
        <v>3339</v>
      </c>
      <c r="E292" s="7954" t="s">
        <v>3340</v>
      </c>
      <c r="F292" s="7954" t="s">
        <v>2827</v>
      </c>
      <c r="G292" s="7954" t="s">
        <v>22</v>
      </c>
      <c r="H292" s="7954" t="s">
        <v>22</v>
      </c>
      <c r="I292" s="7954" t="s">
        <v>1029</v>
      </c>
    </row>
    <row customHeight="1" ht="11.25">
      <c r="A293" s="7954" t="s">
        <v>2649</v>
      </c>
      <c r="B293" s="7954" t="s">
        <v>16</v>
      </c>
      <c r="C293" s="7954" t="s">
        <v>2866</v>
      </c>
      <c r="D293" s="7954" t="s">
        <v>2867</v>
      </c>
      <c r="E293" s="7954" t="s">
        <v>2868</v>
      </c>
      <c r="F293" s="7954" t="s">
        <v>2832</v>
      </c>
      <c r="G293" s="7954" t="s">
        <v>22</v>
      </c>
      <c r="H293" s="7954" t="s">
        <v>22</v>
      </c>
      <c r="I293" s="7954" t="s">
        <v>1029</v>
      </c>
    </row>
    <row customHeight="1" ht="11.25">
      <c r="A294" s="7954" t="s">
        <v>2649</v>
      </c>
      <c r="B294" s="7954" t="s">
        <v>16</v>
      </c>
      <c r="C294" s="7954" t="s">
        <v>3341</v>
      </c>
      <c r="D294" s="7954" t="s">
        <v>3342</v>
      </c>
      <c r="E294" s="7954" t="s">
        <v>3343</v>
      </c>
      <c r="F294" s="7954" t="s">
        <v>2709</v>
      </c>
      <c r="G294" s="7954" t="s">
        <v>3344</v>
      </c>
      <c r="H294" s="7954" t="s">
        <v>22</v>
      </c>
      <c r="I294" s="7954" t="s">
        <v>1029</v>
      </c>
    </row>
    <row customHeight="1" ht="11.25">
      <c r="A295" s="7954" t="s">
        <v>2649</v>
      </c>
      <c r="B295" s="7954" t="s">
        <v>16</v>
      </c>
      <c r="C295" s="7954" t="s">
        <v>3345</v>
      </c>
      <c r="D295" s="7954" t="s">
        <v>3346</v>
      </c>
      <c r="E295" s="7954" t="s">
        <v>3347</v>
      </c>
      <c r="F295" s="7954" t="s">
        <v>2875</v>
      </c>
      <c r="G295" s="7954" t="s">
        <v>22</v>
      </c>
      <c r="H295" s="7954" t="s">
        <v>22</v>
      </c>
      <c r="I295" s="7954" t="s">
        <v>1029</v>
      </c>
    </row>
    <row customHeight="1" ht="11.25">
      <c r="A296" s="7954" t="s">
        <v>2649</v>
      </c>
      <c r="B296" s="7954" t="s">
        <v>16</v>
      </c>
      <c r="C296" s="7954" t="s">
        <v>3348</v>
      </c>
      <c r="D296" s="7954" t="s">
        <v>3349</v>
      </c>
      <c r="E296" s="7954" t="s">
        <v>3350</v>
      </c>
      <c r="F296" s="7954" t="s">
        <v>2709</v>
      </c>
      <c r="G296" s="7954" t="s">
        <v>22</v>
      </c>
      <c r="H296" s="7954" t="s">
        <v>22</v>
      </c>
      <c r="I296" s="7954" t="s">
        <v>1029</v>
      </c>
    </row>
    <row customHeight="1" ht="11.25">
      <c r="A297" s="7954" t="s">
        <v>2649</v>
      </c>
      <c r="B297" s="7954" t="s">
        <v>16</v>
      </c>
      <c r="C297" s="7954" t="s">
        <v>3351</v>
      </c>
      <c r="D297" s="7954" t="s">
        <v>3352</v>
      </c>
      <c r="E297" s="7954" t="s">
        <v>3353</v>
      </c>
      <c r="F297" s="7954" t="s">
        <v>2864</v>
      </c>
      <c r="G297" s="7954" t="s">
        <v>22</v>
      </c>
      <c r="H297" s="7954" t="s">
        <v>22</v>
      </c>
      <c r="I297" s="7954" t="s">
        <v>1029</v>
      </c>
    </row>
    <row customHeight="1" ht="11.25">
      <c r="A298" s="7954" t="s">
        <v>2649</v>
      </c>
      <c r="B298" s="7954" t="s">
        <v>16</v>
      </c>
      <c r="C298" s="7954" t="s">
        <v>3354</v>
      </c>
      <c r="D298" s="7954" t="s">
        <v>3355</v>
      </c>
      <c r="E298" s="7954" t="s">
        <v>3356</v>
      </c>
      <c r="F298" s="7954" t="s">
        <v>2709</v>
      </c>
      <c r="G298" s="7954" t="s">
        <v>3357</v>
      </c>
      <c r="H298" s="7954" t="s">
        <v>22</v>
      </c>
      <c r="I298" s="7954" t="s">
        <v>1029</v>
      </c>
    </row>
    <row customHeight="1" ht="11.25">
      <c r="A299" s="7954" t="s">
        <v>2649</v>
      </c>
      <c r="B299" s="7954" t="s">
        <v>16</v>
      </c>
      <c r="C299" s="7954" t="s">
        <v>3358</v>
      </c>
      <c r="D299" s="7954" t="s">
        <v>3359</v>
      </c>
      <c r="E299" s="7954" t="s">
        <v>3360</v>
      </c>
      <c r="F299" s="7954" t="s">
        <v>2709</v>
      </c>
      <c r="G299" s="7954" t="s">
        <v>3361</v>
      </c>
      <c r="H299" s="7954" t="s">
        <v>22</v>
      </c>
      <c r="I299" s="7954" t="s">
        <v>1029</v>
      </c>
    </row>
    <row customHeight="1" ht="11.25">
      <c r="A300" s="7954" t="s">
        <v>2649</v>
      </c>
      <c r="B300" s="7954" t="s">
        <v>16</v>
      </c>
      <c r="C300" s="7954" t="s">
        <v>3362</v>
      </c>
      <c r="D300" s="7954" t="s">
        <v>3363</v>
      </c>
      <c r="E300" s="7954" t="s">
        <v>3364</v>
      </c>
      <c r="F300" s="7954" t="s">
        <v>2827</v>
      </c>
      <c r="G300" s="7954" t="s">
        <v>22</v>
      </c>
      <c r="H300" s="7954" t="s">
        <v>22</v>
      </c>
      <c r="I300" s="7954" t="s">
        <v>1029</v>
      </c>
    </row>
    <row customHeight="1" ht="11.25">
      <c r="A301" s="7954" t="s">
        <v>2649</v>
      </c>
      <c r="B301" s="7954" t="s">
        <v>16</v>
      </c>
      <c r="C301" s="7954" t="s">
        <v>3365</v>
      </c>
      <c r="D301" s="7954" t="s">
        <v>3366</v>
      </c>
      <c r="E301" s="7954" t="s">
        <v>3367</v>
      </c>
      <c r="F301" s="7954" t="s">
        <v>2793</v>
      </c>
      <c r="G301" s="7954" t="s">
        <v>22</v>
      </c>
      <c r="H301" s="7954" t="s">
        <v>22</v>
      </c>
      <c r="I301" s="7954" t="s">
        <v>1029</v>
      </c>
    </row>
    <row customHeight="1" ht="11.25">
      <c r="A302" s="7954" t="s">
        <v>2649</v>
      </c>
      <c r="B302" s="7954" t="s">
        <v>16</v>
      </c>
      <c r="C302" s="7954" t="s">
        <v>3368</v>
      </c>
      <c r="D302" s="7954" t="s">
        <v>3369</v>
      </c>
      <c r="E302" s="7954" t="s">
        <v>3370</v>
      </c>
      <c r="F302" s="7954" t="s">
        <v>2886</v>
      </c>
      <c r="G302" s="7954" t="s">
        <v>22</v>
      </c>
      <c r="H302" s="7954" t="s">
        <v>22</v>
      </c>
      <c r="I302" s="7954" t="s">
        <v>1029</v>
      </c>
    </row>
    <row customHeight="1" ht="11.25">
      <c r="A303" s="7954" t="s">
        <v>2649</v>
      </c>
      <c r="B303" s="7954" t="s">
        <v>16</v>
      </c>
      <c r="C303" s="7954" t="s">
        <v>3371</v>
      </c>
      <c r="D303" s="7954" t="s">
        <v>3372</v>
      </c>
      <c r="E303" s="7954" t="s">
        <v>3373</v>
      </c>
      <c r="F303" s="7954" t="s">
        <v>2709</v>
      </c>
      <c r="G303" s="7954" t="s">
        <v>22</v>
      </c>
      <c r="H303" s="7954" t="s">
        <v>22</v>
      </c>
      <c r="I303" s="7954" t="s">
        <v>1029</v>
      </c>
    </row>
    <row customHeight="1" ht="11.25">
      <c r="A304" s="7954" t="s">
        <v>2649</v>
      </c>
      <c r="B304" s="7954" t="s">
        <v>16</v>
      </c>
      <c r="C304" s="7954" t="s">
        <v>3374</v>
      </c>
      <c r="D304" s="7954" t="s">
        <v>3375</v>
      </c>
      <c r="E304" s="7954" t="s">
        <v>3376</v>
      </c>
      <c r="F304" s="7954" t="s">
        <v>2709</v>
      </c>
      <c r="G304" s="7954" t="s">
        <v>3377</v>
      </c>
      <c r="H304" s="7954" t="s">
        <v>22</v>
      </c>
      <c r="I304" s="7954" t="s">
        <v>1029</v>
      </c>
    </row>
    <row customHeight="1" ht="11.25">
      <c r="A305" s="7954" t="s">
        <v>2649</v>
      </c>
      <c r="B305" s="7954" t="s">
        <v>16</v>
      </c>
      <c r="C305" s="7954" t="s">
        <v>3378</v>
      </c>
      <c r="D305" s="7954" t="s">
        <v>3379</v>
      </c>
      <c r="E305" s="7954" t="s">
        <v>3380</v>
      </c>
      <c r="F305" s="7954" t="s">
        <v>2827</v>
      </c>
      <c r="G305" s="7954" t="s">
        <v>22</v>
      </c>
      <c r="H305" s="7954" t="s">
        <v>22</v>
      </c>
      <c r="I305" s="7954" t="s">
        <v>1029</v>
      </c>
    </row>
    <row customHeight="1" ht="11.25">
      <c r="A306" s="7954" t="s">
        <v>2649</v>
      </c>
      <c r="B306" s="7954" t="s">
        <v>16</v>
      </c>
      <c r="C306" s="7954" t="s">
        <v>3381</v>
      </c>
      <c r="D306" s="7954" t="s">
        <v>3382</v>
      </c>
      <c r="E306" s="7954" t="s">
        <v>3383</v>
      </c>
      <c r="F306" s="7954" t="s">
        <v>2827</v>
      </c>
      <c r="G306" s="7954" t="s">
        <v>22</v>
      </c>
      <c r="H306" s="7954" t="s">
        <v>22</v>
      </c>
      <c r="I306" s="7954" t="s">
        <v>1029</v>
      </c>
    </row>
    <row customHeight="1" ht="11.25">
      <c r="A307" s="7954" t="s">
        <v>2649</v>
      </c>
      <c r="B307" s="7954" t="s">
        <v>16</v>
      </c>
      <c r="C307" s="7954" t="s">
        <v>3384</v>
      </c>
      <c r="D307" s="7954" t="s">
        <v>3385</v>
      </c>
      <c r="E307" s="7954" t="s">
        <v>3386</v>
      </c>
      <c r="F307" s="7954" t="s">
        <v>2827</v>
      </c>
      <c r="G307" s="7954" t="s">
        <v>22</v>
      </c>
      <c r="H307" s="7954" t="s">
        <v>22</v>
      </c>
      <c r="I307" s="7954" t="s">
        <v>1029</v>
      </c>
    </row>
    <row customHeight="1" ht="11.25">
      <c r="A308" s="7954" t="s">
        <v>2649</v>
      </c>
      <c r="B308" s="7954" t="s">
        <v>16</v>
      </c>
      <c r="C308" s="7954" t="s">
        <v>3387</v>
      </c>
      <c r="D308" s="7954" t="s">
        <v>3388</v>
      </c>
      <c r="E308" s="7954" t="s">
        <v>3389</v>
      </c>
      <c r="F308" s="7954" t="s">
        <v>2827</v>
      </c>
      <c r="G308" s="7954" t="s">
        <v>22</v>
      </c>
      <c r="H308" s="7954" t="s">
        <v>22</v>
      </c>
      <c r="I308" s="7954" t="s">
        <v>1029</v>
      </c>
    </row>
    <row customHeight="1" ht="11.25">
      <c r="A309" s="7954" t="s">
        <v>2649</v>
      </c>
      <c r="B309" s="7954" t="s">
        <v>16</v>
      </c>
      <c r="C309" s="7954" t="s">
        <v>3390</v>
      </c>
      <c r="D309" s="7954" t="s">
        <v>3391</v>
      </c>
      <c r="E309" s="7954" t="s">
        <v>3392</v>
      </c>
      <c r="F309" s="7954" t="s">
        <v>2827</v>
      </c>
      <c r="G309" s="7954" t="s">
        <v>22</v>
      </c>
      <c r="H309" s="7954" t="s">
        <v>22</v>
      </c>
      <c r="I309" s="7954" t="s">
        <v>1029</v>
      </c>
    </row>
    <row customHeight="1" ht="11.25">
      <c r="A310" s="7954" t="s">
        <v>2649</v>
      </c>
      <c r="B310" s="7954" t="s">
        <v>16</v>
      </c>
      <c r="C310" s="7954" t="s">
        <v>2872</v>
      </c>
      <c r="D310" s="7954" t="s">
        <v>2873</v>
      </c>
      <c r="E310" s="7954" t="s">
        <v>2874</v>
      </c>
      <c r="F310" s="7954" t="s">
        <v>2875</v>
      </c>
      <c r="G310" s="7954" t="s">
        <v>22</v>
      </c>
      <c r="H310" s="7954" t="s">
        <v>22</v>
      </c>
      <c r="I310" s="7954" t="s">
        <v>1029</v>
      </c>
    </row>
    <row customHeight="1" ht="11.25">
      <c r="A311" s="7954" t="s">
        <v>2649</v>
      </c>
      <c r="B311" s="7954" t="s">
        <v>16</v>
      </c>
      <c r="C311" s="7954" t="s">
        <v>3393</v>
      </c>
      <c r="D311" s="7954" t="s">
        <v>3394</v>
      </c>
      <c r="E311" s="7954" t="s">
        <v>3395</v>
      </c>
      <c r="F311" s="7954" t="s">
        <v>2896</v>
      </c>
      <c r="G311" s="7954" t="s">
        <v>22</v>
      </c>
      <c r="H311" s="7954" t="s">
        <v>22</v>
      </c>
      <c r="I311" s="7954" t="s">
        <v>1029</v>
      </c>
    </row>
    <row customHeight="1" ht="11.25">
      <c r="A312" s="7954" t="s">
        <v>2649</v>
      </c>
      <c r="B312" s="7954" t="s">
        <v>16</v>
      </c>
      <c r="C312" s="7954" t="s">
        <v>3396</v>
      </c>
      <c r="D312" s="7954" t="s">
        <v>3397</v>
      </c>
      <c r="E312" s="7954" t="s">
        <v>3398</v>
      </c>
      <c r="F312" s="7954" t="s">
        <v>2827</v>
      </c>
      <c r="G312" s="7954" t="s">
        <v>22</v>
      </c>
      <c r="H312" s="7954" t="s">
        <v>22</v>
      </c>
      <c r="I312" s="7954" t="s">
        <v>1029</v>
      </c>
    </row>
    <row customHeight="1" ht="11.25">
      <c r="A313" s="7954" t="s">
        <v>2649</v>
      </c>
      <c r="B313" s="7954" t="s">
        <v>16</v>
      </c>
      <c r="C313" s="7954" t="s">
        <v>3399</v>
      </c>
      <c r="D313" s="7954" t="s">
        <v>3400</v>
      </c>
      <c r="E313" s="7954" t="s">
        <v>3401</v>
      </c>
      <c r="F313" s="7954" t="s">
        <v>2827</v>
      </c>
      <c r="G313" s="7954" t="s">
        <v>22</v>
      </c>
      <c r="H313" s="7954" t="s">
        <v>22</v>
      </c>
      <c r="I313" s="7954" t="s">
        <v>1029</v>
      </c>
    </row>
    <row customHeight="1" ht="11.25">
      <c r="A314" s="7954" t="s">
        <v>2649</v>
      </c>
      <c r="B314" s="7954" t="s">
        <v>16</v>
      </c>
      <c r="C314" s="7954" t="s">
        <v>3402</v>
      </c>
      <c r="D314" s="7954" t="s">
        <v>3403</v>
      </c>
      <c r="E314" s="7954" t="s">
        <v>3404</v>
      </c>
      <c r="F314" s="7954" t="s">
        <v>2709</v>
      </c>
      <c r="G314" s="7954" t="s">
        <v>3405</v>
      </c>
      <c r="H314" s="7954" t="s">
        <v>22</v>
      </c>
      <c r="I314" s="7954" t="s">
        <v>1029</v>
      </c>
    </row>
    <row customHeight="1" ht="11.25">
      <c r="A315" s="7954" t="s">
        <v>2649</v>
      </c>
      <c r="B315" s="7954" t="s">
        <v>16</v>
      </c>
      <c r="C315" s="7954" t="s">
        <v>3406</v>
      </c>
      <c r="D315" s="7954" t="s">
        <v>3407</v>
      </c>
      <c r="E315" s="7954" t="s">
        <v>3408</v>
      </c>
      <c r="F315" s="7954" t="s">
        <v>3409</v>
      </c>
      <c r="G315" s="7954" t="s">
        <v>3410</v>
      </c>
      <c r="H315" s="7954" t="s">
        <v>22</v>
      </c>
      <c r="I315" s="7954" t="s">
        <v>1029</v>
      </c>
    </row>
    <row customHeight="1" ht="11.25">
      <c r="A316" s="7954" t="s">
        <v>2649</v>
      </c>
      <c r="B316" s="7954" t="s">
        <v>16</v>
      </c>
      <c r="C316" s="7954" t="s">
        <v>3411</v>
      </c>
      <c r="D316" s="7954" t="s">
        <v>3412</v>
      </c>
      <c r="E316" s="7954" t="s">
        <v>3413</v>
      </c>
      <c r="F316" s="7954" t="s">
        <v>2827</v>
      </c>
      <c r="G316" s="7954" t="s">
        <v>22</v>
      </c>
      <c r="H316" s="7954" t="s">
        <v>22</v>
      </c>
      <c r="I316" s="7954" t="s">
        <v>1029</v>
      </c>
    </row>
    <row customHeight="1" ht="11.25">
      <c r="A317" s="7954" t="s">
        <v>2649</v>
      </c>
      <c r="B317" s="7954" t="s">
        <v>16</v>
      </c>
      <c r="C317" s="7954" t="s">
        <v>3414</v>
      </c>
      <c r="D317" s="7954" t="s">
        <v>3415</v>
      </c>
      <c r="E317" s="7954" t="s">
        <v>3416</v>
      </c>
      <c r="F317" s="7954" t="s">
        <v>2709</v>
      </c>
      <c r="G317" s="7954" t="s">
        <v>3417</v>
      </c>
      <c r="H317" s="7954" t="s">
        <v>22</v>
      </c>
      <c r="I317" s="7954" t="s">
        <v>1029</v>
      </c>
    </row>
    <row customHeight="1" ht="11.25">
      <c r="A318" s="7954" t="s">
        <v>2649</v>
      </c>
      <c r="B318" s="7954" t="s">
        <v>16</v>
      </c>
      <c r="C318" s="7954" t="s">
        <v>3418</v>
      </c>
      <c r="D318" s="7954" t="s">
        <v>3419</v>
      </c>
      <c r="E318" s="7954" t="s">
        <v>3420</v>
      </c>
      <c r="F318" s="7954" t="s">
        <v>2709</v>
      </c>
      <c r="G318" s="7954" t="s">
        <v>3421</v>
      </c>
      <c r="H318" s="7954" t="s">
        <v>22</v>
      </c>
      <c r="I318" s="7954" t="s">
        <v>1029</v>
      </c>
    </row>
    <row customHeight="1" ht="11.25">
      <c r="A319" s="7954" t="s">
        <v>2649</v>
      </c>
      <c r="B319" s="7954" t="s">
        <v>16</v>
      </c>
      <c r="C319" s="7954" t="s">
        <v>3422</v>
      </c>
      <c r="D319" s="7954" t="s">
        <v>3423</v>
      </c>
      <c r="E319" s="7954" t="s">
        <v>3424</v>
      </c>
      <c r="F319" s="7954" t="s">
        <v>2709</v>
      </c>
      <c r="G319" s="7954" t="s">
        <v>22</v>
      </c>
      <c r="H319" s="7954" t="s">
        <v>22</v>
      </c>
      <c r="I319" s="7954" t="s">
        <v>1029</v>
      </c>
    </row>
    <row customHeight="1" ht="11.25">
      <c r="A320" s="7954" t="s">
        <v>2649</v>
      </c>
      <c r="B320" s="7954" t="s">
        <v>16</v>
      </c>
      <c r="C320" s="7954" t="s">
        <v>3425</v>
      </c>
      <c r="D320" s="7954" t="s">
        <v>3426</v>
      </c>
      <c r="E320" s="7954" t="s">
        <v>3427</v>
      </c>
      <c r="F320" s="7954" t="s">
        <v>2709</v>
      </c>
      <c r="G320" s="7954" t="s">
        <v>22</v>
      </c>
      <c r="H320" s="7954" t="s">
        <v>22</v>
      </c>
      <c r="I320" s="7954" t="s">
        <v>1029</v>
      </c>
    </row>
    <row customHeight="1" ht="11.25">
      <c r="A321" s="7954" t="s">
        <v>2649</v>
      </c>
      <c r="B321" s="7954" t="s">
        <v>16</v>
      </c>
      <c r="C321" s="7954" t="s">
        <v>3428</v>
      </c>
      <c r="D321" s="7954" t="s">
        <v>3429</v>
      </c>
      <c r="E321" s="7954" t="s">
        <v>3430</v>
      </c>
      <c r="F321" s="7954" t="s">
        <v>2709</v>
      </c>
      <c r="G321" s="7954" t="s">
        <v>3431</v>
      </c>
      <c r="H321" s="7954" t="s">
        <v>22</v>
      </c>
      <c r="I321" s="7954" t="s">
        <v>1029</v>
      </c>
    </row>
    <row customHeight="1" ht="11.25">
      <c r="A322" s="7954" t="s">
        <v>2649</v>
      </c>
      <c r="B322" s="7954" t="s">
        <v>16</v>
      </c>
      <c r="C322" s="7954" t="s">
        <v>3432</v>
      </c>
      <c r="D322" s="7954" t="s">
        <v>3433</v>
      </c>
      <c r="E322" s="7954" t="s">
        <v>3434</v>
      </c>
      <c r="F322" s="7954" t="s">
        <v>2709</v>
      </c>
      <c r="G322" s="7954" t="s">
        <v>22</v>
      </c>
      <c r="H322" s="7954" t="s">
        <v>22</v>
      </c>
      <c r="I322" s="7954" t="s">
        <v>1029</v>
      </c>
    </row>
    <row customHeight="1" ht="11.25">
      <c r="A323" s="7954" t="s">
        <v>2649</v>
      </c>
      <c r="B323" s="7954" t="s">
        <v>16</v>
      </c>
      <c r="C323" s="7954" t="s">
        <v>3435</v>
      </c>
      <c r="D323" s="7954" t="s">
        <v>3436</v>
      </c>
      <c r="E323" s="7954" t="s">
        <v>3437</v>
      </c>
      <c r="F323" s="7954" t="s">
        <v>2709</v>
      </c>
      <c r="G323" s="7954" t="s">
        <v>22</v>
      </c>
      <c r="H323" s="7954" t="s">
        <v>22</v>
      </c>
      <c r="I323" s="7954" t="s">
        <v>1029</v>
      </c>
    </row>
    <row customHeight="1" ht="11.25">
      <c r="A324" s="7954" t="s">
        <v>2649</v>
      </c>
      <c r="B324" s="7954" t="s">
        <v>16</v>
      </c>
      <c r="C324" s="7954" t="s">
        <v>3438</v>
      </c>
      <c r="D324" s="7954" t="s">
        <v>3436</v>
      </c>
      <c r="E324" s="7954" t="s">
        <v>3439</v>
      </c>
      <c r="F324" s="7954" t="s">
        <v>2827</v>
      </c>
      <c r="G324" s="7954" t="s">
        <v>22</v>
      </c>
      <c r="H324" s="7954" t="s">
        <v>22</v>
      </c>
      <c r="I324" s="7954" t="s">
        <v>1029</v>
      </c>
    </row>
    <row customHeight="1" ht="11.25">
      <c r="A325" s="7954" t="s">
        <v>2649</v>
      </c>
      <c r="B325" s="7954" t="s">
        <v>16</v>
      </c>
      <c r="C325" s="7954" t="s">
        <v>3440</v>
      </c>
      <c r="D325" s="7954" t="s">
        <v>3436</v>
      </c>
      <c r="E325" s="7954" t="s">
        <v>3441</v>
      </c>
      <c r="F325" s="7954" t="s">
        <v>2827</v>
      </c>
      <c r="G325" s="7954" t="s">
        <v>22</v>
      </c>
      <c r="H325" s="7954" t="s">
        <v>22</v>
      </c>
      <c r="I325" s="7954" t="s">
        <v>1029</v>
      </c>
    </row>
    <row customHeight="1" ht="11.25">
      <c r="A326" s="7954" t="s">
        <v>2649</v>
      </c>
      <c r="B326" s="7954" t="s">
        <v>16</v>
      </c>
      <c r="C326" s="7954" t="s">
        <v>3442</v>
      </c>
      <c r="D326" s="7954" t="s">
        <v>3443</v>
      </c>
      <c r="E326" s="7954" t="s">
        <v>3444</v>
      </c>
      <c r="F326" s="7954" t="s">
        <v>3237</v>
      </c>
      <c r="G326" s="7954" t="s">
        <v>22</v>
      </c>
      <c r="H326" s="7954" t="s">
        <v>22</v>
      </c>
      <c r="I326" s="7954" t="s">
        <v>1029</v>
      </c>
    </row>
    <row customHeight="1" ht="11.25">
      <c r="A327" s="7954" t="s">
        <v>2649</v>
      </c>
      <c r="B327" s="7954" t="s">
        <v>16</v>
      </c>
      <c r="C327" s="7954" t="s">
        <v>3445</v>
      </c>
      <c r="D327" s="7954" t="s">
        <v>3446</v>
      </c>
      <c r="E327" s="7954" t="s">
        <v>3447</v>
      </c>
      <c r="F327" s="7954" t="s">
        <v>2709</v>
      </c>
      <c r="G327" s="7954" t="s">
        <v>3448</v>
      </c>
      <c r="H327" s="7954" t="s">
        <v>22</v>
      </c>
      <c r="I327" s="7954" t="s">
        <v>1029</v>
      </c>
    </row>
    <row customHeight="1" ht="11.25">
      <c r="A328" s="7954" t="s">
        <v>2649</v>
      </c>
      <c r="B328" s="7954" t="s">
        <v>16</v>
      </c>
      <c r="C328" s="7954" t="s">
        <v>3449</v>
      </c>
      <c r="D328" s="7954" t="s">
        <v>3450</v>
      </c>
      <c r="E328" s="7954" t="s">
        <v>3451</v>
      </c>
      <c r="F328" s="7954" t="s">
        <v>2827</v>
      </c>
      <c r="G328" s="7954" t="s">
        <v>22</v>
      </c>
      <c r="H328" s="7954" t="s">
        <v>22</v>
      </c>
      <c r="I328" s="7954" t="s">
        <v>1029</v>
      </c>
    </row>
    <row customHeight="1" ht="11.25">
      <c r="A329" s="7954" t="s">
        <v>2649</v>
      </c>
      <c r="B329" s="7954" t="s">
        <v>16</v>
      </c>
      <c r="C329" s="7954" t="s">
        <v>3452</v>
      </c>
      <c r="D329" s="7954" t="s">
        <v>3453</v>
      </c>
      <c r="E329" s="7954" t="s">
        <v>3454</v>
      </c>
      <c r="F329" s="7954" t="s">
        <v>2709</v>
      </c>
      <c r="G329" s="7954" t="s">
        <v>22</v>
      </c>
      <c r="H329" s="7954" t="s">
        <v>22</v>
      </c>
      <c r="I329" s="7954" t="s">
        <v>1029</v>
      </c>
    </row>
    <row customHeight="1" ht="11.25">
      <c r="A330" s="7954" t="s">
        <v>2649</v>
      </c>
      <c r="B330" s="7954" t="s">
        <v>16</v>
      </c>
      <c r="C330" s="7954" t="s">
        <v>2887</v>
      </c>
      <c r="D330" s="7954" t="s">
        <v>2888</v>
      </c>
      <c r="E330" s="7954" t="s">
        <v>2889</v>
      </c>
      <c r="F330" s="7954" t="s">
        <v>2886</v>
      </c>
      <c r="G330" s="7954" t="s">
        <v>22</v>
      </c>
      <c r="H330" s="7954" t="s">
        <v>22</v>
      </c>
      <c r="I330" s="7954" t="s">
        <v>1029</v>
      </c>
    </row>
    <row customHeight="1" ht="11.25">
      <c r="A331" s="7954" t="s">
        <v>2649</v>
      </c>
      <c r="B331" s="7954" t="s">
        <v>16</v>
      </c>
      <c r="C331" s="7954" t="s">
        <v>3455</v>
      </c>
      <c r="D331" s="7954" t="s">
        <v>3456</v>
      </c>
      <c r="E331" s="7954" t="s">
        <v>3457</v>
      </c>
      <c r="F331" s="7954" t="s">
        <v>3458</v>
      </c>
      <c r="G331" s="7954" t="s">
        <v>22</v>
      </c>
      <c r="H331" s="7954" t="s">
        <v>22</v>
      </c>
      <c r="I331" s="7954" t="s">
        <v>1029</v>
      </c>
    </row>
    <row customHeight="1" ht="11.25">
      <c r="A332" s="7954" t="s">
        <v>2649</v>
      </c>
      <c r="B332" s="7954" t="s">
        <v>16</v>
      </c>
      <c r="C332" s="7954" t="s">
        <v>2890</v>
      </c>
      <c r="D332" s="7954" t="s">
        <v>2891</v>
      </c>
      <c r="E332" s="7954" t="s">
        <v>2892</v>
      </c>
      <c r="F332" s="7954" t="s">
        <v>2709</v>
      </c>
      <c r="G332" s="7954" t="s">
        <v>22</v>
      </c>
      <c r="H332" s="7954" t="s">
        <v>22</v>
      </c>
      <c r="I332" s="7954" t="s">
        <v>1029</v>
      </c>
    </row>
    <row customHeight="1" ht="11.25">
      <c r="A333" s="7954" t="s">
        <v>2649</v>
      </c>
      <c r="B333" s="7954" t="s">
        <v>16</v>
      </c>
      <c r="C333" s="7954" t="s">
        <v>3459</v>
      </c>
      <c r="D333" s="7954" t="s">
        <v>3460</v>
      </c>
      <c r="E333" s="7954" t="s">
        <v>3461</v>
      </c>
      <c r="F333" s="7954" t="s">
        <v>2864</v>
      </c>
      <c r="G333" s="7954" t="s">
        <v>22</v>
      </c>
      <c r="H333" s="7954" t="s">
        <v>22</v>
      </c>
      <c r="I333" s="7954" t="s">
        <v>1029</v>
      </c>
    </row>
    <row customHeight="1" ht="11.25">
      <c r="A334" s="7954" t="s">
        <v>2649</v>
      </c>
      <c r="B334" s="7954" t="s">
        <v>16</v>
      </c>
      <c r="C334" s="7954" t="s">
        <v>2893</v>
      </c>
      <c r="D334" s="7954" t="s">
        <v>2894</v>
      </c>
      <c r="E334" s="7954" t="s">
        <v>2895</v>
      </c>
      <c r="F334" s="7954" t="s">
        <v>2896</v>
      </c>
      <c r="G334" s="7954" t="s">
        <v>22</v>
      </c>
      <c r="H334" s="7954" t="s">
        <v>22</v>
      </c>
      <c r="I334" s="7954" t="s">
        <v>1029</v>
      </c>
    </row>
    <row customHeight="1" ht="11.25">
      <c r="A335" s="7954" t="s">
        <v>2649</v>
      </c>
      <c r="B335" s="7954" t="s">
        <v>16</v>
      </c>
      <c r="C335" s="7954" t="s">
        <v>2897</v>
      </c>
      <c r="D335" s="7954" t="s">
        <v>2898</v>
      </c>
      <c r="E335" s="7954" t="s">
        <v>2899</v>
      </c>
      <c r="F335" s="7954" t="s">
        <v>2896</v>
      </c>
      <c r="G335" s="7954" t="s">
        <v>22</v>
      </c>
      <c r="H335" s="7954" t="s">
        <v>22</v>
      </c>
      <c r="I335" s="7954" t="s">
        <v>1029</v>
      </c>
    </row>
    <row customHeight="1" ht="11.25">
      <c r="A336" s="7954" t="s">
        <v>2649</v>
      </c>
      <c r="B336" s="7954" t="s">
        <v>16</v>
      </c>
      <c r="C336" s="7954" t="s">
        <v>2900</v>
      </c>
      <c r="D336" s="7954" t="s">
        <v>2901</v>
      </c>
      <c r="E336" s="7954" t="s">
        <v>2902</v>
      </c>
      <c r="F336" s="7954" t="s">
        <v>2875</v>
      </c>
      <c r="G336" s="7954" t="s">
        <v>22</v>
      </c>
      <c r="H336" s="7954" t="s">
        <v>22</v>
      </c>
      <c r="I336" s="7954" t="s">
        <v>1029</v>
      </c>
    </row>
    <row customHeight="1" ht="11.25">
      <c r="A337" s="7954" t="s">
        <v>2649</v>
      </c>
      <c r="B337" s="7954" t="s">
        <v>16</v>
      </c>
      <c r="C337" s="7954" t="s">
        <v>2903</v>
      </c>
      <c r="D337" s="7954" t="s">
        <v>2904</v>
      </c>
      <c r="E337" s="7954" t="s">
        <v>2905</v>
      </c>
      <c r="F337" s="7954" t="s">
        <v>2886</v>
      </c>
      <c r="G337" s="7954" t="s">
        <v>22</v>
      </c>
      <c r="H337" s="7954" t="s">
        <v>22</v>
      </c>
      <c r="I337" s="7954" t="s">
        <v>1029</v>
      </c>
    </row>
    <row customHeight="1" ht="11.25">
      <c r="A338" s="7954" t="s">
        <v>2649</v>
      </c>
      <c r="B338" s="7954" t="s">
        <v>16</v>
      </c>
      <c r="C338" s="7954" t="s">
        <v>2909</v>
      </c>
      <c r="D338" s="7954" t="s">
        <v>2910</v>
      </c>
      <c r="E338" s="7954" t="s">
        <v>2911</v>
      </c>
      <c r="F338" s="7954" t="s">
        <v>2896</v>
      </c>
      <c r="G338" s="7954" t="s">
        <v>22</v>
      </c>
      <c r="H338" s="7954" t="s">
        <v>22</v>
      </c>
      <c r="I338" s="7954" t="s">
        <v>1029</v>
      </c>
    </row>
    <row customHeight="1" ht="11.25">
      <c r="A339" s="7954" t="s">
        <v>2649</v>
      </c>
      <c r="B339" s="7954" t="s">
        <v>16</v>
      </c>
      <c r="C339" s="7954" t="s">
        <v>2912</v>
      </c>
      <c r="D339" s="7954" t="s">
        <v>2913</v>
      </c>
      <c r="E339" s="7954" t="s">
        <v>2914</v>
      </c>
      <c r="F339" s="7954" t="s">
        <v>2915</v>
      </c>
      <c r="G339" s="7954" t="s">
        <v>22</v>
      </c>
      <c r="H339" s="7954" t="s">
        <v>22</v>
      </c>
      <c r="I339" s="7954" t="s">
        <v>1029</v>
      </c>
    </row>
    <row customHeight="1" ht="11.25">
      <c r="A340" s="7954" t="s">
        <v>2649</v>
      </c>
      <c r="B340" s="7954" t="s">
        <v>16</v>
      </c>
      <c r="C340" s="7954" t="s">
        <v>2916</v>
      </c>
      <c r="D340" s="7954" t="s">
        <v>2917</v>
      </c>
      <c r="E340" s="7954" t="s">
        <v>2918</v>
      </c>
      <c r="F340" s="7954" t="s">
        <v>2896</v>
      </c>
      <c r="G340" s="7954" t="s">
        <v>22</v>
      </c>
      <c r="H340" s="7954" t="s">
        <v>22</v>
      </c>
      <c r="I340" s="7954" t="s">
        <v>1029</v>
      </c>
    </row>
    <row customHeight="1" ht="11.25">
      <c r="A341" s="7954" t="s">
        <v>2649</v>
      </c>
      <c r="B341" s="7954" t="s">
        <v>16</v>
      </c>
      <c r="C341" s="7954" t="s">
        <v>2929</v>
      </c>
      <c r="D341" s="7954" t="s">
        <v>2930</v>
      </c>
      <c r="E341" s="7954" t="s">
        <v>2931</v>
      </c>
      <c r="F341" s="7954" t="s">
        <v>2709</v>
      </c>
      <c r="G341" s="7954" t="s">
        <v>22</v>
      </c>
      <c r="H341" s="7954" t="s">
        <v>22</v>
      </c>
      <c r="I341" s="7954" t="s">
        <v>1029</v>
      </c>
    </row>
    <row customHeight="1" ht="11.25">
      <c r="A342" s="7954" t="s">
        <v>2649</v>
      </c>
      <c r="B342" s="7954" t="s">
        <v>16</v>
      </c>
      <c r="C342" s="7954" t="s">
        <v>3462</v>
      </c>
      <c r="D342" s="7954" t="s">
        <v>3463</v>
      </c>
      <c r="E342" s="7954" t="s">
        <v>3464</v>
      </c>
      <c r="F342" s="7954" t="s">
        <v>2709</v>
      </c>
      <c r="G342" s="7954" t="s">
        <v>22</v>
      </c>
      <c r="H342" s="7954" t="s">
        <v>22</v>
      </c>
      <c r="I342" s="7954" t="s">
        <v>1029</v>
      </c>
    </row>
    <row customHeight="1" ht="11.25">
      <c r="A343" s="7954" t="s">
        <v>2649</v>
      </c>
      <c r="B343" s="7954" t="s">
        <v>16</v>
      </c>
      <c r="C343" s="7954" t="s">
        <v>3465</v>
      </c>
      <c r="D343" s="7954" t="s">
        <v>3466</v>
      </c>
      <c r="E343" s="7954" t="s">
        <v>3467</v>
      </c>
      <c r="F343" s="7954" t="s">
        <v>2827</v>
      </c>
      <c r="G343" s="7954" t="s">
        <v>22</v>
      </c>
      <c r="H343" s="7954" t="s">
        <v>22</v>
      </c>
      <c r="I343" s="7954" t="s">
        <v>1029</v>
      </c>
    </row>
    <row customHeight="1" ht="11.25">
      <c r="A344" s="7954" t="s">
        <v>2649</v>
      </c>
      <c r="B344" s="7954" t="s">
        <v>16</v>
      </c>
      <c r="C344" s="7954" t="s">
        <v>3468</v>
      </c>
      <c r="D344" s="7954" t="s">
        <v>3469</v>
      </c>
      <c r="E344" s="7954" t="s">
        <v>3470</v>
      </c>
      <c r="F344" s="7954" t="s">
        <v>2827</v>
      </c>
      <c r="G344" s="7954" t="s">
        <v>22</v>
      </c>
      <c r="H344" s="7954" t="s">
        <v>22</v>
      </c>
      <c r="I344" s="7954" t="s">
        <v>1029</v>
      </c>
    </row>
    <row customHeight="1" ht="11.25">
      <c r="A345" s="7954" t="s">
        <v>2649</v>
      </c>
      <c r="B345" s="7954" t="s">
        <v>16</v>
      </c>
      <c r="C345" s="7954" t="s">
        <v>3471</v>
      </c>
      <c r="D345" s="7954" t="s">
        <v>3472</v>
      </c>
      <c r="E345" s="7954" t="s">
        <v>3473</v>
      </c>
      <c r="F345" s="7954" t="s">
        <v>2709</v>
      </c>
      <c r="G345" s="7954" t="s">
        <v>22</v>
      </c>
      <c r="H345" s="7954" t="s">
        <v>22</v>
      </c>
      <c r="I345" s="7954" t="s">
        <v>1029</v>
      </c>
    </row>
    <row customHeight="1" ht="11.25">
      <c r="A346" s="7954" t="s">
        <v>2649</v>
      </c>
      <c r="B346" s="7954" t="s">
        <v>16</v>
      </c>
      <c r="C346" s="7954" t="s">
        <v>3474</v>
      </c>
      <c r="D346" s="7954" t="s">
        <v>3475</v>
      </c>
      <c r="E346" s="7954" t="s">
        <v>3476</v>
      </c>
      <c r="F346" s="7954" t="s">
        <v>2709</v>
      </c>
      <c r="G346" s="7954" t="s">
        <v>22</v>
      </c>
      <c r="H346" s="7954" t="s">
        <v>22</v>
      </c>
      <c r="I346" s="7954" t="s">
        <v>1029</v>
      </c>
    </row>
    <row customHeight="1" ht="11.25">
      <c r="A347" s="7954" t="s">
        <v>2649</v>
      </c>
      <c r="B347" s="7954" t="s">
        <v>16</v>
      </c>
      <c r="C347" s="7954" t="s">
        <v>2932</v>
      </c>
      <c r="D347" s="7954" t="s">
        <v>2933</v>
      </c>
      <c r="E347" s="7954" t="s">
        <v>2934</v>
      </c>
      <c r="F347" s="7954" t="s">
        <v>2935</v>
      </c>
      <c r="G347" s="7954" t="s">
        <v>22</v>
      </c>
      <c r="H347" s="7954" t="s">
        <v>22</v>
      </c>
      <c r="I347" s="7954" t="s">
        <v>1029</v>
      </c>
    </row>
    <row customHeight="1" ht="11.25">
      <c r="A348" s="7954" t="s">
        <v>2649</v>
      </c>
      <c r="B348" s="7954" t="s">
        <v>16</v>
      </c>
      <c r="C348" s="7954" t="s">
        <v>3477</v>
      </c>
      <c r="D348" s="7954" t="s">
        <v>3478</v>
      </c>
      <c r="E348" s="7954" t="s">
        <v>3479</v>
      </c>
      <c r="F348" s="7954" t="s">
        <v>2827</v>
      </c>
      <c r="G348" s="7954" t="s">
        <v>22</v>
      </c>
      <c r="H348" s="7954" t="s">
        <v>22</v>
      </c>
      <c r="I348" s="7954" t="s">
        <v>1029</v>
      </c>
    </row>
    <row customHeight="1" ht="11.25">
      <c r="A349" s="7954" t="s">
        <v>2649</v>
      </c>
      <c r="B349" s="7954" t="s">
        <v>16</v>
      </c>
      <c r="C349" s="7954" t="s">
        <v>3480</v>
      </c>
      <c r="D349" s="7954" t="s">
        <v>3481</v>
      </c>
      <c r="E349" s="7954" t="s">
        <v>3482</v>
      </c>
      <c r="F349" s="7954" t="s">
        <v>2915</v>
      </c>
      <c r="G349" s="7954" t="s">
        <v>3483</v>
      </c>
      <c r="H349" s="7954" t="s">
        <v>22</v>
      </c>
      <c r="I349" s="7954" t="s">
        <v>1029</v>
      </c>
    </row>
    <row customHeight="1" ht="11.25">
      <c r="A350" s="7954" t="s">
        <v>2649</v>
      </c>
      <c r="B350" s="7954" t="s">
        <v>16</v>
      </c>
      <c r="C350" s="7954" t="s">
        <v>3484</v>
      </c>
      <c r="D350" s="7954" t="s">
        <v>3485</v>
      </c>
      <c r="E350" s="7954" t="s">
        <v>3486</v>
      </c>
      <c r="F350" s="7954" t="s">
        <v>2864</v>
      </c>
      <c r="G350" s="7954" t="s">
        <v>22</v>
      </c>
      <c r="H350" s="7954" t="s">
        <v>22</v>
      </c>
      <c r="I350" s="7954" t="s">
        <v>1029</v>
      </c>
    </row>
    <row customHeight="1" ht="11.25">
      <c r="A351" s="7954" t="s">
        <v>2649</v>
      </c>
      <c r="B351" s="7954" t="s">
        <v>16</v>
      </c>
      <c r="C351" s="7954" t="s">
        <v>3487</v>
      </c>
      <c r="D351" s="7954" t="s">
        <v>3488</v>
      </c>
      <c r="E351" s="7954" t="s">
        <v>3489</v>
      </c>
      <c r="F351" s="7954" t="s">
        <v>3490</v>
      </c>
      <c r="G351" s="7954" t="s">
        <v>22</v>
      </c>
      <c r="H351" s="7954" t="s">
        <v>22</v>
      </c>
      <c r="I351" s="7954" t="s">
        <v>1029</v>
      </c>
    </row>
    <row customHeight="1" ht="11.25">
      <c r="A352" s="7954" t="s">
        <v>2649</v>
      </c>
      <c r="B352" s="7954" t="s">
        <v>16</v>
      </c>
      <c r="C352" s="7954" t="s">
        <v>3491</v>
      </c>
      <c r="D352" s="7954" t="s">
        <v>3492</v>
      </c>
      <c r="E352" s="7954" t="s">
        <v>3493</v>
      </c>
      <c r="F352" s="7954" t="s">
        <v>2709</v>
      </c>
      <c r="G352" s="7954" t="s">
        <v>22</v>
      </c>
      <c r="H352" s="7954" t="s">
        <v>22</v>
      </c>
      <c r="I352" s="7954" t="s">
        <v>1029</v>
      </c>
    </row>
    <row customHeight="1" ht="11.25">
      <c r="A353" s="7954" t="s">
        <v>2649</v>
      </c>
      <c r="B353" s="7954" t="s">
        <v>16</v>
      </c>
      <c r="C353" s="7954" t="s">
        <v>2936</v>
      </c>
      <c r="D353" s="7954" t="s">
        <v>2937</v>
      </c>
      <c r="E353" s="7954" t="s">
        <v>2938</v>
      </c>
      <c r="F353" s="7954" t="s">
        <v>2896</v>
      </c>
      <c r="G353" s="7954" t="s">
        <v>22</v>
      </c>
      <c r="H353" s="7954" t="s">
        <v>22</v>
      </c>
      <c r="I353" s="7954" t="s">
        <v>1029</v>
      </c>
    </row>
    <row customHeight="1" ht="11.25">
      <c r="A354" s="7954" t="s">
        <v>2649</v>
      </c>
      <c r="B354" s="7954" t="s">
        <v>16</v>
      </c>
      <c r="C354" s="7954" t="s">
        <v>3494</v>
      </c>
      <c r="D354" s="7954" t="s">
        <v>3495</v>
      </c>
      <c r="E354" s="7954" t="s">
        <v>3496</v>
      </c>
      <c r="F354" s="7954" t="s">
        <v>2709</v>
      </c>
      <c r="G354" s="7954" t="s">
        <v>3497</v>
      </c>
      <c r="H354" s="7954" t="s">
        <v>22</v>
      </c>
      <c r="I354" s="7954" t="s">
        <v>1029</v>
      </c>
    </row>
    <row customHeight="1" ht="11.25">
      <c r="A355" s="7954" t="s">
        <v>2649</v>
      </c>
      <c r="B355" s="7954" t="s">
        <v>16</v>
      </c>
      <c r="C355" s="7954" t="s">
        <v>3285</v>
      </c>
      <c r="D355" s="7954" t="s">
        <v>3286</v>
      </c>
      <c r="E355" s="7954" t="s">
        <v>3287</v>
      </c>
      <c r="F355" s="7954" t="s">
        <v>2832</v>
      </c>
      <c r="G355" s="7954" t="s">
        <v>22</v>
      </c>
      <c r="H355" s="7954" t="s">
        <v>22</v>
      </c>
      <c r="I355" s="7954" t="s">
        <v>1029</v>
      </c>
    </row>
    <row customHeight="1" ht="11.25">
      <c r="A356" s="7954" t="s">
        <v>2649</v>
      </c>
      <c r="B356" s="7954" t="s">
        <v>16</v>
      </c>
      <c r="C356" s="7954" t="s">
        <v>3498</v>
      </c>
      <c r="D356" s="7954" t="s">
        <v>3499</v>
      </c>
      <c r="E356" s="7954" t="s">
        <v>3500</v>
      </c>
      <c r="F356" s="7954" t="s">
        <v>2832</v>
      </c>
      <c r="G356" s="7954" t="s">
        <v>22</v>
      </c>
      <c r="H356" s="7954" t="s">
        <v>22</v>
      </c>
      <c r="I356" s="7954" t="s">
        <v>1029</v>
      </c>
    </row>
    <row customHeight="1" ht="11.25">
      <c r="A357" s="7954" t="s">
        <v>2649</v>
      </c>
      <c r="B357" s="7954" t="s">
        <v>16</v>
      </c>
      <c r="C357" s="7954" t="s">
        <v>2939</v>
      </c>
      <c r="D357" s="7954" t="s">
        <v>2940</v>
      </c>
      <c r="E357" s="7954" t="s">
        <v>2941</v>
      </c>
      <c r="F357" s="7954" t="s">
        <v>2793</v>
      </c>
      <c r="G357" s="7954" t="s">
        <v>22</v>
      </c>
      <c r="H357" s="7954" t="s">
        <v>22</v>
      </c>
      <c r="I357" s="7954" t="s">
        <v>1029</v>
      </c>
    </row>
    <row customHeight="1" ht="11.25">
      <c r="A358" s="7954" t="s">
        <v>2649</v>
      </c>
      <c r="B358" s="7954" t="s">
        <v>16</v>
      </c>
      <c r="C358" s="7954" t="s">
        <v>2942</v>
      </c>
      <c r="D358" s="7954" t="s">
        <v>2943</v>
      </c>
      <c r="E358" s="7954" t="s">
        <v>2944</v>
      </c>
      <c r="F358" s="7954" t="s">
        <v>2832</v>
      </c>
      <c r="G358" s="7954" t="s">
        <v>22</v>
      </c>
      <c r="H358" s="7954" t="s">
        <v>22</v>
      </c>
      <c r="I358" s="7954" t="s">
        <v>1029</v>
      </c>
    </row>
    <row customHeight="1" ht="11.25">
      <c r="A359" s="7954" t="s">
        <v>2649</v>
      </c>
      <c r="B359" s="7954" t="s">
        <v>16</v>
      </c>
      <c r="C359" s="7954" t="s">
        <v>3501</v>
      </c>
      <c r="D359" s="7954" t="s">
        <v>3502</v>
      </c>
      <c r="E359" s="7954" t="s">
        <v>3503</v>
      </c>
      <c r="F359" s="7954" t="s">
        <v>2864</v>
      </c>
      <c r="G359" s="7954" t="s">
        <v>22</v>
      </c>
      <c r="H359" s="7954" t="s">
        <v>22</v>
      </c>
      <c r="I359" s="7954" t="s">
        <v>1029</v>
      </c>
    </row>
    <row customHeight="1" ht="11.25">
      <c r="A360" s="7954" t="s">
        <v>2649</v>
      </c>
      <c r="B360" s="7954" t="s">
        <v>16</v>
      </c>
      <c r="C360" s="7954" t="s">
        <v>3504</v>
      </c>
      <c r="D360" s="7954" t="s">
        <v>3505</v>
      </c>
      <c r="E360" s="7954" t="s">
        <v>3506</v>
      </c>
      <c r="F360" s="7954" t="s">
        <v>2709</v>
      </c>
      <c r="G360" s="7954" t="s">
        <v>22</v>
      </c>
      <c r="H360" s="7954" t="s">
        <v>22</v>
      </c>
      <c r="I360" s="7954" t="s">
        <v>1029</v>
      </c>
    </row>
    <row customHeight="1" ht="11.25">
      <c r="A361" s="7954" t="s">
        <v>2649</v>
      </c>
      <c r="B361" s="7954" t="s">
        <v>16</v>
      </c>
      <c r="C361" s="7954" t="s">
        <v>3507</v>
      </c>
      <c r="D361" s="7954" t="s">
        <v>3508</v>
      </c>
      <c r="E361" s="7954" t="s">
        <v>3509</v>
      </c>
      <c r="F361" s="7954" t="s">
        <v>2709</v>
      </c>
      <c r="G361" s="7954" t="s">
        <v>22</v>
      </c>
      <c r="H361" s="7954" t="s">
        <v>22</v>
      </c>
      <c r="I361" s="7954" t="s">
        <v>1029</v>
      </c>
    </row>
    <row customHeight="1" ht="11.25">
      <c r="A362" s="7954" t="s">
        <v>2649</v>
      </c>
      <c r="B362" s="7954" t="s">
        <v>16</v>
      </c>
      <c r="C362" s="7954" t="s">
        <v>3510</v>
      </c>
      <c r="D362" s="7954" t="s">
        <v>3511</v>
      </c>
      <c r="E362" s="7954" t="s">
        <v>3512</v>
      </c>
      <c r="F362" s="7954" t="s">
        <v>3490</v>
      </c>
      <c r="G362" s="7954" t="s">
        <v>3513</v>
      </c>
      <c r="H362" s="7954" t="s">
        <v>22</v>
      </c>
      <c r="I362" s="7954" t="s">
        <v>1029</v>
      </c>
    </row>
    <row customHeight="1" ht="11.25">
      <c r="A363" s="7954" t="s">
        <v>2649</v>
      </c>
      <c r="B363" s="7954" t="s">
        <v>16</v>
      </c>
      <c r="C363" s="7954" t="s">
        <v>3514</v>
      </c>
      <c r="D363" s="7954" t="s">
        <v>3515</v>
      </c>
      <c r="E363" s="7954" t="s">
        <v>3516</v>
      </c>
      <c r="F363" s="7954" t="s">
        <v>2709</v>
      </c>
      <c r="G363" s="7954" t="s">
        <v>22</v>
      </c>
      <c r="H363" s="7954" t="s">
        <v>22</v>
      </c>
      <c r="I363" s="7954" t="s">
        <v>1029</v>
      </c>
    </row>
    <row customHeight="1" ht="11.25">
      <c r="A364" s="7954" t="s">
        <v>2649</v>
      </c>
      <c r="B364" s="7954" t="s">
        <v>16</v>
      </c>
      <c r="C364" s="7954" t="s">
        <v>2959</v>
      </c>
      <c r="D364" s="7954" t="s">
        <v>2960</v>
      </c>
      <c r="E364" s="7954" t="s">
        <v>2961</v>
      </c>
      <c r="F364" s="7954" t="s">
        <v>2962</v>
      </c>
      <c r="G364" s="7954" t="s">
        <v>22</v>
      </c>
      <c r="H364" s="7954" t="s">
        <v>22</v>
      </c>
      <c r="I364" s="7954" t="s">
        <v>1029</v>
      </c>
    </row>
    <row customHeight="1" ht="11.25">
      <c r="A365" s="7954" t="s">
        <v>2649</v>
      </c>
      <c r="B365" s="7954" t="s">
        <v>16</v>
      </c>
      <c r="C365" s="7954" t="s">
        <v>3517</v>
      </c>
      <c r="D365" s="7954" t="s">
        <v>3518</v>
      </c>
      <c r="E365" s="7954" t="s">
        <v>3519</v>
      </c>
      <c r="F365" s="7954" t="s">
        <v>3520</v>
      </c>
      <c r="G365" s="7954" t="s">
        <v>22</v>
      </c>
      <c r="H365" s="7954" t="s">
        <v>22</v>
      </c>
      <c r="I365" s="7954" t="s">
        <v>1029</v>
      </c>
    </row>
    <row customHeight="1" ht="11.25">
      <c r="A366" s="7954" t="s">
        <v>2649</v>
      </c>
      <c r="B366" s="7954" t="s">
        <v>16</v>
      </c>
      <c r="C366" s="7954" t="s">
        <v>2963</v>
      </c>
      <c r="D366" s="7954" t="s">
        <v>2964</v>
      </c>
      <c r="E366" s="7954" t="s">
        <v>2965</v>
      </c>
      <c r="F366" s="7954" t="s">
        <v>2653</v>
      </c>
      <c r="G366" s="7954" t="s">
        <v>22</v>
      </c>
      <c r="H366" s="7954" t="s">
        <v>22</v>
      </c>
      <c r="I366" s="7954" t="s">
        <v>1029</v>
      </c>
    </row>
    <row customHeight="1" ht="11.25">
      <c r="A367" s="7954" t="s">
        <v>2649</v>
      </c>
      <c r="B367" s="7954" t="s">
        <v>16</v>
      </c>
      <c r="C367" s="7954" t="s">
        <v>3521</v>
      </c>
      <c r="D367" s="7954" t="s">
        <v>3522</v>
      </c>
      <c r="E367" s="7954" t="s">
        <v>3523</v>
      </c>
      <c r="F367" s="7954" t="s">
        <v>2875</v>
      </c>
      <c r="G367" s="7954" t="s">
        <v>22</v>
      </c>
      <c r="H367" s="7954" t="s">
        <v>22</v>
      </c>
      <c r="I367" s="7954" t="s">
        <v>1029</v>
      </c>
    </row>
    <row customHeight="1" ht="11.25">
      <c r="A368" s="7954" t="s">
        <v>2649</v>
      </c>
      <c r="B368" s="7954" t="s">
        <v>16</v>
      </c>
      <c r="C368" s="7954" t="s">
        <v>3524</v>
      </c>
      <c r="D368" s="7954" t="s">
        <v>3525</v>
      </c>
      <c r="E368" s="7954" t="s">
        <v>3526</v>
      </c>
      <c r="F368" s="7954" t="s">
        <v>2769</v>
      </c>
      <c r="G368" s="7954" t="s">
        <v>22</v>
      </c>
      <c r="H368" s="7954" t="s">
        <v>22</v>
      </c>
      <c r="I368" s="7954" t="s">
        <v>1029</v>
      </c>
    </row>
    <row customHeight="1" ht="11.25">
      <c r="A369" s="7954" t="s">
        <v>2649</v>
      </c>
      <c r="B369" s="7954" t="s">
        <v>16</v>
      </c>
      <c r="C369" s="7954" t="s">
        <v>3527</v>
      </c>
      <c r="D369" s="7954" t="s">
        <v>3528</v>
      </c>
      <c r="E369" s="7954" t="s">
        <v>3529</v>
      </c>
      <c r="F369" s="7954" t="s">
        <v>2709</v>
      </c>
      <c r="G369" s="7954" t="s">
        <v>22</v>
      </c>
      <c r="H369" s="7954" t="s">
        <v>22</v>
      </c>
      <c r="I369" s="7954" t="s">
        <v>1029</v>
      </c>
    </row>
    <row customHeight="1" ht="11.25">
      <c r="A370" s="7954" t="s">
        <v>2649</v>
      </c>
      <c r="B370" s="7954" t="s">
        <v>16</v>
      </c>
      <c r="C370" s="7954" t="s">
        <v>3530</v>
      </c>
      <c r="D370" s="7954" t="s">
        <v>3531</v>
      </c>
      <c r="E370" s="7954" t="s">
        <v>3532</v>
      </c>
      <c r="F370" s="7954" t="s">
        <v>2678</v>
      </c>
      <c r="G370" s="7954" t="s">
        <v>22</v>
      </c>
      <c r="H370" s="7954" t="s">
        <v>22</v>
      </c>
      <c r="I370" s="7954" t="s">
        <v>1029</v>
      </c>
    </row>
    <row customHeight="1" ht="11.25">
      <c r="A371" s="7954" t="s">
        <v>2649</v>
      </c>
      <c r="B371" s="7954" t="s">
        <v>16</v>
      </c>
      <c r="C371" s="7954" t="s">
        <v>3533</v>
      </c>
      <c r="D371" s="7954" t="s">
        <v>3534</v>
      </c>
      <c r="E371" s="7954" t="s">
        <v>3535</v>
      </c>
      <c r="F371" s="7954" t="s">
        <v>2742</v>
      </c>
      <c r="G371" s="7954" t="s">
        <v>3536</v>
      </c>
      <c r="H371" s="7954" t="s">
        <v>22</v>
      </c>
      <c r="I371" s="7954" t="s">
        <v>1029</v>
      </c>
    </row>
    <row customHeight="1" ht="11.25">
      <c r="A372" s="7954" t="s">
        <v>2649</v>
      </c>
      <c r="B372" s="7954" t="s">
        <v>16</v>
      </c>
      <c r="C372" s="7954" t="s">
        <v>3537</v>
      </c>
      <c r="D372" s="7954" t="s">
        <v>3538</v>
      </c>
      <c r="E372" s="7954" t="s">
        <v>3539</v>
      </c>
      <c r="F372" s="7954" t="s">
        <v>2709</v>
      </c>
      <c r="G372" s="7954" t="s">
        <v>22</v>
      </c>
      <c r="H372" s="7954" t="s">
        <v>22</v>
      </c>
      <c r="I372" s="7954" t="s">
        <v>1029</v>
      </c>
    </row>
    <row customHeight="1" ht="11.25">
      <c r="A373" s="7954" t="s">
        <v>2649</v>
      </c>
      <c r="B373" s="7954" t="s">
        <v>16</v>
      </c>
      <c r="C373" s="7954" t="s">
        <v>3540</v>
      </c>
      <c r="D373" s="7954" t="s">
        <v>3541</v>
      </c>
      <c r="E373" s="7954" t="s">
        <v>3542</v>
      </c>
      <c r="F373" s="7954" t="s">
        <v>2686</v>
      </c>
      <c r="G373" s="7954" t="s">
        <v>22</v>
      </c>
      <c r="H373" s="7954" t="s">
        <v>22</v>
      </c>
      <c r="I373" s="7954" t="s">
        <v>1029</v>
      </c>
    </row>
    <row customHeight="1" ht="11.25">
      <c r="A374" s="7954" t="s">
        <v>2649</v>
      </c>
      <c r="B374" s="7954" t="s">
        <v>16</v>
      </c>
      <c r="C374" s="7954" t="s">
        <v>3543</v>
      </c>
      <c r="D374" s="7954" t="s">
        <v>3544</v>
      </c>
      <c r="E374" s="7954" t="s">
        <v>3545</v>
      </c>
      <c r="F374" s="7954" t="s">
        <v>3546</v>
      </c>
      <c r="G374" s="7954" t="s">
        <v>3547</v>
      </c>
      <c r="H374" s="7954" t="s">
        <v>22</v>
      </c>
      <c r="I374" s="7954" t="s">
        <v>1029</v>
      </c>
    </row>
    <row customHeight="1" ht="11.25">
      <c r="A375" s="7954" t="s">
        <v>2649</v>
      </c>
      <c r="B375" s="7954" t="s">
        <v>16</v>
      </c>
      <c r="C375" s="7954" t="s">
        <v>3548</v>
      </c>
      <c r="D375" s="7954" t="s">
        <v>3549</v>
      </c>
      <c r="E375" s="7954" t="s">
        <v>3550</v>
      </c>
      <c r="F375" s="7954" t="s">
        <v>2723</v>
      </c>
      <c r="G375" s="7954" t="s">
        <v>3551</v>
      </c>
      <c r="H375" s="7954" t="s">
        <v>22</v>
      </c>
      <c r="I375" s="7954" t="s">
        <v>1029</v>
      </c>
    </row>
    <row customHeight="1" ht="11.25">
      <c r="A376" s="7954" t="s">
        <v>2649</v>
      </c>
      <c r="B376" s="7954" t="s">
        <v>16</v>
      </c>
      <c r="C376" s="7954" t="s">
        <v>3552</v>
      </c>
      <c r="D376" s="7954" t="s">
        <v>3553</v>
      </c>
      <c r="E376" s="7954" t="s">
        <v>3554</v>
      </c>
      <c r="F376" s="7954" t="s">
        <v>2785</v>
      </c>
      <c r="G376" s="7954" t="s">
        <v>3555</v>
      </c>
      <c r="H376" s="7954" t="s">
        <v>22</v>
      </c>
      <c r="I376" s="7954" t="s">
        <v>1029</v>
      </c>
    </row>
    <row customHeight="1" ht="11.25">
      <c r="A377" s="7954" t="s">
        <v>2649</v>
      </c>
      <c r="B377" s="7954" t="s">
        <v>16</v>
      </c>
      <c r="C377" s="7954" t="s">
        <v>3556</v>
      </c>
      <c r="D377" s="7954" t="s">
        <v>3557</v>
      </c>
      <c r="E377" s="7954" t="s">
        <v>3558</v>
      </c>
      <c r="F377" s="7954" t="s">
        <v>2727</v>
      </c>
      <c r="G377" s="7954" t="s">
        <v>3559</v>
      </c>
      <c r="H377" s="7954" t="s">
        <v>22</v>
      </c>
      <c r="I377" s="7954" t="s">
        <v>1029</v>
      </c>
    </row>
    <row customHeight="1" ht="11.25">
      <c r="A378" s="7954" t="s">
        <v>2649</v>
      </c>
      <c r="B378" s="7954" t="s">
        <v>16</v>
      </c>
      <c r="C378" s="7954" t="s">
        <v>2999</v>
      </c>
      <c r="D378" s="7954" t="s">
        <v>3000</v>
      </c>
      <c r="E378" s="7954" t="s">
        <v>3001</v>
      </c>
      <c r="F378" s="7954" t="s">
        <v>2785</v>
      </c>
      <c r="G378" s="7954" t="s">
        <v>22</v>
      </c>
      <c r="H378" s="7954" t="s">
        <v>22</v>
      </c>
      <c r="I378" s="7954" t="s">
        <v>1029</v>
      </c>
    </row>
    <row customHeight="1" ht="11.25">
      <c r="A379" s="7954" t="s">
        <v>2649</v>
      </c>
      <c r="B379" s="7954" t="s">
        <v>16</v>
      </c>
      <c r="C379" s="7954" t="s">
        <v>3560</v>
      </c>
      <c r="D379" s="7954" t="s">
        <v>3561</v>
      </c>
      <c r="E379" s="7954" t="s">
        <v>3562</v>
      </c>
      <c r="F379" s="7954" t="s">
        <v>2962</v>
      </c>
      <c r="G379" s="7954" t="s">
        <v>22</v>
      </c>
      <c r="H379" s="7954" t="s">
        <v>22</v>
      </c>
      <c r="I379" s="7954" t="s">
        <v>1029</v>
      </c>
    </row>
    <row customHeight="1" ht="11.25">
      <c r="A380" s="7954" t="s">
        <v>2649</v>
      </c>
      <c r="B380" s="7954" t="s">
        <v>16</v>
      </c>
      <c r="C380" s="7954" t="s">
        <v>3563</v>
      </c>
      <c r="D380" s="7954" t="s">
        <v>3564</v>
      </c>
      <c r="E380" s="7954" t="s">
        <v>3565</v>
      </c>
      <c r="F380" s="7954" t="s">
        <v>2709</v>
      </c>
      <c r="G380" s="7954" t="s">
        <v>22</v>
      </c>
      <c r="H380" s="7954" t="s">
        <v>3566</v>
      </c>
      <c r="I380" s="7954" t="s">
        <v>1029</v>
      </c>
    </row>
    <row customHeight="1" ht="11.25">
      <c r="A381" s="7954" t="s">
        <v>2649</v>
      </c>
      <c r="B381" s="7954" t="s">
        <v>16</v>
      </c>
      <c r="C381" s="7954" t="s">
        <v>3567</v>
      </c>
      <c r="D381" s="7954" t="s">
        <v>3568</v>
      </c>
      <c r="E381" s="7954" t="s">
        <v>3569</v>
      </c>
      <c r="F381" s="7954" t="s">
        <v>2896</v>
      </c>
      <c r="G381" s="7954" t="s">
        <v>3570</v>
      </c>
      <c r="H381" s="7954" t="s">
        <v>22</v>
      </c>
      <c r="I381" s="7954" t="s">
        <v>1029</v>
      </c>
    </row>
    <row customHeight="1" ht="11.25">
      <c r="A382" s="7954" t="s">
        <v>2649</v>
      </c>
      <c r="B382" s="7954" t="s">
        <v>16</v>
      </c>
      <c r="C382" s="7954" t="s">
        <v>3571</v>
      </c>
      <c r="D382" s="7954" t="s">
        <v>3572</v>
      </c>
      <c r="E382" s="7954" t="s">
        <v>3573</v>
      </c>
      <c r="F382" s="7954" t="s">
        <v>2915</v>
      </c>
      <c r="G382" s="7954" t="s">
        <v>3574</v>
      </c>
      <c r="H382" s="7954" t="s">
        <v>22</v>
      </c>
      <c r="I382" s="7954" t="s">
        <v>1029</v>
      </c>
    </row>
    <row customHeight="1" ht="11.25">
      <c r="A383" s="7954" t="s">
        <v>2649</v>
      </c>
      <c r="B383" s="7954" t="s">
        <v>16</v>
      </c>
      <c r="C383" s="7954" t="s">
        <v>3575</v>
      </c>
      <c r="D383" s="7954" t="s">
        <v>3576</v>
      </c>
      <c r="E383" s="7954" t="s">
        <v>3577</v>
      </c>
      <c r="F383" s="7954" t="s">
        <v>2925</v>
      </c>
      <c r="G383" s="7954" t="s">
        <v>3578</v>
      </c>
      <c r="H383" s="7954" t="s">
        <v>22</v>
      </c>
      <c r="I383" s="7954" t="s">
        <v>1029</v>
      </c>
    </row>
    <row customHeight="1" ht="11.25">
      <c r="A384" s="7954" t="s">
        <v>2649</v>
      </c>
      <c r="B384" s="7954" t="s">
        <v>16</v>
      </c>
      <c r="C384" s="7954" t="s">
        <v>3579</v>
      </c>
      <c r="D384" s="7954" t="s">
        <v>3580</v>
      </c>
      <c r="E384" s="7954" t="s">
        <v>3581</v>
      </c>
      <c r="F384" s="7954" t="s">
        <v>3582</v>
      </c>
      <c r="G384" s="7954" t="s">
        <v>3583</v>
      </c>
      <c r="H384" s="7954" t="s">
        <v>22</v>
      </c>
      <c r="I384" s="7954" t="s">
        <v>1029</v>
      </c>
    </row>
    <row customHeight="1" ht="11.25">
      <c r="A385" s="7954" t="s">
        <v>2649</v>
      </c>
      <c r="B385" s="7954" t="s">
        <v>16</v>
      </c>
      <c r="C385" s="7954" t="s">
        <v>3584</v>
      </c>
      <c r="D385" s="7954" t="s">
        <v>3580</v>
      </c>
      <c r="E385" s="7954" t="s">
        <v>3581</v>
      </c>
      <c r="F385" s="7954" t="s">
        <v>2709</v>
      </c>
      <c r="G385" s="7954" t="s">
        <v>3497</v>
      </c>
      <c r="H385" s="7954" t="s">
        <v>22</v>
      </c>
      <c r="I385" s="7954" t="s">
        <v>1029</v>
      </c>
    </row>
    <row customHeight="1" ht="11.25">
      <c r="A386" s="7954" t="s">
        <v>2649</v>
      </c>
      <c r="B386" s="7954" t="s">
        <v>16</v>
      </c>
      <c r="C386" s="7954" t="s">
        <v>3031</v>
      </c>
      <c r="D386" s="7954" t="s">
        <v>3032</v>
      </c>
      <c r="E386" s="7954" t="s">
        <v>3033</v>
      </c>
      <c r="F386" s="7954" t="s">
        <v>2785</v>
      </c>
      <c r="G386" s="7954" t="s">
        <v>22</v>
      </c>
      <c r="H386" s="7954" t="s">
        <v>22</v>
      </c>
      <c r="I386" s="7954" t="s">
        <v>1029</v>
      </c>
    </row>
    <row customHeight="1" ht="11.25">
      <c r="A387" s="7954" t="s">
        <v>2649</v>
      </c>
      <c r="B387" s="7954" t="s">
        <v>16</v>
      </c>
      <c r="C387" s="7954" t="s">
        <v>3585</v>
      </c>
      <c r="D387" s="7954" t="s">
        <v>3586</v>
      </c>
      <c r="E387" s="7954" t="s">
        <v>3587</v>
      </c>
      <c r="F387" s="7954" t="s">
        <v>50</v>
      </c>
      <c r="G387" s="7954" t="s">
        <v>3051</v>
      </c>
      <c r="H387" s="7954" t="s">
        <v>22</v>
      </c>
      <c r="I387" s="7954" t="s">
        <v>1029</v>
      </c>
    </row>
    <row customHeight="1" ht="11.25">
      <c r="A388" s="7954" t="s">
        <v>2649</v>
      </c>
      <c r="B388" s="7954" t="s">
        <v>16</v>
      </c>
      <c r="C388" s="7954" t="s">
        <v>13</v>
      </c>
      <c r="D388" s="7954" t="s">
        <v>45</v>
      </c>
      <c r="E388" s="7954" t="s">
        <v>48</v>
      </c>
      <c r="F388" s="7954" t="s">
        <v>50</v>
      </c>
      <c r="G388" s="7954" t="s">
        <v>22</v>
      </c>
      <c r="H388" s="7954" t="s">
        <v>22</v>
      </c>
      <c r="I388" s="7954" t="s">
        <v>1029</v>
      </c>
    </row>
    <row customHeight="1" ht="11.25">
      <c r="A389" s="7954" t="s">
        <v>2649</v>
      </c>
      <c r="B389" s="7954" t="s">
        <v>16</v>
      </c>
      <c r="C389" s="7954" t="s">
        <v>3052</v>
      </c>
      <c r="D389" s="7954" t="s">
        <v>3053</v>
      </c>
      <c r="E389" s="7954" t="s">
        <v>3054</v>
      </c>
      <c r="F389" s="7954" t="s">
        <v>50</v>
      </c>
      <c r="G389" s="7954" t="s">
        <v>3055</v>
      </c>
      <c r="H389" s="7954" t="s">
        <v>22</v>
      </c>
      <c r="I389" s="7954" t="s">
        <v>1029</v>
      </c>
    </row>
    <row customHeight="1" ht="11.25">
      <c r="A390" s="7954" t="s">
        <v>2649</v>
      </c>
      <c r="B390" s="7954" t="s">
        <v>16</v>
      </c>
      <c r="C390" s="7954" t="s">
        <v>3588</v>
      </c>
      <c r="D390" s="7954" t="s">
        <v>3589</v>
      </c>
      <c r="E390" s="7954" t="s">
        <v>3590</v>
      </c>
      <c r="F390" s="7954" t="s">
        <v>2769</v>
      </c>
      <c r="G390" s="7954" t="s">
        <v>22</v>
      </c>
      <c r="H390" s="7954" t="s">
        <v>22</v>
      </c>
      <c r="I390" s="7954" t="s">
        <v>1029</v>
      </c>
    </row>
    <row customHeight="1" ht="11.25">
      <c r="A391" s="7954" t="s">
        <v>2649</v>
      </c>
      <c r="B391" s="7954" t="s">
        <v>16</v>
      </c>
      <c r="C391" s="7954" t="s">
        <v>3591</v>
      </c>
      <c r="D391" s="7954" t="s">
        <v>3592</v>
      </c>
      <c r="E391" s="7954" t="s">
        <v>3593</v>
      </c>
      <c r="F391" s="7954" t="s">
        <v>2955</v>
      </c>
      <c r="G391" s="7954" t="s">
        <v>22</v>
      </c>
      <c r="H391" s="7954" t="s">
        <v>22</v>
      </c>
      <c r="I391" s="7954" t="s">
        <v>1029</v>
      </c>
    </row>
    <row customHeight="1" ht="11.25">
      <c r="A392" s="7954" t="s">
        <v>2649</v>
      </c>
      <c r="B392" s="7954" t="s">
        <v>16</v>
      </c>
      <c r="C392" s="7954" t="s">
        <v>3059</v>
      </c>
      <c r="D392" s="7954" t="s">
        <v>3060</v>
      </c>
      <c r="E392" s="7954" t="s">
        <v>3061</v>
      </c>
      <c r="F392" s="7954" t="s">
        <v>2827</v>
      </c>
      <c r="G392" s="7954" t="s">
        <v>3062</v>
      </c>
      <c r="H392" s="7954" t="s">
        <v>22</v>
      </c>
      <c r="I392" s="7954" t="s">
        <v>1029</v>
      </c>
    </row>
    <row customHeight="1" ht="11.25">
      <c r="A393" s="7954" t="s">
        <v>2649</v>
      </c>
      <c r="B393" s="7954" t="s">
        <v>16</v>
      </c>
      <c r="C393" s="7954" t="s">
        <v>3594</v>
      </c>
      <c r="D393" s="7954" t="s">
        <v>3595</v>
      </c>
      <c r="E393" s="7954" t="s">
        <v>3596</v>
      </c>
      <c r="F393" s="7954" t="s">
        <v>2832</v>
      </c>
      <c r="G393" s="7954" t="s">
        <v>22</v>
      </c>
      <c r="H393" s="7954" t="s">
        <v>22</v>
      </c>
      <c r="I393" s="7954" t="s">
        <v>1029</v>
      </c>
    </row>
    <row customHeight="1" ht="11.25">
      <c r="A394" s="7954" t="s">
        <v>2649</v>
      </c>
      <c r="B394" s="7954" t="s">
        <v>16</v>
      </c>
      <c r="C394" s="7954" t="s">
        <v>3081</v>
      </c>
      <c r="D394" s="7954" t="s">
        <v>3082</v>
      </c>
      <c r="E394" s="7954" t="s">
        <v>3083</v>
      </c>
      <c r="F394" s="7954" t="s">
        <v>2785</v>
      </c>
      <c r="G394" s="7954" t="s">
        <v>3084</v>
      </c>
      <c r="H394" s="7954" t="s">
        <v>22</v>
      </c>
      <c r="I394" s="7954" t="s">
        <v>1029</v>
      </c>
    </row>
    <row customHeight="1" ht="11.25">
      <c r="A395" s="7954" t="s">
        <v>2649</v>
      </c>
      <c r="B395" s="7954" t="s">
        <v>16</v>
      </c>
      <c r="C395" s="7954" t="s">
        <v>3597</v>
      </c>
      <c r="D395" s="7954" t="s">
        <v>3598</v>
      </c>
      <c r="E395" s="7954" t="s">
        <v>3599</v>
      </c>
      <c r="F395" s="7954" t="s">
        <v>2663</v>
      </c>
      <c r="G395" s="7954" t="s">
        <v>3600</v>
      </c>
      <c r="H395" s="7954" t="s">
        <v>22</v>
      </c>
      <c r="I395" s="7954" t="s">
        <v>1029</v>
      </c>
    </row>
    <row customHeight="1" ht="11.25">
      <c r="A396" s="7954" t="s">
        <v>2649</v>
      </c>
      <c r="B396" s="7954" t="s">
        <v>16</v>
      </c>
      <c r="C396" s="7954" t="s">
        <v>3085</v>
      </c>
      <c r="D396" s="7954" t="s">
        <v>3086</v>
      </c>
      <c r="E396" s="7954" t="s">
        <v>3087</v>
      </c>
      <c r="F396" s="7954" t="s">
        <v>2832</v>
      </c>
      <c r="G396" s="7954" t="s">
        <v>22</v>
      </c>
      <c r="H396" s="7954" t="s">
        <v>22</v>
      </c>
      <c r="I396" s="7954" t="s">
        <v>1029</v>
      </c>
    </row>
    <row customHeight="1" ht="11.25">
      <c r="A397" s="7954" t="s">
        <v>2649</v>
      </c>
      <c r="B397" s="7954" t="s">
        <v>16</v>
      </c>
      <c r="C397" s="7954" t="s">
        <v>3601</v>
      </c>
      <c r="D397" s="7954" t="s">
        <v>3602</v>
      </c>
      <c r="E397" s="7954" t="s">
        <v>3603</v>
      </c>
      <c r="F397" s="7954" t="s">
        <v>2962</v>
      </c>
      <c r="G397" s="7954" t="s">
        <v>22</v>
      </c>
      <c r="H397" s="7954" t="s">
        <v>22</v>
      </c>
      <c r="I397" s="7954" t="s">
        <v>1029</v>
      </c>
    </row>
    <row customHeight="1" ht="11.25">
      <c r="A398" s="7954" t="s">
        <v>2649</v>
      </c>
      <c r="B398" s="7954" t="s">
        <v>16</v>
      </c>
      <c r="C398" s="7954" t="s">
        <v>3088</v>
      </c>
      <c r="D398" s="7954" t="s">
        <v>3089</v>
      </c>
      <c r="E398" s="7954" t="s">
        <v>3090</v>
      </c>
      <c r="F398" s="7954" t="s">
        <v>2781</v>
      </c>
      <c r="G398" s="7954" t="s">
        <v>3091</v>
      </c>
      <c r="H398" s="7954" t="s">
        <v>22</v>
      </c>
      <c r="I398" s="7954" t="s">
        <v>1029</v>
      </c>
    </row>
    <row customHeight="1" ht="11.25">
      <c r="A399" s="7954" t="s">
        <v>2649</v>
      </c>
      <c r="B399" s="7954" t="s">
        <v>16</v>
      </c>
      <c r="C399" s="7954" t="s">
        <v>3604</v>
      </c>
      <c r="D399" s="7954" t="s">
        <v>3605</v>
      </c>
      <c r="E399" s="7954" t="s">
        <v>3606</v>
      </c>
      <c r="F399" s="7954" t="s">
        <v>2777</v>
      </c>
      <c r="G399" s="7954" t="s">
        <v>22</v>
      </c>
      <c r="H399" s="7954" t="s">
        <v>22</v>
      </c>
      <c r="I399" s="7954" t="s">
        <v>1029</v>
      </c>
    </row>
    <row customHeight="1" ht="11.25">
      <c r="A400" s="7954" t="s">
        <v>2649</v>
      </c>
      <c r="B400" s="7954" t="s">
        <v>16</v>
      </c>
      <c r="C400" s="7954" t="s">
        <v>3105</v>
      </c>
      <c r="D400" s="7954" t="s">
        <v>3106</v>
      </c>
      <c r="E400" s="7954" t="s">
        <v>3107</v>
      </c>
      <c r="F400" s="7954" t="s">
        <v>2663</v>
      </c>
      <c r="G400" s="7954" t="s">
        <v>22</v>
      </c>
      <c r="H400" s="7954" t="s">
        <v>22</v>
      </c>
      <c r="I400" s="7954" t="s">
        <v>1029</v>
      </c>
    </row>
    <row customHeight="1" ht="11.25">
      <c r="A401" s="7954" t="s">
        <v>2649</v>
      </c>
      <c r="B401" s="7954" t="s">
        <v>16</v>
      </c>
      <c r="C401" s="7954" t="s">
        <v>3607</v>
      </c>
      <c r="D401" s="7954" t="s">
        <v>3608</v>
      </c>
      <c r="E401" s="7954" t="s">
        <v>3609</v>
      </c>
      <c r="F401" s="7954" t="s">
        <v>2769</v>
      </c>
      <c r="G401" s="7954" t="s">
        <v>22</v>
      </c>
      <c r="H401" s="7954" t="s">
        <v>22</v>
      </c>
      <c r="I401" s="7954" t="s">
        <v>1029</v>
      </c>
    </row>
    <row customHeight="1" ht="11.25">
      <c r="A402" s="7954" t="s">
        <v>2649</v>
      </c>
      <c r="B402" s="7954" t="s">
        <v>16</v>
      </c>
      <c r="C402" s="7954" t="s">
        <v>3108</v>
      </c>
      <c r="D402" s="7954" t="s">
        <v>3109</v>
      </c>
      <c r="E402" s="7954" t="s">
        <v>3110</v>
      </c>
      <c r="F402" s="7954" t="s">
        <v>2955</v>
      </c>
      <c r="G402" s="7954" t="s">
        <v>22</v>
      </c>
      <c r="H402" s="7954" t="s">
        <v>22</v>
      </c>
      <c r="I402" s="7954" t="s">
        <v>1029</v>
      </c>
    </row>
    <row customHeight="1" ht="11.25">
      <c r="A403" s="7954" t="s">
        <v>2649</v>
      </c>
      <c r="B403" s="7954" t="s">
        <v>16</v>
      </c>
      <c r="C403" s="7954" t="s">
        <v>3610</v>
      </c>
      <c r="D403" s="7954" t="s">
        <v>3611</v>
      </c>
      <c r="E403" s="7954" t="s">
        <v>3612</v>
      </c>
      <c r="F403" s="7954" t="s">
        <v>2781</v>
      </c>
      <c r="G403" s="7954" t="s">
        <v>22</v>
      </c>
      <c r="H403" s="7954" t="s">
        <v>22</v>
      </c>
      <c r="I403" s="7954" t="s">
        <v>1029</v>
      </c>
    </row>
    <row customHeight="1" ht="11.25">
      <c r="A404" s="7954" t="s">
        <v>2649</v>
      </c>
      <c r="B404" s="7954" t="s">
        <v>16</v>
      </c>
      <c r="C404" s="7954" t="s">
        <v>3613</v>
      </c>
      <c r="D404" s="7954" t="s">
        <v>3614</v>
      </c>
      <c r="E404" s="7954" t="s">
        <v>3615</v>
      </c>
      <c r="F404" s="7954" t="s">
        <v>2785</v>
      </c>
      <c r="G404" s="7954" t="s">
        <v>2843</v>
      </c>
      <c r="H404" s="7954" t="s">
        <v>22</v>
      </c>
      <c r="I404" s="7954" t="s">
        <v>1029</v>
      </c>
    </row>
    <row customHeight="1" ht="11.25">
      <c r="A405" s="7954" t="s">
        <v>2649</v>
      </c>
      <c r="B405" s="7954" t="s">
        <v>16</v>
      </c>
      <c r="C405" s="7954" t="s">
        <v>3123</v>
      </c>
      <c r="D405" s="7954" t="s">
        <v>3124</v>
      </c>
      <c r="E405" s="7954" t="s">
        <v>3125</v>
      </c>
      <c r="F405" s="7954" t="s">
        <v>3126</v>
      </c>
      <c r="G405" s="7954" t="s">
        <v>22</v>
      </c>
      <c r="H405" s="7954" t="s">
        <v>22</v>
      </c>
      <c r="I405" s="7954" t="s">
        <v>1029</v>
      </c>
    </row>
    <row customHeight="1" ht="11.25">
      <c r="A406" s="7954" t="s">
        <v>2649</v>
      </c>
      <c r="B406" s="7954" t="s">
        <v>16</v>
      </c>
      <c r="C406" s="7954" t="s">
        <v>3136</v>
      </c>
      <c r="D406" s="7954" t="s">
        <v>3137</v>
      </c>
      <c r="E406" s="7954" t="s">
        <v>3138</v>
      </c>
      <c r="F406" s="7954" t="s">
        <v>2769</v>
      </c>
      <c r="G406" s="7954" t="s">
        <v>22</v>
      </c>
      <c r="H406" s="7954" t="s">
        <v>22</v>
      </c>
      <c r="I406" s="7954" t="s">
        <v>1029</v>
      </c>
    </row>
    <row customHeight="1" ht="11.25">
      <c r="A407" s="7954" t="s">
        <v>2649</v>
      </c>
      <c r="B407" s="7954" t="s">
        <v>16</v>
      </c>
      <c r="C407" s="7954" t="s">
        <v>3142</v>
      </c>
      <c r="D407" s="7954" t="s">
        <v>3143</v>
      </c>
      <c r="E407" s="7954" t="s">
        <v>3144</v>
      </c>
      <c r="F407" s="7954" t="s">
        <v>2686</v>
      </c>
      <c r="G407" s="7954" t="s">
        <v>22</v>
      </c>
      <c r="H407" s="7954" t="s">
        <v>22</v>
      </c>
      <c r="I407" s="7954" t="s">
        <v>1029</v>
      </c>
    </row>
    <row customHeight="1" ht="11.25">
      <c r="A408" s="7954" t="s">
        <v>2649</v>
      </c>
      <c r="B408" s="7954" t="s">
        <v>16</v>
      </c>
      <c r="C408" s="7954" t="s">
        <v>3145</v>
      </c>
      <c r="D408" s="7954" t="s">
        <v>3146</v>
      </c>
      <c r="E408" s="7954" t="s">
        <v>3147</v>
      </c>
      <c r="F408" s="7954" t="s">
        <v>2896</v>
      </c>
      <c r="G408" s="7954" t="s">
        <v>22</v>
      </c>
      <c r="H408" s="7954" t="s">
        <v>22</v>
      </c>
      <c r="I408" s="7954" t="s">
        <v>1029</v>
      </c>
    </row>
    <row customHeight="1" ht="11.25">
      <c r="A409" s="7954" t="s">
        <v>2649</v>
      </c>
      <c r="B409" s="7954" t="s">
        <v>16</v>
      </c>
      <c r="C409" s="7954" t="s">
        <v>3616</v>
      </c>
      <c r="D409" s="7954" t="s">
        <v>3617</v>
      </c>
      <c r="E409" s="7954" t="s">
        <v>3618</v>
      </c>
      <c r="F409" s="7954" t="s">
        <v>2915</v>
      </c>
      <c r="G409" s="7954" t="s">
        <v>2843</v>
      </c>
      <c r="H409" s="7954" t="s">
        <v>22</v>
      </c>
      <c r="I409" s="7954" t="s">
        <v>1029</v>
      </c>
    </row>
    <row customHeight="1" ht="11.25">
      <c r="A410" s="7954" t="s">
        <v>2649</v>
      </c>
      <c r="B410" s="7954" t="s">
        <v>16</v>
      </c>
      <c r="C410" s="7954" t="s">
        <v>3160</v>
      </c>
      <c r="D410" s="7954" t="s">
        <v>3161</v>
      </c>
      <c r="E410" s="7954" t="s">
        <v>3162</v>
      </c>
      <c r="F410" s="7954" t="s">
        <v>2781</v>
      </c>
      <c r="G410" s="7954" t="s">
        <v>22</v>
      </c>
      <c r="H410" s="7954" t="s">
        <v>22</v>
      </c>
      <c r="I410" s="7954" t="s">
        <v>1029</v>
      </c>
    </row>
    <row customHeight="1" ht="11.25">
      <c r="A411" s="7954" t="s">
        <v>2649</v>
      </c>
      <c r="B411" s="7954" t="s">
        <v>16</v>
      </c>
      <c r="C411" s="7954" t="s">
        <v>3163</v>
      </c>
      <c r="D411" s="7954" t="s">
        <v>3164</v>
      </c>
      <c r="E411" s="7954" t="s">
        <v>3165</v>
      </c>
      <c r="F411" s="7954" t="s">
        <v>2886</v>
      </c>
      <c r="G411" s="7954" t="s">
        <v>22</v>
      </c>
      <c r="H411" s="7954" t="s">
        <v>22</v>
      </c>
      <c r="I411" s="7954" t="s">
        <v>1029</v>
      </c>
    </row>
    <row customHeight="1" ht="11.25">
      <c r="A412" s="7954" t="s">
        <v>2649</v>
      </c>
      <c r="B412" s="7954" t="s">
        <v>16</v>
      </c>
      <c r="C412" s="7954" t="s">
        <v>3166</v>
      </c>
      <c r="D412" s="7954" t="s">
        <v>3167</v>
      </c>
      <c r="E412" s="7954" t="s">
        <v>3168</v>
      </c>
      <c r="F412" s="7954" t="s">
        <v>2896</v>
      </c>
      <c r="G412" s="7954" t="s">
        <v>22</v>
      </c>
      <c r="H412" s="7954" t="s">
        <v>22</v>
      </c>
      <c r="I412" s="7954" t="s">
        <v>1029</v>
      </c>
    </row>
    <row customHeight="1" ht="11.25">
      <c r="A413" s="7954" t="s">
        <v>2649</v>
      </c>
      <c r="B413" s="7954" t="s">
        <v>16</v>
      </c>
      <c r="C413" s="7954" t="s">
        <v>3619</v>
      </c>
      <c r="D413" s="7954" t="s">
        <v>3620</v>
      </c>
      <c r="E413" s="7954" t="s">
        <v>3621</v>
      </c>
      <c r="F413" s="7954" t="s">
        <v>2955</v>
      </c>
      <c r="G413" s="7954" t="s">
        <v>22</v>
      </c>
      <c r="H413" s="7954" t="s">
        <v>22</v>
      </c>
      <c r="I413" s="7954" t="s">
        <v>1029</v>
      </c>
    </row>
    <row customHeight="1" ht="11.25">
      <c r="A414" s="7954" t="s">
        <v>2649</v>
      </c>
      <c r="B414" s="7954" t="s">
        <v>16</v>
      </c>
      <c r="C414" s="7954" t="s">
        <v>3622</v>
      </c>
      <c r="D414" s="7954" t="s">
        <v>3623</v>
      </c>
      <c r="E414" s="7954" t="s">
        <v>3624</v>
      </c>
      <c r="F414" s="7954" t="s">
        <v>50</v>
      </c>
      <c r="G414" s="7954" t="s">
        <v>22</v>
      </c>
      <c r="H414" s="7954" t="s">
        <v>22</v>
      </c>
      <c r="I414" s="7954" t="s">
        <v>1029</v>
      </c>
    </row>
    <row customHeight="1" ht="11.25">
      <c r="A415" s="7954" t="s">
        <v>2649</v>
      </c>
      <c r="B415" s="7954" t="s">
        <v>16</v>
      </c>
      <c r="C415" s="7954" t="s">
        <v>3625</v>
      </c>
      <c r="D415" s="7954" t="s">
        <v>3623</v>
      </c>
      <c r="E415" s="7954" t="s">
        <v>3626</v>
      </c>
      <c r="F415" s="7954" t="s">
        <v>2864</v>
      </c>
      <c r="G415" s="7954" t="s">
        <v>22</v>
      </c>
      <c r="H415" s="7954" t="s">
        <v>22</v>
      </c>
      <c r="I415" s="7954" t="s">
        <v>1029</v>
      </c>
    </row>
    <row customHeight="1" ht="11.25">
      <c r="A416" s="7954" t="s">
        <v>2649</v>
      </c>
      <c r="B416" s="7954" t="s">
        <v>16</v>
      </c>
      <c r="C416" s="7954" t="s">
        <v>3181</v>
      </c>
      <c r="D416" s="7954" t="s">
        <v>3182</v>
      </c>
      <c r="E416" s="7954" t="s">
        <v>3183</v>
      </c>
      <c r="F416" s="7954" t="s">
        <v>2686</v>
      </c>
      <c r="G416" s="7954" t="s">
        <v>22</v>
      </c>
      <c r="H416" s="7954" t="s">
        <v>22</v>
      </c>
      <c r="I416" s="7954" t="s">
        <v>1029</v>
      </c>
    </row>
    <row customHeight="1" ht="11.25">
      <c r="A417" s="7954" t="s">
        <v>2649</v>
      </c>
      <c r="B417" s="7954" t="s">
        <v>16</v>
      </c>
      <c r="C417" s="7954" t="s">
        <v>3184</v>
      </c>
      <c r="D417" s="7954" t="s">
        <v>3185</v>
      </c>
      <c r="E417" s="7954" t="s">
        <v>3186</v>
      </c>
      <c r="F417" s="7954" t="s">
        <v>2886</v>
      </c>
      <c r="G417" s="7954" t="s">
        <v>22</v>
      </c>
      <c r="H417" s="7954" t="s">
        <v>22</v>
      </c>
      <c r="I417" s="7954" t="s">
        <v>1029</v>
      </c>
    </row>
    <row customHeight="1" ht="11.25">
      <c r="A418" s="7954" t="s">
        <v>2649</v>
      </c>
      <c r="B418" s="7954" t="s">
        <v>16</v>
      </c>
      <c r="C418" s="7954" t="s">
        <v>3190</v>
      </c>
      <c r="D418" s="7954" t="s">
        <v>3191</v>
      </c>
      <c r="E418" s="7954" t="s">
        <v>3192</v>
      </c>
      <c r="F418" s="7954" t="s">
        <v>2832</v>
      </c>
      <c r="G418" s="7954" t="s">
        <v>22</v>
      </c>
      <c r="H418" s="7954" t="s">
        <v>22</v>
      </c>
      <c r="I418" s="7954" t="s">
        <v>1029</v>
      </c>
    </row>
    <row customHeight="1" ht="11.25">
      <c r="A419" s="7954" t="s">
        <v>2649</v>
      </c>
      <c r="B419" s="7954" t="s">
        <v>16</v>
      </c>
      <c r="C419" s="7954" t="s">
        <v>3196</v>
      </c>
      <c r="D419" s="7954" t="s">
        <v>3197</v>
      </c>
      <c r="E419" s="7954" t="s">
        <v>3198</v>
      </c>
      <c r="F419" s="7954" t="s">
        <v>2785</v>
      </c>
      <c r="G419" s="7954" t="s">
        <v>22</v>
      </c>
      <c r="H419" s="7954" t="s">
        <v>22</v>
      </c>
      <c r="I419" s="7954" t="s">
        <v>1029</v>
      </c>
    </row>
    <row customHeight="1" ht="11.25">
      <c r="A420" s="7954" t="s">
        <v>2649</v>
      </c>
      <c r="B420" s="7954" t="s">
        <v>16</v>
      </c>
      <c r="C420" s="7954" t="s">
        <v>3206</v>
      </c>
      <c r="D420" s="7954" t="s">
        <v>3207</v>
      </c>
      <c r="E420" s="7954" t="s">
        <v>3208</v>
      </c>
      <c r="F420" s="7954" t="s">
        <v>2781</v>
      </c>
      <c r="G420" s="7954" t="s">
        <v>3209</v>
      </c>
      <c r="H420" s="7954" t="s">
        <v>22</v>
      </c>
      <c r="I420" s="7954" t="s">
        <v>1029</v>
      </c>
    </row>
    <row customHeight="1" ht="11.25">
      <c r="A421" s="7954" t="s">
        <v>2649</v>
      </c>
      <c r="B421" s="7954" t="s">
        <v>16</v>
      </c>
      <c r="C421" s="7954" t="s">
        <v>3627</v>
      </c>
      <c r="D421" s="7954" t="s">
        <v>3628</v>
      </c>
      <c r="E421" s="7954" t="s">
        <v>3629</v>
      </c>
      <c r="F421" s="7954" t="s">
        <v>2785</v>
      </c>
      <c r="G421" s="7954" t="s">
        <v>3630</v>
      </c>
      <c r="H421" s="7954" t="s">
        <v>22</v>
      </c>
      <c r="I421" s="7954" t="s">
        <v>1029</v>
      </c>
    </row>
    <row customHeight="1" ht="11.25">
      <c r="A422" s="7954" t="s">
        <v>2649</v>
      </c>
      <c r="B422" s="7954" t="s">
        <v>16</v>
      </c>
      <c r="C422" s="7954" t="s">
        <v>3218</v>
      </c>
      <c r="D422" s="7954" t="s">
        <v>3219</v>
      </c>
      <c r="E422" s="7954" t="s">
        <v>3220</v>
      </c>
      <c r="F422" s="7954" t="s">
        <v>2955</v>
      </c>
      <c r="G422" s="7954" t="s">
        <v>22</v>
      </c>
      <c r="H422" s="7954" t="s">
        <v>22</v>
      </c>
      <c r="I422" s="7954" t="s">
        <v>1029</v>
      </c>
    </row>
    <row customHeight="1" ht="11.25">
      <c r="A423" s="7954" t="s">
        <v>2649</v>
      </c>
      <c r="B423" s="7954" t="s">
        <v>16</v>
      </c>
      <c r="C423" s="7954" t="s">
        <v>3221</v>
      </c>
      <c r="D423" s="7954" t="s">
        <v>3222</v>
      </c>
      <c r="E423" s="7954" t="s">
        <v>3223</v>
      </c>
      <c r="F423" s="7954" t="s">
        <v>2955</v>
      </c>
      <c r="G423" s="7954" t="s">
        <v>22</v>
      </c>
      <c r="H423" s="7954" t="s">
        <v>22</v>
      </c>
      <c r="I423" s="7954" t="s">
        <v>1029</v>
      </c>
    </row>
    <row customHeight="1" ht="11.25">
      <c r="A424" s="7954" t="s">
        <v>2649</v>
      </c>
      <c r="B424" s="7954" t="s">
        <v>16</v>
      </c>
      <c r="C424" s="7954" t="s">
        <v>3631</v>
      </c>
      <c r="D424" s="7954" t="s">
        <v>3632</v>
      </c>
      <c r="E424" s="7954" t="s">
        <v>3633</v>
      </c>
      <c r="F424" s="7954" t="s">
        <v>2875</v>
      </c>
      <c r="G424" s="7954" t="s">
        <v>22</v>
      </c>
      <c r="H424" s="7954" t="s">
        <v>22</v>
      </c>
      <c r="I424" s="7954" t="s">
        <v>1029</v>
      </c>
    </row>
    <row customHeight="1" ht="11.25">
      <c r="A425" s="7954" t="s">
        <v>2649</v>
      </c>
      <c r="B425" s="7954" t="s">
        <v>16</v>
      </c>
      <c r="C425" s="7954" t="s">
        <v>3634</v>
      </c>
      <c r="D425" s="7954" t="s">
        <v>3635</v>
      </c>
      <c r="E425" s="7954" t="s">
        <v>3636</v>
      </c>
      <c r="F425" s="7954" t="s">
        <v>2769</v>
      </c>
      <c r="G425" s="7954" t="s">
        <v>22</v>
      </c>
      <c r="H425" s="7954" t="s">
        <v>22</v>
      </c>
      <c r="I425" s="7954" t="s">
        <v>1029</v>
      </c>
    </row>
    <row customHeight="1" ht="11.25">
      <c r="A426" s="7954" t="s">
        <v>2649</v>
      </c>
      <c r="B426" s="7954" t="s">
        <v>16</v>
      </c>
      <c r="C426" s="7954" t="s">
        <v>3227</v>
      </c>
      <c r="D426" s="7954" t="s">
        <v>3228</v>
      </c>
      <c r="E426" s="7954" t="s">
        <v>3229</v>
      </c>
      <c r="F426" s="7954" t="s">
        <v>3230</v>
      </c>
      <c r="G426" s="7954" t="s">
        <v>22</v>
      </c>
      <c r="H426" s="7954" t="s">
        <v>22</v>
      </c>
      <c r="I426" s="7954" t="s">
        <v>1029</v>
      </c>
    </row>
    <row customHeight="1" ht="11.25">
      <c r="A427" s="7954" t="s">
        <v>2649</v>
      </c>
      <c r="B427" s="7954" t="s">
        <v>16</v>
      </c>
      <c r="C427" s="7954" t="s">
        <v>3231</v>
      </c>
      <c r="D427" s="7954" t="s">
        <v>3232</v>
      </c>
      <c r="E427" s="7954" t="s">
        <v>3233</v>
      </c>
      <c r="F427" s="7954" t="s">
        <v>2827</v>
      </c>
      <c r="G427" s="7954" t="s">
        <v>22</v>
      </c>
      <c r="H427" s="7954" t="s">
        <v>22</v>
      </c>
      <c r="I427" s="7954" t="s">
        <v>1029</v>
      </c>
    </row>
    <row customHeight="1" ht="11.25">
      <c r="A428" s="7954" t="s">
        <v>2649</v>
      </c>
      <c r="B428" s="7954" t="s">
        <v>16</v>
      </c>
      <c r="C428" s="7954" t="s">
        <v>3637</v>
      </c>
      <c r="D428" s="7954" t="s">
        <v>3638</v>
      </c>
      <c r="E428" s="7954" t="s">
        <v>3639</v>
      </c>
      <c r="F428" s="7954" t="s">
        <v>2925</v>
      </c>
      <c r="G428" s="7954" t="s">
        <v>22</v>
      </c>
      <c r="H428" s="7954" t="s">
        <v>22</v>
      </c>
      <c r="I428" s="7954" t="s">
        <v>1029</v>
      </c>
    </row>
    <row customHeight="1" ht="11.25">
      <c r="A429" s="7954" t="s">
        <v>2649</v>
      </c>
      <c r="B429" s="7954" t="s">
        <v>16</v>
      </c>
      <c r="C429" s="7954" t="s">
        <v>3234</v>
      </c>
      <c r="D429" s="7954" t="s">
        <v>3235</v>
      </c>
      <c r="E429" s="7954" t="s">
        <v>3236</v>
      </c>
      <c r="F429" s="7954" t="s">
        <v>3237</v>
      </c>
      <c r="G429" s="7954" t="s">
        <v>3238</v>
      </c>
      <c r="H429" s="7954" t="s">
        <v>22</v>
      </c>
      <c r="I429" s="7954" t="s">
        <v>1029</v>
      </c>
    </row>
    <row customHeight="1" ht="11.25">
      <c r="A430" s="7954" t="s">
        <v>2649</v>
      </c>
      <c r="B430" s="7954" t="s">
        <v>16</v>
      </c>
      <c r="C430" s="7954" t="s">
        <v>3243</v>
      </c>
      <c r="D430" s="7954" t="s">
        <v>3244</v>
      </c>
      <c r="E430" s="7954" t="s">
        <v>3245</v>
      </c>
      <c r="F430" s="7954" t="s">
        <v>2896</v>
      </c>
      <c r="G430" s="7954" t="s">
        <v>22</v>
      </c>
      <c r="H430" s="7954" t="s">
        <v>22</v>
      </c>
      <c r="I430" s="7954" t="s">
        <v>1029</v>
      </c>
    </row>
    <row customHeight="1" ht="11.25">
      <c r="A431" s="7954" t="s">
        <v>2649</v>
      </c>
      <c r="B431" s="7954" t="s">
        <v>16</v>
      </c>
      <c r="C431" s="7954" t="s">
        <v>3252</v>
      </c>
      <c r="D431" s="7954" t="s">
        <v>3253</v>
      </c>
      <c r="E431" s="7954" t="s">
        <v>3254</v>
      </c>
      <c r="F431" s="7954" t="s">
        <v>3237</v>
      </c>
      <c r="G431" s="7954" t="s">
        <v>22</v>
      </c>
      <c r="H431" s="7954" t="s">
        <v>22</v>
      </c>
      <c r="I431" s="7954" t="s">
        <v>1029</v>
      </c>
    </row>
    <row customHeight="1" ht="11.25">
      <c r="A432" s="7954" t="s">
        <v>2649</v>
      </c>
      <c r="B432" s="7954" t="s">
        <v>16</v>
      </c>
      <c r="C432" s="7954" t="s">
        <v>3255</v>
      </c>
      <c r="D432" s="7954" t="s">
        <v>3256</v>
      </c>
      <c r="E432" s="7954" t="s">
        <v>3257</v>
      </c>
      <c r="F432" s="7954" t="s">
        <v>3237</v>
      </c>
      <c r="G432" s="7954" t="s">
        <v>22</v>
      </c>
      <c r="H432" s="7954" t="s">
        <v>22</v>
      </c>
      <c r="I432" s="7954" t="s">
        <v>1029</v>
      </c>
    </row>
    <row customHeight="1" ht="11.25">
      <c r="A433" s="7954" t="s">
        <v>2649</v>
      </c>
      <c r="B433" s="7954" t="s">
        <v>16</v>
      </c>
      <c r="C433" s="7954" t="s">
        <v>3266</v>
      </c>
      <c r="D433" s="7954" t="s">
        <v>3267</v>
      </c>
      <c r="E433" s="7954" t="s">
        <v>3268</v>
      </c>
      <c r="F433" s="7954" t="s">
        <v>3269</v>
      </c>
      <c r="G433" s="7954" t="s">
        <v>22</v>
      </c>
      <c r="H433" s="7954" t="s">
        <v>22</v>
      </c>
      <c r="I433" s="7954" t="s">
        <v>1029</v>
      </c>
    </row>
    <row customHeight="1" ht="11.25">
      <c r="A434" s="7954" t="s">
        <v>2649</v>
      </c>
      <c r="B434" s="7954" t="s">
        <v>16</v>
      </c>
      <c r="C434" s="7954" t="s">
        <v>3277</v>
      </c>
      <c r="D434" s="7954" t="s">
        <v>3278</v>
      </c>
      <c r="E434" s="7954" t="s">
        <v>3279</v>
      </c>
      <c r="F434" s="7954" t="s">
        <v>3280</v>
      </c>
      <c r="G434" s="7954" t="s">
        <v>22</v>
      </c>
      <c r="H434" s="7954" t="s">
        <v>22</v>
      </c>
      <c r="I434" s="7954" t="s">
        <v>1029</v>
      </c>
    </row>
    <row customHeight="1" ht="11.25">
      <c r="A435" s="7954" t="s">
        <v>2649</v>
      </c>
      <c r="B435" s="7954" t="s">
        <v>16</v>
      </c>
      <c r="C435" s="7954" t="s">
        <v>3281</v>
      </c>
      <c r="D435" s="7954" t="s">
        <v>3282</v>
      </c>
      <c r="E435" s="7954" t="s">
        <v>3283</v>
      </c>
      <c r="F435" s="7954" t="s">
        <v>3284</v>
      </c>
      <c r="G435" s="7954" t="s">
        <v>22</v>
      </c>
      <c r="H435" s="7954" t="s">
        <v>22</v>
      </c>
      <c r="I435" s="7954" t="s">
        <v>1029</v>
      </c>
    </row>
    <row customHeight="1" ht="11.25">
      <c r="A436" s="7954" t="s">
        <v>2649</v>
      </c>
      <c r="B436" s="7954" t="s">
        <v>16</v>
      </c>
      <c r="C436" s="7954" t="s">
        <v>3288</v>
      </c>
      <c r="D436" s="7954" t="s">
        <v>3289</v>
      </c>
      <c r="E436" s="7954" t="s">
        <v>3290</v>
      </c>
      <c r="F436" s="7954" t="s">
        <v>2875</v>
      </c>
      <c r="G436" s="7954" t="s">
        <v>3291</v>
      </c>
      <c r="H436" s="7954" t="s">
        <v>22</v>
      </c>
      <c r="I436" s="7954" t="s">
        <v>1082</v>
      </c>
    </row>
    <row customHeight="1" ht="11.25">
      <c r="A437" s="7954" t="s">
        <v>2649</v>
      </c>
      <c r="B437" s="7954" t="s">
        <v>16</v>
      </c>
      <c r="C437" s="7954" t="s">
        <v>2667</v>
      </c>
      <c r="D437" s="7954" t="s">
        <v>2668</v>
      </c>
      <c r="E437" s="7954" t="s">
        <v>2669</v>
      </c>
      <c r="F437" s="7954" t="s">
        <v>2670</v>
      </c>
      <c r="G437" s="7954" t="s">
        <v>22</v>
      </c>
      <c r="H437" s="7954" t="s">
        <v>22</v>
      </c>
      <c r="I437" s="7954" t="s">
        <v>1082</v>
      </c>
    </row>
    <row customHeight="1" ht="11.25">
      <c r="A438" s="7954" t="s">
        <v>2649</v>
      </c>
      <c r="B438" s="7954" t="s">
        <v>16</v>
      </c>
      <c r="C438" s="7954" t="s">
        <v>2671</v>
      </c>
      <c r="D438" s="7954" t="s">
        <v>2672</v>
      </c>
      <c r="E438" s="7954" t="s">
        <v>2673</v>
      </c>
      <c r="F438" s="7954" t="s">
        <v>2658</v>
      </c>
      <c r="G438" s="7954" t="s">
        <v>2674</v>
      </c>
      <c r="H438" s="7954" t="s">
        <v>22</v>
      </c>
      <c r="I438" s="7954" t="s">
        <v>1082</v>
      </c>
    </row>
    <row customHeight="1" ht="11.25">
      <c r="A439" s="7954" t="s">
        <v>2649</v>
      </c>
      <c r="B439" s="7954" t="s">
        <v>16</v>
      </c>
      <c r="C439" s="7954" t="s">
        <v>2675</v>
      </c>
      <c r="D439" s="7954" t="s">
        <v>2676</v>
      </c>
      <c r="E439" s="7954" t="s">
        <v>2677</v>
      </c>
      <c r="F439" s="7954" t="s">
        <v>2678</v>
      </c>
      <c r="G439" s="7954" t="s">
        <v>22</v>
      </c>
      <c r="H439" s="7954" t="s">
        <v>22</v>
      </c>
      <c r="I439" s="7954" t="s">
        <v>1082</v>
      </c>
    </row>
    <row customHeight="1" ht="11.25">
      <c r="A440" s="7954" t="s">
        <v>2649</v>
      </c>
      <c r="B440" s="7954" t="s">
        <v>16</v>
      </c>
      <c r="C440" s="7954" t="s">
        <v>2679</v>
      </c>
      <c r="D440" s="7954" t="s">
        <v>2680</v>
      </c>
      <c r="E440" s="7954" t="s">
        <v>2681</v>
      </c>
      <c r="F440" s="7954" t="s">
        <v>2682</v>
      </c>
      <c r="G440" s="7954" t="s">
        <v>22</v>
      </c>
      <c r="H440" s="7954" t="s">
        <v>22</v>
      </c>
      <c r="I440" s="7954" t="s">
        <v>1082</v>
      </c>
    </row>
    <row customHeight="1" ht="11.25">
      <c r="A441" s="7954" t="s">
        <v>2649</v>
      </c>
      <c r="B441" s="7954" t="s">
        <v>16</v>
      </c>
      <c r="C441" s="7954" t="s">
        <v>3296</v>
      </c>
      <c r="D441" s="7954" t="s">
        <v>3297</v>
      </c>
      <c r="E441" s="7954" t="s">
        <v>3298</v>
      </c>
      <c r="F441" s="7954" t="s">
        <v>2742</v>
      </c>
      <c r="G441" s="7954" t="s">
        <v>22</v>
      </c>
      <c r="H441" s="7954" t="s">
        <v>22</v>
      </c>
      <c r="I441" s="7954" t="s">
        <v>1082</v>
      </c>
    </row>
    <row customHeight="1" ht="11.25">
      <c r="A442" s="7954" t="s">
        <v>2649</v>
      </c>
      <c r="B442" s="7954" t="s">
        <v>16</v>
      </c>
      <c r="C442" s="7954" t="s">
        <v>2691</v>
      </c>
      <c r="D442" s="7954" t="s">
        <v>2692</v>
      </c>
      <c r="E442" s="7954" t="s">
        <v>2693</v>
      </c>
      <c r="F442" s="7954" t="s">
        <v>2694</v>
      </c>
      <c r="G442" s="7954" t="s">
        <v>22</v>
      </c>
      <c r="H442" s="7954" t="s">
        <v>22</v>
      </c>
      <c r="I442" s="7954" t="s">
        <v>1082</v>
      </c>
    </row>
    <row customHeight="1" ht="11.25">
      <c r="A443" s="7954" t="s">
        <v>2649</v>
      </c>
      <c r="B443" s="7954" t="s">
        <v>16</v>
      </c>
      <c r="C443" s="7954" t="s">
        <v>2695</v>
      </c>
      <c r="D443" s="7954" t="s">
        <v>2696</v>
      </c>
      <c r="E443" s="7954" t="s">
        <v>2697</v>
      </c>
      <c r="F443" s="7954" t="s">
        <v>2678</v>
      </c>
      <c r="G443" s="7954" t="s">
        <v>22</v>
      </c>
      <c r="H443" s="7954" t="s">
        <v>22</v>
      </c>
      <c r="I443" s="7954" t="s">
        <v>1082</v>
      </c>
    </row>
    <row customHeight="1" ht="11.25">
      <c r="A444" s="7954" t="s">
        <v>2649</v>
      </c>
      <c r="B444" s="7954" t="s">
        <v>16</v>
      </c>
      <c r="C444" s="7954" t="s">
        <v>3640</v>
      </c>
      <c r="D444" s="7954" t="s">
        <v>3641</v>
      </c>
      <c r="E444" s="7954" t="s">
        <v>3642</v>
      </c>
      <c r="F444" s="7954" t="s">
        <v>2785</v>
      </c>
      <c r="G444" s="7954" t="s">
        <v>22</v>
      </c>
      <c r="H444" s="7954" t="s">
        <v>22</v>
      </c>
      <c r="I444" s="7954" t="s">
        <v>1082</v>
      </c>
    </row>
    <row customHeight="1" ht="11.25">
      <c r="A445" s="7954" t="s">
        <v>2649</v>
      </c>
      <c r="B445" s="7954" t="s">
        <v>16</v>
      </c>
      <c r="C445" s="7954" t="s">
        <v>2728</v>
      </c>
      <c r="D445" s="7954" t="s">
        <v>2729</v>
      </c>
      <c r="E445" s="7954" t="s">
        <v>2730</v>
      </c>
      <c r="F445" s="7954" t="s">
        <v>2731</v>
      </c>
      <c r="G445" s="7954" t="s">
        <v>2674</v>
      </c>
      <c r="H445" s="7954" t="s">
        <v>22</v>
      </c>
      <c r="I445" s="7954" t="s">
        <v>1082</v>
      </c>
    </row>
    <row customHeight="1" ht="11.25">
      <c r="A446" s="7954" t="s">
        <v>2649</v>
      </c>
      <c r="B446" s="7954" t="s">
        <v>16</v>
      </c>
      <c r="C446" s="7954" t="s">
        <v>2735</v>
      </c>
      <c r="D446" s="7954" t="s">
        <v>2736</v>
      </c>
      <c r="E446" s="7954" t="s">
        <v>2737</v>
      </c>
      <c r="F446" s="7954" t="s">
        <v>2738</v>
      </c>
      <c r="G446" s="7954" t="s">
        <v>22</v>
      </c>
      <c r="H446" s="7954" t="s">
        <v>22</v>
      </c>
      <c r="I446" s="7954" t="s">
        <v>1082</v>
      </c>
    </row>
    <row customHeight="1" ht="11.25">
      <c r="A447" s="7954" t="s">
        <v>2649</v>
      </c>
      <c r="B447" s="7954" t="s">
        <v>16</v>
      </c>
      <c r="C447" s="7954" t="s">
        <v>2739</v>
      </c>
      <c r="D447" s="7954" t="s">
        <v>2740</v>
      </c>
      <c r="E447" s="7954" t="s">
        <v>2741</v>
      </c>
      <c r="F447" s="7954" t="s">
        <v>2742</v>
      </c>
      <c r="G447" s="7954" t="s">
        <v>22</v>
      </c>
      <c r="H447" s="7954" t="s">
        <v>2743</v>
      </c>
      <c r="I447" s="7954" t="s">
        <v>1082</v>
      </c>
    </row>
    <row customHeight="1" ht="11.25">
      <c r="A448" s="7954" t="s">
        <v>2649</v>
      </c>
      <c r="B448" s="7954" t="s">
        <v>16</v>
      </c>
      <c r="C448" s="7954" t="s">
        <v>3643</v>
      </c>
      <c r="D448" s="7954" t="s">
        <v>3644</v>
      </c>
      <c r="E448" s="7954" t="s">
        <v>3645</v>
      </c>
      <c r="F448" s="7954" t="s">
        <v>2955</v>
      </c>
      <c r="G448" s="7954" t="s">
        <v>22</v>
      </c>
      <c r="H448" s="7954" t="s">
        <v>22</v>
      </c>
      <c r="I448" s="7954" t="s">
        <v>1082</v>
      </c>
    </row>
    <row customHeight="1" ht="11.25">
      <c r="A449" s="7954" t="s">
        <v>2649</v>
      </c>
      <c r="B449" s="7954" t="s">
        <v>16</v>
      </c>
      <c r="C449" s="7954" t="s">
        <v>3646</v>
      </c>
      <c r="D449" s="7954" t="s">
        <v>3647</v>
      </c>
      <c r="E449" s="7954" t="s">
        <v>3648</v>
      </c>
      <c r="F449" s="7954" t="s">
        <v>2785</v>
      </c>
      <c r="G449" s="7954" t="s">
        <v>22</v>
      </c>
      <c r="H449" s="7954" t="s">
        <v>22</v>
      </c>
      <c r="I449" s="7954" t="s">
        <v>1082</v>
      </c>
    </row>
    <row customHeight="1" ht="11.25">
      <c r="A450" s="7954" t="s">
        <v>2649</v>
      </c>
      <c r="B450" s="7954" t="s">
        <v>16</v>
      </c>
      <c r="C450" s="7954" t="s">
        <v>2751</v>
      </c>
      <c r="D450" s="7954" t="s">
        <v>2752</v>
      </c>
      <c r="E450" s="7954" t="s">
        <v>2749</v>
      </c>
      <c r="F450" s="7954" t="s">
        <v>2753</v>
      </c>
      <c r="G450" s="7954" t="s">
        <v>22</v>
      </c>
      <c r="H450" s="7954" t="s">
        <v>22</v>
      </c>
      <c r="I450" s="7954" t="s">
        <v>1082</v>
      </c>
    </row>
    <row customHeight="1" ht="11.25">
      <c r="A451" s="7954" t="s">
        <v>2649</v>
      </c>
      <c r="B451" s="7954" t="s">
        <v>16</v>
      </c>
      <c r="C451" s="7954" t="s">
        <v>2754</v>
      </c>
      <c r="D451" s="7954" t="s">
        <v>2755</v>
      </c>
      <c r="E451" s="7954" t="s">
        <v>2756</v>
      </c>
      <c r="F451" s="7954" t="s">
        <v>2742</v>
      </c>
      <c r="G451" s="7954" t="s">
        <v>22</v>
      </c>
      <c r="H451" s="7954" t="s">
        <v>22</v>
      </c>
      <c r="I451" s="7954" t="s">
        <v>1082</v>
      </c>
    </row>
    <row customHeight="1" ht="11.25">
      <c r="A452" s="7954" t="s">
        <v>2649</v>
      </c>
      <c r="B452" s="7954" t="s">
        <v>16</v>
      </c>
      <c r="C452" s="7954" t="s">
        <v>3649</v>
      </c>
      <c r="D452" s="7954" t="s">
        <v>3650</v>
      </c>
      <c r="E452" s="7954" t="s">
        <v>3651</v>
      </c>
      <c r="F452" s="7954" t="s">
        <v>2719</v>
      </c>
      <c r="G452" s="7954" t="s">
        <v>22</v>
      </c>
      <c r="H452" s="7954" t="s">
        <v>22</v>
      </c>
      <c r="I452" s="7954" t="s">
        <v>1082</v>
      </c>
    </row>
    <row customHeight="1" ht="11.25">
      <c r="A453" s="7954" t="s">
        <v>2649</v>
      </c>
      <c r="B453" s="7954" t="s">
        <v>16</v>
      </c>
      <c r="C453" s="7954" t="s">
        <v>2782</v>
      </c>
      <c r="D453" s="7954" t="s">
        <v>2783</v>
      </c>
      <c r="E453" s="7954" t="s">
        <v>2784</v>
      </c>
      <c r="F453" s="7954" t="s">
        <v>2785</v>
      </c>
      <c r="G453" s="7954" t="s">
        <v>2786</v>
      </c>
      <c r="H453" s="7954" t="s">
        <v>22</v>
      </c>
      <c r="I453" s="7954" t="s">
        <v>1082</v>
      </c>
    </row>
    <row customHeight="1" ht="11.25">
      <c r="A454" s="7954" t="s">
        <v>2649</v>
      </c>
      <c r="B454" s="7954" t="s">
        <v>16</v>
      </c>
      <c r="C454" s="7954" t="s">
        <v>2787</v>
      </c>
      <c r="D454" s="7954" t="s">
        <v>2788</v>
      </c>
      <c r="E454" s="7954" t="s">
        <v>2789</v>
      </c>
      <c r="F454" s="7954" t="s">
        <v>2719</v>
      </c>
      <c r="G454" s="7954" t="s">
        <v>22</v>
      </c>
      <c r="H454" s="7954" t="s">
        <v>22</v>
      </c>
      <c r="I454" s="7954" t="s">
        <v>1082</v>
      </c>
    </row>
    <row customHeight="1" ht="11.25">
      <c r="A455" s="7954" t="s">
        <v>2649</v>
      </c>
      <c r="B455" s="7954" t="s">
        <v>16</v>
      </c>
      <c r="C455" s="7954" t="s">
        <v>2790</v>
      </c>
      <c r="D455" s="7954" t="s">
        <v>2791</v>
      </c>
      <c r="E455" s="7954" t="s">
        <v>2792</v>
      </c>
      <c r="F455" s="7954" t="s">
        <v>2793</v>
      </c>
      <c r="G455" s="7954" t="s">
        <v>22</v>
      </c>
      <c r="H455" s="7954" t="s">
        <v>22</v>
      </c>
      <c r="I455" s="7954" t="s">
        <v>1082</v>
      </c>
    </row>
    <row customHeight="1" ht="11.25">
      <c r="A456" s="7954" t="s">
        <v>2649</v>
      </c>
      <c r="B456" s="7954" t="s">
        <v>16</v>
      </c>
      <c r="C456" s="7954" t="s">
        <v>2797</v>
      </c>
      <c r="D456" s="7954" t="s">
        <v>2798</v>
      </c>
      <c r="E456" s="7954" t="s">
        <v>2799</v>
      </c>
      <c r="F456" s="7954" t="s">
        <v>693</v>
      </c>
      <c r="G456" s="7954" t="s">
        <v>22</v>
      </c>
      <c r="H456" s="7954" t="s">
        <v>22</v>
      </c>
      <c r="I456" s="7954" t="s">
        <v>1082</v>
      </c>
    </row>
    <row customHeight="1" ht="11.25">
      <c r="A457" s="7954" t="s">
        <v>2649</v>
      </c>
      <c r="B457" s="7954" t="s">
        <v>16</v>
      </c>
      <c r="C457" s="7954" t="s">
        <v>3652</v>
      </c>
      <c r="D457" s="7954" t="s">
        <v>3653</v>
      </c>
      <c r="E457" s="7954" t="s">
        <v>3654</v>
      </c>
      <c r="F457" s="7954" t="s">
        <v>693</v>
      </c>
      <c r="G457" s="7954" t="s">
        <v>3655</v>
      </c>
      <c r="H457" s="7954" t="s">
        <v>22</v>
      </c>
      <c r="I457" s="7954" t="s">
        <v>1082</v>
      </c>
    </row>
    <row customHeight="1" ht="11.25">
      <c r="A458" s="7954" t="s">
        <v>2649</v>
      </c>
      <c r="B458" s="7954" t="s">
        <v>16</v>
      </c>
      <c r="C458" s="7954" t="s">
        <v>2803</v>
      </c>
      <c r="D458" s="7954" t="s">
        <v>2804</v>
      </c>
      <c r="E458" s="7954" t="s">
        <v>2805</v>
      </c>
      <c r="F458" s="7954" t="s">
        <v>693</v>
      </c>
      <c r="G458" s="7954" t="s">
        <v>2806</v>
      </c>
      <c r="H458" s="7954" t="s">
        <v>22</v>
      </c>
      <c r="I458" s="7954" t="s">
        <v>1082</v>
      </c>
    </row>
    <row customHeight="1" ht="11.25">
      <c r="A459" s="7954" t="s">
        <v>2649</v>
      </c>
      <c r="B459" s="7954" t="s">
        <v>16</v>
      </c>
      <c r="C459" s="7954" t="s">
        <v>2807</v>
      </c>
      <c r="D459" s="7954" t="s">
        <v>2808</v>
      </c>
      <c r="E459" s="7954" t="s">
        <v>2809</v>
      </c>
      <c r="F459" s="7954" t="s">
        <v>693</v>
      </c>
      <c r="G459" s="7954" t="s">
        <v>22</v>
      </c>
      <c r="H459" s="7954" t="s">
        <v>22</v>
      </c>
      <c r="I459" s="7954" t="s">
        <v>1082</v>
      </c>
    </row>
    <row customHeight="1" ht="11.25">
      <c r="A460" s="7954" t="s">
        <v>2649</v>
      </c>
      <c r="B460" s="7954" t="s">
        <v>16</v>
      </c>
      <c r="C460" s="7954" t="s">
        <v>22</v>
      </c>
      <c r="D460" s="7954" t="s">
        <v>2815</v>
      </c>
      <c r="E460" s="7954" t="s">
        <v>2816</v>
      </c>
      <c r="F460" s="7954" t="s">
        <v>2663</v>
      </c>
      <c r="G460" s="7954" t="s">
        <v>22</v>
      </c>
      <c r="H460" s="7954" t="s">
        <v>22</v>
      </c>
      <c r="I460" s="7954" t="s">
        <v>1082</v>
      </c>
    </row>
    <row customHeight="1" ht="11.25">
      <c r="A461" s="7954" t="s">
        <v>2649</v>
      </c>
      <c r="B461" s="7954" t="s">
        <v>16</v>
      </c>
      <c r="C461" s="7954" t="s">
        <v>2817</v>
      </c>
      <c r="D461" s="7954" t="s">
        <v>2818</v>
      </c>
      <c r="E461" s="7954" t="s">
        <v>2819</v>
      </c>
      <c r="F461" s="7954" t="s">
        <v>2820</v>
      </c>
      <c r="G461" s="7954" t="s">
        <v>22</v>
      </c>
      <c r="H461" s="7954" t="s">
        <v>22</v>
      </c>
      <c r="I461" s="7954" t="s">
        <v>1082</v>
      </c>
    </row>
    <row customHeight="1" ht="11.25">
      <c r="A462" s="7954" t="s">
        <v>2649</v>
      </c>
      <c r="B462" s="7954" t="s">
        <v>16</v>
      </c>
      <c r="C462" s="7954" t="s">
        <v>3306</v>
      </c>
      <c r="D462" s="7954" t="s">
        <v>3307</v>
      </c>
      <c r="E462" s="7954" t="s">
        <v>2819</v>
      </c>
      <c r="F462" s="7954" t="s">
        <v>3308</v>
      </c>
      <c r="G462" s="7954" t="s">
        <v>22</v>
      </c>
      <c r="H462" s="7954" t="s">
        <v>22</v>
      </c>
      <c r="I462" s="7954" t="s">
        <v>1082</v>
      </c>
    </row>
    <row customHeight="1" ht="11.25">
      <c r="A463" s="7954" t="s">
        <v>2649</v>
      </c>
      <c r="B463" s="7954" t="s">
        <v>16</v>
      </c>
      <c r="C463" s="7954" t="s">
        <v>2821</v>
      </c>
      <c r="D463" s="7954" t="s">
        <v>2822</v>
      </c>
      <c r="E463" s="7954" t="s">
        <v>2772</v>
      </c>
      <c r="F463" s="7954" t="s">
        <v>2823</v>
      </c>
      <c r="G463" s="7954" t="s">
        <v>22</v>
      </c>
      <c r="H463" s="7954" t="s">
        <v>22</v>
      </c>
      <c r="I463" s="7954" t="s">
        <v>1082</v>
      </c>
    </row>
    <row customHeight="1" ht="11.25">
      <c r="A464" s="7954" t="s">
        <v>2649</v>
      </c>
      <c r="B464" s="7954" t="s">
        <v>16</v>
      </c>
      <c r="C464" s="7954" t="s">
        <v>2829</v>
      </c>
      <c r="D464" s="7954" t="s">
        <v>2830</v>
      </c>
      <c r="E464" s="7954" t="s">
        <v>2831</v>
      </c>
      <c r="F464" s="7954" t="s">
        <v>2832</v>
      </c>
      <c r="G464" s="7954" t="s">
        <v>22</v>
      </c>
      <c r="H464" s="7954" t="s">
        <v>22</v>
      </c>
      <c r="I464" s="7954" t="s">
        <v>1082</v>
      </c>
    </row>
    <row customHeight="1" ht="11.25">
      <c r="A465" s="7954" t="s">
        <v>2649</v>
      </c>
      <c r="B465" s="7954" t="s">
        <v>16</v>
      </c>
      <c r="C465" s="7954" t="s">
        <v>3322</v>
      </c>
      <c r="D465" s="7954" t="s">
        <v>3323</v>
      </c>
      <c r="E465" s="7954" t="s">
        <v>3324</v>
      </c>
      <c r="F465" s="7954" t="s">
        <v>2709</v>
      </c>
      <c r="G465" s="7954" t="s">
        <v>22</v>
      </c>
      <c r="H465" s="7954" t="s">
        <v>22</v>
      </c>
      <c r="I465" s="7954" t="s">
        <v>1082</v>
      </c>
    </row>
    <row customHeight="1" ht="11.25">
      <c r="A466" s="7954" t="s">
        <v>2649</v>
      </c>
      <c r="B466" s="7954" t="s">
        <v>16</v>
      </c>
      <c r="C466" s="7954" t="s">
        <v>2836</v>
      </c>
      <c r="D466" s="7954" t="s">
        <v>2837</v>
      </c>
      <c r="E466" s="7954" t="s">
        <v>2838</v>
      </c>
      <c r="F466" s="7954" t="s">
        <v>2832</v>
      </c>
      <c r="G466" s="7954" t="s">
        <v>2839</v>
      </c>
      <c r="H466" s="7954" t="s">
        <v>22</v>
      </c>
      <c r="I466" s="7954" t="s">
        <v>1082</v>
      </c>
    </row>
    <row customHeight="1" ht="11.25">
      <c r="A467" s="7954" t="s">
        <v>2649</v>
      </c>
      <c r="B467" s="7954" t="s">
        <v>16</v>
      </c>
      <c r="C467" s="7954" t="s">
        <v>2840</v>
      </c>
      <c r="D467" s="7954" t="s">
        <v>2841</v>
      </c>
      <c r="E467" s="7954" t="s">
        <v>2842</v>
      </c>
      <c r="F467" s="7954" t="s">
        <v>2832</v>
      </c>
      <c r="G467" s="7954" t="s">
        <v>2843</v>
      </c>
      <c r="H467" s="7954" t="s">
        <v>22</v>
      </c>
      <c r="I467" s="7954" t="s">
        <v>1082</v>
      </c>
    </row>
    <row customHeight="1" ht="11.25">
      <c r="A468" s="7954" t="s">
        <v>2649</v>
      </c>
      <c r="B468" s="7954" t="s">
        <v>16</v>
      </c>
      <c r="C468" s="7954" t="s">
        <v>2844</v>
      </c>
      <c r="D468" s="7954" t="s">
        <v>2845</v>
      </c>
      <c r="E468" s="7954" t="s">
        <v>2846</v>
      </c>
      <c r="F468" s="7954" t="s">
        <v>2781</v>
      </c>
      <c r="G468" s="7954" t="s">
        <v>22</v>
      </c>
      <c r="H468" s="7954" t="s">
        <v>22</v>
      </c>
      <c r="I468" s="7954" t="s">
        <v>1082</v>
      </c>
    </row>
    <row customHeight="1" ht="11.25">
      <c r="A469" s="7954" t="s">
        <v>2649</v>
      </c>
      <c r="B469" s="7954" t="s">
        <v>16</v>
      </c>
      <c r="C469" s="7954" t="s">
        <v>3328</v>
      </c>
      <c r="D469" s="7954" t="s">
        <v>3329</v>
      </c>
      <c r="E469" s="7954" t="s">
        <v>3330</v>
      </c>
      <c r="F469" s="7954" t="s">
        <v>3331</v>
      </c>
      <c r="G469" s="7954" t="s">
        <v>22</v>
      </c>
      <c r="H469" s="7954" t="s">
        <v>22</v>
      </c>
      <c r="I469" s="7954" t="s">
        <v>1082</v>
      </c>
    </row>
    <row customHeight="1" ht="11.25">
      <c r="A470" s="7954" t="s">
        <v>2649</v>
      </c>
      <c r="B470" s="7954" t="s">
        <v>16</v>
      </c>
      <c r="C470" s="7954" t="s">
        <v>2847</v>
      </c>
      <c r="D470" s="7954" t="s">
        <v>2848</v>
      </c>
      <c r="E470" s="7954" t="s">
        <v>2849</v>
      </c>
      <c r="F470" s="7954" t="s">
        <v>2832</v>
      </c>
      <c r="G470" s="7954" t="s">
        <v>22</v>
      </c>
      <c r="H470" s="7954" t="s">
        <v>22</v>
      </c>
      <c r="I470" s="7954" t="s">
        <v>1082</v>
      </c>
    </row>
    <row customHeight="1" ht="11.25">
      <c r="A471" s="7954" t="s">
        <v>2649</v>
      </c>
      <c r="B471" s="7954" t="s">
        <v>16</v>
      </c>
      <c r="C471" s="7954" t="s">
        <v>2850</v>
      </c>
      <c r="D471" s="7954" t="s">
        <v>2851</v>
      </c>
      <c r="E471" s="7954" t="s">
        <v>2852</v>
      </c>
      <c r="F471" s="7954" t="s">
        <v>2853</v>
      </c>
      <c r="G471" s="7954" t="s">
        <v>22</v>
      </c>
      <c r="H471" s="7954" t="s">
        <v>22</v>
      </c>
      <c r="I471" s="7954" t="s">
        <v>1082</v>
      </c>
    </row>
    <row customHeight="1" ht="11.25">
      <c r="A472" s="7954" t="s">
        <v>2649</v>
      </c>
      <c r="B472" s="7954" t="s">
        <v>16</v>
      </c>
      <c r="C472" s="7954" t="s">
        <v>3332</v>
      </c>
      <c r="D472" s="7954" t="s">
        <v>3333</v>
      </c>
      <c r="E472" s="7954" t="s">
        <v>3334</v>
      </c>
      <c r="F472" s="7954" t="s">
        <v>2777</v>
      </c>
      <c r="G472" s="7954" t="s">
        <v>22</v>
      </c>
      <c r="H472" s="7954" t="s">
        <v>22</v>
      </c>
      <c r="I472" s="7954" t="s">
        <v>1082</v>
      </c>
    </row>
    <row customHeight="1" ht="11.25">
      <c r="A473" s="7954" t="s">
        <v>2649</v>
      </c>
      <c r="B473" s="7954" t="s">
        <v>16</v>
      </c>
      <c r="C473" s="7954" t="s">
        <v>3656</v>
      </c>
      <c r="D473" s="7954" t="s">
        <v>3657</v>
      </c>
      <c r="E473" s="7954" t="s">
        <v>3658</v>
      </c>
      <c r="F473" s="7954" t="s">
        <v>2955</v>
      </c>
      <c r="G473" s="7954" t="s">
        <v>22</v>
      </c>
      <c r="H473" s="7954" t="s">
        <v>22</v>
      </c>
      <c r="I473" s="7954" t="s">
        <v>1082</v>
      </c>
    </row>
    <row customHeight="1" ht="11.25">
      <c r="A474" s="7954" t="s">
        <v>2649</v>
      </c>
      <c r="B474" s="7954" t="s">
        <v>16</v>
      </c>
      <c r="C474" s="7954" t="s">
        <v>2861</v>
      </c>
      <c r="D474" s="7954" t="s">
        <v>2862</v>
      </c>
      <c r="E474" s="7954" t="s">
        <v>2863</v>
      </c>
      <c r="F474" s="7954" t="s">
        <v>2864</v>
      </c>
      <c r="G474" s="7954" t="s">
        <v>2865</v>
      </c>
      <c r="H474" s="7954" t="s">
        <v>22</v>
      </c>
      <c r="I474" s="7954" t="s">
        <v>1082</v>
      </c>
    </row>
    <row customHeight="1" ht="11.25">
      <c r="A475" s="7954" t="s">
        <v>2649</v>
      </c>
      <c r="B475" s="7954" t="s">
        <v>16</v>
      </c>
      <c r="C475" s="7954" t="s">
        <v>2866</v>
      </c>
      <c r="D475" s="7954" t="s">
        <v>2867</v>
      </c>
      <c r="E475" s="7954" t="s">
        <v>2868</v>
      </c>
      <c r="F475" s="7954" t="s">
        <v>2832</v>
      </c>
      <c r="G475" s="7954" t="s">
        <v>22</v>
      </c>
      <c r="H475" s="7954" t="s">
        <v>22</v>
      </c>
      <c r="I475" s="7954" t="s">
        <v>1082</v>
      </c>
    </row>
    <row customHeight="1" ht="11.25">
      <c r="A476" s="7954" t="s">
        <v>2649</v>
      </c>
      <c r="B476" s="7954" t="s">
        <v>16</v>
      </c>
      <c r="C476" s="7954" t="s">
        <v>3348</v>
      </c>
      <c r="D476" s="7954" t="s">
        <v>3349</v>
      </c>
      <c r="E476" s="7954" t="s">
        <v>3350</v>
      </c>
      <c r="F476" s="7954" t="s">
        <v>2709</v>
      </c>
      <c r="G476" s="7954" t="s">
        <v>22</v>
      </c>
      <c r="H476" s="7954" t="s">
        <v>22</v>
      </c>
      <c r="I476" s="7954" t="s">
        <v>1082</v>
      </c>
    </row>
    <row customHeight="1" ht="11.25">
      <c r="A477" s="7954" t="s">
        <v>2649</v>
      </c>
      <c r="B477" s="7954" t="s">
        <v>16</v>
      </c>
      <c r="C477" s="7954" t="s">
        <v>3351</v>
      </c>
      <c r="D477" s="7954" t="s">
        <v>3352</v>
      </c>
      <c r="E477" s="7954" t="s">
        <v>3353</v>
      </c>
      <c r="F477" s="7954" t="s">
        <v>2864</v>
      </c>
      <c r="G477" s="7954" t="s">
        <v>22</v>
      </c>
      <c r="H477" s="7954" t="s">
        <v>22</v>
      </c>
      <c r="I477" s="7954" t="s">
        <v>1082</v>
      </c>
    </row>
    <row customHeight="1" ht="11.25">
      <c r="A478" s="7954" t="s">
        <v>2649</v>
      </c>
      <c r="B478" s="7954" t="s">
        <v>16</v>
      </c>
      <c r="C478" s="7954" t="s">
        <v>3354</v>
      </c>
      <c r="D478" s="7954" t="s">
        <v>3355</v>
      </c>
      <c r="E478" s="7954" t="s">
        <v>3356</v>
      </c>
      <c r="F478" s="7954" t="s">
        <v>2709</v>
      </c>
      <c r="G478" s="7954" t="s">
        <v>3357</v>
      </c>
      <c r="H478" s="7954" t="s">
        <v>22</v>
      </c>
      <c r="I478" s="7954" t="s">
        <v>1082</v>
      </c>
    </row>
    <row customHeight="1" ht="11.25">
      <c r="A479" s="7954" t="s">
        <v>2649</v>
      </c>
      <c r="B479" s="7954" t="s">
        <v>16</v>
      </c>
      <c r="C479" s="7954" t="s">
        <v>3358</v>
      </c>
      <c r="D479" s="7954" t="s">
        <v>3359</v>
      </c>
      <c r="E479" s="7954" t="s">
        <v>3360</v>
      </c>
      <c r="F479" s="7954" t="s">
        <v>2709</v>
      </c>
      <c r="G479" s="7954" t="s">
        <v>3361</v>
      </c>
      <c r="H479" s="7954" t="s">
        <v>22</v>
      </c>
      <c r="I479" s="7954" t="s">
        <v>1082</v>
      </c>
    </row>
    <row customHeight="1" ht="11.25">
      <c r="A480" s="7954" t="s">
        <v>2649</v>
      </c>
      <c r="B480" s="7954" t="s">
        <v>16</v>
      </c>
      <c r="C480" s="7954" t="s">
        <v>3365</v>
      </c>
      <c r="D480" s="7954" t="s">
        <v>3366</v>
      </c>
      <c r="E480" s="7954" t="s">
        <v>3367</v>
      </c>
      <c r="F480" s="7954" t="s">
        <v>2793</v>
      </c>
      <c r="G480" s="7954" t="s">
        <v>22</v>
      </c>
      <c r="H480" s="7954" t="s">
        <v>22</v>
      </c>
      <c r="I480" s="7954" t="s">
        <v>1082</v>
      </c>
    </row>
    <row customHeight="1" ht="11.25">
      <c r="A481" s="7954" t="s">
        <v>2649</v>
      </c>
      <c r="B481" s="7954" t="s">
        <v>16</v>
      </c>
      <c r="C481" s="7954" t="s">
        <v>3368</v>
      </c>
      <c r="D481" s="7954" t="s">
        <v>3369</v>
      </c>
      <c r="E481" s="7954" t="s">
        <v>3370</v>
      </c>
      <c r="F481" s="7954" t="s">
        <v>2886</v>
      </c>
      <c r="G481" s="7954" t="s">
        <v>22</v>
      </c>
      <c r="H481" s="7954" t="s">
        <v>22</v>
      </c>
      <c r="I481" s="7954" t="s">
        <v>1082</v>
      </c>
    </row>
    <row customHeight="1" ht="11.25">
      <c r="A482" s="7954" t="s">
        <v>2649</v>
      </c>
      <c r="B482" s="7954" t="s">
        <v>16</v>
      </c>
      <c r="C482" s="7954" t="s">
        <v>3371</v>
      </c>
      <c r="D482" s="7954" t="s">
        <v>3372</v>
      </c>
      <c r="E482" s="7954" t="s">
        <v>3373</v>
      </c>
      <c r="F482" s="7954" t="s">
        <v>2709</v>
      </c>
      <c r="G482" s="7954" t="s">
        <v>22</v>
      </c>
      <c r="H482" s="7954" t="s">
        <v>22</v>
      </c>
      <c r="I482" s="7954" t="s">
        <v>1082</v>
      </c>
    </row>
    <row customHeight="1" ht="11.25">
      <c r="A483" s="7954" t="s">
        <v>2649</v>
      </c>
      <c r="B483" s="7954" t="s">
        <v>16</v>
      </c>
      <c r="C483" s="7954" t="s">
        <v>3374</v>
      </c>
      <c r="D483" s="7954" t="s">
        <v>3375</v>
      </c>
      <c r="E483" s="7954" t="s">
        <v>3376</v>
      </c>
      <c r="F483" s="7954" t="s">
        <v>2709</v>
      </c>
      <c r="G483" s="7954" t="s">
        <v>3377</v>
      </c>
      <c r="H483" s="7954" t="s">
        <v>22</v>
      </c>
      <c r="I483" s="7954" t="s">
        <v>1082</v>
      </c>
    </row>
    <row customHeight="1" ht="11.25">
      <c r="A484" s="7954" t="s">
        <v>2649</v>
      </c>
      <c r="B484" s="7954" t="s">
        <v>16</v>
      </c>
      <c r="C484" s="7954" t="s">
        <v>2872</v>
      </c>
      <c r="D484" s="7954" t="s">
        <v>2873</v>
      </c>
      <c r="E484" s="7954" t="s">
        <v>2874</v>
      </c>
      <c r="F484" s="7954" t="s">
        <v>2875</v>
      </c>
      <c r="G484" s="7954" t="s">
        <v>22</v>
      </c>
      <c r="H484" s="7954" t="s">
        <v>22</v>
      </c>
      <c r="I484" s="7954" t="s">
        <v>1082</v>
      </c>
    </row>
    <row customHeight="1" ht="11.25">
      <c r="A485" s="7954" t="s">
        <v>2649</v>
      </c>
      <c r="B485" s="7954" t="s">
        <v>16</v>
      </c>
      <c r="C485" s="7954" t="s">
        <v>3393</v>
      </c>
      <c r="D485" s="7954" t="s">
        <v>3394</v>
      </c>
      <c r="E485" s="7954" t="s">
        <v>3395</v>
      </c>
      <c r="F485" s="7954" t="s">
        <v>2896</v>
      </c>
      <c r="G485" s="7954" t="s">
        <v>22</v>
      </c>
      <c r="H485" s="7954" t="s">
        <v>22</v>
      </c>
      <c r="I485" s="7954" t="s">
        <v>1082</v>
      </c>
    </row>
    <row customHeight="1" ht="11.25">
      <c r="A486" s="7954" t="s">
        <v>2649</v>
      </c>
      <c r="B486" s="7954" t="s">
        <v>16</v>
      </c>
      <c r="C486" s="7954" t="s">
        <v>3418</v>
      </c>
      <c r="D486" s="7954" t="s">
        <v>3419</v>
      </c>
      <c r="E486" s="7954" t="s">
        <v>3420</v>
      </c>
      <c r="F486" s="7954" t="s">
        <v>2709</v>
      </c>
      <c r="G486" s="7954" t="s">
        <v>3421</v>
      </c>
      <c r="H486" s="7954" t="s">
        <v>22</v>
      </c>
      <c r="I486" s="7954" t="s">
        <v>1082</v>
      </c>
    </row>
    <row customHeight="1" ht="11.25">
      <c r="A487" s="7954" t="s">
        <v>2649</v>
      </c>
      <c r="B487" s="7954" t="s">
        <v>16</v>
      </c>
      <c r="C487" s="7954" t="s">
        <v>3422</v>
      </c>
      <c r="D487" s="7954" t="s">
        <v>3423</v>
      </c>
      <c r="E487" s="7954" t="s">
        <v>3424</v>
      </c>
      <c r="F487" s="7954" t="s">
        <v>2709</v>
      </c>
      <c r="G487" s="7954" t="s">
        <v>22</v>
      </c>
      <c r="H487" s="7954" t="s">
        <v>22</v>
      </c>
      <c r="I487" s="7954" t="s">
        <v>1082</v>
      </c>
    </row>
    <row customHeight="1" ht="11.25">
      <c r="A488" s="7954" t="s">
        <v>2649</v>
      </c>
      <c r="B488" s="7954" t="s">
        <v>16</v>
      </c>
      <c r="C488" s="7954" t="s">
        <v>3432</v>
      </c>
      <c r="D488" s="7954" t="s">
        <v>3433</v>
      </c>
      <c r="E488" s="7954" t="s">
        <v>3434</v>
      </c>
      <c r="F488" s="7954" t="s">
        <v>2709</v>
      </c>
      <c r="G488" s="7954" t="s">
        <v>22</v>
      </c>
      <c r="H488" s="7954" t="s">
        <v>22</v>
      </c>
      <c r="I488" s="7954" t="s">
        <v>1082</v>
      </c>
    </row>
    <row customHeight="1" ht="11.25">
      <c r="A489" s="7954" t="s">
        <v>2649</v>
      </c>
      <c r="B489" s="7954" t="s">
        <v>16</v>
      </c>
      <c r="C489" s="7954" t="s">
        <v>3442</v>
      </c>
      <c r="D489" s="7954" t="s">
        <v>3443</v>
      </c>
      <c r="E489" s="7954" t="s">
        <v>3444</v>
      </c>
      <c r="F489" s="7954" t="s">
        <v>3237</v>
      </c>
      <c r="G489" s="7954" t="s">
        <v>22</v>
      </c>
      <c r="H489" s="7954" t="s">
        <v>22</v>
      </c>
      <c r="I489" s="7954" t="s">
        <v>1082</v>
      </c>
    </row>
    <row customHeight="1" ht="11.25">
      <c r="A490" s="7954" t="s">
        <v>2649</v>
      </c>
      <c r="B490" s="7954" t="s">
        <v>16</v>
      </c>
      <c r="C490" s="7954" t="s">
        <v>2887</v>
      </c>
      <c r="D490" s="7954" t="s">
        <v>2888</v>
      </c>
      <c r="E490" s="7954" t="s">
        <v>2889</v>
      </c>
      <c r="F490" s="7954" t="s">
        <v>2886</v>
      </c>
      <c r="G490" s="7954" t="s">
        <v>22</v>
      </c>
      <c r="H490" s="7954" t="s">
        <v>22</v>
      </c>
      <c r="I490" s="7954" t="s">
        <v>1082</v>
      </c>
    </row>
    <row customHeight="1" ht="11.25">
      <c r="A491" s="7954" t="s">
        <v>2649</v>
      </c>
      <c r="B491" s="7954" t="s">
        <v>16</v>
      </c>
      <c r="C491" s="7954" t="s">
        <v>2890</v>
      </c>
      <c r="D491" s="7954" t="s">
        <v>2891</v>
      </c>
      <c r="E491" s="7954" t="s">
        <v>2892</v>
      </c>
      <c r="F491" s="7954" t="s">
        <v>2709</v>
      </c>
      <c r="G491" s="7954" t="s">
        <v>22</v>
      </c>
      <c r="H491" s="7954" t="s">
        <v>22</v>
      </c>
      <c r="I491" s="7954" t="s">
        <v>1082</v>
      </c>
    </row>
    <row customHeight="1" ht="11.25">
      <c r="A492" s="7954" t="s">
        <v>2649</v>
      </c>
      <c r="B492" s="7954" t="s">
        <v>16</v>
      </c>
      <c r="C492" s="7954" t="s">
        <v>3459</v>
      </c>
      <c r="D492" s="7954" t="s">
        <v>3460</v>
      </c>
      <c r="E492" s="7954" t="s">
        <v>3461</v>
      </c>
      <c r="F492" s="7954" t="s">
        <v>2864</v>
      </c>
      <c r="G492" s="7954" t="s">
        <v>22</v>
      </c>
      <c r="H492" s="7954" t="s">
        <v>22</v>
      </c>
      <c r="I492" s="7954" t="s">
        <v>1082</v>
      </c>
    </row>
    <row customHeight="1" ht="11.25">
      <c r="A493" s="7954" t="s">
        <v>2649</v>
      </c>
      <c r="B493" s="7954" t="s">
        <v>16</v>
      </c>
      <c r="C493" s="7954" t="s">
        <v>2893</v>
      </c>
      <c r="D493" s="7954" t="s">
        <v>2894</v>
      </c>
      <c r="E493" s="7954" t="s">
        <v>2895</v>
      </c>
      <c r="F493" s="7954" t="s">
        <v>2896</v>
      </c>
      <c r="G493" s="7954" t="s">
        <v>22</v>
      </c>
      <c r="H493" s="7954" t="s">
        <v>22</v>
      </c>
      <c r="I493" s="7954" t="s">
        <v>1082</v>
      </c>
    </row>
    <row customHeight="1" ht="11.25">
      <c r="A494" s="7954" t="s">
        <v>2649</v>
      </c>
      <c r="B494" s="7954" t="s">
        <v>16</v>
      </c>
      <c r="C494" s="7954" t="s">
        <v>2897</v>
      </c>
      <c r="D494" s="7954" t="s">
        <v>2898</v>
      </c>
      <c r="E494" s="7954" t="s">
        <v>2899</v>
      </c>
      <c r="F494" s="7954" t="s">
        <v>2896</v>
      </c>
      <c r="G494" s="7954" t="s">
        <v>22</v>
      </c>
      <c r="H494" s="7954" t="s">
        <v>22</v>
      </c>
      <c r="I494" s="7954" t="s">
        <v>1082</v>
      </c>
    </row>
    <row customHeight="1" ht="11.25">
      <c r="A495" s="7954" t="s">
        <v>2649</v>
      </c>
      <c r="B495" s="7954" t="s">
        <v>16</v>
      </c>
      <c r="C495" s="7954" t="s">
        <v>2900</v>
      </c>
      <c r="D495" s="7954" t="s">
        <v>2901</v>
      </c>
      <c r="E495" s="7954" t="s">
        <v>2902</v>
      </c>
      <c r="F495" s="7954" t="s">
        <v>2875</v>
      </c>
      <c r="G495" s="7954" t="s">
        <v>22</v>
      </c>
      <c r="H495" s="7954" t="s">
        <v>22</v>
      </c>
      <c r="I495" s="7954" t="s">
        <v>1082</v>
      </c>
    </row>
    <row customHeight="1" ht="11.25">
      <c r="A496" s="7954" t="s">
        <v>2649</v>
      </c>
      <c r="B496" s="7954" t="s">
        <v>16</v>
      </c>
      <c r="C496" s="7954" t="s">
        <v>2903</v>
      </c>
      <c r="D496" s="7954" t="s">
        <v>2904</v>
      </c>
      <c r="E496" s="7954" t="s">
        <v>2905</v>
      </c>
      <c r="F496" s="7954" t="s">
        <v>2886</v>
      </c>
      <c r="G496" s="7954" t="s">
        <v>22</v>
      </c>
      <c r="H496" s="7954" t="s">
        <v>22</v>
      </c>
      <c r="I496" s="7954" t="s">
        <v>1082</v>
      </c>
    </row>
    <row customHeight="1" ht="11.25">
      <c r="A497" s="7954" t="s">
        <v>2649</v>
      </c>
      <c r="B497" s="7954" t="s">
        <v>16</v>
      </c>
      <c r="C497" s="7954" t="s">
        <v>2909</v>
      </c>
      <c r="D497" s="7954" t="s">
        <v>2910</v>
      </c>
      <c r="E497" s="7954" t="s">
        <v>2911</v>
      </c>
      <c r="F497" s="7954" t="s">
        <v>2896</v>
      </c>
      <c r="G497" s="7954" t="s">
        <v>22</v>
      </c>
      <c r="H497" s="7954" t="s">
        <v>22</v>
      </c>
      <c r="I497" s="7954" t="s">
        <v>1082</v>
      </c>
    </row>
    <row customHeight="1" ht="11.25">
      <c r="A498" s="7954" t="s">
        <v>2649</v>
      </c>
      <c r="B498" s="7954" t="s">
        <v>16</v>
      </c>
      <c r="C498" s="7954" t="s">
        <v>2912</v>
      </c>
      <c r="D498" s="7954" t="s">
        <v>2913</v>
      </c>
      <c r="E498" s="7954" t="s">
        <v>2914</v>
      </c>
      <c r="F498" s="7954" t="s">
        <v>2915</v>
      </c>
      <c r="G498" s="7954" t="s">
        <v>22</v>
      </c>
      <c r="H498" s="7954" t="s">
        <v>22</v>
      </c>
      <c r="I498" s="7954" t="s">
        <v>1082</v>
      </c>
    </row>
    <row customHeight="1" ht="11.25">
      <c r="A499" s="7954" t="s">
        <v>2649</v>
      </c>
      <c r="B499" s="7954" t="s">
        <v>16</v>
      </c>
      <c r="C499" s="7954" t="s">
        <v>2916</v>
      </c>
      <c r="D499" s="7954" t="s">
        <v>2917</v>
      </c>
      <c r="E499" s="7954" t="s">
        <v>2918</v>
      </c>
      <c r="F499" s="7954" t="s">
        <v>2896</v>
      </c>
      <c r="G499" s="7954" t="s">
        <v>22</v>
      </c>
      <c r="H499" s="7954" t="s">
        <v>22</v>
      </c>
      <c r="I499" s="7954" t="s">
        <v>1082</v>
      </c>
    </row>
    <row customHeight="1" ht="11.25">
      <c r="A500" s="7954" t="s">
        <v>2649</v>
      </c>
      <c r="B500" s="7954" t="s">
        <v>16</v>
      </c>
      <c r="C500" s="7954" t="s">
        <v>2929</v>
      </c>
      <c r="D500" s="7954" t="s">
        <v>2930</v>
      </c>
      <c r="E500" s="7954" t="s">
        <v>2931</v>
      </c>
      <c r="F500" s="7954" t="s">
        <v>2709</v>
      </c>
      <c r="G500" s="7954" t="s">
        <v>22</v>
      </c>
      <c r="H500" s="7954" t="s">
        <v>22</v>
      </c>
      <c r="I500" s="7954" t="s">
        <v>1082</v>
      </c>
    </row>
    <row customHeight="1" ht="11.25">
      <c r="A501" s="7954" t="s">
        <v>2649</v>
      </c>
      <c r="B501" s="7954" t="s">
        <v>16</v>
      </c>
      <c r="C501" s="7954" t="s">
        <v>3462</v>
      </c>
      <c r="D501" s="7954" t="s">
        <v>3463</v>
      </c>
      <c r="E501" s="7954" t="s">
        <v>3464</v>
      </c>
      <c r="F501" s="7954" t="s">
        <v>2709</v>
      </c>
      <c r="G501" s="7954" t="s">
        <v>22</v>
      </c>
      <c r="H501" s="7954" t="s">
        <v>22</v>
      </c>
      <c r="I501" s="7954" t="s">
        <v>1082</v>
      </c>
    </row>
    <row customHeight="1" ht="11.25">
      <c r="A502" s="7954" t="s">
        <v>2649</v>
      </c>
      <c r="B502" s="7954" t="s">
        <v>16</v>
      </c>
      <c r="C502" s="7954" t="s">
        <v>3471</v>
      </c>
      <c r="D502" s="7954" t="s">
        <v>3472</v>
      </c>
      <c r="E502" s="7954" t="s">
        <v>3473</v>
      </c>
      <c r="F502" s="7954" t="s">
        <v>2709</v>
      </c>
      <c r="G502" s="7954" t="s">
        <v>22</v>
      </c>
      <c r="H502" s="7954" t="s">
        <v>22</v>
      </c>
      <c r="I502" s="7954" t="s">
        <v>1082</v>
      </c>
    </row>
    <row customHeight="1" ht="11.25">
      <c r="A503" s="7954" t="s">
        <v>2649</v>
      </c>
      <c r="B503" s="7954" t="s">
        <v>16</v>
      </c>
      <c r="C503" s="7954" t="s">
        <v>2932</v>
      </c>
      <c r="D503" s="7954" t="s">
        <v>2933</v>
      </c>
      <c r="E503" s="7954" t="s">
        <v>2934</v>
      </c>
      <c r="F503" s="7954" t="s">
        <v>2935</v>
      </c>
      <c r="G503" s="7954" t="s">
        <v>22</v>
      </c>
      <c r="H503" s="7954" t="s">
        <v>22</v>
      </c>
      <c r="I503" s="7954" t="s">
        <v>1082</v>
      </c>
    </row>
    <row customHeight="1" ht="11.25">
      <c r="A504" s="7954" t="s">
        <v>2649</v>
      </c>
      <c r="B504" s="7954" t="s">
        <v>16</v>
      </c>
      <c r="C504" s="7954" t="s">
        <v>3484</v>
      </c>
      <c r="D504" s="7954" t="s">
        <v>3485</v>
      </c>
      <c r="E504" s="7954" t="s">
        <v>3486</v>
      </c>
      <c r="F504" s="7954" t="s">
        <v>2864</v>
      </c>
      <c r="G504" s="7954" t="s">
        <v>22</v>
      </c>
      <c r="H504" s="7954" t="s">
        <v>22</v>
      </c>
      <c r="I504" s="7954" t="s">
        <v>1082</v>
      </c>
    </row>
    <row customHeight="1" ht="11.25">
      <c r="A505" s="7954" t="s">
        <v>2649</v>
      </c>
      <c r="B505" s="7954" t="s">
        <v>16</v>
      </c>
      <c r="C505" s="7954" t="s">
        <v>3487</v>
      </c>
      <c r="D505" s="7954" t="s">
        <v>3488</v>
      </c>
      <c r="E505" s="7954" t="s">
        <v>3489</v>
      </c>
      <c r="F505" s="7954" t="s">
        <v>3490</v>
      </c>
      <c r="G505" s="7954" t="s">
        <v>22</v>
      </c>
      <c r="H505" s="7954" t="s">
        <v>22</v>
      </c>
      <c r="I505" s="7954" t="s">
        <v>1082</v>
      </c>
    </row>
    <row customHeight="1" ht="11.25">
      <c r="A506" s="7954" t="s">
        <v>2649</v>
      </c>
      <c r="B506" s="7954" t="s">
        <v>16</v>
      </c>
      <c r="C506" s="7954" t="s">
        <v>2936</v>
      </c>
      <c r="D506" s="7954" t="s">
        <v>2937</v>
      </c>
      <c r="E506" s="7954" t="s">
        <v>2938</v>
      </c>
      <c r="F506" s="7954" t="s">
        <v>2896</v>
      </c>
      <c r="G506" s="7954" t="s">
        <v>22</v>
      </c>
      <c r="H506" s="7954" t="s">
        <v>22</v>
      </c>
      <c r="I506" s="7954" t="s">
        <v>1082</v>
      </c>
    </row>
    <row customHeight="1" ht="11.25">
      <c r="A507" s="7954" t="s">
        <v>2649</v>
      </c>
      <c r="B507" s="7954" t="s">
        <v>16</v>
      </c>
      <c r="C507" s="7954" t="s">
        <v>3494</v>
      </c>
      <c r="D507" s="7954" t="s">
        <v>3495</v>
      </c>
      <c r="E507" s="7954" t="s">
        <v>3496</v>
      </c>
      <c r="F507" s="7954" t="s">
        <v>2709</v>
      </c>
      <c r="G507" s="7954" t="s">
        <v>3497</v>
      </c>
      <c r="H507" s="7954" t="s">
        <v>22</v>
      </c>
      <c r="I507" s="7954" t="s">
        <v>1082</v>
      </c>
    </row>
    <row customHeight="1" ht="11.25">
      <c r="A508" s="7954" t="s">
        <v>2649</v>
      </c>
      <c r="B508" s="7954" t="s">
        <v>16</v>
      </c>
      <c r="C508" s="7954" t="s">
        <v>3285</v>
      </c>
      <c r="D508" s="7954" t="s">
        <v>3286</v>
      </c>
      <c r="E508" s="7954" t="s">
        <v>3287</v>
      </c>
      <c r="F508" s="7954" t="s">
        <v>2832</v>
      </c>
      <c r="G508" s="7954" t="s">
        <v>22</v>
      </c>
      <c r="H508" s="7954" t="s">
        <v>22</v>
      </c>
      <c r="I508" s="7954" t="s">
        <v>1082</v>
      </c>
    </row>
    <row customHeight="1" ht="11.25">
      <c r="A509" s="7954" t="s">
        <v>2649</v>
      </c>
      <c r="B509" s="7954" t="s">
        <v>16</v>
      </c>
      <c r="C509" s="7954" t="s">
        <v>2939</v>
      </c>
      <c r="D509" s="7954" t="s">
        <v>2940</v>
      </c>
      <c r="E509" s="7954" t="s">
        <v>2941</v>
      </c>
      <c r="F509" s="7954" t="s">
        <v>2793</v>
      </c>
      <c r="G509" s="7954" t="s">
        <v>22</v>
      </c>
      <c r="H509" s="7954" t="s">
        <v>22</v>
      </c>
      <c r="I509" s="7954" t="s">
        <v>1082</v>
      </c>
    </row>
    <row customHeight="1" ht="11.25">
      <c r="A510" s="7954" t="s">
        <v>2649</v>
      </c>
      <c r="B510" s="7954" t="s">
        <v>16</v>
      </c>
      <c r="C510" s="7954" t="s">
        <v>3504</v>
      </c>
      <c r="D510" s="7954" t="s">
        <v>3505</v>
      </c>
      <c r="E510" s="7954" t="s">
        <v>3506</v>
      </c>
      <c r="F510" s="7954" t="s">
        <v>2709</v>
      </c>
      <c r="G510" s="7954" t="s">
        <v>22</v>
      </c>
      <c r="H510" s="7954" t="s">
        <v>22</v>
      </c>
      <c r="I510" s="7954" t="s">
        <v>1082</v>
      </c>
    </row>
    <row customHeight="1" ht="11.25">
      <c r="A511" s="7954" t="s">
        <v>2649</v>
      </c>
      <c r="B511" s="7954" t="s">
        <v>16</v>
      </c>
      <c r="C511" s="7954" t="s">
        <v>3507</v>
      </c>
      <c r="D511" s="7954" t="s">
        <v>3508</v>
      </c>
      <c r="E511" s="7954" t="s">
        <v>3509</v>
      </c>
      <c r="F511" s="7954" t="s">
        <v>2709</v>
      </c>
      <c r="G511" s="7954" t="s">
        <v>22</v>
      </c>
      <c r="H511" s="7954" t="s">
        <v>22</v>
      </c>
      <c r="I511" s="7954" t="s">
        <v>1082</v>
      </c>
    </row>
    <row customHeight="1" ht="11.25">
      <c r="A512" s="7954" t="s">
        <v>2649</v>
      </c>
      <c r="B512" s="7954" t="s">
        <v>16</v>
      </c>
      <c r="C512" s="7954" t="s">
        <v>3514</v>
      </c>
      <c r="D512" s="7954" t="s">
        <v>3515</v>
      </c>
      <c r="E512" s="7954" t="s">
        <v>3516</v>
      </c>
      <c r="F512" s="7954" t="s">
        <v>2709</v>
      </c>
      <c r="G512" s="7954" t="s">
        <v>22</v>
      </c>
      <c r="H512" s="7954" t="s">
        <v>22</v>
      </c>
      <c r="I512" s="7954" t="s">
        <v>1082</v>
      </c>
    </row>
    <row customHeight="1" ht="11.25">
      <c r="A513" s="7954" t="s">
        <v>2649</v>
      </c>
      <c r="B513" s="7954" t="s">
        <v>16</v>
      </c>
      <c r="C513" s="7954" t="s">
        <v>2959</v>
      </c>
      <c r="D513" s="7954" t="s">
        <v>2960</v>
      </c>
      <c r="E513" s="7954" t="s">
        <v>2961</v>
      </c>
      <c r="F513" s="7954" t="s">
        <v>2962</v>
      </c>
      <c r="G513" s="7954" t="s">
        <v>22</v>
      </c>
      <c r="H513" s="7954" t="s">
        <v>22</v>
      </c>
      <c r="I513" s="7954" t="s">
        <v>1082</v>
      </c>
    </row>
    <row customHeight="1" ht="11.25">
      <c r="A514" s="7954" t="s">
        <v>2649</v>
      </c>
      <c r="B514" s="7954" t="s">
        <v>16</v>
      </c>
      <c r="C514" s="7954" t="s">
        <v>3517</v>
      </c>
      <c r="D514" s="7954" t="s">
        <v>3518</v>
      </c>
      <c r="E514" s="7954" t="s">
        <v>3519</v>
      </c>
      <c r="F514" s="7954" t="s">
        <v>3520</v>
      </c>
      <c r="G514" s="7954" t="s">
        <v>22</v>
      </c>
      <c r="H514" s="7954" t="s">
        <v>22</v>
      </c>
      <c r="I514" s="7954" t="s">
        <v>1082</v>
      </c>
    </row>
    <row customHeight="1" ht="11.25">
      <c r="A515" s="7954" t="s">
        <v>2649</v>
      </c>
      <c r="B515" s="7954" t="s">
        <v>16</v>
      </c>
      <c r="C515" s="7954" t="s">
        <v>2963</v>
      </c>
      <c r="D515" s="7954" t="s">
        <v>2964</v>
      </c>
      <c r="E515" s="7954" t="s">
        <v>2965</v>
      </c>
      <c r="F515" s="7954" t="s">
        <v>2653</v>
      </c>
      <c r="G515" s="7954" t="s">
        <v>22</v>
      </c>
      <c r="H515" s="7954" t="s">
        <v>22</v>
      </c>
      <c r="I515" s="7954" t="s">
        <v>1082</v>
      </c>
    </row>
    <row customHeight="1" ht="11.25">
      <c r="A516" s="7954" t="s">
        <v>2649</v>
      </c>
      <c r="B516" s="7954" t="s">
        <v>16</v>
      </c>
      <c r="C516" s="7954" t="s">
        <v>3521</v>
      </c>
      <c r="D516" s="7954" t="s">
        <v>3522</v>
      </c>
      <c r="E516" s="7954" t="s">
        <v>3523</v>
      </c>
      <c r="F516" s="7954" t="s">
        <v>2875</v>
      </c>
      <c r="G516" s="7954" t="s">
        <v>22</v>
      </c>
      <c r="H516" s="7954" t="s">
        <v>22</v>
      </c>
      <c r="I516" s="7954" t="s">
        <v>1082</v>
      </c>
    </row>
    <row customHeight="1" ht="11.25">
      <c r="A517" s="7954" t="s">
        <v>2649</v>
      </c>
      <c r="B517" s="7954" t="s">
        <v>16</v>
      </c>
      <c r="C517" s="7954" t="s">
        <v>3530</v>
      </c>
      <c r="D517" s="7954" t="s">
        <v>3531</v>
      </c>
      <c r="E517" s="7954" t="s">
        <v>3532</v>
      </c>
      <c r="F517" s="7954" t="s">
        <v>2678</v>
      </c>
      <c r="G517" s="7954" t="s">
        <v>22</v>
      </c>
      <c r="H517" s="7954" t="s">
        <v>22</v>
      </c>
      <c r="I517" s="7954" t="s">
        <v>1082</v>
      </c>
    </row>
    <row customHeight="1" ht="11.25">
      <c r="A518" s="7954" t="s">
        <v>2649</v>
      </c>
      <c r="B518" s="7954" t="s">
        <v>16</v>
      </c>
      <c r="C518" s="7954" t="s">
        <v>3533</v>
      </c>
      <c r="D518" s="7954" t="s">
        <v>3534</v>
      </c>
      <c r="E518" s="7954" t="s">
        <v>3535</v>
      </c>
      <c r="F518" s="7954" t="s">
        <v>2742</v>
      </c>
      <c r="G518" s="7954" t="s">
        <v>3536</v>
      </c>
      <c r="H518" s="7954" t="s">
        <v>22</v>
      </c>
      <c r="I518" s="7954" t="s">
        <v>1082</v>
      </c>
    </row>
    <row customHeight="1" ht="11.25">
      <c r="A519" s="7954" t="s">
        <v>2649</v>
      </c>
      <c r="B519" s="7954" t="s">
        <v>16</v>
      </c>
      <c r="C519" s="7954" t="s">
        <v>3537</v>
      </c>
      <c r="D519" s="7954" t="s">
        <v>3538</v>
      </c>
      <c r="E519" s="7954" t="s">
        <v>3539</v>
      </c>
      <c r="F519" s="7954" t="s">
        <v>2709</v>
      </c>
      <c r="G519" s="7954" t="s">
        <v>22</v>
      </c>
      <c r="H519" s="7954" t="s">
        <v>22</v>
      </c>
      <c r="I519" s="7954" t="s">
        <v>1082</v>
      </c>
    </row>
    <row customHeight="1" ht="11.25">
      <c r="A520" s="7954" t="s">
        <v>2649</v>
      </c>
      <c r="B520" s="7954" t="s">
        <v>16</v>
      </c>
      <c r="C520" s="7954" t="s">
        <v>2972</v>
      </c>
      <c r="D520" s="7954" t="s">
        <v>2973</v>
      </c>
      <c r="E520" s="7954" t="s">
        <v>2974</v>
      </c>
      <c r="F520" s="7954" t="s">
        <v>2769</v>
      </c>
      <c r="G520" s="7954" t="s">
        <v>22</v>
      </c>
      <c r="H520" s="7954" t="s">
        <v>22</v>
      </c>
      <c r="I520" s="7954" t="s">
        <v>1082</v>
      </c>
    </row>
    <row customHeight="1" ht="11.25">
      <c r="A521" s="7954" t="s">
        <v>2649</v>
      </c>
      <c r="B521" s="7954" t="s">
        <v>16</v>
      </c>
      <c r="C521" s="7954" t="s">
        <v>3659</v>
      </c>
      <c r="D521" s="7954" t="s">
        <v>3660</v>
      </c>
      <c r="E521" s="7954" t="s">
        <v>3661</v>
      </c>
      <c r="F521" s="7954" t="s">
        <v>2781</v>
      </c>
      <c r="G521" s="7954" t="s">
        <v>22</v>
      </c>
      <c r="H521" s="7954" t="s">
        <v>22</v>
      </c>
      <c r="I521" s="7954" t="s">
        <v>1082</v>
      </c>
    </row>
    <row customHeight="1" ht="11.25">
      <c r="A522" s="7954" t="s">
        <v>2649</v>
      </c>
      <c r="B522" s="7954" t="s">
        <v>16</v>
      </c>
      <c r="C522" s="7954" t="s">
        <v>3548</v>
      </c>
      <c r="D522" s="7954" t="s">
        <v>3549</v>
      </c>
      <c r="E522" s="7954" t="s">
        <v>3550</v>
      </c>
      <c r="F522" s="7954" t="s">
        <v>2723</v>
      </c>
      <c r="G522" s="7954" t="s">
        <v>3551</v>
      </c>
      <c r="H522" s="7954" t="s">
        <v>22</v>
      </c>
      <c r="I522" s="7954" t="s">
        <v>1082</v>
      </c>
    </row>
    <row customHeight="1" ht="11.25">
      <c r="A523" s="7954" t="s">
        <v>2649</v>
      </c>
      <c r="B523" s="7954" t="s">
        <v>16</v>
      </c>
      <c r="C523" s="7954" t="s">
        <v>3552</v>
      </c>
      <c r="D523" s="7954" t="s">
        <v>3553</v>
      </c>
      <c r="E523" s="7954" t="s">
        <v>3554</v>
      </c>
      <c r="F523" s="7954" t="s">
        <v>2785</v>
      </c>
      <c r="G523" s="7954" t="s">
        <v>3555</v>
      </c>
      <c r="H523" s="7954" t="s">
        <v>22</v>
      </c>
      <c r="I523" s="7954" t="s">
        <v>1082</v>
      </c>
    </row>
    <row customHeight="1" ht="11.25">
      <c r="A524" s="7954" t="s">
        <v>2649</v>
      </c>
      <c r="B524" s="7954" t="s">
        <v>16</v>
      </c>
      <c r="C524" s="7954" t="s">
        <v>2999</v>
      </c>
      <c r="D524" s="7954" t="s">
        <v>3000</v>
      </c>
      <c r="E524" s="7954" t="s">
        <v>3001</v>
      </c>
      <c r="F524" s="7954" t="s">
        <v>2785</v>
      </c>
      <c r="G524" s="7954" t="s">
        <v>22</v>
      </c>
      <c r="H524" s="7954" t="s">
        <v>22</v>
      </c>
      <c r="I524" s="7954" t="s">
        <v>1082</v>
      </c>
    </row>
    <row customHeight="1" ht="11.25">
      <c r="A525" s="7954" t="s">
        <v>2649</v>
      </c>
      <c r="B525" s="7954" t="s">
        <v>16</v>
      </c>
      <c r="C525" s="7954" t="s">
        <v>3571</v>
      </c>
      <c r="D525" s="7954" t="s">
        <v>3572</v>
      </c>
      <c r="E525" s="7954" t="s">
        <v>3573</v>
      </c>
      <c r="F525" s="7954" t="s">
        <v>2915</v>
      </c>
      <c r="G525" s="7954" t="s">
        <v>3574</v>
      </c>
      <c r="H525" s="7954" t="s">
        <v>22</v>
      </c>
      <c r="I525" s="7954" t="s">
        <v>1082</v>
      </c>
    </row>
    <row customHeight="1" ht="11.25">
      <c r="A526" s="7954" t="s">
        <v>2649</v>
      </c>
      <c r="B526" s="7954" t="s">
        <v>16</v>
      </c>
      <c r="C526" s="7954" t="s">
        <v>3031</v>
      </c>
      <c r="D526" s="7954" t="s">
        <v>3032</v>
      </c>
      <c r="E526" s="7954" t="s">
        <v>3033</v>
      </c>
      <c r="F526" s="7954" t="s">
        <v>2785</v>
      </c>
      <c r="G526" s="7954" t="s">
        <v>22</v>
      </c>
      <c r="H526" s="7954" t="s">
        <v>22</v>
      </c>
      <c r="I526" s="7954" t="s">
        <v>1082</v>
      </c>
    </row>
    <row customHeight="1" ht="11.25">
      <c r="A527" s="7954" t="s">
        <v>2649</v>
      </c>
      <c r="B527" s="7954" t="s">
        <v>16</v>
      </c>
      <c r="C527" s="7954" t="s">
        <v>13</v>
      </c>
      <c r="D527" s="7954" t="s">
        <v>45</v>
      </c>
      <c r="E527" s="7954" t="s">
        <v>48</v>
      </c>
      <c r="F527" s="7954" t="s">
        <v>50</v>
      </c>
      <c r="G527" s="7954" t="s">
        <v>22</v>
      </c>
      <c r="H527" s="7954" t="s">
        <v>22</v>
      </c>
      <c r="I527" s="7954" t="s">
        <v>1082</v>
      </c>
    </row>
    <row customHeight="1" ht="11.25">
      <c r="A528" s="7954" t="s">
        <v>2649</v>
      </c>
      <c r="B528" s="7954" t="s">
        <v>16</v>
      </c>
      <c r="C528" s="7954" t="s">
        <v>3052</v>
      </c>
      <c r="D528" s="7954" t="s">
        <v>3053</v>
      </c>
      <c r="E528" s="7954" t="s">
        <v>3054</v>
      </c>
      <c r="F528" s="7954" t="s">
        <v>50</v>
      </c>
      <c r="G528" s="7954" t="s">
        <v>3055</v>
      </c>
      <c r="H528" s="7954" t="s">
        <v>22</v>
      </c>
      <c r="I528" s="7954" t="s">
        <v>1082</v>
      </c>
    </row>
    <row customHeight="1" ht="11.25">
      <c r="A529" s="7954" t="s">
        <v>2649</v>
      </c>
      <c r="B529" s="7954" t="s">
        <v>16</v>
      </c>
      <c r="C529" s="7954" t="s">
        <v>3588</v>
      </c>
      <c r="D529" s="7954" t="s">
        <v>3589</v>
      </c>
      <c r="E529" s="7954" t="s">
        <v>3590</v>
      </c>
      <c r="F529" s="7954" t="s">
        <v>2769</v>
      </c>
      <c r="G529" s="7954" t="s">
        <v>22</v>
      </c>
      <c r="H529" s="7954" t="s">
        <v>22</v>
      </c>
      <c r="I529" s="7954" t="s">
        <v>1082</v>
      </c>
    </row>
    <row customHeight="1" ht="11.25">
      <c r="A530" s="7954" t="s">
        <v>2649</v>
      </c>
      <c r="B530" s="7954" t="s">
        <v>16</v>
      </c>
      <c r="C530" s="7954" t="s">
        <v>3059</v>
      </c>
      <c r="D530" s="7954" t="s">
        <v>3060</v>
      </c>
      <c r="E530" s="7954" t="s">
        <v>3061</v>
      </c>
      <c r="F530" s="7954" t="s">
        <v>2827</v>
      </c>
      <c r="G530" s="7954" t="s">
        <v>3062</v>
      </c>
      <c r="H530" s="7954" t="s">
        <v>22</v>
      </c>
      <c r="I530" s="7954" t="s">
        <v>1082</v>
      </c>
    </row>
    <row customHeight="1" ht="11.25">
      <c r="A531" s="7954" t="s">
        <v>2649</v>
      </c>
      <c r="B531" s="7954" t="s">
        <v>16</v>
      </c>
      <c r="C531" s="7954" t="s">
        <v>3662</v>
      </c>
      <c r="D531" s="7954" t="s">
        <v>3663</v>
      </c>
      <c r="E531" s="7954" t="s">
        <v>3664</v>
      </c>
      <c r="F531" s="7954" t="s">
        <v>2686</v>
      </c>
      <c r="G531" s="7954" t="s">
        <v>22</v>
      </c>
      <c r="H531" s="7954" t="s">
        <v>22</v>
      </c>
      <c r="I531" s="7954" t="s">
        <v>1082</v>
      </c>
    </row>
    <row customHeight="1" ht="11.25">
      <c r="A532" s="7954" t="s">
        <v>2649</v>
      </c>
      <c r="B532" s="7954" t="s">
        <v>16</v>
      </c>
      <c r="C532" s="7954" t="s">
        <v>3594</v>
      </c>
      <c r="D532" s="7954" t="s">
        <v>3595</v>
      </c>
      <c r="E532" s="7954" t="s">
        <v>3596</v>
      </c>
      <c r="F532" s="7954" t="s">
        <v>2832</v>
      </c>
      <c r="G532" s="7954" t="s">
        <v>22</v>
      </c>
      <c r="H532" s="7954" t="s">
        <v>22</v>
      </c>
      <c r="I532" s="7954" t="s">
        <v>1082</v>
      </c>
    </row>
    <row customHeight="1" ht="11.25">
      <c r="A533" s="7954" t="s">
        <v>2649</v>
      </c>
      <c r="B533" s="7954" t="s">
        <v>16</v>
      </c>
      <c r="C533" s="7954" t="s">
        <v>3081</v>
      </c>
      <c r="D533" s="7954" t="s">
        <v>3082</v>
      </c>
      <c r="E533" s="7954" t="s">
        <v>3083</v>
      </c>
      <c r="F533" s="7954" t="s">
        <v>2785</v>
      </c>
      <c r="G533" s="7954" t="s">
        <v>3084</v>
      </c>
      <c r="H533" s="7954" t="s">
        <v>22</v>
      </c>
      <c r="I533" s="7954" t="s">
        <v>1082</v>
      </c>
    </row>
    <row customHeight="1" ht="11.25">
      <c r="A534" s="7954" t="s">
        <v>2649</v>
      </c>
      <c r="B534" s="7954" t="s">
        <v>16</v>
      </c>
      <c r="C534" s="7954" t="s">
        <v>3665</v>
      </c>
      <c r="D534" s="7954" t="s">
        <v>3666</v>
      </c>
      <c r="E534" s="7954" t="s">
        <v>3667</v>
      </c>
      <c r="F534" s="7954" t="s">
        <v>2875</v>
      </c>
      <c r="G534" s="7954" t="s">
        <v>22</v>
      </c>
      <c r="H534" s="7954" t="s">
        <v>22</v>
      </c>
      <c r="I534" s="7954" t="s">
        <v>1082</v>
      </c>
    </row>
    <row customHeight="1" ht="11.25">
      <c r="A535" s="7954" t="s">
        <v>2649</v>
      </c>
      <c r="B535" s="7954" t="s">
        <v>16</v>
      </c>
      <c r="C535" s="7954" t="s">
        <v>3085</v>
      </c>
      <c r="D535" s="7954" t="s">
        <v>3086</v>
      </c>
      <c r="E535" s="7954" t="s">
        <v>3087</v>
      </c>
      <c r="F535" s="7954" t="s">
        <v>2832</v>
      </c>
      <c r="G535" s="7954" t="s">
        <v>22</v>
      </c>
      <c r="H535" s="7954" t="s">
        <v>22</v>
      </c>
      <c r="I535" s="7954" t="s">
        <v>1082</v>
      </c>
    </row>
    <row customHeight="1" ht="11.25">
      <c r="A536" s="7954" t="s">
        <v>2649</v>
      </c>
      <c r="B536" s="7954" t="s">
        <v>16</v>
      </c>
      <c r="C536" s="7954" t="s">
        <v>3088</v>
      </c>
      <c r="D536" s="7954" t="s">
        <v>3089</v>
      </c>
      <c r="E536" s="7954" t="s">
        <v>3090</v>
      </c>
      <c r="F536" s="7954" t="s">
        <v>2781</v>
      </c>
      <c r="G536" s="7954" t="s">
        <v>3091</v>
      </c>
      <c r="H536" s="7954" t="s">
        <v>22</v>
      </c>
      <c r="I536" s="7954" t="s">
        <v>1082</v>
      </c>
    </row>
    <row customHeight="1" ht="11.25">
      <c r="A537" s="7954" t="s">
        <v>2649</v>
      </c>
      <c r="B537" s="7954" t="s">
        <v>16</v>
      </c>
      <c r="C537" s="7954" t="s">
        <v>3604</v>
      </c>
      <c r="D537" s="7954" t="s">
        <v>3605</v>
      </c>
      <c r="E537" s="7954" t="s">
        <v>3606</v>
      </c>
      <c r="F537" s="7954" t="s">
        <v>2777</v>
      </c>
      <c r="G537" s="7954" t="s">
        <v>22</v>
      </c>
      <c r="H537" s="7954" t="s">
        <v>22</v>
      </c>
      <c r="I537" s="7954" t="s">
        <v>1082</v>
      </c>
    </row>
    <row customHeight="1" ht="11.25">
      <c r="A538" s="7954" t="s">
        <v>2649</v>
      </c>
      <c r="B538" s="7954" t="s">
        <v>16</v>
      </c>
      <c r="C538" s="7954" t="s">
        <v>3105</v>
      </c>
      <c r="D538" s="7954" t="s">
        <v>3106</v>
      </c>
      <c r="E538" s="7954" t="s">
        <v>3107</v>
      </c>
      <c r="F538" s="7954" t="s">
        <v>2663</v>
      </c>
      <c r="G538" s="7954" t="s">
        <v>22</v>
      </c>
      <c r="H538" s="7954" t="s">
        <v>22</v>
      </c>
      <c r="I538" s="7954" t="s">
        <v>1082</v>
      </c>
    </row>
    <row customHeight="1" ht="11.25">
      <c r="A539" s="7954" t="s">
        <v>2649</v>
      </c>
      <c r="B539" s="7954" t="s">
        <v>16</v>
      </c>
      <c r="C539" s="7954" t="s">
        <v>3668</v>
      </c>
      <c r="D539" s="7954" t="s">
        <v>3106</v>
      </c>
      <c r="E539" s="7954" t="s">
        <v>3669</v>
      </c>
      <c r="F539" s="7954" t="s">
        <v>2896</v>
      </c>
      <c r="G539" s="7954" t="s">
        <v>3670</v>
      </c>
      <c r="H539" s="7954" t="s">
        <v>22</v>
      </c>
      <c r="I539" s="7954" t="s">
        <v>1082</v>
      </c>
    </row>
    <row customHeight="1" ht="11.25">
      <c r="A540" s="7954" t="s">
        <v>2649</v>
      </c>
      <c r="B540" s="7954" t="s">
        <v>16</v>
      </c>
      <c r="C540" s="7954" t="s">
        <v>3108</v>
      </c>
      <c r="D540" s="7954" t="s">
        <v>3109</v>
      </c>
      <c r="E540" s="7954" t="s">
        <v>3110</v>
      </c>
      <c r="F540" s="7954" t="s">
        <v>2955</v>
      </c>
      <c r="G540" s="7954" t="s">
        <v>22</v>
      </c>
      <c r="H540" s="7954" t="s">
        <v>22</v>
      </c>
      <c r="I540" s="7954" t="s">
        <v>1082</v>
      </c>
    </row>
    <row customHeight="1" ht="11.25">
      <c r="A541" s="7954" t="s">
        <v>2649</v>
      </c>
      <c r="B541" s="7954" t="s">
        <v>16</v>
      </c>
      <c r="C541" s="7954" t="s">
        <v>3613</v>
      </c>
      <c r="D541" s="7954" t="s">
        <v>3614</v>
      </c>
      <c r="E541" s="7954" t="s">
        <v>3615</v>
      </c>
      <c r="F541" s="7954" t="s">
        <v>2785</v>
      </c>
      <c r="G541" s="7954" t="s">
        <v>2843</v>
      </c>
      <c r="H541" s="7954" t="s">
        <v>22</v>
      </c>
      <c r="I541" s="7954" t="s">
        <v>1082</v>
      </c>
    </row>
    <row customHeight="1" ht="11.25">
      <c r="A542" s="7954" t="s">
        <v>2649</v>
      </c>
      <c r="B542" s="7954" t="s">
        <v>16</v>
      </c>
      <c r="C542" s="7954" t="s">
        <v>3123</v>
      </c>
      <c r="D542" s="7954" t="s">
        <v>3124</v>
      </c>
      <c r="E542" s="7954" t="s">
        <v>3125</v>
      </c>
      <c r="F542" s="7954" t="s">
        <v>3126</v>
      </c>
      <c r="G542" s="7954" t="s">
        <v>22</v>
      </c>
      <c r="H542" s="7954" t="s">
        <v>22</v>
      </c>
      <c r="I542" s="7954" t="s">
        <v>1082</v>
      </c>
    </row>
    <row customHeight="1" ht="11.25">
      <c r="A543" s="7954" t="s">
        <v>2649</v>
      </c>
      <c r="B543" s="7954" t="s">
        <v>16</v>
      </c>
      <c r="C543" s="7954" t="s">
        <v>3136</v>
      </c>
      <c r="D543" s="7954" t="s">
        <v>3137</v>
      </c>
      <c r="E543" s="7954" t="s">
        <v>3138</v>
      </c>
      <c r="F543" s="7954" t="s">
        <v>2769</v>
      </c>
      <c r="G543" s="7954" t="s">
        <v>22</v>
      </c>
      <c r="H543" s="7954" t="s">
        <v>22</v>
      </c>
      <c r="I543" s="7954" t="s">
        <v>1082</v>
      </c>
    </row>
    <row customHeight="1" ht="11.25">
      <c r="A544" s="7954" t="s">
        <v>2649</v>
      </c>
      <c r="B544" s="7954" t="s">
        <v>16</v>
      </c>
      <c r="C544" s="7954" t="s">
        <v>3142</v>
      </c>
      <c r="D544" s="7954" t="s">
        <v>3143</v>
      </c>
      <c r="E544" s="7954" t="s">
        <v>3144</v>
      </c>
      <c r="F544" s="7954" t="s">
        <v>2686</v>
      </c>
      <c r="G544" s="7954" t="s">
        <v>22</v>
      </c>
      <c r="H544" s="7954" t="s">
        <v>22</v>
      </c>
      <c r="I544" s="7954" t="s">
        <v>1082</v>
      </c>
    </row>
    <row customHeight="1" ht="11.25">
      <c r="A545" s="7954" t="s">
        <v>2649</v>
      </c>
      <c r="B545" s="7954" t="s">
        <v>16</v>
      </c>
      <c r="C545" s="7954" t="s">
        <v>3616</v>
      </c>
      <c r="D545" s="7954" t="s">
        <v>3617</v>
      </c>
      <c r="E545" s="7954" t="s">
        <v>3618</v>
      </c>
      <c r="F545" s="7954" t="s">
        <v>2915</v>
      </c>
      <c r="G545" s="7954" t="s">
        <v>2843</v>
      </c>
      <c r="H545" s="7954" t="s">
        <v>22</v>
      </c>
      <c r="I545" s="7954" t="s">
        <v>1082</v>
      </c>
    </row>
    <row customHeight="1" ht="11.25">
      <c r="A546" s="7954" t="s">
        <v>2649</v>
      </c>
      <c r="B546" s="7954" t="s">
        <v>16</v>
      </c>
      <c r="C546" s="7954" t="s">
        <v>3160</v>
      </c>
      <c r="D546" s="7954" t="s">
        <v>3161</v>
      </c>
      <c r="E546" s="7954" t="s">
        <v>3162</v>
      </c>
      <c r="F546" s="7954" t="s">
        <v>2781</v>
      </c>
      <c r="G546" s="7954" t="s">
        <v>22</v>
      </c>
      <c r="H546" s="7954" t="s">
        <v>22</v>
      </c>
      <c r="I546" s="7954" t="s">
        <v>1082</v>
      </c>
    </row>
    <row customHeight="1" ht="11.25">
      <c r="A547" s="7954" t="s">
        <v>2649</v>
      </c>
      <c r="B547" s="7954" t="s">
        <v>16</v>
      </c>
      <c r="C547" s="7954" t="s">
        <v>3622</v>
      </c>
      <c r="D547" s="7954" t="s">
        <v>3623</v>
      </c>
      <c r="E547" s="7954" t="s">
        <v>3624</v>
      </c>
      <c r="F547" s="7954" t="s">
        <v>50</v>
      </c>
      <c r="G547" s="7954" t="s">
        <v>22</v>
      </c>
      <c r="H547" s="7954" t="s">
        <v>22</v>
      </c>
      <c r="I547" s="7954" t="s">
        <v>1082</v>
      </c>
    </row>
    <row customHeight="1" ht="11.25">
      <c r="A548" s="7954" t="s">
        <v>2649</v>
      </c>
      <c r="B548" s="7954" t="s">
        <v>16</v>
      </c>
      <c r="C548" s="7954" t="s">
        <v>3190</v>
      </c>
      <c r="D548" s="7954" t="s">
        <v>3191</v>
      </c>
      <c r="E548" s="7954" t="s">
        <v>3192</v>
      </c>
      <c r="F548" s="7954" t="s">
        <v>2832</v>
      </c>
      <c r="G548" s="7954" t="s">
        <v>22</v>
      </c>
      <c r="H548" s="7954" t="s">
        <v>22</v>
      </c>
      <c r="I548" s="7954" t="s">
        <v>1082</v>
      </c>
    </row>
    <row customHeight="1" ht="11.25">
      <c r="A549" s="7954" t="s">
        <v>2649</v>
      </c>
      <c r="B549" s="7954" t="s">
        <v>16</v>
      </c>
      <c r="C549" s="7954" t="s">
        <v>3196</v>
      </c>
      <c r="D549" s="7954" t="s">
        <v>3197</v>
      </c>
      <c r="E549" s="7954" t="s">
        <v>3198</v>
      </c>
      <c r="F549" s="7954" t="s">
        <v>2785</v>
      </c>
      <c r="G549" s="7954" t="s">
        <v>22</v>
      </c>
      <c r="H549" s="7954" t="s">
        <v>22</v>
      </c>
      <c r="I549" s="7954" t="s">
        <v>1082</v>
      </c>
    </row>
    <row customHeight="1" ht="11.25">
      <c r="A550" s="7954" t="s">
        <v>2649</v>
      </c>
      <c r="B550" s="7954" t="s">
        <v>16</v>
      </c>
      <c r="C550" s="7954" t="s">
        <v>3206</v>
      </c>
      <c r="D550" s="7954" t="s">
        <v>3207</v>
      </c>
      <c r="E550" s="7954" t="s">
        <v>3208</v>
      </c>
      <c r="F550" s="7954" t="s">
        <v>2781</v>
      </c>
      <c r="G550" s="7954" t="s">
        <v>3209</v>
      </c>
      <c r="H550" s="7954" t="s">
        <v>22</v>
      </c>
      <c r="I550" s="7954" t="s">
        <v>1082</v>
      </c>
    </row>
    <row customHeight="1" ht="11.25">
      <c r="A551" s="7954" t="s">
        <v>2649</v>
      </c>
      <c r="B551" s="7954" t="s">
        <v>16</v>
      </c>
      <c r="C551" s="7954" t="s">
        <v>3627</v>
      </c>
      <c r="D551" s="7954" t="s">
        <v>3628</v>
      </c>
      <c r="E551" s="7954" t="s">
        <v>3629</v>
      </c>
      <c r="F551" s="7954" t="s">
        <v>2785</v>
      </c>
      <c r="G551" s="7954" t="s">
        <v>3630</v>
      </c>
      <c r="H551" s="7954" t="s">
        <v>22</v>
      </c>
      <c r="I551" s="7954" t="s">
        <v>1082</v>
      </c>
    </row>
    <row customHeight="1" ht="11.25">
      <c r="A552" s="7954" t="s">
        <v>2649</v>
      </c>
      <c r="B552" s="7954" t="s">
        <v>16</v>
      </c>
      <c r="C552" s="7954" t="s">
        <v>3218</v>
      </c>
      <c r="D552" s="7954" t="s">
        <v>3219</v>
      </c>
      <c r="E552" s="7954" t="s">
        <v>3220</v>
      </c>
      <c r="F552" s="7954" t="s">
        <v>2955</v>
      </c>
      <c r="G552" s="7954" t="s">
        <v>22</v>
      </c>
      <c r="H552" s="7954" t="s">
        <v>22</v>
      </c>
      <c r="I552" s="7954" t="s">
        <v>1082</v>
      </c>
    </row>
    <row customHeight="1" ht="11.25">
      <c r="A553" s="7954" t="s">
        <v>2649</v>
      </c>
      <c r="B553" s="7954" t="s">
        <v>16</v>
      </c>
      <c r="C553" s="7954" t="s">
        <v>3221</v>
      </c>
      <c r="D553" s="7954" t="s">
        <v>3222</v>
      </c>
      <c r="E553" s="7954" t="s">
        <v>3223</v>
      </c>
      <c r="F553" s="7954" t="s">
        <v>2955</v>
      </c>
      <c r="G553" s="7954" t="s">
        <v>22</v>
      </c>
      <c r="H553" s="7954" t="s">
        <v>22</v>
      </c>
      <c r="I553" s="7954" t="s">
        <v>1082</v>
      </c>
    </row>
    <row customHeight="1" ht="11.25">
      <c r="A554" s="7954" t="s">
        <v>2649</v>
      </c>
      <c r="B554" s="7954" t="s">
        <v>16</v>
      </c>
      <c r="C554" s="7954" t="s">
        <v>3634</v>
      </c>
      <c r="D554" s="7954" t="s">
        <v>3635</v>
      </c>
      <c r="E554" s="7954" t="s">
        <v>3636</v>
      </c>
      <c r="F554" s="7954" t="s">
        <v>2769</v>
      </c>
      <c r="G554" s="7954" t="s">
        <v>22</v>
      </c>
      <c r="H554" s="7954" t="s">
        <v>22</v>
      </c>
      <c r="I554" s="7954" t="s">
        <v>1082</v>
      </c>
    </row>
    <row customHeight="1" ht="11.25">
      <c r="A555" s="7954" t="s">
        <v>2649</v>
      </c>
      <c r="B555" s="7954" t="s">
        <v>16</v>
      </c>
      <c r="C555" s="7954" t="s">
        <v>3227</v>
      </c>
      <c r="D555" s="7954" t="s">
        <v>3228</v>
      </c>
      <c r="E555" s="7954" t="s">
        <v>3229</v>
      </c>
      <c r="F555" s="7954" t="s">
        <v>3230</v>
      </c>
      <c r="G555" s="7954" t="s">
        <v>22</v>
      </c>
      <c r="H555" s="7954" t="s">
        <v>22</v>
      </c>
      <c r="I555" s="7954" t="s">
        <v>1082</v>
      </c>
    </row>
    <row customHeight="1" ht="11.25">
      <c r="A556" s="7954" t="s">
        <v>2649</v>
      </c>
      <c r="B556" s="7954" t="s">
        <v>16</v>
      </c>
      <c r="C556" s="7954" t="s">
        <v>3231</v>
      </c>
      <c r="D556" s="7954" t="s">
        <v>3232</v>
      </c>
      <c r="E556" s="7954" t="s">
        <v>3233</v>
      </c>
      <c r="F556" s="7954" t="s">
        <v>2827</v>
      </c>
      <c r="G556" s="7954" t="s">
        <v>22</v>
      </c>
      <c r="H556" s="7954" t="s">
        <v>22</v>
      </c>
      <c r="I556" s="7954" t="s">
        <v>1082</v>
      </c>
    </row>
    <row customHeight="1" ht="11.25">
      <c r="A557" s="7954" t="s">
        <v>2649</v>
      </c>
      <c r="B557" s="7954" t="s">
        <v>16</v>
      </c>
      <c r="C557" s="7954" t="s">
        <v>3266</v>
      </c>
      <c r="D557" s="7954" t="s">
        <v>3267</v>
      </c>
      <c r="E557" s="7954" t="s">
        <v>3268</v>
      </c>
      <c r="F557" s="7954" t="s">
        <v>3269</v>
      </c>
      <c r="G557" s="7954" t="s">
        <v>22</v>
      </c>
      <c r="H557" s="7954" t="s">
        <v>22</v>
      </c>
      <c r="I557" s="7954" t="s">
        <v>1082</v>
      </c>
    </row>
    <row customHeight="1" ht="11.25">
      <c r="A558" s="7954" t="s">
        <v>2649</v>
      </c>
      <c r="B558" s="7954" t="s">
        <v>16</v>
      </c>
      <c r="C558" s="7954" t="s">
        <v>3277</v>
      </c>
      <c r="D558" s="7954" t="s">
        <v>3278</v>
      </c>
      <c r="E558" s="7954" t="s">
        <v>3279</v>
      </c>
      <c r="F558" s="7954" t="s">
        <v>3280</v>
      </c>
      <c r="G558" s="7954" t="s">
        <v>22</v>
      </c>
      <c r="H558" s="7954" t="s">
        <v>22</v>
      </c>
      <c r="I558" s="7954" t="s">
        <v>1082</v>
      </c>
    </row>
    <row customHeight="1" ht="11.25">
      <c r="A559" s="7954" t="s">
        <v>2649</v>
      </c>
      <c r="B559" s="7954" t="s">
        <v>16</v>
      </c>
      <c r="C559" s="7954" t="s">
        <v>3281</v>
      </c>
      <c r="D559" s="7954" t="s">
        <v>3282</v>
      </c>
      <c r="E559" s="7954" t="s">
        <v>3283</v>
      </c>
      <c r="F559" s="7954" t="s">
        <v>3284</v>
      </c>
      <c r="G559" s="7954" t="s">
        <v>22</v>
      </c>
      <c r="H559" s="7954" t="s">
        <v>22</v>
      </c>
      <c r="I559" s="7954" t="s">
        <v>1082</v>
      </c>
    </row>
    <row customHeight="1" ht="11.25">
      <c r="A560" s="7954" t="s">
        <v>2649</v>
      </c>
      <c r="B560" s="7954" t="s">
        <v>16</v>
      </c>
      <c r="C560" s="7954" t="s">
        <v>3671</v>
      </c>
      <c r="D560" s="7954" t="s">
        <v>3672</v>
      </c>
      <c r="E560" s="7954" t="s">
        <v>3673</v>
      </c>
      <c r="F560" s="7954" t="s">
        <v>2962</v>
      </c>
      <c r="G560" s="7954" t="s">
        <v>22</v>
      </c>
      <c r="H560" s="7954" t="s">
        <v>22</v>
      </c>
      <c r="I560" s="7954" t="s">
        <v>2029</v>
      </c>
    </row>
    <row customHeight="1" ht="11.25">
      <c r="A561" s="7954" t="s">
        <v>2649</v>
      </c>
      <c r="B561" s="7954" t="s">
        <v>16</v>
      </c>
      <c r="C561" s="7954" t="s">
        <v>3674</v>
      </c>
      <c r="D561" s="7954" t="s">
        <v>3675</v>
      </c>
      <c r="E561" s="7954" t="s">
        <v>3676</v>
      </c>
      <c r="F561" s="7954" t="s">
        <v>2727</v>
      </c>
      <c r="G561" s="7954" t="s">
        <v>3677</v>
      </c>
      <c r="H561" s="7954" t="s">
        <v>22</v>
      </c>
      <c r="I561" s="7954" t="s">
        <v>2029</v>
      </c>
    </row>
    <row customHeight="1" ht="11.25">
      <c r="A562" s="7954" t="s">
        <v>2649</v>
      </c>
      <c r="B562" s="7954" t="s">
        <v>16</v>
      </c>
      <c r="C562" s="7954" t="s">
        <v>3678</v>
      </c>
      <c r="D562" s="7954" t="s">
        <v>3679</v>
      </c>
      <c r="E562" s="7954" t="s">
        <v>3680</v>
      </c>
      <c r="F562" s="7954" t="s">
        <v>2709</v>
      </c>
      <c r="G562" s="7954" t="s">
        <v>3681</v>
      </c>
      <c r="H562" s="7954" t="s">
        <v>22</v>
      </c>
      <c r="I562" s="7954" t="s">
        <v>2029</v>
      </c>
    </row>
    <row customHeight="1" ht="11.25">
      <c r="A563" s="7954" t="s">
        <v>2649</v>
      </c>
      <c r="B563" s="7954" t="s">
        <v>16</v>
      </c>
      <c r="C563" s="7954" t="s">
        <v>3682</v>
      </c>
      <c r="D563" s="7954" t="s">
        <v>3683</v>
      </c>
      <c r="E563" s="7954" t="s">
        <v>3684</v>
      </c>
      <c r="F563" s="7954" t="s">
        <v>2709</v>
      </c>
      <c r="G563" s="7954" t="s">
        <v>22</v>
      </c>
      <c r="H563" s="7954" t="s">
        <v>22</v>
      </c>
      <c r="I563" s="7954" t="s">
        <v>2029</v>
      </c>
    </row>
    <row customHeight="1" ht="11.25">
      <c r="A564" s="7954" t="s">
        <v>2649</v>
      </c>
      <c r="B564" s="7954" t="s">
        <v>16</v>
      </c>
      <c r="C564" s="7954" t="s">
        <v>3685</v>
      </c>
      <c r="D564" s="7954" t="s">
        <v>3686</v>
      </c>
      <c r="E564" s="7954" t="s">
        <v>3687</v>
      </c>
      <c r="F564" s="7954" t="s">
        <v>2663</v>
      </c>
      <c r="G564" s="7954" t="s">
        <v>22</v>
      </c>
      <c r="H564" s="7954" t="s">
        <v>22</v>
      </c>
      <c r="I564" s="7954" t="s">
        <v>2029</v>
      </c>
    </row>
    <row customHeight="1" ht="11.25">
      <c r="A565" s="7954" t="s">
        <v>2649</v>
      </c>
      <c r="B565" s="7954" t="s">
        <v>16</v>
      </c>
      <c r="C565" s="7954" t="s">
        <v>3688</v>
      </c>
      <c r="D565" s="7954" t="s">
        <v>3689</v>
      </c>
      <c r="E565" s="7954" t="s">
        <v>3690</v>
      </c>
      <c r="F565" s="7954" t="s">
        <v>2769</v>
      </c>
      <c r="G565" s="7954" t="s">
        <v>3691</v>
      </c>
      <c r="H565" s="7954" t="s">
        <v>22</v>
      </c>
      <c r="I565" s="7954" t="s">
        <v>2029</v>
      </c>
    </row>
    <row customHeight="1" ht="11.25">
      <c r="A566" s="7954" t="s">
        <v>2649</v>
      </c>
      <c r="B566" s="7954" t="s">
        <v>16</v>
      </c>
      <c r="C566" s="7954" t="s">
        <v>3692</v>
      </c>
      <c r="D566" s="7954" t="s">
        <v>3693</v>
      </c>
      <c r="E566" s="7954" t="s">
        <v>3694</v>
      </c>
      <c r="F566" s="7954" t="s">
        <v>2832</v>
      </c>
      <c r="G566" s="7954" t="s">
        <v>22</v>
      </c>
      <c r="H566" s="7954" t="s">
        <v>22</v>
      </c>
      <c r="I566" s="7954" t="s">
        <v>2029</v>
      </c>
    </row>
    <row customHeight="1" ht="11.25">
      <c r="A567" s="7954" t="s">
        <v>2649</v>
      </c>
      <c r="B567" s="7954" t="s">
        <v>16</v>
      </c>
      <c r="C567" s="7954" t="s">
        <v>3695</v>
      </c>
      <c r="D567" s="7954" t="s">
        <v>3696</v>
      </c>
      <c r="E567" s="7954" t="s">
        <v>3697</v>
      </c>
      <c r="F567" s="7954" t="s">
        <v>2719</v>
      </c>
      <c r="G567" s="7954" t="s">
        <v>3009</v>
      </c>
      <c r="H567" s="7954" t="s">
        <v>22</v>
      </c>
      <c r="I567" s="7954" t="s">
        <v>2029</v>
      </c>
    </row>
    <row customHeight="1" ht="11.25">
      <c r="A568" s="7954" t="s">
        <v>2649</v>
      </c>
      <c r="B568" s="7954" t="s">
        <v>16</v>
      </c>
      <c r="C568" s="7954" t="s">
        <v>3698</v>
      </c>
      <c r="D568" s="7954" t="s">
        <v>3699</v>
      </c>
      <c r="E568" s="7954" t="s">
        <v>3700</v>
      </c>
      <c r="F568" s="7954" t="s">
        <v>2727</v>
      </c>
      <c r="G568" s="7954" t="s">
        <v>3701</v>
      </c>
      <c r="H568" s="7954" t="s">
        <v>22</v>
      </c>
      <c r="I568" s="7954" t="s">
        <v>2029</v>
      </c>
    </row>
    <row customHeight="1" ht="11.25">
      <c r="A569" s="7954" t="s">
        <v>2649</v>
      </c>
      <c r="B569" s="7954" t="s">
        <v>16</v>
      </c>
      <c r="C569" s="7954" t="s">
        <v>3702</v>
      </c>
      <c r="D569" s="7954" t="s">
        <v>3703</v>
      </c>
      <c r="E569" s="7954" t="s">
        <v>3704</v>
      </c>
      <c r="F569" s="7954" t="s">
        <v>693</v>
      </c>
      <c r="G569" s="7954" t="s">
        <v>3705</v>
      </c>
      <c r="H569" s="7954" t="s">
        <v>22</v>
      </c>
      <c r="I569" s="7954" t="s">
        <v>2029</v>
      </c>
    </row>
    <row customHeight="1" ht="11.25">
      <c r="A570" s="7954" t="s">
        <v>2649</v>
      </c>
      <c r="B570" s="7954" t="s">
        <v>16</v>
      </c>
      <c r="C570" s="7954" t="s">
        <v>3706</v>
      </c>
      <c r="D570" s="7954" t="s">
        <v>3707</v>
      </c>
      <c r="E570" s="7954" t="s">
        <v>3708</v>
      </c>
      <c r="F570" s="7954" t="s">
        <v>693</v>
      </c>
      <c r="G570" s="7954" t="s">
        <v>3709</v>
      </c>
      <c r="H570" s="7954" t="s">
        <v>22</v>
      </c>
      <c r="I570" s="7954" t="s">
        <v>2029</v>
      </c>
    </row>
    <row customHeight="1" ht="11.25">
      <c r="A571" s="7954" t="s">
        <v>2649</v>
      </c>
      <c r="B571" s="7954" t="s">
        <v>16</v>
      </c>
      <c r="C571" s="7954" t="s">
        <v>3710</v>
      </c>
      <c r="D571" s="7954" t="s">
        <v>3711</v>
      </c>
      <c r="E571" s="7954" t="s">
        <v>3712</v>
      </c>
      <c r="F571" s="7954" t="s">
        <v>693</v>
      </c>
      <c r="G571" s="7954" t="s">
        <v>3705</v>
      </c>
      <c r="H571" s="7954" t="s">
        <v>22</v>
      </c>
      <c r="I571" s="7954" t="s">
        <v>2029</v>
      </c>
    </row>
    <row customHeight="1" ht="11.25">
      <c r="A572" s="7954" t="s">
        <v>2649</v>
      </c>
      <c r="B572" s="7954" t="s">
        <v>16</v>
      </c>
      <c r="C572" s="7954" t="s">
        <v>22</v>
      </c>
      <c r="D572" s="7954" t="s">
        <v>2815</v>
      </c>
      <c r="E572" s="7954" t="s">
        <v>2816</v>
      </c>
      <c r="F572" s="7954" t="s">
        <v>2663</v>
      </c>
      <c r="G572" s="7954" t="s">
        <v>22</v>
      </c>
      <c r="H572" s="7954" t="s">
        <v>22</v>
      </c>
      <c r="I572" s="7954" t="s">
        <v>2029</v>
      </c>
    </row>
    <row customHeight="1" ht="11.25">
      <c r="A573" s="7954" t="s">
        <v>2649</v>
      </c>
      <c r="B573" s="7954" t="s">
        <v>16</v>
      </c>
      <c r="C573" s="7954" t="s">
        <v>3713</v>
      </c>
      <c r="D573" s="7954" t="s">
        <v>3714</v>
      </c>
      <c r="E573" s="7954" t="s">
        <v>3715</v>
      </c>
      <c r="F573" s="7954" t="s">
        <v>2785</v>
      </c>
      <c r="G573" s="7954" t="s">
        <v>3716</v>
      </c>
      <c r="H573" s="7954" t="s">
        <v>22</v>
      </c>
      <c r="I573" s="7954" t="s">
        <v>2029</v>
      </c>
    </row>
    <row customHeight="1" ht="11.25">
      <c r="A574" s="7954" t="s">
        <v>2649</v>
      </c>
      <c r="B574" s="7954" t="s">
        <v>16</v>
      </c>
      <c r="C574" s="7954" t="s">
        <v>3717</v>
      </c>
      <c r="D574" s="7954" t="s">
        <v>3718</v>
      </c>
      <c r="E574" s="7954" t="s">
        <v>3719</v>
      </c>
      <c r="F574" s="7954" t="s">
        <v>2781</v>
      </c>
      <c r="G574" s="7954" t="s">
        <v>22</v>
      </c>
      <c r="H574" s="7954" t="s">
        <v>22</v>
      </c>
      <c r="I574" s="7954" t="s">
        <v>2029</v>
      </c>
    </row>
    <row customHeight="1" ht="11.25">
      <c r="A575" s="7954" t="s">
        <v>2649</v>
      </c>
      <c r="B575" s="7954" t="s">
        <v>16</v>
      </c>
      <c r="C575" s="7954" t="s">
        <v>3328</v>
      </c>
      <c r="D575" s="7954" t="s">
        <v>3329</v>
      </c>
      <c r="E575" s="7954" t="s">
        <v>3330</v>
      </c>
      <c r="F575" s="7954" t="s">
        <v>3331</v>
      </c>
      <c r="G575" s="7954" t="s">
        <v>22</v>
      </c>
      <c r="H575" s="7954" t="s">
        <v>22</v>
      </c>
      <c r="I575" s="7954" t="s">
        <v>2029</v>
      </c>
    </row>
    <row customHeight="1" ht="11.25">
      <c r="A576" s="7954" t="s">
        <v>2649</v>
      </c>
      <c r="B576" s="7954" t="s">
        <v>16</v>
      </c>
      <c r="C576" s="7954" t="s">
        <v>2850</v>
      </c>
      <c r="D576" s="7954" t="s">
        <v>2851</v>
      </c>
      <c r="E576" s="7954" t="s">
        <v>2852</v>
      </c>
      <c r="F576" s="7954" t="s">
        <v>2853</v>
      </c>
      <c r="G576" s="7954" t="s">
        <v>22</v>
      </c>
      <c r="H576" s="7954" t="s">
        <v>22</v>
      </c>
      <c r="I576" s="7954" t="s">
        <v>2029</v>
      </c>
    </row>
    <row customHeight="1" ht="11.25">
      <c r="A577" s="7954" t="s">
        <v>2649</v>
      </c>
      <c r="B577" s="7954" t="s">
        <v>16</v>
      </c>
      <c r="C577" s="7954" t="s">
        <v>2854</v>
      </c>
      <c r="D577" s="7954" t="s">
        <v>2855</v>
      </c>
      <c r="E577" s="7954" t="s">
        <v>2856</v>
      </c>
      <c r="F577" s="7954" t="s">
        <v>2857</v>
      </c>
      <c r="G577" s="7954" t="s">
        <v>22</v>
      </c>
      <c r="H577" s="7954" t="s">
        <v>22</v>
      </c>
      <c r="I577" s="7954" t="s">
        <v>2029</v>
      </c>
    </row>
    <row customHeight="1" ht="11.25">
      <c r="A578" s="7954" t="s">
        <v>2649</v>
      </c>
      <c r="B578" s="7954" t="s">
        <v>16</v>
      </c>
      <c r="C578" s="7954" t="s">
        <v>3720</v>
      </c>
      <c r="D578" s="7954" t="s">
        <v>3721</v>
      </c>
      <c r="E578" s="7954" t="s">
        <v>3722</v>
      </c>
      <c r="F578" s="7954" t="s">
        <v>2955</v>
      </c>
      <c r="G578" s="7954" t="s">
        <v>3723</v>
      </c>
      <c r="H578" s="7954" t="s">
        <v>22</v>
      </c>
      <c r="I578" s="7954" t="s">
        <v>2029</v>
      </c>
    </row>
    <row customHeight="1" ht="11.25">
      <c r="A579" s="7954" t="s">
        <v>2649</v>
      </c>
      <c r="B579" s="7954" t="s">
        <v>16</v>
      </c>
      <c r="C579" s="7954" t="s">
        <v>3724</v>
      </c>
      <c r="D579" s="7954" t="s">
        <v>3725</v>
      </c>
      <c r="E579" s="7954" t="s">
        <v>3726</v>
      </c>
      <c r="F579" s="7954" t="s">
        <v>2727</v>
      </c>
      <c r="G579" s="7954" t="s">
        <v>3727</v>
      </c>
      <c r="H579" s="7954" t="s">
        <v>22</v>
      </c>
      <c r="I579" s="7954" t="s">
        <v>2029</v>
      </c>
    </row>
    <row customHeight="1" ht="11.25">
      <c r="A580" s="7954" t="s">
        <v>2649</v>
      </c>
      <c r="B580" s="7954" t="s">
        <v>16</v>
      </c>
      <c r="C580" s="7954" t="s">
        <v>3656</v>
      </c>
      <c r="D580" s="7954" t="s">
        <v>3657</v>
      </c>
      <c r="E580" s="7954" t="s">
        <v>3658</v>
      </c>
      <c r="F580" s="7954" t="s">
        <v>2955</v>
      </c>
      <c r="G580" s="7954" t="s">
        <v>22</v>
      </c>
      <c r="H580" s="7954" t="s">
        <v>22</v>
      </c>
      <c r="I580" s="7954" t="s">
        <v>2029</v>
      </c>
    </row>
    <row customHeight="1" ht="11.25">
      <c r="A581" s="7954" t="s">
        <v>2649</v>
      </c>
      <c r="B581" s="7954" t="s">
        <v>16</v>
      </c>
      <c r="C581" s="7954" t="s">
        <v>2903</v>
      </c>
      <c r="D581" s="7954" t="s">
        <v>2904</v>
      </c>
      <c r="E581" s="7954" t="s">
        <v>2905</v>
      </c>
      <c r="F581" s="7954" t="s">
        <v>2886</v>
      </c>
      <c r="G581" s="7954" t="s">
        <v>22</v>
      </c>
      <c r="H581" s="7954" t="s">
        <v>22</v>
      </c>
      <c r="I581" s="7954" t="s">
        <v>2029</v>
      </c>
    </row>
    <row customHeight="1" ht="11.25">
      <c r="A582" s="7954" t="s">
        <v>2649</v>
      </c>
      <c r="B582" s="7954" t="s">
        <v>16</v>
      </c>
      <c r="C582" s="7954" t="s">
        <v>2939</v>
      </c>
      <c r="D582" s="7954" t="s">
        <v>2940</v>
      </c>
      <c r="E582" s="7954" t="s">
        <v>2941</v>
      </c>
      <c r="F582" s="7954" t="s">
        <v>2793</v>
      </c>
      <c r="G582" s="7954" t="s">
        <v>22</v>
      </c>
      <c r="H582" s="7954" t="s">
        <v>22</v>
      </c>
      <c r="I582" s="7954" t="s">
        <v>2029</v>
      </c>
    </row>
    <row customHeight="1" ht="11.25">
      <c r="A583" s="7954" t="s">
        <v>2649</v>
      </c>
      <c r="B583" s="7954" t="s">
        <v>16</v>
      </c>
      <c r="C583" s="7954" t="s">
        <v>3728</v>
      </c>
      <c r="D583" s="7954" t="s">
        <v>3729</v>
      </c>
      <c r="E583" s="7954" t="s">
        <v>3730</v>
      </c>
      <c r="F583" s="7954" t="s">
        <v>2827</v>
      </c>
      <c r="G583" s="7954" t="s">
        <v>22</v>
      </c>
      <c r="H583" s="7954" t="s">
        <v>22</v>
      </c>
      <c r="I583" s="7954" t="s">
        <v>2029</v>
      </c>
    </row>
    <row customHeight="1" ht="11.25">
      <c r="A584" s="7954" t="s">
        <v>2649</v>
      </c>
      <c r="B584" s="7954" t="s">
        <v>16</v>
      </c>
      <c r="C584" s="7954" t="s">
        <v>3731</v>
      </c>
      <c r="D584" s="7954" t="s">
        <v>3732</v>
      </c>
      <c r="E584" s="7954" t="s">
        <v>3733</v>
      </c>
      <c r="F584" s="7954" t="s">
        <v>2663</v>
      </c>
      <c r="G584" s="7954" t="s">
        <v>3734</v>
      </c>
      <c r="H584" s="7954" t="s">
        <v>22</v>
      </c>
      <c r="I584" s="7954" t="s">
        <v>2029</v>
      </c>
    </row>
    <row customHeight="1" ht="11.25">
      <c r="A585" s="7954" t="s">
        <v>2649</v>
      </c>
      <c r="B585" s="7954" t="s">
        <v>16</v>
      </c>
      <c r="C585" s="7954" t="s">
        <v>3735</v>
      </c>
      <c r="D585" s="7954" t="s">
        <v>3736</v>
      </c>
      <c r="E585" s="7954" t="s">
        <v>3737</v>
      </c>
      <c r="F585" s="7954" t="s">
        <v>2896</v>
      </c>
      <c r="G585" s="7954" t="s">
        <v>22</v>
      </c>
      <c r="H585" s="7954" t="s">
        <v>22</v>
      </c>
      <c r="I585" s="7954" t="s">
        <v>2029</v>
      </c>
    </row>
    <row customHeight="1" ht="11.25">
      <c r="A586" s="7954" t="s">
        <v>2649</v>
      </c>
      <c r="B586" s="7954" t="s">
        <v>16</v>
      </c>
      <c r="C586" s="7954" t="s">
        <v>3738</v>
      </c>
      <c r="D586" s="7954" t="s">
        <v>3739</v>
      </c>
      <c r="E586" s="7954" t="s">
        <v>3740</v>
      </c>
      <c r="F586" s="7954" t="s">
        <v>2727</v>
      </c>
      <c r="G586" s="7954" t="s">
        <v>3741</v>
      </c>
      <c r="H586" s="7954" t="s">
        <v>22</v>
      </c>
      <c r="I586" s="7954" t="s">
        <v>2029</v>
      </c>
    </row>
    <row customHeight="1" ht="11.25">
      <c r="A587" s="7954" t="s">
        <v>2649</v>
      </c>
      <c r="B587" s="7954" t="s">
        <v>16</v>
      </c>
      <c r="C587" s="7954" t="s">
        <v>3742</v>
      </c>
      <c r="D587" s="7954" t="s">
        <v>3743</v>
      </c>
      <c r="E587" s="7954" t="s">
        <v>3744</v>
      </c>
      <c r="F587" s="7954" t="s">
        <v>2709</v>
      </c>
      <c r="G587" s="7954" t="s">
        <v>3745</v>
      </c>
      <c r="H587" s="7954" t="s">
        <v>22</v>
      </c>
      <c r="I587" s="7954" t="s">
        <v>2029</v>
      </c>
    </row>
    <row customHeight="1" ht="11.25">
      <c r="A588" s="7954" t="s">
        <v>2649</v>
      </c>
      <c r="B588" s="7954" t="s">
        <v>16</v>
      </c>
      <c r="C588" s="7954" t="s">
        <v>3746</v>
      </c>
      <c r="D588" s="7954" t="s">
        <v>3747</v>
      </c>
      <c r="E588" s="7954" t="s">
        <v>3748</v>
      </c>
      <c r="F588" s="7954" t="s">
        <v>2678</v>
      </c>
      <c r="G588" s="7954" t="s">
        <v>3749</v>
      </c>
      <c r="H588" s="7954" t="s">
        <v>22</v>
      </c>
      <c r="I588" s="7954" t="s">
        <v>2029</v>
      </c>
    </row>
    <row customHeight="1" ht="11.25">
      <c r="A589" s="7954" t="s">
        <v>2649</v>
      </c>
      <c r="B589" s="7954" t="s">
        <v>16</v>
      </c>
      <c r="C589" s="7954" t="s">
        <v>3750</v>
      </c>
      <c r="D589" s="7954" t="s">
        <v>3751</v>
      </c>
      <c r="E589" s="7954" t="s">
        <v>3752</v>
      </c>
      <c r="F589" s="7954" t="s">
        <v>3753</v>
      </c>
      <c r="G589" s="7954" t="s">
        <v>3754</v>
      </c>
      <c r="H589" s="7954" t="s">
        <v>22</v>
      </c>
      <c r="I589" s="7954" t="s">
        <v>2029</v>
      </c>
    </row>
    <row customHeight="1" ht="11.25">
      <c r="A590" s="7954" t="s">
        <v>2649</v>
      </c>
      <c r="B590" s="7954" t="s">
        <v>16</v>
      </c>
      <c r="C590" s="7954" t="s">
        <v>3755</v>
      </c>
      <c r="D590" s="7954" t="s">
        <v>3756</v>
      </c>
      <c r="E590" s="7954" t="s">
        <v>3757</v>
      </c>
      <c r="F590" s="7954" t="s">
        <v>2709</v>
      </c>
      <c r="G590" s="7954" t="s">
        <v>22</v>
      </c>
      <c r="H590" s="7954" t="s">
        <v>22</v>
      </c>
      <c r="I590" s="7954" t="s">
        <v>2029</v>
      </c>
    </row>
    <row customHeight="1" ht="11.25">
      <c r="A591" s="7954" t="s">
        <v>2649</v>
      </c>
      <c r="B591" s="7954" t="s">
        <v>16</v>
      </c>
      <c r="C591" s="7954" t="s">
        <v>3758</v>
      </c>
      <c r="D591" s="7954" t="s">
        <v>3759</v>
      </c>
      <c r="E591" s="7954" t="s">
        <v>3760</v>
      </c>
      <c r="F591" s="7954" t="s">
        <v>2723</v>
      </c>
      <c r="G591" s="7954" t="s">
        <v>3761</v>
      </c>
      <c r="H591" s="7954" t="s">
        <v>22</v>
      </c>
      <c r="I591" s="7954" t="s">
        <v>2029</v>
      </c>
    </row>
    <row customHeight="1" ht="11.25">
      <c r="A592" s="7954" t="s">
        <v>2649</v>
      </c>
      <c r="B592" s="7954" t="s">
        <v>16</v>
      </c>
      <c r="C592" s="7954" t="s">
        <v>3762</v>
      </c>
      <c r="D592" s="7954" t="s">
        <v>3763</v>
      </c>
      <c r="E592" s="7954" t="s">
        <v>3764</v>
      </c>
      <c r="F592" s="7954" t="s">
        <v>2727</v>
      </c>
      <c r="G592" s="7954" t="s">
        <v>22</v>
      </c>
      <c r="H592" s="7954" t="s">
        <v>22</v>
      </c>
      <c r="I592" s="7954" t="s">
        <v>2029</v>
      </c>
    </row>
    <row customHeight="1" ht="11.25">
      <c r="A593" s="7954" t="s">
        <v>2649</v>
      </c>
      <c r="B593" s="7954" t="s">
        <v>16</v>
      </c>
      <c r="C593" s="7954" t="s">
        <v>3765</v>
      </c>
      <c r="D593" s="7954" t="s">
        <v>3766</v>
      </c>
      <c r="E593" s="7954" t="s">
        <v>3767</v>
      </c>
      <c r="F593" s="7954" t="s">
        <v>2723</v>
      </c>
      <c r="G593" s="7954" t="s">
        <v>3768</v>
      </c>
      <c r="H593" s="7954" t="s">
        <v>22</v>
      </c>
      <c r="I593" s="7954" t="s">
        <v>2029</v>
      </c>
    </row>
    <row customHeight="1" ht="11.25">
      <c r="A594" s="7954" t="s">
        <v>2649</v>
      </c>
      <c r="B594" s="7954" t="s">
        <v>16</v>
      </c>
      <c r="C594" s="7954" t="s">
        <v>3769</v>
      </c>
      <c r="D594" s="7954" t="s">
        <v>3770</v>
      </c>
      <c r="E594" s="7954" t="s">
        <v>3771</v>
      </c>
      <c r="F594" s="7954" t="s">
        <v>50</v>
      </c>
      <c r="G594" s="7954" t="s">
        <v>22</v>
      </c>
      <c r="H594" s="7954" t="s">
        <v>22</v>
      </c>
      <c r="I594" s="7954" t="s">
        <v>2029</v>
      </c>
    </row>
    <row customHeight="1" ht="11.25">
      <c r="A595" s="7954" t="s">
        <v>2649</v>
      </c>
      <c r="B595" s="7954" t="s">
        <v>16</v>
      </c>
      <c r="C595" s="7954" t="s">
        <v>3571</v>
      </c>
      <c r="D595" s="7954" t="s">
        <v>3572</v>
      </c>
      <c r="E595" s="7954" t="s">
        <v>3573</v>
      </c>
      <c r="F595" s="7954" t="s">
        <v>2915</v>
      </c>
      <c r="G595" s="7954" t="s">
        <v>3574</v>
      </c>
      <c r="H595" s="7954" t="s">
        <v>22</v>
      </c>
      <c r="I595" s="7954" t="s">
        <v>2029</v>
      </c>
    </row>
    <row customHeight="1" ht="11.25">
      <c r="A596" s="7954" t="s">
        <v>2649</v>
      </c>
      <c r="B596" s="7954" t="s">
        <v>16</v>
      </c>
      <c r="C596" s="7954" t="s">
        <v>3772</v>
      </c>
      <c r="D596" s="7954" t="s">
        <v>3773</v>
      </c>
      <c r="E596" s="7954" t="s">
        <v>3774</v>
      </c>
      <c r="F596" s="7954" t="s">
        <v>2777</v>
      </c>
      <c r="G596" s="7954" t="s">
        <v>3775</v>
      </c>
      <c r="H596" s="7954" t="s">
        <v>22</v>
      </c>
      <c r="I596" s="7954" t="s">
        <v>2029</v>
      </c>
    </row>
    <row customHeight="1" ht="11.25">
      <c r="A597" s="7954" t="s">
        <v>2649</v>
      </c>
      <c r="B597" s="7954" t="s">
        <v>16</v>
      </c>
      <c r="C597" s="7954" t="s">
        <v>3776</v>
      </c>
      <c r="D597" s="7954" t="s">
        <v>3777</v>
      </c>
      <c r="E597" s="7954" t="s">
        <v>3778</v>
      </c>
      <c r="F597" s="7954" t="s">
        <v>3779</v>
      </c>
      <c r="G597" s="7954" t="s">
        <v>3780</v>
      </c>
      <c r="H597" s="7954" t="s">
        <v>22</v>
      </c>
      <c r="I597" s="7954" t="s">
        <v>2029</v>
      </c>
    </row>
    <row customHeight="1" ht="11.25">
      <c r="A598" s="7954" t="s">
        <v>2649</v>
      </c>
      <c r="B598" s="7954" t="s">
        <v>16</v>
      </c>
      <c r="C598" s="7954" t="s">
        <v>3588</v>
      </c>
      <c r="D598" s="7954" t="s">
        <v>3589</v>
      </c>
      <c r="E598" s="7954" t="s">
        <v>3590</v>
      </c>
      <c r="F598" s="7954" t="s">
        <v>2769</v>
      </c>
      <c r="G598" s="7954" t="s">
        <v>22</v>
      </c>
      <c r="H598" s="7954" t="s">
        <v>22</v>
      </c>
      <c r="I598" s="7954" t="s">
        <v>2029</v>
      </c>
    </row>
    <row customHeight="1" ht="11.25">
      <c r="A599" s="7954" t="s">
        <v>2649</v>
      </c>
      <c r="B599" s="7954" t="s">
        <v>16</v>
      </c>
      <c r="C599" s="7954" t="s">
        <v>3781</v>
      </c>
      <c r="D599" s="7954" t="s">
        <v>3782</v>
      </c>
      <c r="E599" s="7954" t="s">
        <v>3783</v>
      </c>
      <c r="F599" s="7954" t="s">
        <v>2686</v>
      </c>
      <c r="G599" s="7954" t="s">
        <v>22</v>
      </c>
      <c r="H599" s="7954" t="s">
        <v>22</v>
      </c>
      <c r="I599" s="7954" t="s">
        <v>2029</v>
      </c>
    </row>
    <row customHeight="1" ht="11.25">
      <c r="A600" s="7954" t="s">
        <v>2649</v>
      </c>
      <c r="B600" s="7954" t="s">
        <v>16</v>
      </c>
      <c r="C600" s="7954" t="s">
        <v>3784</v>
      </c>
      <c r="D600" s="7954" t="s">
        <v>3785</v>
      </c>
      <c r="E600" s="7954" t="s">
        <v>3786</v>
      </c>
      <c r="F600" s="7954" t="s">
        <v>2886</v>
      </c>
      <c r="G600" s="7954" t="s">
        <v>3787</v>
      </c>
      <c r="H600" s="7954" t="s">
        <v>22</v>
      </c>
      <c r="I600" s="7954" t="s">
        <v>2029</v>
      </c>
    </row>
    <row customHeight="1" ht="11.25">
      <c r="A601" s="7954" t="s">
        <v>2649</v>
      </c>
      <c r="B601" s="7954" t="s">
        <v>16</v>
      </c>
      <c r="C601" s="7954" t="s">
        <v>3662</v>
      </c>
      <c r="D601" s="7954" t="s">
        <v>3663</v>
      </c>
      <c r="E601" s="7954" t="s">
        <v>3664</v>
      </c>
      <c r="F601" s="7954" t="s">
        <v>2686</v>
      </c>
      <c r="G601" s="7954" t="s">
        <v>22</v>
      </c>
      <c r="H601" s="7954" t="s">
        <v>22</v>
      </c>
      <c r="I601" s="7954" t="s">
        <v>2029</v>
      </c>
    </row>
    <row customHeight="1" ht="11.25">
      <c r="A602" s="7954" t="s">
        <v>2649</v>
      </c>
      <c r="B602" s="7954" t="s">
        <v>16</v>
      </c>
      <c r="C602" s="7954" t="s">
        <v>3788</v>
      </c>
      <c r="D602" s="7954" t="s">
        <v>3789</v>
      </c>
      <c r="E602" s="7954" t="s">
        <v>3790</v>
      </c>
      <c r="F602" s="7954" t="s">
        <v>2769</v>
      </c>
      <c r="G602" s="7954" t="s">
        <v>3791</v>
      </c>
      <c r="H602" s="7954" t="s">
        <v>22</v>
      </c>
      <c r="I602" s="7954" t="s">
        <v>2029</v>
      </c>
    </row>
    <row customHeight="1" ht="11.25">
      <c r="A603" s="7954" t="s">
        <v>2649</v>
      </c>
      <c r="B603" s="7954" t="s">
        <v>16</v>
      </c>
      <c r="C603" s="7954" t="s">
        <v>3792</v>
      </c>
      <c r="D603" s="7954" t="s">
        <v>3793</v>
      </c>
      <c r="E603" s="7954" t="s">
        <v>3794</v>
      </c>
      <c r="F603" s="7954" t="s">
        <v>2719</v>
      </c>
      <c r="G603" s="7954" t="s">
        <v>3795</v>
      </c>
      <c r="H603" s="7954" t="s">
        <v>22</v>
      </c>
      <c r="I603" s="7954" t="s">
        <v>2029</v>
      </c>
    </row>
    <row customHeight="1" ht="11.25">
      <c r="A604" s="7954" t="s">
        <v>2649</v>
      </c>
      <c r="B604" s="7954" t="s">
        <v>16</v>
      </c>
      <c r="C604" s="7954" t="s">
        <v>3796</v>
      </c>
      <c r="D604" s="7954" t="s">
        <v>3797</v>
      </c>
      <c r="E604" s="7954" t="s">
        <v>3798</v>
      </c>
      <c r="F604" s="7954" t="s">
        <v>2678</v>
      </c>
      <c r="G604" s="7954" t="s">
        <v>3799</v>
      </c>
      <c r="H604" s="7954" t="s">
        <v>22</v>
      </c>
      <c r="I604" s="7954" t="s">
        <v>2029</v>
      </c>
    </row>
    <row customHeight="1" ht="11.25">
      <c r="A605" s="7954" t="s">
        <v>2649</v>
      </c>
      <c r="B605" s="7954" t="s">
        <v>16</v>
      </c>
      <c r="C605" s="7954" t="s">
        <v>3800</v>
      </c>
      <c r="D605" s="7954" t="s">
        <v>3801</v>
      </c>
      <c r="E605" s="7954" t="s">
        <v>3802</v>
      </c>
      <c r="F605" s="7954" t="s">
        <v>2727</v>
      </c>
      <c r="G605" s="7954" t="s">
        <v>3803</v>
      </c>
      <c r="H605" s="7954" t="s">
        <v>22</v>
      </c>
      <c r="I605" s="7954" t="s">
        <v>2029</v>
      </c>
    </row>
    <row customHeight="1" ht="11.25">
      <c r="A606" s="7954" t="s">
        <v>2649</v>
      </c>
      <c r="B606" s="7954" t="s">
        <v>16</v>
      </c>
      <c r="C606" s="7954" t="s">
        <v>3804</v>
      </c>
      <c r="D606" s="7954" t="s">
        <v>3805</v>
      </c>
      <c r="E606" s="7954" t="s">
        <v>3806</v>
      </c>
      <c r="F606" s="7954" t="s">
        <v>2832</v>
      </c>
      <c r="G606" s="7954" t="s">
        <v>22</v>
      </c>
      <c r="H606" s="7954" t="s">
        <v>22</v>
      </c>
      <c r="I606" s="7954" t="s">
        <v>2029</v>
      </c>
    </row>
    <row customHeight="1" ht="11.25">
      <c r="A607" s="7954" t="s">
        <v>2649</v>
      </c>
      <c r="B607" s="7954" t="s">
        <v>16</v>
      </c>
      <c r="C607" s="7954" t="s">
        <v>3807</v>
      </c>
      <c r="D607" s="7954" t="s">
        <v>3808</v>
      </c>
      <c r="E607" s="7954" t="s">
        <v>3809</v>
      </c>
      <c r="F607" s="7954" t="s">
        <v>2709</v>
      </c>
      <c r="G607" s="7954" t="s">
        <v>22</v>
      </c>
      <c r="H607" s="7954" t="s">
        <v>22</v>
      </c>
      <c r="I607" s="7954" t="s">
        <v>2029</v>
      </c>
    </row>
    <row customHeight="1" ht="11.25">
      <c r="A608" s="7954" t="s">
        <v>2649</v>
      </c>
      <c r="B608" s="7954" t="s">
        <v>16</v>
      </c>
      <c r="C608" s="7954" t="s">
        <v>3810</v>
      </c>
      <c r="D608" s="7954" t="s">
        <v>3811</v>
      </c>
      <c r="E608" s="7954" t="s">
        <v>3812</v>
      </c>
      <c r="F608" s="7954" t="s">
        <v>2785</v>
      </c>
      <c r="G608" s="7954" t="s">
        <v>22</v>
      </c>
      <c r="H608" s="7954" t="s">
        <v>22</v>
      </c>
      <c r="I608" s="7954" t="s">
        <v>2029</v>
      </c>
    </row>
    <row customHeight="1" ht="11.25">
      <c r="A609" s="7954" t="s">
        <v>2649</v>
      </c>
      <c r="B609" s="7954" t="s">
        <v>16</v>
      </c>
      <c r="C609" s="7954" t="s">
        <v>3813</v>
      </c>
      <c r="D609" s="7954" t="s">
        <v>3814</v>
      </c>
      <c r="E609" s="7954" t="s">
        <v>3815</v>
      </c>
      <c r="F609" s="7954" t="s">
        <v>2723</v>
      </c>
      <c r="G609" s="7954" t="s">
        <v>3816</v>
      </c>
      <c r="H609" s="7954" t="s">
        <v>22</v>
      </c>
      <c r="I609" s="7954" t="s">
        <v>2029</v>
      </c>
    </row>
    <row customHeight="1" ht="11.25">
      <c r="A610" s="7954" t="s">
        <v>2649</v>
      </c>
      <c r="B610" s="7954" t="s">
        <v>16</v>
      </c>
      <c r="C610" s="7954" t="s">
        <v>3817</v>
      </c>
      <c r="D610" s="7954" t="s">
        <v>3818</v>
      </c>
      <c r="E610" s="7954" t="s">
        <v>3819</v>
      </c>
      <c r="F610" s="7954" t="s">
        <v>2785</v>
      </c>
      <c r="G610" s="7954" t="s">
        <v>22</v>
      </c>
      <c r="H610" s="7954" t="s">
        <v>22</v>
      </c>
      <c r="I610" s="7954" t="s">
        <v>2029</v>
      </c>
    </row>
    <row customHeight="1" ht="11.25">
      <c r="A611" s="7954" t="s">
        <v>2649</v>
      </c>
      <c r="B611" s="7954" t="s">
        <v>16</v>
      </c>
      <c r="C611" s="7954" t="s">
        <v>3820</v>
      </c>
      <c r="D611" s="7954" t="s">
        <v>3821</v>
      </c>
      <c r="E611" s="7954" t="s">
        <v>3822</v>
      </c>
      <c r="F611" s="7954" t="s">
        <v>2769</v>
      </c>
      <c r="G611" s="7954" t="s">
        <v>3823</v>
      </c>
      <c r="H611" s="7954" t="s">
        <v>22</v>
      </c>
      <c r="I611" s="7954" t="s">
        <v>2029</v>
      </c>
    </row>
    <row customHeight="1" ht="11.25">
      <c r="A612" s="7954" t="s">
        <v>2649</v>
      </c>
      <c r="B612" s="7954" t="s">
        <v>16</v>
      </c>
      <c r="C612" s="7954" t="s">
        <v>3824</v>
      </c>
      <c r="D612" s="7954" t="s">
        <v>3825</v>
      </c>
      <c r="E612" s="7954" t="s">
        <v>3826</v>
      </c>
      <c r="F612" s="7954" t="s">
        <v>3546</v>
      </c>
      <c r="G612" s="7954" t="s">
        <v>22</v>
      </c>
      <c r="H612" s="7954" t="s">
        <v>22</v>
      </c>
      <c r="I612" s="7954" t="s">
        <v>2029</v>
      </c>
    </row>
    <row customHeight="1" ht="11.25">
      <c r="A613" s="7954" t="s">
        <v>2649</v>
      </c>
      <c r="B613" s="7954" t="s">
        <v>16</v>
      </c>
      <c r="C613" s="7954" t="s">
        <v>3827</v>
      </c>
      <c r="D613" s="7954" t="s">
        <v>3828</v>
      </c>
      <c r="E613" s="7954" t="s">
        <v>3829</v>
      </c>
      <c r="F613" s="7954" t="s">
        <v>2777</v>
      </c>
      <c r="G613" s="7954" t="s">
        <v>3830</v>
      </c>
      <c r="H613" s="7954" t="s">
        <v>22</v>
      </c>
      <c r="I613" s="7954" t="s">
        <v>2029</v>
      </c>
    </row>
    <row customHeight="1" ht="11.25">
      <c r="A614" s="7954" t="s">
        <v>2649</v>
      </c>
      <c r="B614" s="7954" t="s">
        <v>16</v>
      </c>
      <c r="C614" s="7954" t="s">
        <v>3831</v>
      </c>
      <c r="D614" s="7954" t="s">
        <v>3832</v>
      </c>
      <c r="E614" s="7954" t="s">
        <v>3833</v>
      </c>
      <c r="F614" s="7954" t="s">
        <v>3490</v>
      </c>
      <c r="G614" s="7954" t="s">
        <v>22</v>
      </c>
      <c r="H614" s="7954" t="s">
        <v>22</v>
      </c>
      <c r="I614" s="7954" t="s">
        <v>2029</v>
      </c>
    </row>
    <row customHeight="1" ht="11.25">
      <c r="A615" s="7954" t="s">
        <v>2649</v>
      </c>
      <c r="B615" s="7954" t="s">
        <v>16</v>
      </c>
      <c r="C615" s="7954" t="s">
        <v>3834</v>
      </c>
      <c r="D615" s="7954" t="s">
        <v>3835</v>
      </c>
      <c r="E615" s="7954" t="s">
        <v>3836</v>
      </c>
      <c r="F615" s="7954" t="s">
        <v>2896</v>
      </c>
      <c r="G615" s="7954" t="s">
        <v>22</v>
      </c>
      <c r="H615" s="7954" t="s">
        <v>22</v>
      </c>
      <c r="I615" s="7954" t="s">
        <v>2029</v>
      </c>
    </row>
    <row customHeight="1" ht="11.25">
      <c r="A616" s="7954" t="s">
        <v>2649</v>
      </c>
      <c r="B616" s="7954" t="s">
        <v>16</v>
      </c>
      <c r="C616" s="7954" t="s">
        <v>3142</v>
      </c>
      <c r="D616" s="7954" t="s">
        <v>3143</v>
      </c>
      <c r="E616" s="7954" t="s">
        <v>3144</v>
      </c>
      <c r="F616" s="7954" t="s">
        <v>2686</v>
      </c>
      <c r="G616" s="7954" t="s">
        <v>22</v>
      </c>
      <c r="H616" s="7954" t="s">
        <v>22</v>
      </c>
      <c r="I616" s="7954" t="s">
        <v>2029</v>
      </c>
    </row>
    <row customHeight="1" ht="11.25">
      <c r="A617" s="7954" t="s">
        <v>2649</v>
      </c>
      <c r="B617" s="7954" t="s">
        <v>16</v>
      </c>
      <c r="C617" s="7954" t="s">
        <v>3837</v>
      </c>
      <c r="D617" s="7954" t="s">
        <v>3838</v>
      </c>
      <c r="E617" s="7954" t="s">
        <v>3839</v>
      </c>
      <c r="F617" s="7954" t="s">
        <v>2777</v>
      </c>
      <c r="G617" s="7954" t="s">
        <v>22</v>
      </c>
      <c r="H617" s="7954" t="s">
        <v>22</v>
      </c>
      <c r="I617" s="7954" t="s">
        <v>2029</v>
      </c>
    </row>
    <row customHeight="1" ht="11.25">
      <c r="A618" s="7954" t="s">
        <v>2649</v>
      </c>
      <c r="B618" s="7954" t="s">
        <v>16</v>
      </c>
      <c r="C618" s="7954" t="s">
        <v>3840</v>
      </c>
      <c r="D618" s="7954" t="s">
        <v>3841</v>
      </c>
      <c r="E618" s="7954" t="s">
        <v>3842</v>
      </c>
      <c r="F618" s="7954" t="s">
        <v>2896</v>
      </c>
      <c r="G618" s="7954" t="s">
        <v>22</v>
      </c>
      <c r="H618" s="7954" t="s">
        <v>22</v>
      </c>
      <c r="I618" s="7954" t="s">
        <v>2029</v>
      </c>
    </row>
    <row customHeight="1" ht="11.25">
      <c r="A619" s="7954" t="s">
        <v>2649</v>
      </c>
      <c r="B619" s="7954" t="s">
        <v>16</v>
      </c>
      <c r="C619" s="7954" t="s">
        <v>3843</v>
      </c>
      <c r="D619" s="7954" t="s">
        <v>3844</v>
      </c>
      <c r="E619" s="7954" t="s">
        <v>3845</v>
      </c>
      <c r="F619" s="7954" t="s">
        <v>2962</v>
      </c>
      <c r="G619" s="7954" t="s">
        <v>3846</v>
      </c>
      <c r="H619" s="7954" t="s">
        <v>22</v>
      </c>
      <c r="I619" s="7954" t="s">
        <v>2029</v>
      </c>
    </row>
    <row customHeight="1" ht="11.25">
      <c r="A620" s="7954" t="s">
        <v>2649</v>
      </c>
      <c r="B620" s="7954" t="s">
        <v>16</v>
      </c>
      <c r="C620" s="7954" t="s">
        <v>3847</v>
      </c>
      <c r="D620" s="7954" t="s">
        <v>3848</v>
      </c>
      <c r="E620" s="7954" t="s">
        <v>3849</v>
      </c>
      <c r="F620" s="7954" t="s">
        <v>2663</v>
      </c>
      <c r="G620" s="7954" t="s">
        <v>3209</v>
      </c>
      <c r="H620" s="7954" t="s">
        <v>22</v>
      </c>
      <c r="I620" s="7954" t="s">
        <v>2029</v>
      </c>
    </row>
    <row customHeight="1" ht="11.25">
      <c r="A621" s="7954" t="s">
        <v>2649</v>
      </c>
      <c r="B621" s="7954" t="s">
        <v>16</v>
      </c>
      <c r="C621" s="7954" t="s">
        <v>3281</v>
      </c>
      <c r="D621" s="7954" t="s">
        <v>3282</v>
      </c>
      <c r="E621" s="7954" t="s">
        <v>3283</v>
      </c>
      <c r="F621" s="7954" t="s">
        <v>3284</v>
      </c>
      <c r="G621" s="7954" t="s">
        <v>22</v>
      </c>
      <c r="H621" s="7954" t="s">
        <v>22</v>
      </c>
      <c r="I621" s="7954" t="s">
        <v>2029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06C3B8-D76E-33C8-03F8-21DB71BA16E8}" mc:Ignorable="x14ac xr xr2 xr3">
  <sheetPr>
    <tabColor rgb="FFFFCC99"/>
  </sheetPr>
  <dimension ref="A1:G344"/>
  <sheetViews>
    <sheetView topLeftCell="A1" showGridLines="0" workbookViewId="0">
      <selection activeCell="A1" sqref="A1"/>
    </sheetView>
  </sheetViews>
  <sheetFormatPr customHeight="1" defaultRowHeight="11.25"/>
  <cols>
    <col min="1" max="1" style="7954" width="9.140625"/>
  </cols>
  <sheetData>
    <row customHeight="1" ht="11.25">
      <c r="A1" s="497" t="s">
        <v>3850</v>
      </c>
      <c r="B1" s="186" t="s">
        <v>3851</v>
      </c>
      <c r="C1" s="186" t="s">
        <v>3852</v>
      </c>
      <c r="D1" s="186" t="s">
        <v>3853</v>
      </c>
      <c r="E1" s="66" t="s">
        <v>3854</v>
      </c>
      <c r="F1" s="66" t="s">
        <v>3855</v>
      </c>
      <c r="G1" s="66" t="s">
        <v>3856</v>
      </c>
    </row>
    <row customHeight="1" ht="11.25">
      <c r="A2" s="497" t="s">
        <v>16</v>
      </c>
      <c r="B2" s="0" t="s">
        <v>3857</v>
      </c>
      <c r="C2" s="0" t="s">
        <v>3858</v>
      </c>
      <c r="D2" s="0" t="s">
        <v>3857</v>
      </c>
      <c r="E2" s="0" t="s">
        <v>3858</v>
      </c>
      <c r="F2" s="0" t="s">
        <v>3859</v>
      </c>
      <c r="G2" s="0" t="s">
        <v>210</v>
      </c>
    </row>
    <row customHeight="1" ht="11.25">
      <c r="A3" s="497" t="s">
        <v>16</v>
      </c>
      <c r="B3" s="0" t="s">
        <v>3857</v>
      </c>
      <c r="C3" s="0" t="s">
        <v>3858</v>
      </c>
      <c r="D3" s="0" t="s">
        <v>3860</v>
      </c>
      <c r="E3" s="0" t="s">
        <v>3861</v>
      </c>
      <c r="F3" s="0" t="s">
        <v>3862</v>
      </c>
      <c r="G3" s="0" t="s">
        <v>102</v>
      </c>
    </row>
    <row customHeight="1" ht="11.25">
      <c r="A4" s="497" t="s">
        <v>16</v>
      </c>
      <c r="B4" s="0" t="s">
        <v>3857</v>
      </c>
      <c r="C4" s="0" t="s">
        <v>3858</v>
      </c>
      <c r="D4" s="0" t="s">
        <v>3863</v>
      </c>
      <c r="E4" s="0" t="s">
        <v>3864</v>
      </c>
      <c r="F4" s="0" t="s">
        <v>3862</v>
      </c>
      <c r="G4" s="0" t="s">
        <v>90</v>
      </c>
    </row>
    <row customHeight="1" ht="11.25">
      <c r="A5" s="497" t="s">
        <v>16</v>
      </c>
      <c r="B5" s="0" t="s">
        <v>3857</v>
      </c>
      <c r="C5" s="0" t="s">
        <v>3858</v>
      </c>
      <c r="D5" s="0" t="s">
        <v>3865</v>
      </c>
      <c r="E5" s="0" t="s">
        <v>3866</v>
      </c>
      <c r="F5" s="0" t="s">
        <v>3862</v>
      </c>
      <c r="G5" s="0" t="s">
        <v>91</v>
      </c>
    </row>
    <row customHeight="1" ht="11.25">
      <c r="A6" s="497" t="s">
        <v>16</v>
      </c>
      <c r="B6" s="0" t="s">
        <v>3857</v>
      </c>
      <c r="C6" s="0" t="s">
        <v>3858</v>
      </c>
      <c r="D6" s="0" t="s">
        <v>3867</v>
      </c>
      <c r="E6" s="0" t="s">
        <v>3868</v>
      </c>
      <c r="F6" s="0" t="s">
        <v>3862</v>
      </c>
      <c r="G6" s="0" t="s">
        <v>116</v>
      </c>
    </row>
    <row customHeight="1" ht="11.25">
      <c r="A7" s="497" t="s">
        <v>16</v>
      </c>
      <c r="B7" s="0" t="s">
        <v>3857</v>
      </c>
      <c r="C7" s="0" t="s">
        <v>3858</v>
      </c>
      <c r="D7" s="0" t="s">
        <v>3869</v>
      </c>
      <c r="E7" s="0" t="s">
        <v>3870</v>
      </c>
      <c r="F7" s="0" t="s">
        <v>3862</v>
      </c>
      <c r="G7" s="0" t="s">
        <v>92</v>
      </c>
    </row>
    <row customHeight="1" ht="11.25">
      <c r="A8" s="497" t="s">
        <v>16</v>
      </c>
      <c r="B8" s="0" t="s">
        <v>99</v>
      </c>
      <c r="C8" s="0" t="s">
        <v>100</v>
      </c>
      <c r="D8" s="0" t="s">
        <v>99</v>
      </c>
      <c r="E8" s="0" t="s">
        <v>100</v>
      </c>
      <c r="F8" s="0" t="s">
        <v>3859</v>
      </c>
      <c r="G8" s="0" t="s">
        <v>93</v>
      </c>
    </row>
    <row customHeight="1" ht="11.25">
      <c r="A9" s="497" t="s">
        <v>16</v>
      </c>
      <c r="B9" s="0" t="s">
        <v>99</v>
      </c>
      <c r="C9" s="0" t="s">
        <v>100</v>
      </c>
      <c r="D9" s="0" t="s">
        <v>1300</v>
      </c>
      <c r="E9" s="0" t="s">
        <v>1301</v>
      </c>
      <c r="F9" s="0" t="s">
        <v>3871</v>
      </c>
      <c r="G9" s="0" t="s">
        <v>129</v>
      </c>
    </row>
    <row customHeight="1" ht="11.25">
      <c r="A10" s="497" t="s">
        <v>16</v>
      </c>
      <c r="B10" s="0" t="s">
        <v>99</v>
      </c>
      <c r="C10" s="0" t="s">
        <v>100</v>
      </c>
      <c r="D10" s="0" t="s">
        <v>1313</v>
      </c>
      <c r="E10" s="0" t="s">
        <v>1314</v>
      </c>
      <c r="F10" s="0" t="s">
        <v>3871</v>
      </c>
      <c r="G10" s="0" t="s">
        <v>134</v>
      </c>
    </row>
    <row customHeight="1" ht="11.25">
      <c r="A11" s="497" t="s">
        <v>16</v>
      </c>
      <c r="B11" s="0" t="s">
        <v>99</v>
      </c>
      <c r="C11" s="0" t="s">
        <v>100</v>
      </c>
      <c r="D11" s="0" t="s">
        <v>3872</v>
      </c>
      <c r="E11" s="0" t="s">
        <v>3873</v>
      </c>
      <c r="F11" s="0" t="s">
        <v>3862</v>
      </c>
      <c r="G11" s="0" t="s">
        <v>139</v>
      </c>
    </row>
    <row customHeight="1" ht="11.25">
      <c r="A12" s="497" t="s">
        <v>16</v>
      </c>
      <c r="B12" s="0" t="s">
        <v>99</v>
      </c>
      <c r="C12" s="0" t="s">
        <v>100</v>
      </c>
      <c r="D12" s="0" t="s">
        <v>1326</v>
      </c>
      <c r="E12" s="0" t="s">
        <v>1327</v>
      </c>
      <c r="F12" s="0" t="s">
        <v>3862</v>
      </c>
      <c r="G12" s="0" t="s">
        <v>144</v>
      </c>
    </row>
    <row customHeight="1" ht="11.25">
      <c r="A13" s="497" t="s">
        <v>16</v>
      </c>
      <c r="B13" s="0" t="s">
        <v>99</v>
      </c>
      <c r="C13" s="0" t="s">
        <v>100</v>
      </c>
      <c r="D13" s="0" t="s">
        <v>3874</v>
      </c>
      <c r="E13" s="0" t="s">
        <v>3875</v>
      </c>
      <c r="F13" s="0" t="s">
        <v>3862</v>
      </c>
      <c r="G13" s="0" t="s">
        <v>149</v>
      </c>
    </row>
    <row customHeight="1" ht="11.25">
      <c r="A14" s="497" t="s">
        <v>16</v>
      </c>
      <c r="B14" s="0" t="s">
        <v>99</v>
      </c>
      <c r="C14" s="0" t="s">
        <v>100</v>
      </c>
      <c r="D14" s="0" t="s">
        <v>3876</v>
      </c>
      <c r="E14" s="0" t="s">
        <v>3877</v>
      </c>
      <c r="F14" s="0" t="s">
        <v>3862</v>
      </c>
      <c r="G14" s="0" t="s">
        <v>154</v>
      </c>
    </row>
    <row customHeight="1" ht="11.25">
      <c r="A15" s="497" t="s">
        <v>16</v>
      </c>
      <c r="B15" s="0" t="s">
        <v>99</v>
      </c>
      <c r="C15" s="0" t="s">
        <v>100</v>
      </c>
      <c r="D15" s="0" t="s">
        <v>3878</v>
      </c>
      <c r="E15" s="0" t="s">
        <v>3879</v>
      </c>
      <c r="F15" s="0" t="s">
        <v>3862</v>
      </c>
      <c r="G15" s="0" t="s">
        <v>159</v>
      </c>
    </row>
    <row customHeight="1" ht="11.25">
      <c r="A16" s="497" t="s">
        <v>16</v>
      </c>
      <c r="B16" s="0" t="s">
        <v>99</v>
      </c>
      <c r="C16" s="0" t="s">
        <v>100</v>
      </c>
      <c r="D16" s="0" t="s">
        <v>3880</v>
      </c>
      <c r="E16" s="0" t="s">
        <v>3881</v>
      </c>
      <c r="F16" s="0" t="s">
        <v>3862</v>
      </c>
      <c r="G16" s="0" t="s">
        <v>164</v>
      </c>
    </row>
    <row customHeight="1" ht="11.25">
      <c r="A17" s="497" t="s">
        <v>16</v>
      </c>
      <c r="B17" s="0" t="s">
        <v>99</v>
      </c>
      <c r="C17" s="0" t="s">
        <v>100</v>
      </c>
      <c r="D17" s="0" t="s">
        <v>3882</v>
      </c>
      <c r="E17" s="0" t="s">
        <v>3883</v>
      </c>
      <c r="F17" s="0" t="s">
        <v>3862</v>
      </c>
      <c r="G17" s="0" t="s">
        <v>169</v>
      </c>
    </row>
    <row customHeight="1" ht="11.25">
      <c r="A18" s="497" t="s">
        <v>16</v>
      </c>
      <c r="B18" s="0" t="s">
        <v>99</v>
      </c>
      <c r="C18" s="0" t="s">
        <v>100</v>
      </c>
      <c r="D18" s="0" t="s">
        <v>3884</v>
      </c>
      <c r="E18" s="0" t="s">
        <v>3885</v>
      </c>
      <c r="F18" s="0" t="s">
        <v>3862</v>
      </c>
      <c r="G18" s="0" t="s">
        <v>174</v>
      </c>
    </row>
    <row customHeight="1" ht="11.25">
      <c r="A19" s="497" t="s">
        <v>16</v>
      </c>
      <c r="B19" s="0" t="s">
        <v>99</v>
      </c>
      <c r="C19" s="0" t="s">
        <v>100</v>
      </c>
      <c r="D19" s="0" t="s">
        <v>3886</v>
      </c>
      <c r="E19" s="0" t="s">
        <v>3887</v>
      </c>
      <c r="F19" s="0" t="s">
        <v>3862</v>
      </c>
      <c r="G19" s="0" t="s">
        <v>179</v>
      </c>
    </row>
    <row customHeight="1" ht="11.25">
      <c r="A20" s="497" t="s">
        <v>16</v>
      </c>
      <c r="B20" s="0" t="s">
        <v>99</v>
      </c>
      <c r="C20" s="0" t="s">
        <v>100</v>
      </c>
      <c r="D20" s="0" t="s">
        <v>3888</v>
      </c>
      <c r="E20" s="0" t="s">
        <v>3889</v>
      </c>
      <c r="F20" s="0" t="s">
        <v>3862</v>
      </c>
      <c r="G20" s="0" t="s">
        <v>184</v>
      </c>
    </row>
    <row customHeight="1" ht="11.25">
      <c r="A21" s="497" t="s">
        <v>16</v>
      </c>
      <c r="B21" s="0" t="s">
        <v>3890</v>
      </c>
      <c r="C21" s="0" t="s">
        <v>3891</v>
      </c>
      <c r="D21" s="0" t="s">
        <v>3890</v>
      </c>
      <c r="E21" s="0" t="s">
        <v>3891</v>
      </c>
      <c r="F21" s="0" t="s">
        <v>3859</v>
      </c>
      <c r="G21" s="0" t="s">
        <v>189</v>
      </c>
    </row>
    <row customHeight="1" ht="11.25">
      <c r="A22" s="497" t="s">
        <v>16</v>
      </c>
      <c r="B22" s="0" t="s">
        <v>3890</v>
      </c>
      <c r="C22" s="0" t="s">
        <v>3891</v>
      </c>
      <c r="D22" s="0" t="s">
        <v>3892</v>
      </c>
      <c r="E22" s="0" t="s">
        <v>3893</v>
      </c>
      <c r="F22" s="0" t="s">
        <v>3862</v>
      </c>
      <c r="G22" s="0" t="s">
        <v>195</v>
      </c>
    </row>
    <row customHeight="1" ht="11.25">
      <c r="A23" s="497" t="s">
        <v>16</v>
      </c>
      <c r="B23" s="0" t="s">
        <v>3890</v>
      </c>
      <c r="C23" s="0" t="s">
        <v>3891</v>
      </c>
      <c r="D23" s="0" t="s">
        <v>3894</v>
      </c>
      <c r="E23" s="0" t="s">
        <v>3895</v>
      </c>
      <c r="F23" s="0" t="s">
        <v>3862</v>
      </c>
      <c r="G23" s="0" t="s">
        <v>199</v>
      </c>
    </row>
    <row customHeight="1" ht="11.25">
      <c r="A24" s="497" t="s">
        <v>16</v>
      </c>
      <c r="B24" s="0" t="s">
        <v>3890</v>
      </c>
      <c r="C24" s="0" t="s">
        <v>3891</v>
      </c>
      <c r="D24" s="0" t="s">
        <v>3896</v>
      </c>
      <c r="E24" s="0" t="s">
        <v>3897</v>
      </c>
      <c r="F24" s="0" t="s">
        <v>3862</v>
      </c>
      <c r="G24" s="0" t="s">
        <v>1959</v>
      </c>
    </row>
    <row customHeight="1" ht="11.25">
      <c r="A25" s="497" t="s">
        <v>16</v>
      </c>
      <c r="B25" s="0" t="s">
        <v>3890</v>
      </c>
      <c r="C25" s="0" t="s">
        <v>3891</v>
      </c>
      <c r="D25" s="0" t="s">
        <v>3898</v>
      </c>
      <c r="E25" s="0" t="s">
        <v>3899</v>
      </c>
      <c r="F25" s="0" t="s">
        <v>3862</v>
      </c>
      <c r="G25" s="0" t="s">
        <v>1965</v>
      </c>
    </row>
    <row customHeight="1" ht="11.25">
      <c r="A26" s="497" t="s">
        <v>16</v>
      </c>
      <c r="B26" s="0" t="s">
        <v>3890</v>
      </c>
      <c r="C26" s="0" t="s">
        <v>3891</v>
      </c>
      <c r="D26" s="0" t="s">
        <v>3900</v>
      </c>
      <c r="E26" s="0" t="s">
        <v>3901</v>
      </c>
      <c r="F26" s="0" t="s">
        <v>3862</v>
      </c>
      <c r="G26" s="0" t="s">
        <v>1969</v>
      </c>
    </row>
    <row customHeight="1" ht="11.25">
      <c r="A27" s="497" t="s">
        <v>16</v>
      </c>
      <c r="B27" s="0" t="s">
        <v>1389</v>
      </c>
      <c r="C27" s="0" t="s">
        <v>3902</v>
      </c>
      <c r="D27" s="0" t="s">
        <v>1389</v>
      </c>
      <c r="E27" s="0" t="s">
        <v>3902</v>
      </c>
      <c r="F27" s="0" t="s">
        <v>3859</v>
      </c>
      <c r="G27" s="0" t="s">
        <v>1364</v>
      </c>
    </row>
    <row customHeight="1" ht="11.25">
      <c r="A28" s="497" t="s">
        <v>16</v>
      </c>
      <c r="B28" s="0" t="s">
        <v>1389</v>
      </c>
      <c r="C28" s="0" t="s">
        <v>3902</v>
      </c>
      <c r="D28" s="0" t="s">
        <v>3903</v>
      </c>
      <c r="E28" s="0" t="s">
        <v>3904</v>
      </c>
      <c r="F28" s="0" t="s">
        <v>3862</v>
      </c>
      <c r="G28" s="0" t="s">
        <v>1981</v>
      </c>
    </row>
    <row customHeight="1" ht="11.25">
      <c r="A29" s="497" t="s">
        <v>16</v>
      </c>
      <c r="B29" s="0" t="s">
        <v>1389</v>
      </c>
      <c r="C29" s="0" t="s">
        <v>3902</v>
      </c>
      <c r="D29" s="0" t="s">
        <v>1390</v>
      </c>
      <c r="E29" s="0" t="s">
        <v>1391</v>
      </c>
      <c r="F29" s="0" t="s">
        <v>3862</v>
      </c>
      <c r="G29" s="0" t="s">
        <v>1983</v>
      </c>
    </row>
    <row customHeight="1" ht="11.25">
      <c r="A30" s="497" t="s">
        <v>16</v>
      </c>
      <c r="B30" s="0" t="s">
        <v>1389</v>
      </c>
      <c r="C30" s="0" t="s">
        <v>3902</v>
      </c>
      <c r="D30" s="0" t="s">
        <v>3905</v>
      </c>
      <c r="E30" s="0" t="s">
        <v>3906</v>
      </c>
      <c r="F30" s="0" t="s">
        <v>3862</v>
      </c>
      <c r="G30" s="0" t="s">
        <v>1986</v>
      </c>
    </row>
    <row customHeight="1" ht="11.25">
      <c r="A31" s="497" t="s">
        <v>16</v>
      </c>
      <c r="B31" s="0" t="s">
        <v>1389</v>
      </c>
      <c r="C31" s="0" t="s">
        <v>3902</v>
      </c>
      <c r="D31" s="0" t="s">
        <v>3907</v>
      </c>
      <c r="E31" s="0" t="s">
        <v>3908</v>
      </c>
      <c r="F31" s="0" t="s">
        <v>3862</v>
      </c>
      <c r="G31" s="0" t="s">
        <v>1992</v>
      </c>
    </row>
    <row customHeight="1" ht="11.25">
      <c r="A32" s="497" t="s">
        <v>16</v>
      </c>
      <c r="B32" s="0" t="s">
        <v>1389</v>
      </c>
      <c r="C32" s="0" t="s">
        <v>3902</v>
      </c>
      <c r="D32" s="0" t="s">
        <v>3909</v>
      </c>
      <c r="E32" s="0" t="s">
        <v>3910</v>
      </c>
      <c r="F32" s="0" t="s">
        <v>3862</v>
      </c>
      <c r="G32" s="0" t="s">
        <v>1994</v>
      </c>
    </row>
    <row customHeight="1" ht="11.25">
      <c r="A33" s="497" t="s">
        <v>16</v>
      </c>
      <c r="B33" s="0" t="s">
        <v>1389</v>
      </c>
      <c r="C33" s="0" t="s">
        <v>3902</v>
      </c>
      <c r="D33" s="0" t="s">
        <v>3911</v>
      </c>
      <c r="E33" s="0" t="s">
        <v>3912</v>
      </c>
      <c r="F33" s="0" t="s">
        <v>3862</v>
      </c>
      <c r="G33" s="0" t="s">
        <v>1996</v>
      </c>
    </row>
    <row customHeight="1" ht="11.25">
      <c r="A34" s="497" t="s">
        <v>16</v>
      </c>
      <c r="B34" s="0" t="s">
        <v>1389</v>
      </c>
      <c r="C34" s="0" t="s">
        <v>3902</v>
      </c>
      <c r="D34" s="0" t="s">
        <v>3913</v>
      </c>
      <c r="E34" s="0" t="s">
        <v>3914</v>
      </c>
      <c r="F34" s="0" t="s">
        <v>3862</v>
      </c>
      <c r="G34" s="0" t="s">
        <v>1998</v>
      </c>
    </row>
    <row customHeight="1" ht="11.25">
      <c r="A35" s="497" t="s">
        <v>16</v>
      </c>
      <c r="B35" s="0" t="s">
        <v>1389</v>
      </c>
      <c r="C35" s="0" t="s">
        <v>3902</v>
      </c>
      <c r="D35" s="0" t="s">
        <v>3915</v>
      </c>
      <c r="E35" s="0" t="s">
        <v>3916</v>
      </c>
      <c r="F35" s="0" t="s">
        <v>3862</v>
      </c>
      <c r="G35" s="0" t="s">
        <v>2003</v>
      </c>
    </row>
    <row customHeight="1" ht="11.25">
      <c r="A36" s="497" t="s">
        <v>16</v>
      </c>
      <c r="B36" s="0" t="s">
        <v>106</v>
      </c>
      <c r="C36" s="0" t="s">
        <v>107</v>
      </c>
      <c r="D36" s="0" t="s">
        <v>106</v>
      </c>
      <c r="E36" s="0" t="s">
        <v>107</v>
      </c>
      <c r="F36" s="0" t="s">
        <v>3859</v>
      </c>
      <c r="G36" s="0" t="s">
        <v>105</v>
      </c>
    </row>
    <row customHeight="1" ht="11.25">
      <c r="A37" s="497" t="s">
        <v>16</v>
      </c>
      <c r="B37" s="0" t="s">
        <v>106</v>
      </c>
      <c r="C37" s="0" t="s">
        <v>107</v>
      </c>
      <c r="D37" s="0" t="s">
        <v>3917</v>
      </c>
      <c r="E37" s="0" t="s">
        <v>3918</v>
      </c>
      <c r="F37" s="0" t="s">
        <v>3862</v>
      </c>
      <c r="G37" s="0" t="s">
        <v>2011</v>
      </c>
    </row>
    <row customHeight="1" ht="11.25">
      <c r="A38" s="497" t="s">
        <v>16</v>
      </c>
      <c r="B38" s="0" t="s">
        <v>106</v>
      </c>
      <c r="C38" s="0" t="s">
        <v>107</v>
      </c>
      <c r="D38" s="0" t="s">
        <v>1374</v>
      </c>
      <c r="E38" s="0" t="s">
        <v>1375</v>
      </c>
      <c r="F38" s="0" t="s">
        <v>3862</v>
      </c>
      <c r="G38" s="0" t="s">
        <v>2019</v>
      </c>
    </row>
    <row customHeight="1" ht="11.25">
      <c r="A39" s="497" t="s">
        <v>16</v>
      </c>
      <c r="B39" s="0" t="s">
        <v>106</v>
      </c>
      <c r="C39" s="0" t="s">
        <v>107</v>
      </c>
      <c r="D39" s="0" t="s">
        <v>3919</v>
      </c>
      <c r="E39" s="0" t="s">
        <v>3920</v>
      </c>
      <c r="F39" s="0" t="s">
        <v>3862</v>
      </c>
      <c r="G39" s="0" t="s">
        <v>2025</v>
      </c>
    </row>
    <row customHeight="1" ht="11.25">
      <c r="A40" s="497" t="s">
        <v>16</v>
      </c>
      <c r="B40" s="0" t="s">
        <v>106</v>
      </c>
      <c r="C40" s="0" t="s">
        <v>107</v>
      </c>
      <c r="D40" s="0" t="s">
        <v>3921</v>
      </c>
      <c r="E40" s="0" t="s">
        <v>3922</v>
      </c>
      <c r="F40" s="0" t="s">
        <v>3862</v>
      </c>
      <c r="G40" s="0" t="s">
        <v>2030</v>
      </c>
    </row>
    <row customHeight="1" ht="11.25">
      <c r="A41" s="497" t="s">
        <v>16</v>
      </c>
      <c r="B41" s="0" t="s">
        <v>106</v>
      </c>
      <c r="C41" s="0" t="s">
        <v>107</v>
      </c>
      <c r="D41" s="0" t="s">
        <v>3923</v>
      </c>
      <c r="E41" s="0" t="s">
        <v>3924</v>
      </c>
      <c r="F41" s="0" t="s">
        <v>3862</v>
      </c>
      <c r="G41" s="0" t="s">
        <v>2034</v>
      </c>
    </row>
    <row customHeight="1" ht="11.25">
      <c r="A42" s="497" t="s">
        <v>16</v>
      </c>
      <c r="B42" s="0" t="s">
        <v>106</v>
      </c>
      <c r="C42" s="0" t="s">
        <v>107</v>
      </c>
      <c r="D42" s="0" t="s">
        <v>3925</v>
      </c>
      <c r="E42" s="0" t="s">
        <v>3926</v>
      </c>
      <c r="F42" s="0" t="s">
        <v>3862</v>
      </c>
      <c r="G42" s="0" t="s">
        <v>2037</v>
      </c>
    </row>
    <row customHeight="1" ht="11.25">
      <c r="A43" s="497" t="s">
        <v>16</v>
      </c>
      <c r="B43" s="0" t="s">
        <v>106</v>
      </c>
      <c r="C43" s="0" t="s">
        <v>107</v>
      </c>
      <c r="D43" s="0" t="s">
        <v>3927</v>
      </c>
      <c r="E43" s="0" t="s">
        <v>3928</v>
      </c>
      <c r="F43" s="0" t="s">
        <v>3862</v>
      </c>
      <c r="G43" s="0" t="s">
        <v>2044</v>
      </c>
    </row>
    <row customHeight="1" ht="11.25">
      <c r="A44" s="497" t="s">
        <v>16</v>
      </c>
      <c r="B44" s="0" t="s">
        <v>106</v>
      </c>
      <c r="C44" s="0" t="s">
        <v>107</v>
      </c>
      <c r="D44" s="0" t="s">
        <v>3929</v>
      </c>
      <c r="E44" s="0" t="s">
        <v>3930</v>
      </c>
      <c r="F44" s="0" t="s">
        <v>3862</v>
      </c>
      <c r="G44" s="0" t="s">
        <v>2053</v>
      </c>
    </row>
    <row customHeight="1" ht="11.25">
      <c r="A45" s="497" t="s">
        <v>16</v>
      </c>
      <c r="B45" s="0" t="s">
        <v>106</v>
      </c>
      <c r="C45" s="0" t="s">
        <v>107</v>
      </c>
      <c r="D45" s="0" t="s">
        <v>3931</v>
      </c>
      <c r="E45" s="0" t="s">
        <v>3932</v>
      </c>
      <c r="F45" s="0" t="s">
        <v>3862</v>
      </c>
      <c r="G45" s="0" t="s">
        <v>2058</v>
      </c>
    </row>
    <row customHeight="1" ht="11.25">
      <c r="A46" s="497" t="s">
        <v>16</v>
      </c>
      <c r="B46" s="0" t="s">
        <v>3933</v>
      </c>
      <c r="C46" s="0" t="s">
        <v>3934</v>
      </c>
      <c r="D46" s="0" t="s">
        <v>3933</v>
      </c>
      <c r="E46" s="0" t="s">
        <v>3934</v>
      </c>
      <c r="F46" s="0" t="s">
        <v>3859</v>
      </c>
      <c r="G46" s="0" t="s">
        <v>2062</v>
      </c>
    </row>
    <row customHeight="1" ht="11.25">
      <c r="A47" s="497" t="s">
        <v>16</v>
      </c>
      <c r="B47" s="0" t="s">
        <v>3933</v>
      </c>
      <c r="C47" s="0" t="s">
        <v>3934</v>
      </c>
      <c r="D47" s="0" t="s">
        <v>3935</v>
      </c>
      <c r="E47" s="0" t="s">
        <v>3936</v>
      </c>
      <c r="F47" s="0" t="s">
        <v>3862</v>
      </c>
      <c r="G47" s="0" t="s">
        <v>2067</v>
      </c>
    </row>
    <row customHeight="1" ht="11.25">
      <c r="A48" s="497" t="s">
        <v>16</v>
      </c>
      <c r="B48" s="0" t="s">
        <v>3933</v>
      </c>
      <c r="C48" s="0" t="s">
        <v>3934</v>
      </c>
      <c r="D48" s="0" t="s">
        <v>3937</v>
      </c>
      <c r="E48" s="0" t="s">
        <v>3938</v>
      </c>
      <c r="F48" s="0" t="s">
        <v>3862</v>
      </c>
      <c r="G48" s="0" t="s">
        <v>2072</v>
      </c>
    </row>
    <row customHeight="1" ht="11.25">
      <c r="A49" s="497" t="s">
        <v>16</v>
      </c>
      <c r="B49" s="0" t="s">
        <v>3933</v>
      </c>
      <c r="C49" s="0" t="s">
        <v>3934</v>
      </c>
      <c r="D49" s="0" t="s">
        <v>3939</v>
      </c>
      <c r="E49" s="0" t="s">
        <v>3940</v>
      </c>
      <c r="F49" s="0" t="s">
        <v>3862</v>
      </c>
      <c r="G49" s="0" t="s">
        <v>2075</v>
      </c>
    </row>
    <row customHeight="1" ht="11.25">
      <c r="A50" s="497" t="s">
        <v>16</v>
      </c>
      <c r="B50" s="0" t="s">
        <v>3933</v>
      </c>
      <c r="C50" s="0" t="s">
        <v>3934</v>
      </c>
      <c r="D50" s="0" t="s">
        <v>3941</v>
      </c>
      <c r="E50" s="0" t="s">
        <v>3942</v>
      </c>
      <c r="F50" s="0" t="s">
        <v>3862</v>
      </c>
      <c r="G50" s="0" t="s">
        <v>2079</v>
      </c>
    </row>
    <row customHeight="1" ht="11.25">
      <c r="A51" s="497" t="s">
        <v>16</v>
      </c>
      <c r="B51" s="0" t="s">
        <v>3933</v>
      </c>
      <c r="C51" s="0" t="s">
        <v>3934</v>
      </c>
      <c r="D51" s="0" t="s">
        <v>3943</v>
      </c>
      <c r="E51" s="0" t="s">
        <v>3944</v>
      </c>
      <c r="F51" s="0" t="s">
        <v>3862</v>
      </c>
      <c r="G51" s="0" t="s">
        <v>2084</v>
      </c>
    </row>
    <row customHeight="1" ht="11.25">
      <c r="A52" s="497" t="s">
        <v>16</v>
      </c>
      <c r="B52" s="0" t="s">
        <v>3933</v>
      </c>
      <c r="C52" s="0" t="s">
        <v>3934</v>
      </c>
      <c r="D52" s="0" t="s">
        <v>3945</v>
      </c>
      <c r="E52" s="0" t="s">
        <v>3946</v>
      </c>
      <c r="F52" s="0" t="s">
        <v>3862</v>
      </c>
      <c r="G52" s="0" t="s">
        <v>2088</v>
      </c>
    </row>
    <row customHeight="1" ht="11.25">
      <c r="A53" s="497" t="s">
        <v>16</v>
      </c>
      <c r="B53" s="0" t="s">
        <v>3933</v>
      </c>
      <c r="C53" s="0" t="s">
        <v>3934</v>
      </c>
      <c r="D53" s="0" t="s">
        <v>3947</v>
      </c>
      <c r="E53" s="0" t="s">
        <v>3948</v>
      </c>
      <c r="F53" s="0" t="s">
        <v>3862</v>
      </c>
      <c r="G53" s="0" t="s">
        <v>2090</v>
      </c>
    </row>
    <row customHeight="1" ht="11.25">
      <c r="A54" s="497" t="s">
        <v>16</v>
      </c>
      <c r="B54" s="0" t="s">
        <v>3933</v>
      </c>
      <c r="C54" s="0" t="s">
        <v>3934</v>
      </c>
      <c r="D54" s="0" t="s">
        <v>3949</v>
      </c>
      <c r="E54" s="0" t="s">
        <v>3950</v>
      </c>
      <c r="F54" s="0" t="s">
        <v>3862</v>
      </c>
      <c r="G54" s="0" t="s">
        <v>2093</v>
      </c>
    </row>
    <row customHeight="1" ht="11.25">
      <c r="A55" s="497" t="s">
        <v>16</v>
      </c>
      <c r="B55" s="0" t="s">
        <v>3933</v>
      </c>
      <c r="C55" s="0" t="s">
        <v>3934</v>
      </c>
      <c r="D55" s="0" t="s">
        <v>3951</v>
      </c>
      <c r="E55" s="0" t="s">
        <v>3952</v>
      </c>
      <c r="F55" s="0" t="s">
        <v>3862</v>
      </c>
      <c r="G55" s="0" t="s">
        <v>2098</v>
      </c>
    </row>
    <row customHeight="1" ht="11.25">
      <c r="A56" s="497" t="s">
        <v>16</v>
      </c>
      <c r="B56" s="0" t="s">
        <v>3933</v>
      </c>
      <c r="C56" s="0" t="s">
        <v>3934</v>
      </c>
      <c r="D56" s="0" t="s">
        <v>3953</v>
      </c>
      <c r="E56" s="0" t="s">
        <v>3954</v>
      </c>
      <c r="F56" s="0" t="s">
        <v>3862</v>
      </c>
      <c r="G56" s="0" t="s">
        <v>2102</v>
      </c>
    </row>
    <row customHeight="1" ht="11.25">
      <c r="A57" s="497" t="s">
        <v>16</v>
      </c>
      <c r="B57" s="0" t="s">
        <v>3933</v>
      </c>
      <c r="C57" s="0" t="s">
        <v>3934</v>
      </c>
      <c r="D57" s="0" t="s">
        <v>3955</v>
      </c>
      <c r="E57" s="0" t="s">
        <v>3956</v>
      </c>
      <c r="F57" s="0" t="s">
        <v>3862</v>
      </c>
      <c r="G57" s="0" t="s">
        <v>2106</v>
      </c>
    </row>
    <row customHeight="1" ht="11.25">
      <c r="A58" s="497" t="s">
        <v>16</v>
      </c>
      <c r="B58" s="0" t="s">
        <v>3933</v>
      </c>
      <c r="C58" s="0" t="s">
        <v>3934</v>
      </c>
      <c r="D58" s="0" t="s">
        <v>3957</v>
      </c>
      <c r="E58" s="0" t="s">
        <v>3958</v>
      </c>
      <c r="F58" s="0" t="s">
        <v>3862</v>
      </c>
      <c r="G58" s="0" t="s">
        <v>2109</v>
      </c>
    </row>
    <row customHeight="1" ht="11.25">
      <c r="A59" s="497" t="s">
        <v>16</v>
      </c>
      <c r="B59" s="0" t="s">
        <v>3933</v>
      </c>
      <c r="C59" s="0" t="s">
        <v>3934</v>
      </c>
      <c r="D59" s="0" t="s">
        <v>3959</v>
      </c>
      <c r="E59" s="0" t="s">
        <v>3960</v>
      </c>
      <c r="F59" s="0" t="s">
        <v>3862</v>
      </c>
      <c r="G59" s="0" t="s">
        <v>2113</v>
      </c>
    </row>
    <row customHeight="1" ht="11.25">
      <c r="A60" s="497" t="s">
        <v>16</v>
      </c>
      <c r="B60" s="0" t="s">
        <v>110</v>
      </c>
      <c r="C60" s="0" t="s">
        <v>111</v>
      </c>
      <c r="D60" s="0" t="s">
        <v>110</v>
      </c>
      <c r="E60" s="0" t="s">
        <v>111</v>
      </c>
      <c r="F60" s="0" t="s">
        <v>3859</v>
      </c>
      <c r="G60" s="0" t="s">
        <v>109</v>
      </c>
    </row>
    <row customHeight="1" ht="11.25">
      <c r="A61" s="497" t="s">
        <v>16</v>
      </c>
      <c r="B61" s="0" t="s">
        <v>110</v>
      </c>
      <c r="C61" s="0" t="s">
        <v>111</v>
      </c>
      <c r="D61" s="0" t="s">
        <v>3961</v>
      </c>
      <c r="E61" s="0" t="s">
        <v>3962</v>
      </c>
      <c r="F61" s="0" t="s">
        <v>3871</v>
      </c>
      <c r="G61" s="0" t="s">
        <v>3963</v>
      </c>
    </row>
    <row customHeight="1" ht="11.25">
      <c r="A62" s="497" t="s">
        <v>16</v>
      </c>
      <c r="B62" s="0" t="s">
        <v>110</v>
      </c>
      <c r="C62" s="0" t="s">
        <v>111</v>
      </c>
      <c r="D62" s="0" t="s">
        <v>3964</v>
      </c>
      <c r="E62" s="0" t="s">
        <v>3965</v>
      </c>
      <c r="F62" s="0" t="s">
        <v>3871</v>
      </c>
      <c r="G62" s="0" t="s">
        <v>3966</v>
      </c>
    </row>
    <row customHeight="1" ht="11.25">
      <c r="A63" s="497" t="s">
        <v>16</v>
      </c>
      <c r="B63" s="0" t="s">
        <v>110</v>
      </c>
      <c r="C63" s="0" t="s">
        <v>111</v>
      </c>
      <c r="D63" s="0" t="s">
        <v>3967</v>
      </c>
      <c r="E63" s="0" t="s">
        <v>3968</v>
      </c>
      <c r="F63" s="0" t="s">
        <v>3871</v>
      </c>
      <c r="G63" s="0" t="s">
        <v>3969</v>
      </c>
    </row>
    <row customHeight="1" ht="11.25">
      <c r="A64" s="497" t="s">
        <v>16</v>
      </c>
      <c r="B64" s="0" t="s">
        <v>110</v>
      </c>
      <c r="C64" s="0" t="s">
        <v>111</v>
      </c>
      <c r="D64" s="0" t="s">
        <v>3970</v>
      </c>
      <c r="E64" s="0" t="s">
        <v>3971</v>
      </c>
      <c r="F64" s="0" t="s">
        <v>3862</v>
      </c>
      <c r="G64" s="0" t="s">
        <v>3972</v>
      </c>
    </row>
    <row customHeight="1" ht="11.25">
      <c r="A65" s="497" t="s">
        <v>16</v>
      </c>
      <c r="B65" s="0" t="s">
        <v>110</v>
      </c>
      <c r="C65" s="0" t="s">
        <v>111</v>
      </c>
      <c r="D65" s="0" t="s">
        <v>3973</v>
      </c>
      <c r="E65" s="0" t="s">
        <v>3974</v>
      </c>
      <c r="F65" s="0" t="s">
        <v>3862</v>
      </c>
      <c r="G65" s="0" t="s">
        <v>3975</v>
      </c>
    </row>
    <row customHeight="1" ht="11.25">
      <c r="A66" s="497" t="s">
        <v>16</v>
      </c>
      <c r="B66" s="0" t="s">
        <v>110</v>
      </c>
      <c r="C66" s="0" t="s">
        <v>111</v>
      </c>
      <c r="D66" s="0" t="s">
        <v>3976</v>
      </c>
      <c r="E66" s="0" t="s">
        <v>3977</v>
      </c>
      <c r="F66" s="0" t="s">
        <v>3862</v>
      </c>
      <c r="G66" s="0" t="s">
        <v>3978</v>
      </c>
    </row>
    <row customHeight="1" ht="11.25">
      <c r="A67" s="497" t="s">
        <v>16</v>
      </c>
      <c r="B67" s="0" t="s">
        <v>110</v>
      </c>
      <c r="C67" s="0" t="s">
        <v>111</v>
      </c>
      <c r="D67" s="0" t="s">
        <v>3979</v>
      </c>
      <c r="E67" s="0" t="s">
        <v>3980</v>
      </c>
      <c r="F67" s="0" t="s">
        <v>3862</v>
      </c>
      <c r="G67" s="0" t="s">
        <v>2426</v>
      </c>
    </row>
    <row customHeight="1" ht="11.25">
      <c r="A68" s="497" t="s">
        <v>16</v>
      </c>
      <c r="B68" s="0" t="s">
        <v>110</v>
      </c>
      <c r="C68" s="0" t="s">
        <v>111</v>
      </c>
      <c r="D68" s="0" t="s">
        <v>1368</v>
      </c>
      <c r="E68" s="0" t="s">
        <v>1369</v>
      </c>
      <c r="F68" s="0" t="s">
        <v>3862</v>
      </c>
      <c r="G68" s="0" t="s">
        <v>3981</v>
      </c>
    </row>
    <row customHeight="1" ht="11.25">
      <c r="A69" s="497" t="s">
        <v>16</v>
      </c>
      <c r="B69" s="0" t="s">
        <v>110</v>
      </c>
      <c r="C69" s="0" t="s">
        <v>111</v>
      </c>
      <c r="D69" s="0" t="s">
        <v>3982</v>
      </c>
      <c r="E69" s="0" t="s">
        <v>3983</v>
      </c>
      <c r="F69" s="0" t="s">
        <v>3862</v>
      </c>
      <c r="G69" s="0" t="s">
        <v>2626</v>
      </c>
    </row>
    <row customHeight="1" ht="11.25">
      <c r="A70" s="497" t="s">
        <v>16</v>
      </c>
      <c r="B70" s="0" t="s">
        <v>110</v>
      </c>
      <c r="C70" s="0" t="s">
        <v>111</v>
      </c>
      <c r="D70" s="0" t="s">
        <v>3984</v>
      </c>
      <c r="E70" s="0" t="s">
        <v>3985</v>
      </c>
      <c r="F70" s="0" t="s">
        <v>3862</v>
      </c>
      <c r="G70" s="0" t="s">
        <v>3986</v>
      </c>
    </row>
    <row customHeight="1" ht="11.25">
      <c r="A71" s="497" t="s">
        <v>16</v>
      </c>
      <c r="B71" s="0" t="s">
        <v>110</v>
      </c>
      <c r="C71" s="0" t="s">
        <v>111</v>
      </c>
      <c r="D71" s="0" t="s">
        <v>3987</v>
      </c>
      <c r="E71" s="0" t="s">
        <v>3988</v>
      </c>
      <c r="F71" s="0" t="s">
        <v>3862</v>
      </c>
      <c r="G71" s="0" t="s">
        <v>3989</v>
      </c>
    </row>
    <row customHeight="1" ht="11.25">
      <c r="A72" s="497" t="s">
        <v>16</v>
      </c>
      <c r="B72" s="0" t="s">
        <v>110</v>
      </c>
      <c r="C72" s="0" t="s">
        <v>111</v>
      </c>
      <c r="D72" s="0" t="s">
        <v>3990</v>
      </c>
      <c r="E72" s="0" t="s">
        <v>3991</v>
      </c>
      <c r="F72" s="0" t="s">
        <v>3862</v>
      </c>
      <c r="G72" s="0" t="s">
        <v>3992</v>
      </c>
    </row>
    <row customHeight="1" ht="11.25">
      <c r="A73" s="497" t="s">
        <v>16</v>
      </c>
      <c r="B73" s="0" t="s">
        <v>110</v>
      </c>
      <c r="C73" s="0" t="s">
        <v>111</v>
      </c>
      <c r="D73" s="0" t="s">
        <v>3993</v>
      </c>
      <c r="E73" s="0" t="s">
        <v>3994</v>
      </c>
      <c r="F73" s="0" t="s">
        <v>3862</v>
      </c>
      <c r="G73" s="0" t="s">
        <v>3995</v>
      </c>
    </row>
    <row customHeight="1" ht="11.25">
      <c r="A74" s="497" t="s">
        <v>16</v>
      </c>
      <c r="B74" s="0" t="s">
        <v>110</v>
      </c>
      <c r="C74" s="0" t="s">
        <v>111</v>
      </c>
      <c r="D74" s="0" t="s">
        <v>3996</v>
      </c>
      <c r="E74" s="0" t="s">
        <v>3997</v>
      </c>
      <c r="F74" s="0" t="s">
        <v>3862</v>
      </c>
      <c r="G74" s="0" t="s">
        <v>3998</v>
      </c>
    </row>
    <row customHeight="1" ht="11.25">
      <c r="A75" s="497" t="s">
        <v>16</v>
      </c>
      <c r="B75" s="0" t="s">
        <v>110</v>
      </c>
      <c r="C75" s="0" t="s">
        <v>111</v>
      </c>
      <c r="D75" s="0" t="s">
        <v>3999</v>
      </c>
      <c r="E75" s="0" t="s">
        <v>4000</v>
      </c>
      <c r="F75" s="0" t="s">
        <v>3862</v>
      </c>
      <c r="G75" s="0" t="s">
        <v>4001</v>
      </c>
    </row>
    <row customHeight="1" ht="11.25">
      <c r="A76" s="497" t="s">
        <v>16</v>
      </c>
      <c r="B76" s="0" t="s">
        <v>114</v>
      </c>
      <c r="C76" s="0" t="s">
        <v>115</v>
      </c>
      <c r="D76" s="0" t="s">
        <v>114</v>
      </c>
      <c r="E76" s="0" t="s">
        <v>115</v>
      </c>
      <c r="F76" s="0" t="s">
        <v>3859</v>
      </c>
      <c r="G76" s="0" t="s">
        <v>113</v>
      </c>
    </row>
    <row customHeight="1" ht="11.25">
      <c r="A77" s="497" t="s">
        <v>16</v>
      </c>
      <c r="B77" s="0" t="s">
        <v>114</v>
      </c>
      <c r="C77" s="0" t="s">
        <v>115</v>
      </c>
      <c r="D77" s="0" t="s">
        <v>4002</v>
      </c>
      <c r="E77" s="0" t="s">
        <v>4003</v>
      </c>
      <c r="F77" s="0" t="s">
        <v>3862</v>
      </c>
      <c r="G77" s="0" t="s">
        <v>4004</v>
      </c>
    </row>
    <row customHeight="1" ht="11.25">
      <c r="A78" s="497" t="s">
        <v>16</v>
      </c>
      <c r="B78" s="0" t="s">
        <v>114</v>
      </c>
      <c r="C78" s="0" t="s">
        <v>115</v>
      </c>
      <c r="D78" s="0" t="s">
        <v>4005</v>
      </c>
      <c r="E78" s="0" t="s">
        <v>4006</v>
      </c>
      <c r="F78" s="0" t="s">
        <v>3862</v>
      </c>
      <c r="G78" s="0" t="s">
        <v>4007</v>
      </c>
    </row>
    <row customHeight="1" ht="11.25">
      <c r="A79" s="497" t="s">
        <v>16</v>
      </c>
      <c r="B79" s="0" t="s">
        <v>114</v>
      </c>
      <c r="C79" s="0" t="s">
        <v>115</v>
      </c>
      <c r="D79" s="0" t="s">
        <v>4008</v>
      </c>
      <c r="E79" s="0" t="s">
        <v>4009</v>
      </c>
      <c r="F79" s="0" t="s">
        <v>3862</v>
      </c>
      <c r="G79" s="0" t="s">
        <v>4010</v>
      </c>
    </row>
    <row customHeight="1" ht="11.25">
      <c r="A80" s="497" t="s">
        <v>16</v>
      </c>
      <c r="B80" s="0" t="s">
        <v>114</v>
      </c>
      <c r="C80" s="0" t="s">
        <v>115</v>
      </c>
      <c r="D80" s="0" t="s">
        <v>4011</v>
      </c>
      <c r="E80" s="0" t="s">
        <v>4012</v>
      </c>
      <c r="F80" s="0" t="s">
        <v>3862</v>
      </c>
      <c r="G80" s="0" t="s">
        <v>4013</v>
      </c>
    </row>
    <row customHeight="1" ht="11.25">
      <c r="A81" s="497" t="s">
        <v>16</v>
      </c>
      <c r="B81" s="0" t="s">
        <v>114</v>
      </c>
      <c r="C81" s="0" t="s">
        <v>115</v>
      </c>
      <c r="D81" s="0" t="s">
        <v>1422</v>
      </c>
      <c r="E81" s="0" t="s">
        <v>1423</v>
      </c>
      <c r="F81" s="0" t="s">
        <v>3862</v>
      </c>
      <c r="G81" s="0" t="s">
        <v>4014</v>
      </c>
    </row>
    <row customHeight="1" ht="11.25">
      <c r="A82" s="497" t="s">
        <v>16</v>
      </c>
      <c r="B82" s="0" t="s">
        <v>114</v>
      </c>
      <c r="C82" s="0" t="s">
        <v>115</v>
      </c>
      <c r="D82" s="0" t="s">
        <v>4015</v>
      </c>
      <c r="E82" s="0" t="s">
        <v>4016</v>
      </c>
      <c r="F82" s="0" t="s">
        <v>3862</v>
      </c>
      <c r="G82" s="0" t="s">
        <v>4017</v>
      </c>
    </row>
    <row customHeight="1" ht="11.25">
      <c r="A83" s="497" t="s">
        <v>16</v>
      </c>
      <c r="B83" s="0" t="s">
        <v>114</v>
      </c>
      <c r="C83" s="0" t="s">
        <v>115</v>
      </c>
      <c r="D83" s="0" t="s">
        <v>4018</v>
      </c>
      <c r="E83" s="0" t="s">
        <v>4019</v>
      </c>
      <c r="F83" s="0" t="s">
        <v>3862</v>
      </c>
      <c r="G83" s="0" t="s">
        <v>4020</v>
      </c>
    </row>
    <row customHeight="1" ht="11.25">
      <c r="A84" s="497" t="s">
        <v>16</v>
      </c>
      <c r="B84" s="0" t="s">
        <v>119</v>
      </c>
      <c r="C84" s="0" t="s">
        <v>120</v>
      </c>
      <c r="D84" s="0" t="s">
        <v>119</v>
      </c>
      <c r="E84" s="0" t="s">
        <v>120</v>
      </c>
      <c r="F84" s="0" t="s">
        <v>3859</v>
      </c>
      <c r="G84" s="0" t="s">
        <v>118</v>
      </c>
    </row>
    <row customHeight="1" ht="11.25">
      <c r="A85" s="497" t="s">
        <v>16</v>
      </c>
      <c r="B85" s="0" t="s">
        <v>119</v>
      </c>
      <c r="C85" s="0" t="s">
        <v>120</v>
      </c>
      <c r="D85" s="0" t="s">
        <v>4021</v>
      </c>
      <c r="E85" s="0" t="s">
        <v>4022</v>
      </c>
      <c r="F85" s="0" t="s">
        <v>3862</v>
      </c>
      <c r="G85" s="0" t="s">
        <v>4023</v>
      </c>
    </row>
    <row customHeight="1" ht="11.25">
      <c r="A86" s="497" t="s">
        <v>16</v>
      </c>
      <c r="B86" s="0" t="s">
        <v>119</v>
      </c>
      <c r="C86" s="0" t="s">
        <v>120</v>
      </c>
      <c r="D86" s="0" t="s">
        <v>4024</v>
      </c>
      <c r="E86" s="0" t="s">
        <v>4025</v>
      </c>
      <c r="F86" s="0" t="s">
        <v>3862</v>
      </c>
      <c r="G86" s="0" t="s">
        <v>4026</v>
      </c>
    </row>
    <row customHeight="1" ht="11.25">
      <c r="A87" s="497" t="s">
        <v>16</v>
      </c>
      <c r="B87" s="0" t="s">
        <v>119</v>
      </c>
      <c r="C87" s="0" t="s">
        <v>120</v>
      </c>
      <c r="D87" s="0" t="s">
        <v>1396</v>
      </c>
      <c r="E87" s="0" t="s">
        <v>1397</v>
      </c>
      <c r="F87" s="0" t="s">
        <v>3862</v>
      </c>
      <c r="G87" s="0" t="s">
        <v>4027</v>
      </c>
    </row>
    <row customHeight="1" ht="11.25">
      <c r="A88" s="497" t="s">
        <v>16</v>
      </c>
      <c r="B88" s="0" t="s">
        <v>119</v>
      </c>
      <c r="C88" s="0" t="s">
        <v>120</v>
      </c>
      <c r="D88" s="0" t="s">
        <v>4028</v>
      </c>
      <c r="E88" s="0" t="s">
        <v>4029</v>
      </c>
      <c r="F88" s="0" t="s">
        <v>3862</v>
      </c>
      <c r="G88" s="0" t="s">
        <v>4030</v>
      </c>
    </row>
    <row customHeight="1" ht="11.25">
      <c r="A89" s="497" t="s">
        <v>16</v>
      </c>
      <c r="B89" s="0" t="s">
        <v>119</v>
      </c>
      <c r="C89" s="0" t="s">
        <v>120</v>
      </c>
      <c r="D89" s="0" t="s">
        <v>4031</v>
      </c>
      <c r="E89" s="0" t="s">
        <v>4032</v>
      </c>
      <c r="F89" s="0" t="s">
        <v>3862</v>
      </c>
      <c r="G89" s="0" t="s">
        <v>4033</v>
      </c>
    </row>
    <row customHeight="1" ht="11.25">
      <c r="A90" s="497" t="s">
        <v>16</v>
      </c>
      <c r="B90" s="0" t="s">
        <v>119</v>
      </c>
      <c r="C90" s="0" t="s">
        <v>120</v>
      </c>
      <c r="D90" s="0" t="s">
        <v>4034</v>
      </c>
      <c r="E90" s="0" t="s">
        <v>4035</v>
      </c>
      <c r="F90" s="0" t="s">
        <v>3862</v>
      </c>
      <c r="G90" s="0" t="s">
        <v>4036</v>
      </c>
    </row>
    <row customHeight="1" ht="11.25">
      <c r="A91" s="497" t="s">
        <v>16</v>
      </c>
      <c r="B91" s="0" t="s">
        <v>119</v>
      </c>
      <c r="C91" s="0" t="s">
        <v>120</v>
      </c>
      <c r="D91" s="0" t="s">
        <v>4037</v>
      </c>
      <c r="E91" s="0" t="s">
        <v>4038</v>
      </c>
      <c r="F91" s="0" t="s">
        <v>3862</v>
      </c>
      <c r="G91" s="0" t="s">
        <v>4039</v>
      </c>
    </row>
    <row customHeight="1" ht="11.25">
      <c r="A92" s="497" t="s">
        <v>16</v>
      </c>
      <c r="B92" s="0" t="s">
        <v>119</v>
      </c>
      <c r="C92" s="0" t="s">
        <v>120</v>
      </c>
      <c r="D92" s="0" t="s">
        <v>4040</v>
      </c>
      <c r="E92" s="0" t="s">
        <v>4041</v>
      </c>
      <c r="F92" s="0" t="s">
        <v>3862</v>
      </c>
      <c r="G92" s="0" t="s">
        <v>4042</v>
      </c>
    </row>
    <row customHeight="1" ht="11.25">
      <c r="A93" s="497" t="s">
        <v>16</v>
      </c>
      <c r="B93" s="0" t="s">
        <v>4043</v>
      </c>
      <c r="C93" s="0" t="s">
        <v>4044</v>
      </c>
      <c r="D93" s="0" t="s">
        <v>4043</v>
      </c>
      <c r="E93" s="0" t="s">
        <v>4044</v>
      </c>
      <c r="F93" s="0" t="s">
        <v>3859</v>
      </c>
      <c r="G93" s="0" t="s">
        <v>4045</v>
      </c>
    </row>
    <row customHeight="1" ht="11.25">
      <c r="A94" s="497" t="s">
        <v>16</v>
      </c>
      <c r="B94" s="0" t="s">
        <v>4043</v>
      </c>
      <c r="C94" s="0" t="s">
        <v>4044</v>
      </c>
      <c r="D94" s="0" t="s">
        <v>4046</v>
      </c>
      <c r="E94" s="0" t="s">
        <v>4047</v>
      </c>
      <c r="F94" s="0" t="s">
        <v>3862</v>
      </c>
      <c r="G94" s="0" t="s">
        <v>4048</v>
      </c>
    </row>
    <row customHeight="1" ht="11.25">
      <c r="A95" s="497" t="s">
        <v>16</v>
      </c>
      <c r="B95" s="0" t="s">
        <v>4043</v>
      </c>
      <c r="C95" s="0" t="s">
        <v>4044</v>
      </c>
      <c r="D95" s="0" t="s">
        <v>4049</v>
      </c>
      <c r="E95" s="0" t="s">
        <v>4050</v>
      </c>
      <c r="F95" s="0" t="s">
        <v>3862</v>
      </c>
      <c r="G95" s="0" t="s">
        <v>4051</v>
      </c>
    </row>
    <row customHeight="1" ht="11.25">
      <c r="A96" s="497" t="s">
        <v>16</v>
      </c>
      <c r="B96" s="0" t="s">
        <v>4043</v>
      </c>
      <c r="C96" s="0" t="s">
        <v>4044</v>
      </c>
      <c r="D96" s="0" t="s">
        <v>4052</v>
      </c>
      <c r="E96" s="0" t="s">
        <v>4053</v>
      </c>
      <c r="F96" s="0" t="s">
        <v>3862</v>
      </c>
      <c r="G96" s="0" t="s">
        <v>4054</v>
      </c>
    </row>
    <row customHeight="1" ht="11.25">
      <c r="A97" s="497" t="s">
        <v>16</v>
      </c>
      <c r="B97" s="0" t="s">
        <v>4043</v>
      </c>
      <c r="C97" s="0" t="s">
        <v>4044</v>
      </c>
      <c r="D97" s="0" t="s">
        <v>4055</v>
      </c>
      <c r="E97" s="0" t="s">
        <v>4056</v>
      </c>
      <c r="F97" s="0" t="s">
        <v>3862</v>
      </c>
      <c r="G97" s="0" t="s">
        <v>4057</v>
      </c>
    </row>
    <row customHeight="1" ht="11.25">
      <c r="A98" s="497" t="s">
        <v>16</v>
      </c>
      <c r="B98" s="0" t="s">
        <v>4043</v>
      </c>
      <c r="C98" s="0" t="s">
        <v>4044</v>
      </c>
      <c r="D98" s="0" t="s">
        <v>4058</v>
      </c>
      <c r="E98" s="0" t="s">
        <v>4059</v>
      </c>
      <c r="F98" s="0" t="s">
        <v>3862</v>
      </c>
      <c r="G98" s="0" t="s">
        <v>4060</v>
      </c>
    </row>
    <row customHeight="1" ht="11.25">
      <c r="A99" s="497" t="s">
        <v>16</v>
      </c>
      <c r="B99" s="0" t="s">
        <v>4043</v>
      </c>
      <c r="C99" s="0" t="s">
        <v>4044</v>
      </c>
      <c r="D99" s="0" t="s">
        <v>4061</v>
      </c>
      <c r="E99" s="0" t="s">
        <v>4062</v>
      </c>
      <c r="F99" s="0" t="s">
        <v>3862</v>
      </c>
      <c r="G99" s="0" t="s">
        <v>4063</v>
      </c>
    </row>
    <row customHeight="1" ht="11.25">
      <c r="A100" s="497" t="s">
        <v>16</v>
      </c>
      <c r="B100" s="0" t="s">
        <v>127</v>
      </c>
      <c r="C100" s="0" t="s">
        <v>128</v>
      </c>
      <c r="D100" s="0" t="s">
        <v>127</v>
      </c>
      <c r="E100" s="0" t="s">
        <v>128</v>
      </c>
      <c r="F100" s="0" t="s">
        <v>3859</v>
      </c>
      <c r="G100" s="0" t="s">
        <v>126</v>
      </c>
    </row>
    <row customHeight="1" ht="11.25">
      <c r="A101" s="497" t="s">
        <v>16</v>
      </c>
      <c r="B101" s="0" t="s">
        <v>127</v>
      </c>
      <c r="C101" s="0" t="s">
        <v>128</v>
      </c>
      <c r="D101" s="0" t="s">
        <v>4064</v>
      </c>
      <c r="E101" s="0" t="s">
        <v>4065</v>
      </c>
      <c r="F101" s="0" t="s">
        <v>4066</v>
      </c>
      <c r="G101" s="0" t="s">
        <v>4067</v>
      </c>
    </row>
    <row customHeight="1" ht="11.25">
      <c r="A102" s="497" t="s">
        <v>16</v>
      </c>
      <c r="B102" s="0" t="s">
        <v>127</v>
      </c>
      <c r="C102" s="0" t="s">
        <v>128</v>
      </c>
      <c r="D102" s="0" t="s">
        <v>3903</v>
      </c>
      <c r="E102" s="0" t="s">
        <v>4068</v>
      </c>
      <c r="F102" s="0" t="s">
        <v>3862</v>
      </c>
      <c r="G102" s="0" t="s">
        <v>4069</v>
      </c>
    </row>
    <row customHeight="1" ht="11.25">
      <c r="A103" s="497" t="s">
        <v>16</v>
      </c>
      <c r="B103" s="0" t="s">
        <v>127</v>
      </c>
      <c r="C103" s="0" t="s">
        <v>128</v>
      </c>
      <c r="D103" s="0" t="s">
        <v>4070</v>
      </c>
      <c r="E103" s="0" t="s">
        <v>4071</v>
      </c>
      <c r="F103" s="0" t="s">
        <v>3862</v>
      </c>
      <c r="G103" s="0" t="s">
        <v>4072</v>
      </c>
    </row>
    <row customHeight="1" ht="11.25">
      <c r="A104" s="497" t="s">
        <v>16</v>
      </c>
      <c r="B104" s="0" t="s">
        <v>127</v>
      </c>
      <c r="C104" s="0" t="s">
        <v>128</v>
      </c>
      <c r="D104" s="0" t="s">
        <v>4073</v>
      </c>
      <c r="E104" s="0" t="s">
        <v>4074</v>
      </c>
      <c r="F104" s="0" t="s">
        <v>3862</v>
      </c>
      <c r="G104" s="0" t="s">
        <v>4075</v>
      </c>
    </row>
    <row customHeight="1" ht="11.25">
      <c r="A105" s="497" t="s">
        <v>16</v>
      </c>
      <c r="B105" s="0" t="s">
        <v>127</v>
      </c>
      <c r="C105" s="0" t="s">
        <v>128</v>
      </c>
      <c r="D105" s="0" t="s">
        <v>4076</v>
      </c>
      <c r="E105" s="0" t="s">
        <v>4077</v>
      </c>
      <c r="F105" s="0" t="s">
        <v>3862</v>
      </c>
      <c r="G105" s="0" t="s">
        <v>4078</v>
      </c>
    </row>
    <row customHeight="1" ht="11.25">
      <c r="A106" s="497" t="s">
        <v>16</v>
      </c>
      <c r="B106" s="0" t="s">
        <v>127</v>
      </c>
      <c r="C106" s="0" t="s">
        <v>128</v>
      </c>
      <c r="D106" s="0" t="s">
        <v>4079</v>
      </c>
      <c r="E106" s="0" t="s">
        <v>4080</v>
      </c>
      <c r="F106" s="0" t="s">
        <v>3862</v>
      </c>
      <c r="G106" s="0" t="s">
        <v>4081</v>
      </c>
    </row>
    <row customHeight="1" ht="11.25">
      <c r="A107" s="497" t="s">
        <v>16</v>
      </c>
      <c r="B107" s="0" t="s">
        <v>127</v>
      </c>
      <c r="C107" s="0" t="s">
        <v>128</v>
      </c>
      <c r="D107" s="0" t="s">
        <v>4082</v>
      </c>
      <c r="E107" s="0" t="s">
        <v>4083</v>
      </c>
      <c r="F107" s="0" t="s">
        <v>3862</v>
      </c>
      <c r="G107" s="0" t="s">
        <v>4084</v>
      </c>
    </row>
    <row customHeight="1" ht="11.25">
      <c r="A108" s="497" t="s">
        <v>16</v>
      </c>
      <c r="B108" s="0" t="s">
        <v>127</v>
      </c>
      <c r="C108" s="0" t="s">
        <v>128</v>
      </c>
      <c r="D108" s="0" t="s">
        <v>4085</v>
      </c>
      <c r="E108" s="0" t="s">
        <v>4086</v>
      </c>
      <c r="F108" s="0" t="s">
        <v>3862</v>
      </c>
      <c r="G108" s="0" t="s">
        <v>4087</v>
      </c>
    </row>
    <row customHeight="1" ht="11.25">
      <c r="A109" s="497" t="s">
        <v>16</v>
      </c>
      <c r="B109" s="0" t="s">
        <v>127</v>
      </c>
      <c r="C109" s="0" t="s">
        <v>128</v>
      </c>
      <c r="D109" s="0" t="s">
        <v>4088</v>
      </c>
      <c r="E109" s="0" t="s">
        <v>4089</v>
      </c>
      <c r="F109" s="0" t="s">
        <v>3862</v>
      </c>
      <c r="G109" s="0" t="s">
        <v>4090</v>
      </c>
    </row>
    <row customHeight="1" ht="11.25">
      <c r="A110" s="497" t="s">
        <v>16</v>
      </c>
      <c r="B110" s="0" t="s">
        <v>127</v>
      </c>
      <c r="C110" s="0" t="s">
        <v>128</v>
      </c>
      <c r="D110" s="0" t="s">
        <v>4091</v>
      </c>
      <c r="E110" s="0" t="s">
        <v>4092</v>
      </c>
      <c r="F110" s="0" t="s">
        <v>3862</v>
      </c>
      <c r="G110" s="0" t="s">
        <v>4093</v>
      </c>
    </row>
    <row customHeight="1" ht="11.25">
      <c r="A111" s="497" t="s">
        <v>16</v>
      </c>
      <c r="B111" s="0" t="s">
        <v>127</v>
      </c>
      <c r="C111" s="0" t="s">
        <v>128</v>
      </c>
      <c r="D111" s="0" t="s">
        <v>3953</v>
      </c>
      <c r="E111" s="0" t="s">
        <v>4094</v>
      </c>
      <c r="F111" s="0" t="s">
        <v>3862</v>
      </c>
      <c r="G111" s="0" t="s">
        <v>4095</v>
      </c>
    </row>
    <row customHeight="1" ht="11.25">
      <c r="A112" s="497" t="s">
        <v>16</v>
      </c>
      <c r="B112" s="0" t="s">
        <v>127</v>
      </c>
      <c r="C112" s="0" t="s">
        <v>128</v>
      </c>
      <c r="D112" s="0" t="s">
        <v>4096</v>
      </c>
      <c r="E112" s="0" t="s">
        <v>4097</v>
      </c>
      <c r="F112" s="0" t="s">
        <v>3862</v>
      </c>
      <c r="G112" s="0" t="s">
        <v>752</v>
      </c>
    </row>
    <row customHeight="1" ht="11.25">
      <c r="A113" s="497" t="s">
        <v>16</v>
      </c>
      <c r="B113" s="0" t="s">
        <v>127</v>
      </c>
      <c r="C113" s="0" t="s">
        <v>128</v>
      </c>
      <c r="D113" s="0" t="s">
        <v>4098</v>
      </c>
      <c r="E113" s="0" t="s">
        <v>4099</v>
      </c>
      <c r="F113" s="0" t="s">
        <v>3862</v>
      </c>
      <c r="G113" s="0" t="s">
        <v>4100</v>
      </c>
    </row>
    <row customHeight="1" ht="11.25">
      <c r="A114" s="497" t="s">
        <v>16</v>
      </c>
      <c r="B114" s="0" t="s">
        <v>127</v>
      </c>
      <c r="C114" s="0" t="s">
        <v>128</v>
      </c>
      <c r="D114" s="0" t="s">
        <v>4101</v>
      </c>
      <c r="E114" s="0" t="s">
        <v>4102</v>
      </c>
      <c r="F114" s="0" t="s">
        <v>3862</v>
      </c>
      <c r="G114" s="0" t="s">
        <v>4103</v>
      </c>
    </row>
    <row customHeight="1" ht="11.25">
      <c r="A115" s="497" t="s">
        <v>16</v>
      </c>
      <c r="B115" s="0" t="s">
        <v>132</v>
      </c>
      <c r="C115" s="0" t="s">
        <v>133</v>
      </c>
      <c r="D115" s="0" t="s">
        <v>132</v>
      </c>
      <c r="E115" s="0" t="s">
        <v>133</v>
      </c>
      <c r="F115" s="0" t="s">
        <v>3859</v>
      </c>
      <c r="G115" s="0" t="s">
        <v>131</v>
      </c>
    </row>
    <row customHeight="1" ht="11.25">
      <c r="A116" s="497" t="s">
        <v>16</v>
      </c>
      <c r="B116" s="0" t="s">
        <v>132</v>
      </c>
      <c r="C116" s="0" t="s">
        <v>133</v>
      </c>
      <c r="D116" s="0" t="s">
        <v>4104</v>
      </c>
      <c r="E116" s="0" t="s">
        <v>4105</v>
      </c>
      <c r="F116" s="0" t="s">
        <v>3862</v>
      </c>
      <c r="G116" s="0" t="s">
        <v>4106</v>
      </c>
    </row>
    <row customHeight="1" ht="11.25">
      <c r="A117" s="497" t="s">
        <v>16</v>
      </c>
      <c r="B117" s="0" t="s">
        <v>132</v>
      </c>
      <c r="C117" s="0" t="s">
        <v>133</v>
      </c>
      <c r="D117" s="0" t="s">
        <v>4107</v>
      </c>
      <c r="E117" s="0" t="s">
        <v>4108</v>
      </c>
      <c r="F117" s="0" t="s">
        <v>3862</v>
      </c>
      <c r="G117" s="0" t="s">
        <v>4109</v>
      </c>
    </row>
    <row customHeight="1" ht="11.25">
      <c r="A118" s="497" t="s">
        <v>16</v>
      </c>
      <c r="B118" s="0" t="s">
        <v>132</v>
      </c>
      <c r="C118" s="0" t="s">
        <v>133</v>
      </c>
      <c r="D118" s="0" t="s">
        <v>4110</v>
      </c>
      <c r="E118" s="0" t="s">
        <v>4111</v>
      </c>
      <c r="F118" s="0" t="s">
        <v>3862</v>
      </c>
      <c r="G118" s="0" t="s">
        <v>4112</v>
      </c>
    </row>
    <row customHeight="1" ht="11.25">
      <c r="A119" s="497" t="s">
        <v>16</v>
      </c>
      <c r="B119" s="0" t="s">
        <v>132</v>
      </c>
      <c r="C119" s="0" t="s">
        <v>133</v>
      </c>
      <c r="D119" s="0" t="s">
        <v>4113</v>
      </c>
      <c r="E119" s="0" t="s">
        <v>4114</v>
      </c>
      <c r="F119" s="0" t="s">
        <v>3862</v>
      </c>
      <c r="G119" s="0" t="s">
        <v>4115</v>
      </c>
    </row>
    <row customHeight="1" ht="11.25">
      <c r="A120" s="497" t="s">
        <v>16</v>
      </c>
      <c r="B120" s="0" t="s">
        <v>132</v>
      </c>
      <c r="C120" s="0" t="s">
        <v>133</v>
      </c>
      <c r="D120" s="0" t="s">
        <v>4116</v>
      </c>
      <c r="E120" s="0" t="s">
        <v>4117</v>
      </c>
      <c r="F120" s="0" t="s">
        <v>3862</v>
      </c>
      <c r="G120" s="0" t="s">
        <v>4118</v>
      </c>
    </row>
    <row customHeight="1" ht="11.25">
      <c r="A121" s="497" t="s">
        <v>16</v>
      </c>
      <c r="B121" s="0" t="s">
        <v>132</v>
      </c>
      <c r="C121" s="0" t="s">
        <v>133</v>
      </c>
      <c r="D121" s="0" t="s">
        <v>4119</v>
      </c>
      <c r="E121" s="0" t="s">
        <v>4120</v>
      </c>
      <c r="F121" s="0" t="s">
        <v>3862</v>
      </c>
      <c r="G121" s="0" t="s">
        <v>4121</v>
      </c>
    </row>
    <row customHeight="1" ht="11.25">
      <c r="A122" s="497" t="s">
        <v>16</v>
      </c>
      <c r="B122" s="0" t="s">
        <v>132</v>
      </c>
      <c r="C122" s="0" t="s">
        <v>133</v>
      </c>
      <c r="D122" s="0" t="s">
        <v>4122</v>
      </c>
      <c r="E122" s="0" t="s">
        <v>4123</v>
      </c>
      <c r="F122" s="0" t="s">
        <v>3862</v>
      </c>
      <c r="G122" s="0" t="s">
        <v>4124</v>
      </c>
    </row>
    <row customHeight="1" ht="11.25">
      <c r="A123" s="497" t="s">
        <v>16</v>
      </c>
      <c r="B123" s="0" t="s">
        <v>132</v>
      </c>
      <c r="C123" s="0" t="s">
        <v>133</v>
      </c>
      <c r="D123" s="0" t="s">
        <v>4125</v>
      </c>
      <c r="E123" s="0" t="s">
        <v>4126</v>
      </c>
      <c r="F123" s="0" t="s">
        <v>3862</v>
      </c>
      <c r="G123" s="0" t="s">
        <v>4127</v>
      </c>
    </row>
    <row customHeight="1" ht="11.25">
      <c r="A124" s="497" t="s">
        <v>16</v>
      </c>
      <c r="B124" s="0" t="s">
        <v>132</v>
      </c>
      <c r="C124" s="0" t="s">
        <v>133</v>
      </c>
      <c r="D124" s="0" t="s">
        <v>1359</v>
      </c>
      <c r="E124" s="0" t="s">
        <v>1360</v>
      </c>
      <c r="F124" s="0" t="s">
        <v>3862</v>
      </c>
      <c r="G124" s="0" t="s">
        <v>4128</v>
      </c>
    </row>
    <row customHeight="1" ht="11.25">
      <c r="A125" s="497" t="s">
        <v>16</v>
      </c>
      <c r="B125" s="0" t="s">
        <v>132</v>
      </c>
      <c r="C125" s="0" t="s">
        <v>133</v>
      </c>
      <c r="D125" s="0" t="s">
        <v>4129</v>
      </c>
      <c r="E125" s="0" t="s">
        <v>4130</v>
      </c>
      <c r="F125" s="0" t="s">
        <v>3862</v>
      </c>
      <c r="G125" s="0" t="s">
        <v>4131</v>
      </c>
    </row>
    <row customHeight="1" ht="11.25">
      <c r="A126" s="497" t="s">
        <v>16</v>
      </c>
      <c r="B126" s="0" t="s">
        <v>132</v>
      </c>
      <c r="C126" s="0" t="s">
        <v>133</v>
      </c>
      <c r="D126" s="0" t="s">
        <v>4132</v>
      </c>
      <c r="E126" s="0" t="s">
        <v>4133</v>
      </c>
      <c r="F126" s="0" t="s">
        <v>3862</v>
      </c>
      <c r="G126" s="0" t="s">
        <v>4134</v>
      </c>
    </row>
    <row customHeight="1" ht="11.25">
      <c r="A127" s="497" t="s">
        <v>16</v>
      </c>
      <c r="B127" s="0" t="s">
        <v>132</v>
      </c>
      <c r="C127" s="0" t="s">
        <v>133</v>
      </c>
      <c r="D127" s="0" t="s">
        <v>4135</v>
      </c>
      <c r="E127" s="0" t="s">
        <v>4136</v>
      </c>
      <c r="F127" s="0" t="s">
        <v>3862</v>
      </c>
      <c r="G127" s="0" t="s">
        <v>4137</v>
      </c>
    </row>
    <row customHeight="1" ht="11.25">
      <c r="A128" s="497" t="s">
        <v>16</v>
      </c>
      <c r="B128" s="0" t="s">
        <v>4138</v>
      </c>
      <c r="C128" s="0" t="s">
        <v>4139</v>
      </c>
      <c r="D128" s="0" t="s">
        <v>4138</v>
      </c>
      <c r="E128" s="0" t="s">
        <v>4139</v>
      </c>
      <c r="F128" s="0" t="s">
        <v>3859</v>
      </c>
      <c r="G128" s="0" t="s">
        <v>4140</v>
      </c>
    </row>
    <row customHeight="1" ht="11.25">
      <c r="A129" s="497" t="s">
        <v>16</v>
      </c>
      <c r="B129" s="0" t="s">
        <v>4138</v>
      </c>
      <c r="C129" s="0" t="s">
        <v>4139</v>
      </c>
      <c r="D129" s="0" t="s">
        <v>4141</v>
      </c>
      <c r="E129" s="0" t="s">
        <v>4142</v>
      </c>
      <c r="F129" s="0" t="s">
        <v>3862</v>
      </c>
      <c r="G129" s="0" t="s">
        <v>4143</v>
      </c>
    </row>
    <row customHeight="1" ht="11.25">
      <c r="A130" s="497" t="s">
        <v>16</v>
      </c>
      <c r="B130" s="0" t="s">
        <v>4138</v>
      </c>
      <c r="C130" s="0" t="s">
        <v>4139</v>
      </c>
      <c r="D130" s="0" t="s">
        <v>4144</v>
      </c>
      <c r="E130" s="0" t="s">
        <v>4145</v>
      </c>
      <c r="F130" s="0" t="s">
        <v>3862</v>
      </c>
      <c r="G130" s="0" t="s">
        <v>4146</v>
      </c>
    </row>
    <row customHeight="1" ht="11.25">
      <c r="A131" s="497" t="s">
        <v>16</v>
      </c>
      <c r="B131" s="0" t="s">
        <v>4138</v>
      </c>
      <c r="C131" s="0" t="s">
        <v>4139</v>
      </c>
      <c r="D131" s="0" t="s">
        <v>4147</v>
      </c>
      <c r="E131" s="0" t="s">
        <v>4148</v>
      </c>
      <c r="F131" s="0" t="s">
        <v>3862</v>
      </c>
      <c r="G131" s="0" t="s">
        <v>4149</v>
      </c>
    </row>
    <row customHeight="1" ht="11.25">
      <c r="A132" s="497" t="s">
        <v>16</v>
      </c>
      <c r="B132" s="0" t="s">
        <v>4138</v>
      </c>
      <c r="C132" s="0" t="s">
        <v>4139</v>
      </c>
      <c r="D132" s="0" t="s">
        <v>4150</v>
      </c>
      <c r="E132" s="0" t="s">
        <v>4151</v>
      </c>
      <c r="F132" s="0" t="s">
        <v>3862</v>
      </c>
      <c r="G132" s="0" t="s">
        <v>4152</v>
      </c>
    </row>
    <row customHeight="1" ht="11.25">
      <c r="A133" s="497" t="s">
        <v>16</v>
      </c>
      <c r="B133" s="0" t="s">
        <v>4138</v>
      </c>
      <c r="C133" s="0" t="s">
        <v>4139</v>
      </c>
      <c r="D133" s="0" t="s">
        <v>4153</v>
      </c>
      <c r="E133" s="0" t="s">
        <v>4154</v>
      </c>
      <c r="F133" s="0" t="s">
        <v>3862</v>
      </c>
      <c r="G133" s="0" t="s">
        <v>4155</v>
      </c>
    </row>
    <row customHeight="1" ht="11.25">
      <c r="A134" s="497" t="s">
        <v>16</v>
      </c>
      <c r="B134" s="0" t="s">
        <v>4138</v>
      </c>
      <c r="C134" s="0" t="s">
        <v>4139</v>
      </c>
      <c r="D134" s="0" t="s">
        <v>4156</v>
      </c>
      <c r="E134" s="0" t="s">
        <v>4157</v>
      </c>
      <c r="F134" s="0" t="s">
        <v>3862</v>
      </c>
      <c r="G134" s="0" t="s">
        <v>4158</v>
      </c>
    </row>
    <row customHeight="1" ht="11.25">
      <c r="A135" s="497" t="s">
        <v>16</v>
      </c>
      <c r="B135" s="0" t="s">
        <v>123</v>
      </c>
      <c r="C135" s="0" t="s">
        <v>124</v>
      </c>
      <c r="D135" s="0" t="s">
        <v>123</v>
      </c>
      <c r="E135" s="0" t="s">
        <v>124</v>
      </c>
      <c r="F135" s="0" t="s">
        <v>3859</v>
      </c>
      <c r="G135" s="0" t="s">
        <v>122</v>
      </c>
    </row>
    <row customHeight="1" ht="11.25">
      <c r="A136" s="497" t="s">
        <v>16</v>
      </c>
      <c r="B136" s="0" t="s">
        <v>123</v>
      </c>
      <c r="C136" s="0" t="s">
        <v>124</v>
      </c>
      <c r="D136" s="0" t="s">
        <v>4159</v>
      </c>
      <c r="E136" s="0" t="s">
        <v>4160</v>
      </c>
      <c r="F136" s="0" t="s">
        <v>3862</v>
      </c>
      <c r="G136" s="0" t="s">
        <v>4161</v>
      </c>
    </row>
    <row customHeight="1" ht="11.25">
      <c r="A137" s="497" t="s">
        <v>16</v>
      </c>
      <c r="B137" s="0" t="s">
        <v>123</v>
      </c>
      <c r="C137" s="0" t="s">
        <v>124</v>
      </c>
      <c r="D137" s="0" t="s">
        <v>4162</v>
      </c>
      <c r="E137" s="0" t="s">
        <v>4163</v>
      </c>
      <c r="F137" s="0" t="s">
        <v>3862</v>
      </c>
      <c r="G137" s="0" t="s">
        <v>4164</v>
      </c>
    </row>
    <row customHeight="1" ht="11.25">
      <c r="A138" s="497" t="s">
        <v>16</v>
      </c>
      <c r="B138" s="0" t="s">
        <v>123</v>
      </c>
      <c r="C138" s="0" t="s">
        <v>124</v>
      </c>
      <c r="D138" s="0" t="s">
        <v>4165</v>
      </c>
      <c r="E138" s="0" t="s">
        <v>4166</v>
      </c>
      <c r="F138" s="0" t="s">
        <v>3862</v>
      </c>
      <c r="G138" s="0" t="s">
        <v>4167</v>
      </c>
    </row>
    <row customHeight="1" ht="11.25">
      <c r="A139" s="497" t="s">
        <v>16</v>
      </c>
      <c r="B139" s="0" t="s">
        <v>123</v>
      </c>
      <c r="C139" s="0" t="s">
        <v>124</v>
      </c>
      <c r="D139" s="0" t="s">
        <v>4168</v>
      </c>
      <c r="E139" s="0" t="s">
        <v>4169</v>
      </c>
      <c r="F139" s="0" t="s">
        <v>3862</v>
      </c>
      <c r="G139" s="0" t="s">
        <v>4170</v>
      </c>
    </row>
    <row customHeight="1" ht="11.25">
      <c r="A140" s="497" t="s">
        <v>16</v>
      </c>
      <c r="B140" s="0" t="s">
        <v>123</v>
      </c>
      <c r="C140" s="0" t="s">
        <v>124</v>
      </c>
      <c r="D140" s="0" t="s">
        <v>4171</v>
      </c>
      <c r="E140" s="0" t="s">
        <v>4172</v>
      </c>
      <c r="F140" s="0" t="s">
        <v>3862</v>
      </c>
      <c r="G140" s="0" t="s">
        <v>4173</v>
      </c>
    </row>
    <row customHeight="1" ht="11.25">
      <c r="A141" s="497" t="s">
        <v>16</v>
      </c>
      <c r="B141" s="0" t="s">
        <v>123</v>
      </c>
      <c r="C141" s="0" t="s">
        <v>124</v>
      </c>
      <c r="D141" s="0" t="s">
        <v>4174</v>
      </c>
      <c r="E141" s="0" t="s">
        <v>4175</v>
      </c>
      <c r="F141" s="0" t="s">
        <v>3862</v>
      </c>
      <c r="G141" s="0" t="s">
        <v>4176</v>
      </c>
    </row>
    <row customHeight="1" ht="11.25">
      <c r="A142" s="497" t="s">
        <v>16</v>
      </c>
      <c r="B142" s="0" t="s">
        <v>123</v>
      </c>
      <c r="C142" s="0" t="s">
        <v>124</v>
      </c>
      <c r="D142" s="0" t="s">
        <v>4177</v>
      </c>
      <c r="E142" s="0" t="s">
        <v>4178</v>
      </c>
      <c r="F142" s="0" t="s">
        <v>3862</v>
      </c>
      <c r="G142" s="0" t="s">
        <v>4179</v>
      </c>
    </row>
    <row customHeight="1" ht="11.25">
      <c r="A143" s="497" t="s">
        <v>16</v>
      </c>
      <c r="B143" s="0" t="s">
        <v>123</v>
      </c>
      <c r="C143" s="0" t="s">
        <v>124</v>
      </c>
      <c r="D143" s="0" t="s">
        <v>4180</v>
      </c>
      <c r="E143" s="0" t="s">
        <v>4181</v>
      </c>
      <c r="F143" s="0" t="s">
        <v>3862</v>
      </c>
      <c r="G143" s="0" t="s">
        <v>4182</v>
      </c>
    </row>
    <row customHeight="1" ht="11.25">
      <c r="A144" s="497" t="s">
        <v>16</v>
      </c>
      <c r="B144" s="0" t="s">
        <v>123</v>
      </c>
      <c r="C144" s="0" t="s">
        <v>124</v>
      </c>
      <c r="D144" s="0" t="s">
        <v>4183</v>
      </c>
      <c r="E144" s="0" t="s">
        <v>4184</v>
      </c>
      <c r="F144" s="0" t="s">
        <v>3862</v>
      </c>
      <c r="G144" s="0" t="s">
        <v>4185</v>
      </c>
    </row>
    <row customHeight="1" ht="11.25">
      <c r="A145" s="497" t="s">
        <v>16</v>
      </c>
      <c r="B145" s="0" t="s">
        <v>123</v>
      </c>
      <c r="C145" s="0" t="s">
        <v>124</v>
      </c>
      <c r="D145" s="0" t="s">
        <v>4186</v>
      </c>
      <c r="E145" s="0" t="s">
        <v>4187</v>
      </c>
      <c r="F145" s="0" t="s">
        <v>3862</v>
      </c>
      <c r="G145" s="0" t="s">
        <v>4188</v>
      </c>
    </row>
    <row customHeight="1" ht="11.25">
      <c r="A146" s="497" t="s">
        <v>16</v>
      </c>
      <c r="B146" s="0" t="s">
        <v>123</v>
      </c>
      <c r="C146" s="0" t="s">
        <v>124</v>
      </c>
      <c r="D146" s="0" t="s">
        <v>4189</v>
      </c>
      <c r="E146" s="0" t="s">
        <v>4190</v>
      </c>
      <c r="F146" s="0" t="s">
        <v>3862</v>
      </c>
      <c r="G146" s="0" t="s">
        <v>4191</v>
      </c>
    </row>
    <row customHeight="1" ht="11.25">
      <c r="A147" s="497" t="s">
        <v>16</v>
      </c>
      <c r="B147" s="0" t="s">
        <v>123</v>
      </c>
      <c r="C147" s="0" t="s">
        <v>124</v>
      </c>
      <c r="D147" s="0" t="s">
        <v>4192</v>
      </c>
      <c r="E147" s="0" t="s">
        <v>4193</v>
      </c>
      <c r="F147" s="0" t="s">
        <v>3862</v>
      </c>
      <c r="G147" s="0" t="s">
        <v>4194</v>
      </c>
    </row>
    <row customHeight="1" ht="11.25">
      <c r="A148" s="497" t="s">
        <v>16</v>
      </c>
      <c r="B148" s="0" t="s">
        <v>123</v>
      </c>
      <c r="C148" s="0" t="s">
        <v>124</v>
      </c>
      <c r="D148" s="0" t="s">
        <v>4195</v>
      </c>
      <c r="E148" s="0" t="s">
        <v>4196</v>
      </c>
      <c r="F148" s="0" t="s">
        <v>3862</v>
      </c>
      <c r="G148" s="0" t="s">
        <v>4197</v>
      </c>
    </row>
    <row customHeight="1" ht="11.25">
      <c r="A149" s="497" t="s">
        <v>16</v>
      </c>
      <c r="B149" s="0" t="s">
        <v>4198</v>
      </c>
      <c r="C149" s="0" t="s">
        <v>4199</v>
      </c>
      <c r="D149" s="0" t="s">
        <v>4198</v>
      </c>
      <c r="E149" s="0" t="s">
        <v>4199</v>
      </c>
      <c r="F149" s="0" t="s">
        <v>3859</v>
      </c>
      <c r="G149" s="0" t="s">
        <v>4200</v>
      </c>
    </row>
    <row customHeight="1" ht="11.25">
      <c r="A150" s="497" t="s">
        <v>16</v>
      </c>
      <c r="B150" s="0" t="s">
        <v>4198</v>
      </c>
      <c r="C150" s="0" t="s">
        <v>4199</v>
      </c>
      <c r="D150" s="0" t="s">
        <v>4201</v>
      </c>
      <c r="E150" s="0" t="s">
        <v>4202</v>
      </c>
      <c r="F150" s="0" t="s">
        <v>3862</v>
      </c>
      <c r="G150" s="0" t="s">
        <v>4203</v>
      </c>
    </row>
    <row customHeight="1" ht="11.25">
      <c r="A151" s="497" t="s">
        <v>16</v>
      </c>
      <c r="B151" s="0" t="s">
        <v>4198</v>
      </c>
      <c r="C151" s="0" t="s">
        <v>4199</v>
      </c>
      <c r="D151" s="0" t="s">
        <v>4204</v>
      </c>
      <c r="E151" s="0" t="s">
        <v>4205</v>
      </c>
      <c r="F151" s="0" t="s">
        <v>3862</v>
      </c>
      <c r="G151" s="0" t="s">
        <v>4206</v>
      </c>
    </row>
    <row customHeight="1" ht="11.25">
      <c r="A152" s="497" t="s">
        <v>16</v>
      </c>
      <c r="B152" s="0" t="s">
        <v>4198</v>
      </c>
      <c r="C152" s="0" t="s">
        <v>4199</v>
      </c>
      <c r="D152" s="0" t="s">
        <v>4207</v>
      </c>
      <c r="E152" s="0" t="s">
        <v>4208</v>
      </c>
      <c r="F152" s="0" t="s">
        <v>3862</v>
      </c>
      <c r="G152" s="0" t="s">
        <v>4209</v>
      </c>
    </row>
    <row customHeight="1" ht="11.25">
      <c r="A153" s="497" t="s">
        <v>16</v>
      </c>
      <c r="B153" s="0" t="s">
        <v>4198</v>
      </c>
      <c r="C153" s="0" t="s">
        <v>4199</v>
      </c>
      <c r="D153" s="0" t="s">
        <v>4210</v>
      </c>
      <c r="E153" s="0" t="s">
        <v>4211</v>
      </c>
      <c r="F153" s="0" t="s">
        <v>3862</v>
      </c>
      <c r="G153" s="0" t="s">
        <v>4212</v>
      </c>
    </row>
    <row customHeight="1" ht="11.25">
      <c r="A154" s="497" t="s">
        <v>16</v>
      </c>
      <c r="B154" s="0" t="s">
        <v>4198</v>
      </c>
      <c r="C154" s="0" t="s">
        <v>4199</v>
      </c>
      <c r="D154" s="0" t="s">
        <v>4213</v>
      </c>
      <c r="E154" s="0" t="s">
        <v>4214</v>
      </c>
      <c r="F154" s="0" t="s">
        <v>3862</v>
      </c>
      <c r="G154" s="0" t="s">
        <v>4215</v>
      </c>
    </row>
    <row customHeight="1" ht="11.25">
      <c r="A155" s="497" t="s">
        <v>16</v>
      </c>
      <c r="B155" s="0" t="s">
        <v>4198</v>
      </c>
      <c r="C155" s="0" t="s">
        <v>4199</v>
      </c>
      <c r="D155" s="0" t="s">
        <v>4216</v>
      </c>
      <c r="E155" s="0" t="s">
        <v>4217</v>
      </c>
      <c r="F155" s="0" t="s">
        <v>3862</v>
      </c>
      <c r="G155" s="0" t="s">
        <v>4218</v>
      </c>
    </row>
    <row customHeight="1" ht="11.25">
      <c r="A156" s="497" t="s">
        <v>16</v>
      </c>
      <c r="B156" s="0" t="s">
        <v>4198</v>
      </c>
      <c r="C156" s="0" t="s">
        <v>4199</v>
      </c>
      <c r="D156" s="0" t="s">
        <v>4219</v>
      </c>
      <c r="E156" s="0" t="s">
        <v>4220</v>
      </c>
      <c r="F156" s="0" t="s">
        <v>3862</v>
      </c>
      <c r="G156" s="0" t="s">
        <v>4221</v>
      </c>
    </row>
    <row customHeight="1" ht="11.25">
      <c r="A157" s="497" t="s">
        <v>16</v>
      </c>
      <c r="B157" s="0" t="s">
        <v>4198</v>
      </c>
      <c r="C157" s="0" t="s">
        <v>4199</v>
      </c>
      <c r="D157" s="0" t="s">
        <v>4222</v>
      </c>
      <c r="E157" s="0" t="s">
        <v>4223</v>
      </c>
      <c r="F157" s="0" t="s">
        <v>3862</v>
      </c>
      <c r="G157" s="0" t="s">
        <v>4224</v>
      </c>
    </row>
    <row customHeight="1" ht="11.25">
      <c r="A158" s="497" t="s">
        <v>16</v>
      </c>
      <c r="B158" s="0" t="s">
        <v>4198</v>
      </c>
      <c r="C158" s="0" t="s">
        <v>4199</v>
      </c>
      <c r="D158" s="0" t="s">
        <v>4225</v>
      </c>
      <c r="E158" s="0" t="s">
        <v>4226</v>
      </c>
      <c r="F158" s="0" t="s">
        <v>3862</v>
      </c>
      <c r="G158" s="0" t="s">
        <v>4227</v>
      </c>
    </row>
    <row customHeight="1" ht="11.25">
      <c r="A159" s="497" t="s">
        <v>16</v>
      </c>
      <c r="B159" s="0" t="s">
        <v>4198</v>
      </c>
      <c r="C159" s="0" t="s">
        <v>4199</v>
      </c>
      <c r="D159" s="0" t="s">
        <v>4228</v>
      </c>
      <c r="E159" s="0" t="s">
        <v>4229</v>
      </c>
      <c r="F159" s="0" t="s">
        <v>3862</v>
      </c>
      <c r="G159" s="0" t="s">
        <v>4230</v>
      </c>
    </row>
    <row customHeight="1" ht="11.25">
      <c r="A160" s="497" t="s">
        <v>16</v>
      </c>
      <c r="B160" s="0" t="s">
        <v>4198</v>
      </c>
      <c r="C160" s="0" t="s">
        <v>4199</v>
      </c>
      <c r="D160" s="0" t="s">
        <v>4231</v>
      </c>
      <c r="E160" s="0" t="s">
        <v>4232</v>
      </c>
      <c r="F160" s="0" t="s">
        <v>3862</v>
      </c>
      <c r="G160" s="0" t="s">
        <v>4233</v>
      </c>
    </row>
    <row customHeight="1" ht="11.25">
      <c r="A161" s="497" t="s">
        <v>16</v>
      </c>
      <c r="B161" s="0" t="s">
        <v>4198</v>
      </c>
      <c r="C161" s="0" t="s">
        <v>4199</v>
      </c>
      <c r="D161" s="0" t="s">
        <v>4234</v>
      </c>
      <c r="E161" s="0" t="s">
        <v>4235</v>
      </c>
      <c r="F161" s="0" t="s">
        <v>3862</v>
      </c>
      <c r="G161" s="0" t="s">
        <v>4236</v>
      </c>
    </row>
    <row customHeight="1" ht="11.25">
      <c r="A162" s="497" t="s">
        <v>16</v>
      </c>
      <c r="B162" s="0" t="s">
        <v>4237</v>
      </c>
      <c r="C162" s="0" t="s">
        <v>4238</v>
      </c>
      <c r="D162" s="0" t="s">
        <v>4237</v>
      </c>
      <c r="E162" s="0" t="s">
        <v>4238</v>
      </c>
      <c r="F162" s="0" t="s">
        <v>3859</v>
      </c>
      <c r="G162" s="0" t="s">
        <v>4239</v>
      </c>
    </row>
    <row customHeight="1" ht="11.25">
      <c r="A163" s="497" t="s">
        <v>16</v>
      </c>
      <c r="B163" s="0" t="s">
        <v>4237</v>
      </c>
      <c r="C163" s="0" t="s">
        <v>4238</v>
      </c>
      <c r="D163" s="0" t="s">
        <v>4240</v>
      </c>
      <c r="E163" s="0" t="s">
        <v>4241</v>
      </c>
      <c r="F163" s="0" t="s">
        <v>3871</v>
      </c>
      <c r="G163" s="0" t="s">
        <v>4242</v>
      </c>
    </row>
    <row customHeight="1" ht="11.25">
      <c r="A164" s="497" t="s">
        <v>16</v>
      </c>
      <c r="B164" s="0" t="s">
        <v>4237</v>
      </c>
      <c r="C164" s="0" t="s">
        <v>4238</v>
      </c>
      <c r="D164" s="0" t="s">
        <v>4243</v>
      </c>
      <c r="E164" s="0" t="s">
        <v>4244</v>
      </c>
      <c r="F164" s="0" t="s">
        <v>3871</v>
      </c>
      <c r="G164" s="0" t="s">
        <v>4245</v>
      </c>
    </row>
    <row customHeight="1" ht="11.25">
      <c r="A165" s="497" t="s">
        <v>16</v>
      </c>
      <c r="B165" s="0" t="s">
        <v>4237</v>
      </c>
      <c r="C165" s="0" t="s">
        <v>4238</v>
      </c>
      <c r="D165" s="0" t="s">
        <v>4246</v>
      </c>
      <c r="E165" s="0" t="s">
        <v>4247</v>
      </c>
      <c r="F165" s="0" t="s">
        <v>3871</v>
      </c>
      <c r="G165" s="0" t="s">
        <v>4248</v>
      </c>
    </row>
    <row customHeight="1" ht="11.25">
      <c r="A166" s="497" t="s">
        <v>16</v>
      </c>
      <c r="B166" s="0" t="s">
        <v>4237</v>
      </c>
      <c r="C166" s="0" t="s">
        <v>4238</v>
      </c>
      <c r="D166" s="0" t="s">
        <v>4249</v>
      </c>
      <c r="E166" s="0" t="s">
        <v>4250</v>
      </c>
      <c r="F166" s="0" t="s">
        <v>3862</v>
      </c>
      <c r="G166" s="0" t="s">
        <v>4251</v>
      </c>
    </row>
    <row customHeight="1" ht="11.25">
      <c r="A167" s="497" t="s">
        <v>16</v>
      </c>
      <c r="B167" s="0" t="s">
        <v>4237</v>
      </c>
      <c r="C167" s="0" t="s">
        <v>4238</v>
      </c>
      <c r="D167" s="0" t="s">
        <v>4252</v>
      </c>
      <c r="E167" s="0" t="s">
        <v>4253</v>
      </c>
      <c r="F167" s="0" t="s">
        <v>3862</v>
      </c>
      <c r="G167" s="0" t="s">
        <v>4254</v>
      </c>
    </row>
    <row customHeight="1" ht="11.25">
      <c r="A168" s="497" t="s">
        <v>16</v>
      </c>
      <c r="B168" s="0" t="s">
        <v>4237</v>
      </c>
      <c r="C168" s="0" t="s">
        <v>4238</v>
      </c>
      <c r="D168" s="0" t="s">
        <v>4255</v>
      </c>
      <c r="E168" s="0" t="s">
        <v>4256</v>
      </c>
      <c r="F168" s="0" t="s">
        <v>3862</v>
      </c>
      <c r="G168" s="0" t="s">
        <v>4257</v>
      </c>
    </row>
    <row customHeight="1" ht="11.25">
      <c r="A169" s="497" t="s">
        <v>16</v>
      </c>
      <c r="B169" s="0" t="s">
        <v>4237</v>
      </c>
      <c r="C169" s="0" t="s">
        <v>4238</v>
      </c>
      <c r="D169" s="0" t="s">
        <v>4258</v>
      </c>
      <c r="E169" s="0" t="s">
        <v>4259</v>
      </c>
      <c r="F169" s="0" t="s">
        <v>3862</v>
      </c>
      <c r="G169" s="0" t="s">
        <v>4260</v>
      </c>
    </row>
    <row customHeight="1" ht="11.25">
      <c r="A170" s="497" t="s">
        <v>16</v>
      </c>
      <c r="B170" s="0" t="s">
        <v>4237</v>
      </c>
      <c r="C170" s="0" t="s">
        <v>4238</v>
      </c>
      <c r="D170" s="0" t="s">
        <v>4261</v>
      </c>
      <c r="E170" s="0" t="s">
        <v>4262</v>
      </c>
      <c r="F170" s="0" t="s">
        <v>3862</v>
      </c>
      <c r="G170" s="0" t="s">
        <v>4263</v>
      </c>
    </row>
    <row customHeight="1" ht="11.25">
      <c r="A171" s="497" t="s">
        <v>16</v>
      </c>
      <c r="B171" s="0" t="s">
        <v>4237</v>
      </c>
      <c r="C171" s="0" t="s">
        <v>4238</v>
      </c>
      <c r="D171" s="0" t="s">
        <v>4264</v>
      </c>
      <c r="E171" s="0" t="s">
        <v>4265</v>
      </c>
      <c r="F171" s="0" t="s">
        <v>3862</v>
      </c>
      <c r="G171" s="0" t="s">
        <v>4266</v>
      </c>
    </row>
    <row customHeight="1" ht="11.25">
      <c r="A172" s="497" t="s">
        <v>16</v>
      </c>
      <c r="B172" s="0" t="s">
        <v>4237</v>
      </c>
      <c r="C172" s="0" t="s">
        <v>4238</v>
      </c>
      <c r="D172" s="0" t="s">
        <v>4267</v>
      </c>
      <c r="E172" s="0" t="s">
        <v>4268</v>
      </c>
      <c r="F172" s="0" t="s">
        <v>3862</v>
      </c>
      <c r="G172" s="0" t="s">
        <v>4269</v>
      </c>
    </row>
    <row customHeight="1" ht="11.25">
      <c r="A173" s="497" t="s">
        <v>16</v>
      </c>
      <c r="B173" s="0" t="s">
        <v>4237</v>
      </c>
      <c r="C173" s="0" t="s">
        <v>4238</v>
      </c>
      <c r="D173" s="0" t="s">
        <v>4270</v>
      </c>
      <c r="E173" s="0" t="s">
        <v>4271</v>
      </c>
      <c r="F173" s="0" t="s">
        <v>3862</v>
      </c>
      <c r="G173" s="0" t="s">
        <v>4272</v>
      </c>
    </row>
    <row customHeight="1" ht="11.25">
      <c r="A174" s="497" t="s">
        <v>16</v>
      </c>
      <c r="B174" s="0" t="s">
        <v>4237</v>
      </c>
      <c r="C174" s="0" t="s">
        <v>4238</v>
      </c>
      <c r="D174" s="0" t="s">
        <v>4273</v>
      </c>
      <c r="E174" s="0" t="s">
        <v>4274</v>
      </c>
      <c r="F174" s="0" t="s">
        <v>3862</v>
      </c>
      <c r="G174" s="0" t="s">
        <v>4275</v>
      </c>
    </row>
    <row customHeight="1" ht="11.25">
      <c r="A175" s="497" t="s">
        <v>16</v>
      </c>
      <c r="B175" s="0" t="s">
        <v>4237</v>
      </c>
      <c r="C175" s="0" t="s">
        <v>4238</v>
      </c>
      <c r="D175" s="0" t="s">
        <v>4276</v>
      </c>
      <c r="E175" s="0" t="s">
        <v>4277</v>
      </c>
      <c r="F175" s="0" t="s">
        <v>3862</v>
      </c>
      <c r="G175" s="0" t="s">
        <v>4278</v>
      </c>
    </row>
    <row customHeight="1" ht="11.25">
      <c r="A176" s="497" t="s">
        <v>16</v>
      </c>
      <c r="B176" s="0" t="s">
        <v>137</v>
      </c>
      <c r="C176" s="0" t="s">
        <v>138</v>
      </c>
      <c r="D176" s="0" t="s">
        <v>137</v>
      </c>
      <c r="E176" s="0" t="s">
        <v>138</v>
      </c>
      <c r="F176" s="0" t="s">
        <v>3859</v>
      </c>
      <c r="G176" s="0" t="s">
        <v>136</v>
      </c>
    </row>
    <row customHeight="1" ht="11.25">
      <c r="A177" s="497" t="s">
        <v>16</v>
      </c>
      <c r="B177" s="0" t="s">
        <v>137</v>
      </c>
      <c r="C177" s="0" t="s">
        <v>138</v>
      </c>
      <c r="D177" s="0" t="s">
        <v>4279</v>
      </c>
      <c r="E177" s="0" t="s">
        <v>4280</v>
      </c>
      <c r="F177" s="0" t="s">
        <v>4281</v>
      </c>
      <c r="G177" s="0" t="s">
        <v>4282</v>
      </c>
    </row>
    <row customHeight="1" ht="11.25">
      <c r="A178" s="497" t="s">
        <v>16</v>
      </c>
      <c r="B178" s="0" t="s">
        <v>137</v>
      </c>
      <c r="C178" s="0" t="s">
        <v>138</v>
      </c>
      <c r="D178" s="0" t="s">
        <v>4283</v>
      </c>
      <c r="E178" s="0" t="s">
        <v>4284</v>
      </c>
      <c r="F178" s="0" t="s">
        <v>3862</v>
      </c>
      <c r="G178" s="0" t="s">
        <v>4285</v>
      </c>
    </row>
    <row customHeight="1" ht="11.25">
      <c r="A179" s="497" t="s">
        <v>16</v>
      </c>
      <c r="B179" s="0" t="s">
        <v>137</v>
      </c>
      <c r="C179" s="0" t="s">
        <v>138</v>
      </c>
      <c r="D179" s="0" t="s">
        <v>4110</v>
      </c>
      <c r="E179" s="0" t="s">
        <v>4286</v>
      </c>
      <c r="F179" s="0" t="s">
        <v>3862</v>
      </c>
      <c r="G179" s="0" t="s">
        <v>4287</v>
      </c>
    </row>
    <row customHeight="1" ht="11.25">
      <c r="A180" s="497" t="s">
        <v>16</v>
      </c>
      <c r="B180" s="0" t="s">
        <v>137</v>
      </c>
      <c r="C180" s="0" t="s">
        <v>138</v>
      </c>
      <c r="D180" s="0" t="s">
        <v>1350</v>
      </c>
      <c r="E180" s="0" t="s">
        <v>1351</v>
      </c>
      <c r="F180" s="0" t="s">
        <v>3862</v>
      </c>
      <c r="G180" s="0" t="s">
        <v>4288</v>
      </c>
    </row>
    <row customHeight="1" ht="11.25">
      <c r="A181" s="497" t="s">
        <v>16</v>
      </c>
      <c r="B181" s="0" t="s">
        <v>137</v>
      </c>
      <c r="C181" s="0" t="s">
        <v>138</v>
      </c>
      <c r="D181" s="0" t="s">
        <v>4289</v>
      </c>
      <c r="E181" s="0" t="s">
        <v>4290</v>
      </c>
      <c r="F181" s="0" t="s">
        <v>3862</v>
      </c>
      <c r="G181" s="0" t="s">
        <v>4291</v>
      </c>
    </row>
    <row customHeight="1" ht="11.25">
      <c r="A182" s="497" t="s">
        <v>16</v>
      </c>
      <c r="B182" s="0" t="s">
        <v>137</v>
      </c>
      <c r="C182" s="0" t="s">
        <v>138</v>
      </c>
      <c r="D182" s="0" t="s">
        <v>4292</v>
      </c>
      <c r="E182" s="0" t="s">
        <v>4293</v>
      </c>
      <c r="F182" s="0" t="s">
        <v>3862</v>
      </c>
      <c r="G182" s="0" t="s">
        <v>4294</v>
      </c>
    </row>
    <row customHeight="1" ht="11.25">
      <c r="A183" s="497" t="s">
        <v>16</v>
      </c>
      <c r="B183" s="0" t="s">
        <v>137</v>
      </c>
      <c r="C183" s="0" t="s">
        <v>138</v>
      </c>
      <c r="D183" s="0" t="s">
        <v>4295</v>
      </c>
      <c r="E183" s="0" t="s">
        <v>4296</v>
      </c>
      <c r="F183" s="0" t="s">
        <v>3862</v>
      </c>
      <c r="G183" s="0" t="s">
        <v>4297</v>
      </c>
    </row>
    <row customHeight="1" ht="11.25">
      <c r="A184" s="497" t="s">
        <v>16</v>
      </c>
      <c r="B184" s="0" t="s">
        <v>137</v>
      </c>
      <c r="C184" s="0" t="s">
        <v>138</v>
      </c>
      <c r="D184" s="0" t="s">
        <v>4298</v>
      </c>
      <c r="E184" s="0" t="s">
        <v>4299</v>
      </c>
      <c r="F184" s="0" t="s">
        <v>3862</v>
      </c>
      <c r="G184" s="0" t="s">
        <v>4300</v>
      </c>
    </row>
    <row customHeight="1" ht="11.25">
      <c r="A185" s="497" t="s">
        <v>16</v>
      </c>
      <c r="B185" s="0" t="s">
        <v>137</v>
      </c>
      <c r="C185" s="0" t="s">
        <v>138</v>
      </c>
      <c r="D185" s="0" t="s">
        <v>4301</v>
      </c>
      <c r="E185" s="0" t="s">
        <v>4302</v>
      </c>
      <c r="F185" s="0" t="s">
        <v>3862</v>
      </c>
      <c r="G185" s="0" t="s">
        <v>4303</v>
      </c>
    </row>
    <row customHeight="1" ht="11.25">
      <c r="A186" s="497" t="s">
        <v>16</v>
      </c>
      <c r="B186" s="0" t="s">
        <v>142</v>
      </c>
      <c r="C186" s="0" t="s">
        <v>143</v>
      </c>
      <c r="D186" s="0" t="s">
        <v>142</v>
      </c>
      <c r="E186" s="0" t="s">
        <v>143</v>
      </c>
      <c r="F186" s="0" t="s">
        <v>3859</v>
      </c>
      <c r="G186" s="0" t="s">
        <v>141</v>
      </c>
    </row>
    <row customHeight="1" ht="11.25">
      <c r="A187" s="497" t="s">
        <v>16</v>
      </c>
      <c r="B187" s="0" t="s">
        <v>142</v>
      </c>
      <c r="C187" s="0" t="s">
        <v>143</v>
      </c>
      <c r="D187" s="0" t="s">
        <v>4304</v>
      </c>
      <c r="E187" s="0" t="s">
        <v>4305</v>
      </c>
      <c r="F187" s="0" t="s">
        <v>3862</v>
      </c>
      <c r="G187" s="0" t="s">
        <v>4306</v>
      </c>
    </row>
    <row customHeight="1" ht="11.25">
      <c r="A188" s="497" t="s">
        <v>16</v>
      </c>
      <c r="B188" s="0" t="s">
        <v>142</v>
      </c>
      <c r="C188" s="0" t="s">
        <v>143</v>
      </c>
      <c r="D188" s="0" t="s">
        <v>4307</v>
      </c>
      <c r="E188" s="0" t="s">
        <v>4308</v>
      </c>
      <c r="F188" s="0" t="s">
        <v>3862</v>
      </c>
      <c r="G188" s="0" t="s">
        <v>4309</v>
      </c>
    </row>
    <row customHeight="1" ht="11.25">
      <c r="A189" s="497" t="s">
        <v>16</v>
      </c>
      <c r="B189" s="0" t="s">
        <v>142</v>
      </c>
      <c r="C189" s="0" t="s">
        <v>143</v>
      </c>
      <c r="D189" s="0" t="s">
        <v>1342</v>
      </c>
      <c r="E189" s="0" t="s">
        <v>1343</v>
      </c>
      <c r="F189" s="0" t="s">
        <v>3862</v>
      </c>
      <c r="G189" s="0" t="s">
        <v>4310</v>
      </c>
    </row>
    <row customHeight="1" ht="11.25">
      <c r="A190" s="497" t="s">
        <v>16</v>
      </c>
      <c r="B190" s="0" t="s">
        <v>142</v>
      </c>
      <c r="C190" s="0" t="s">
        <v>143</v>
      </c>
      <c r="D190" s="0" t="s">
        <v>4311</v>
      </c>
      <c r="E190" s="0" t="s">
        <v>4312</v>
      </c>
      <c r="F190" s="0" t="s">
        <v>3862</v>
      </c>
      <c r="G190" s="0" t="s">
        <v>4313</v>
      </c>
    </row>
    <row customHeight="1" ht="11.25">
      <c r="A191" s="497" t="s">
        <v>16</v>
      </c>
      <c r="B191" s="0" t="s">
        <v>142</v>
      </c>
      <c r="C191" s="0" t="s">
        <v>143</v>
      </c>
      <c r="D191" s="0" t="s">
        <v>4314</v>
      </c>
      <c r="E191" s="0" t="s">
        <v>4315</v>
      </c>
      <c r="F191" s="0" t="s">
        <v>3862</v>
      </c>
      <c r="G191" s="0" t="s">
        <v>4316</v>
      </c>
    </row>
    <row customHeight="1" ht="11.25">
      <c r="A192" s="497" t="s">
        <v>16</v>
      </c>
      <c r="B192" s="0" t="s">
        <v>142</v>
      </c>
      <c r="C192" s="0" t="s">
        <v>143</v>
      </c>
      <c r="D192" s="0" t="s">
        <v>4317</v>
      </c>
      <c r="E192" s="0" t="s">
        <v>4318</v>
      </c>
      <c r="F192" s="0" t="s">
        <v>3862</v>
      </c>
      <c r="G192" s="0" t="s">
        <v>4319</v>
      </c>
    </row>
    <row customHeight="1" ht="11.25">
      <c r="A193" s="497" t="s">
        <v>16</v>
      </c>
      <c r="B193" s="0" t="s">
        <v>142</v>
      </c>
      <c r="C193" s="0" t="s">
        <v>143</v>
      </c>
      <c r="D193" s="0" t="s">
        <v>4320</v>
      </c>
      <c r="E193" s="0" t="s">
        <v>4321</v>
      </c>
      <c r="F193" s="0" t="s">
        <v>3862</v>
      </c>
      <c r="G193" s="0" t="s">
        <v>4322</v>
      </c>
    </row>
    <row customHeight="1" ht="11.25">
      <c r="A194" s="497" t="s">
        <v>16</v>
      </c>
      <c r="B194" s="0" t="s">
        <v>142</v>
      </c>
      <c r="C194" s="0" t="s">
        <v>143</v>
      </c>
      <c r="D194" s="0" t="s">
        <v>4323</v>
      </c>
      <c r="E194" s="0" t="s">
        <v>4324</v>
      </c>
      <c r="F194" s="0" t="s">
        <v>3862</v>
      </c>
      <c r="G194" s="0" t="s">
        <v>4325</v>
      </c>
    </row>
    <row customHeight="1" ht="11.25">
      <c r="A195" s="497" t="s">
        <v>16</v>
      </c>
      <c r="B195" s="0" t="s">
        <v>147</v>
      </c>
      <c r="C195" s="0" t="s">
        <v>148</v>
      </c>
      <c r="D195" s="0" t="s">
        <v>147</v>
      </c>
      <c r="E195" s="0" t="s">
        <v>148</v>
      </c>
      <c r="F195" s="0" t="s">
        <v>3859</v>
      </c>
      <c r="G195" s="0" t="s">
        <v>146</v>
      </c>
    </row>
    <row customHeight="1" ht="11.25">
      <c r="A196" s="497" t="s">
        <v>16</v>
      </c>
      <c r="B196" s="0" t="s">
        <v>147</v>
      </c>
      <c r="C196" s="0" t="s">
        <v>148</v>
      </c>
      <c r="D196" s="0" t="s">
        <v>4326</v>
      </c>
      <c r="E196" s="0" t="s">
        <v>4327</v>
      </c>
      <c r="F196" s="0" t="s">
        <v>3862</v>
      </c>
      <c r="G196" s="0" t="s">
        <v>4328</v>
      </c>
    </row>
    <row customHeight="1" ht="11.25">
      <c r="A197" s="497" t="s">
        <v>16</v>
      </c>
      <c r="B197" s="0" t="s">
        <v>147</v>
      </c>
      <c r="C197" s="0" t="s">
        <v>148</v>
      </c>
      <c r="D197" s="0" t="s">
        <v>4329</v>
      </c>
      <c r="E197" s="0" t="s">
        <v>4330</v>
      </c>
      <c r="F197" s="0" t="s">
        <v>3862</v>
      </c>
      <c r="G197" s="0" t="s">
        <v>4331</v>
      </c>
    </row>
    <row customHeight="1" ht="11.25">
      <c r="A198" s="497" t="s">
        <v>16</v>
      </c>
      <c r="B198" s="0" t="s">
        <v>147</v>
      </c>
      <c r="C198" s="0" t="s">
        <v>148</v>
      </c>
      <c r="D198" s="0" t="s">
        <v>4332</v>
      </c>
      <c r="E198" s="0" t="s">
        <v>4333</v>
      </c>
      <c r="F198" s="0" t="s">
        <v>3862</v>
      </c>
      <c r="G198" s="0" t="s">
        <v>4334</v>
      </c>
    </row>
    <row customHeight="1" ht="11.25">
      <c r="A199" s="497" t="s">
        <v>16</v>
      </c>
      <c r="B199" s="0" t="s">
        <v>147</v>
      </c>
      <c r="C199" s="0" t="s">
        <v>148</v>
      </c>
      <c r="D199" s="0" t="s">
        <v>4335</v>
      </c>
      <c r="E199" s="0" t="s">
        <v>4336</v>
      </c>
      <c r="F199" s="0" t="s">
        <v>3862</v>
      </c>
      <c r="G199" s="0" t="s">
        <v>4337</v>
      </c>
    </row>
    <row customHeight="1" ht="11.25">
      <c r="A200" s="497" t="s">
        <v>16</v>
      </c>
      <c r="B200" s="0" t="s">
        <v>147</v>
      </c>
      <c r="C200" s="0" t="s">
        <v>148</v>
      </c>
      <c r="D200" s="0" t="s">
        <v>4338</v>
      </c>
      <c r="E200" s="0" t="s">
        <v>4339</v>
      </c>
      <c r="F200" s="0" t="s">
        <v>3862</v>
      </c>
      <c r="G200" s="0" t="s">
        <v>4340</v>
      </c>
    </row>
    <row customHeight="1" ht="11.25">
      <c r="A201" s="497" t="s">
        <v>16</v>
      </c>
      <c r="B201" s="0" t="s">
        <v>147</v>
      </c>
      <c r="C201" s="0" t="s">
        <v>148</v>
      </c>
      <c r="D201" s="0" t="s">
        <v>4341</v>
      </c>
      <c r="E201" s="0" t="s">
        <v>4342</v>
      </c>
      <c r="F201" s="0" t="s">
        <v>3862</v>
      </c>
      <c r="G201" s="0" t="s">
        <v>4343</v>
      </c>
    </row>
    <row customHeight="1" ht="11.25">
      <c r="A202" s="497" t="s">
        <v>16</v>
      </c>
      <c r="B202" s="0" t="s">
        <v>147</v>
      </c>
      <c r="C202" s="0" t="s">
        <v>148</v>
      </c>
      <c r="D202" s="0" t="s">
        <v>4344</v>
      </c>
      <c r="E202" s="0" t="s">
        <v>4345</v>
      </c>
      <c r="F202" s="0" t="s">
        <v>3862</v>
      </c>
      <c r="G202" s="0" t="s">
        <v>4346</v>
      </c>
    </row>
    <row customHeight="1" ht="11.25">
      <c r="A203" s="497" t="s">
        <v>16</v>
      </c>
      <c r="B203" s="0" t="s">
        <v>147</v>
      </c>
      <c r="C203" s="0" t="s">
        <v>148</v>
      </c>
      <c r="D203" s="0" t="s">
        <v>4347</v>
      </c>
      <c r="E203" s="0" t="s">
        <v>4348</v>
      </c>
      <c r="F203" s="0" t="s">
        <v>3862</v>
      </c>
      <c r="G203" s="0" t="s">
        <v>4349</v>
      </c>
    </row>
    <row customHeight="1" ht="11.25">
      <c r="A204" s="497" t="s">
        <v>16</v>
      </c>
      <c r="B204" s="0" t="s">
        <v>147</v>
      </c>
      <c r="C204" s="0" t="s">
        <v>148</v>
      </c>
      <c r="D204" s="0" t="s">
        <v>4350</v>
      </c>
      <c r="E204" s="0" t="s">
        <v>4351</v>
      </c>
      <c r="F204" s="0" t="s">
        <v>3862</v>
      </c>
      <c r="G204" s="0" t="s">
        <v>4352</v>
      </c>
    </row>
    <row customHeight="1" ht="11.25">
      <c r="A205" s="497" t="s">
        <v>16</v>
      </c>
      <c r="B205" s="0" t="s">
        <v>147</v>
      </c>
      <c r="C205" s="0" t="s">
        <v>148</v>
      </c>
      <c r="D205" s="0" t="s">
        <v>4353</v>
      </c>
      <c r="E205" s="0" t="s">
        <v>4354</v>
      </c>
      <c r="F205" s="0" t="s">
        <v>3862</v>
      </c>
      <c r="G205" s="0" t="s">
        <v>4355</v>
      </c>
    </row>
    <row customHeight="1" ht="11.25">
      <c r="A206" s="497" t="s">
        <v>16</v>
      </c>
      <c r="B206" s="0" t="s">
        <v>147</v>
      </c>
      <c r="C206" s="0" t="s">
        <v>148</v>
      </c>
      <c r="D206" s="0" t="s">
        <v>4356</v>
      </c>
      <c r="E206" s="0" t="s">
        <v>4357</v>
      </c>
      <c r="F206" s="0" t="s">
        <v>3862</v>
      </c>
      <c r="G206" s="0" t="s">
        <v>4358</v>
      </c>
    </row>
    <row customHeight="1" ht="11.25">
      <c r="A207" s="497" t="s">
        <v>16</v>
      </c>
      <c r="B207" s="0" t="s">
        <v>147</v>
      </c>
      <c r="C207" s="0" t="s">
        <v>148</v>
      </c>
      <c r="D207" s="0" t="s">
        <v>1334</v>
      </c>
      <c r="E207" s="0" t="s">
        <v>1335</v>
      </c>
      <c r="F207" s="0" t="s">
        <v>3862</v>
      </c>
      <c r="G207" s="0" t="s">
        <v>4359</v>
      </c>
    </row>
    <row customHeight="1" ht="11.25">
      <c r="A208" s="497" t="s">
        <v>16</v>
      </c>
      <c r="B208" s="0" t="s">
        <v>147</v>
      </c>
      <c r="C208" s="0" t="s">
        <v>148</v>
      </c>
      <c r="D208" s="0" t="s">
        <v>4360</v>
      </c>
      <c r="E208" s="0" t="s">
        <v>4361</v>
      </c>
      <c r="F208" s="0" t="s">
        <v>3862</v>
      </c>
      <c r="G208" s="0" t="s">
        <v>1204</v>
      </c>
    </row>
    <row customHeight="1" ht="11.25">
      <c r="A209" s="497" t="s">
        <v>16</v>
      </c>
      <c r="B209" s="0" t="s">
        <v>147</v>
      </c>
      <c r="C209" s="0" t="s">
        <v>148</v>
      </c>
      <c r="D209" s="0" t="s">
        <v>4362</v>
      </c>
      <c r="E209" s="0" t="s">
        <v>4363</v>
      </c>
      <c r="F209" s="0" t="s">
        <v>3862</v>
      </c>
      <c r="G209" s="0" t="s">
        <v>1190</v>
      </c>
    </row>
    <row customHeight="1" ht="11.25">
      <c r="A210" s="497" t="s">
        <v>16</v>
      </c>
      <c r="B210" s="0" t="s">
        <v>147</v>
      </c>
      <c r="C210" s="0" t="s">
        <v>148</v>
      </c>
      <c r="D210" s="0" t="s">
        <v>4364</v>
      </c>
      <c r="E210" s="0" t="s">
        <v>4365</v>
      </c>
      <c r="F210" s="0" t="s">
        <v>3862</v>
      </c>
      <c r="G210" s="0" t="s">
        <v>1227</v>
      </c>
    </row>
    <row customHeight="1" ht="11.25">
      <c r="A211" s="497" t="s">
        <v>16</v>
      </c>
      <c r="B211" s="0" t="s">
        <v>152</v>
      </c>
      <c r="C211" s="0" t="s">
        <v>153</v>
      </c>
      <c r="D211" s="0" t="s">
        <v>152</v>
      </c>
      <c r="E211" s="0" t="s">
        <v>153</v>
      </c>
      <c r="F211" s="0" t="s">
        <v>3859</v>
      </c>
      <c r="G211" s="0" t="s">
        <v>151</v>
      </c>
    </row>
    <row customHeight="1" ht="11.25">
      <c r="A212" s="497" t="s">
        <v>16</v>
      </c>
      <c r="B212" s="0" t="s">
        <v>152</v>
      </c>
      <c r="C212" s="0" t="s">
        <v>153</v>
      </c>
      <c r="D212" s="0" t="s">
        <v>4366</v>
      </c>
      <c r="E212" s="0" t="s">
        <v>4367</v>
      </c>
      <c r="F212" s="0" t="s">
        <v>3862</v>
      </c>
      <c r="G212" s="0" t="s">
        <v>1233</v>
      </c>
    </row>
    <row customHeight="1" ht="11.25">
      <c r="A213" s="497" t="s">
        <v>16</v>
      </c>
      <c r="B213" s="0" t="s">
        <v>152</v>
      </c>
      <c r="C213" s="0" t="s">
        <v>153</v>
      </c>
      <c r="D213" s="0" t="s">
        <v>4368</v>
      </c>
      <c r="E213" s="0" t="s">
        <v>4369</v>
      </c>
      <c r="F213" s="0" t="s">
        <v>3862</v>
      </c>
      <c r="G213" s="0" t="s">
        <v>1183</v>
      </c>
    </row>
    <row customHeight="1" ht="11.25">
      <c r="A214" s="497" t="s">
        <v>16</v>
      </c>
      <c r="B214" s="0" t="s">
        <v>152</v>
      </c>
      <c r="C214" s="0" t="s">
        <v>153</v>
      </c>
      <c r="D214" s="0" t="s">
        <v>4370</v>
      </c>
      <c r="E214" s="0" t="s">
        <v>4371</v>
      </c>
      <c r="F214" s="0" t="s">
        <v>3862</v>
      </c>
      <c r="G214" s="0" t="s">
        <v>4372</v>
      </c>
    </row>
    <row customHeight="1" ht="11.25">
      <c r="A215" s="497" t="s">
        <v>16</v>
      </c>
      <c r="B215" s="0" t="s">
        <v>152</v>
      </c>
      <c r="C215" s="0" t="s">
        <v>153</v>
      </c>
      <c r="D215" s="0" t="s">
        <v>4373</v>
      </c>
      <c r="E215" s="0" t="s">
        <v>4374</v>
      </c>
      <c r="F215" s="0" t="s">
        <v>3862</v>
      </c>
      <c r="G215" s="0" t="s">
        <v>1239</v>
      </c>
    </row>
    <row customHeight="1" ht="11.25">
      <c r="A216" s="497" t="s">
        <v>16</v>
      </c>
      <c r="B216" s="0" t="s">
        <v>152</v>
      </c>
      <c r="C216" s="0" t="s">
        <v>153</v>
      </c>
      <c r="D216" s="0" t="s">
        <v>4375</v>
      </c>
      <c r="E216" s="0" t="s">
        <v>4376</v>
      </c>
      <c r="F216" s="0" t="s">
        <v>3862</v>
      </c>
      <c r="G216" s="0" t="s">
        <v>1210</v>
      </c>
    </row>
    <row customHeight="1" ht="11.25">
      <c r="A217" s="497" t="s">
        <v>16</v>
      </c>
      <c r="B217" s="0" t="s">
        <v>152</v>
      </c>
      <c r="C217" s="0" t="s">
        <v>153</v>
      </c>
      <c r="D217" s="0" t="s">
        <v>4377</v>
      </c>
      <c r="E217" s="0" t="s">
        <v>4378</v>
      </c>
      <c r="F217" s="0" t="s">
        <v>3862</v>
      </c>
      <c r="G217" s="0" t="s">
        <v>1245</v>
      </c>
    </row>
    <row customHeight="1" ht="11.25">
      <c r="A218" s="497" t="s">
        <v>16</v>
      </c>
      <c r="B218" s="0" t="s">
        <v>152</v>
      </c>
      <c r="C218" s="0" t="s">
        <v>153</v>
      </c>
      <c r="D218" s="0" t="s">
        <v>4379</v>
      </c>
      <c r="E218" s="0" t="s">
        <v>4380</v>
      </c>
      <c r="F218" s="0" t="s">
        <v>3862</v>
      </c>
      <c r="G218" s="0" t="s">
        <v>1251</v>
      </c>
    </row>
    <row customHeight="1" ht="11.25">
      <c r="A219" s="497" t="s">
        <v>16</v>
      </c>
      <c r="B219" s="0" t="s">
        <v>4381</v>
      </c>
      <c r="C219" s="0" t="s">
        <v>4382</v>
      </c>
      <c r="D219" s="0" t="s">
        <v>4381</v>
      </c>
      <c r="E219" s="0" t="s">
        <v>4382</v>
      </c>
      <c r="F219" s="0" t="s">
        <v>3859</v>
      </c>
      <c r="G219" s="0" t="s">
        <v>4383</v>
      </c>
    </row>
    <row customHeight="1" ht="11.25">
      <c r="A220" s="497" t="s">
        <v>16</v>
      </c>
      <c r="B220" s="0" t="s">
        <v>4381</v>
      </c>
      <c r="C220" s="0" t="s">
        <v>4382</v>
      </c>
      <c r="D220" s="0" t="s">
        <v>4384</v>
      </c>
      <c r="E220" s="0" t="s">
        <v>4385</v>
      </c>
      <c r="F220" s="0" t="s">
        <v>3871</v>
      </c>
      <c r="G220" s="0" t="s">
        <v>4386</v>
      </c>
    </row>
    <row customHeight="1" ht="11.25">
      <c r="A221" s="497" t="s">
        <v>16</v>
      </c>
      <c r="B221" s="0" t="s">
        <v>4381</v>
      </c>
      <c r="C221" s="0" t="s">
        <v>4382</v>
      </c>
      <c r="D221" s="0" t="s">
        <v>4387</v>
      </c>
      <c r="E221" s="0" t="s">
        <v>4388</v>
      </c>
      <c r="F221" s="0" t="s">
        <v>3862</v>
      </c>
      <c r="G221" s="0" t="s">
        <v>4389</v>
      </c>
    </row>
    <row customHeight="1" ht="11.25">
      <c r="A222" s="497" t="s">
        <v>16</v>
      </c>
      <c r="B222" s="0" t="s">
        <v>4381</v>
      </c>
      <c r="C222" s="0" t="s">
        <v>4382</v>
      </c>
      <c r="D222" s="0" t="s">
        <v>4390</v>
      </c>
      <c r="E222" s="0" t="s">
        <v>4391</v>
      </c>
      <c r="F222" s="0" t="s">
        <v>3862</v>
      </c>
      <c r="G222" s="0" t="s">
        <v>4392</v>
      </c>
    </row>
    <row customHeight="1" ht="11.25">
      <c r="A223" s="497" t="s">
        <v>16</v>
      </c>
      <c r="B223" s="0" t="s">
        <v>4381</v>
      </c>
      <c r="C223" s="0" t="s">
        <v>4382</v>
      </c>
      <c r="D223" s="0" t="s">
        <v>4393</v>
      </c>
      <c r="E223" s="0" t="s">
        <v>4394</v>
      </c>
      <c r="F223" s="0" t="s">
        <v>3862</v>
      </c>
      <c r="G223" s="0" t="s">
        <v>4395</v>
      </c>
    </row>
    <row customHeight="1" ht="11.25">
      <c r="A224" s="497" t="s">
        <v>16</v>
      </c>
      <c r="B224" s="0" t="s">
        <v>4381</v>
      </c>
      <c r="C224" s="0" t="s">
        <v>4382</v>
      </c>
      <c r="D224" s="0" t="s">
        <v>4396</v>
      </c>
      <c r="E224" s="0" t="s">
        <v>4397</v>
      </c>
      <c r="F224" s="0" t="s">
        <v>3862</v>
      </c>
      <c r="G224" s="0" t="s">
        <v>4398</v>
      </c>
    </row>
    <row customHeight="1" ht="11.25">
      <c r="A225" s="497" t="s">
        <v>16</v>
      </c>
      <c r="B225" s="0" t="s">
        <v>4381</v>
      </c>
      <c r="C225" s="0" t="s">
        <v>4382</v>
      </c>
      <c r="D225" s="0" t="s">
        <v>4399</v>
      </c>
      <c r="E225" s="0" t="s">
        <v>4400</v>
      </c>
      <c r="F225" s="0" t="s">
        <v>3862</v>
      </c>
      <c r="G225" s="0" t="s">
        <v>4401</v>
      </c>
    </row>
    <row customHeight="1" ht="11.25">
      <c r="A226" s="497" t="s">
        <v>16</v>
      </c>
      <c r="B226" s="0" t="s">
        <v>4381</v>
      </c>
      <c r="C226" s="0" t="s">
        <v>4382</v>
      </c>
      <c r="D226" s="0" t="s">
        <v>4402</v>
      </c>
      <c r="E226" s="0" t="s">
        <v>4403</v>
      </c>
      <c r="F226" s="0" t="s">
        <v>3862</v>
      </c>
      <c r="G226" s="0" t="s">
        <v>4404</v>
      </c>
    </row>
    <row customHeight="1" ht="11.25">
      <c r="A227" s="497" t="s">
        <v>16</v>
      </c>
      <c r="B227" s="0" t="s">
        <v>4381</v>
      </c>
      <c r="C227" s="0" t="s">
        <v>4382</v>
      </c>
      <c r="D227" s="0" t="s">
        <v>4405</v>
      </c>
      <c r="E227" s="0" t="s">
        <v>4406</v>
      </c>
      <c r="F227" s="0" t="s">
        <v>3862</v>
      </c>
      <c r="G227" s="0" t="s">
        <v>4407</v>
      </c>
    </row>
    <row customHeight="1" ht="11.25">
      <c r="A228" s="497" t="s">
        <v>16</v>
      </c>
      <c r="B228" s="0" t="s">
        <v>4381</v>
      </c>
      <c r="C228" s="0" t="s">
        <v>4382</v>
      </c>
      <c r="D228" s="0" t="s">
        <v>4408</v>
      </c>
      <c r="E228" s="0" t="s">
        <v>4409</v>
      </c>
      <c r="F228" s="0" t="s">
        <v>3862</v>
      </c>
      <c r="G228" s="0" t="s">
        <v>1216</v>
      </c>
    </row>
    <row customHeight="1" ht="11.25">
      <c r="A229" s="497" t="s">
        <v>16</v>
      </c>
      <c r="B229" s="0" t="s">
        <v>4381</v>
      </c>
      <c r="C229" s="0" t="s">
        <v>4382</v>
      </c>
      <c r="D229" s="0" t="s">
        <v>4410</v>
      </c>
      <c r="E229" s="0" t="s">
        <v>4411</v>
      </c>
      <c r="F229" s="0" t="s">
        <v>3862</v>
      </c>
      <c r="G229" s="0" t="s">
        <v>1222</v>
      </c>
    </row>
    <row customHeight="1" ht="11.25">
      <c r="A230" s="497" t="s">
        <v>16</v>
      </c>
      <c r="B230" s="0" t="s">
        <v>4381</v>
      </c>
      <c r="C230" s="0" t="s">
        <v>4382</v>
      </c>
      <c r="D230" s="0" t="s">
        <v>4412</v>
      </c>
      <c r="E230" s="0" t="s">
        <v>4413</v>
      </c>
      <c r="F230" s="0" t="s">
        <v>3862</v>
      </c>
      <c r="G230" s="0" t="s">
        <v>1197</v>
      </c>
    </row>
    <row customHeight="1" ht="11.25">
      <c r="A231" s="497" t="s">
        <v>16</v>
      </c>
      <c r="B231" s="0" t="s">
        <v>4381</v>
      </c>
      <c r="C231" s="0" t="s">
        <v>4382</v>
      </c>
      <c r="D231" s="0" t="s">
        <v>4414</v>
      </c>
      <c r="E231" s="0" t="s">
        <v>4415</v>
      </c>
      <c r="F231" s="0" t="s">
        <v>3862</v>
      </c>
      <c r="G231" s="0" t="s">
        <v>4416</v>
      </c>
    </row>
    <row customHeight="1" ht="11.25">
      <c r="A232" s="497" t="s">
        <v>16</v>
      </c>
      <c r="B232" s="0" t="s">
        <v>4381</v>
      </c>
      <c r="C232" s="0" t="s">
        <v>4382</v>
      </c>
      <c r="D232" s="0" t="s">
        <v>4417</v>
      </c>
      <c r="E232" s="0" t="s">
        <v>4418</v>
      </c>
      <c r="F232" s="0" t="s">
        <v>3862</v>
      </c>
      <c r="G232" s="0" t="s">
        <v>4419</v>
      </c>
    </row>
    <row customHeight="1" ht="11.25">
      <c r="A233" s="497" t="s">
        <v>16</v>
      </c>
      <c r="B233" s="0" t="s">
        <v>4381</v>
      </c>
      <c r="C233" s="0" t="s">
        <v>4382</v>
      </c>
      <c r="D233" s="0" t="s">
        <v>4420</v>
      </c>
      <c r="E233" s="0" t="s">
        <v>4421</v>
      </c>
      <c r="F233" s="0" t="s">
        <v>3862</v>
      </c>
      <c r="G233" s="0" t="s">
        <v>4422</v>
      </c>
    </row>
    <row customHeight="1" ht="11.25">
      <c r="A234" s="497" t="s">
        <v>16</v>
      </c>
      <c r="B234" s="0" t="s">
        <v>4381</v>
      </c>
      <c r="C234" s="0" t="s">
        <v>4382</v>
      </c>
      <c r="D234" s="0" t="s">
        <v>4423</v>
      </c>
      <c r="E234" s="0" t="s">
        <v>4424</v>
      </c>
      <c r="F234" s="0" t="s">
        <v>3862</v>
      </c>
      <c r="G234" s="0" t="s">
        <v>4425</v>
      </c>
    </row>
    <row customHeight="1" ht="11.25">
      <c r="A235" s="497" t="s">
        <v>16</v>
      </c>
      <c r="B235" s="0" t="s">
        <v>4381</v>
      </c>
      <c r="C235" s="0" t="s">
        <v>4382</v>
      </c>
      <c r="D235" s="0" t="s">
        <v>4426</v>
      </c>
      <c r="E235" s="0" t="s">
        <v>4427</v>
      </c>
      <c r="F235" s="0" t="s">
        <v>3862</v>
      </c>
      <c r="G235" s="0" t="s">
        <v>4428</v>
      </c>
    </row>
    <row customHeight="1" ht="11.25">
      <c r="A236" s="497" t="s">
        <v>16</v>
      </c>
      <c r="B236" s="0" t="s">
        <v>4381</v>
      </c>
      <c r="C236" s="0" t="s">
        <v>4382</v>
      </c>
      <c r="D236" s="0" t="s">
        <v>4101</v>
      </c>
      <c r="E236" s="0" t="s">
        <v>4429</v>
      </c>
      <c r="F236" s="0" t="s">
        <v>3862</v>
      </c>
      <c r="G236" s="0" t="s">
        <v>4430</v>
      </c>
    </row>
    <row customHeight="1" ht="11.25">
      <c r="A237" s="497" t="s">
        <v>16</v>
      </c>
      <c r="B237" s="0" t="s">
        <v>157</v>
      </c>
      <c r="C237" s="0" t="s">
        <v>158</v>
      </c>
      <c r="D237" s="0" t="s">
        <v>157</v>
      </c>
      <c r="E237" s="0" t="s">
        <v>158</v>
      </c>
      <c r="F237" s="0" t="s">
        <v>3859</v>
      </c>
      <c r="G237" s="0" t="s">
        <v>156</v>
      </c>
    </row>
    <row customHeight="1" ht="11.25">
      <c r="A238" s="497" t="s">
        <v>16</v>
      </c>
      <c r="B238" s="0" t="s">
        <v>157</v>
      </c>
      <c r="C238" s="0" t="s">
        <v>158</v>
      </c>
      <c r="D238" s="0" t="s">
        <v>3903</v>
      </c>
      <c r="E238" s="0" t="s">
        <v>4431</v>
      </c>
      <c r="F238" s="0" t="s">
        <v>3862</v>
      </c>
      <c r="G238" s="0" t="s">
        <v>4432</v>
      </c>
    </row>
    <row customHeight="1" ht="11.25">
      <c r="A239" s="497" t="s">
        <v>16</v>
      </c>
      <c r="B239" s="0" t="s">
        <v>157</v>
      </c>
      <c r="C239" s="0" t="s">
        <v>158</v>
      </c>
      <c r="D239" s="0" t="s">
        <v>4433</v>
      </c>
      <c r="E239" s="0" t="s">
        <v>4434</v>
      </c>
      <c r="F239" s="0" t="s">
        <v>3862</v>
      </c>
      <c r="G239" s="0" t="s">
        <v>4435</v>
      </c>
    </row>
    <row customHeight="1" ht="11.25">
      <c r="A240" s="497" t="s">
        <v>16</v>
      </c>
      <c r="B240" s="0" t="s">
        <v>157</v>
      </c>
      <c r="C240" s="0" t="s">
        <v>158</v>
      </c>
      <c r="D240" s="0" t="s">
        <v>4436</v>
      </c>
      <c r="E240" s="0" t="s">
        <v>4437</v>
      </c>
      <c r="F240" s="0" t="s">
        <v>3862</v>
      </c>
      <c r="G240" s="0" t="s">
        <v>4438</v>
      </c>
    </row>
    <row customHeight="1" ht="11.25">
      <c r="A241" s="497" t="s">
        <v>16</v>
      </c>
      <c r="B241" s="0" t="s">
        <v>157</v>
      </c>
      <c r="C241" s="0" t="s">
        <v>158</v>
      </c>
      <c r="D241" s="0" t="s">
        <v>3872</v>
      </c>
      <c r="E241" s="0" t="s">
        <v>4439</v>
      </c>
      <c r="F241" s="0" t="s">
        <v>3862</v>
      </c>
      <c r="G241" s="0" t="s">
        <v>4440</v>
      </c>
    </row>
    <row customHeight="1" ht="11.25">
      <c r="A242" s="497" t="s">
        <v>16</v>
      </c>
      <c r="B242" s="0" t="s">
        <v>157</v>
      </c>
      <c r="C242" s="0" t="s">
        <v>158</v>
      </c>
      <c r="D242" s="0" t="s">
        <v>4441</v>
      </c>
      <c r="E242" s="0" t="s">
        <v>4442</v>
      </c>
      <c r="F242" s="0" t="s">
        <v>3862</v>
      </c>
      <c r="G242" s="0" t="s">
        <v>4443</v>
      </c>
    </row>
    <row customHeight="1" ht="11.25">
      <c r="A243" s="497" t="s">
        <v>16</v>
      </c>
      <c r="B243" s="0" t="s">
        <v>157</v>
      </c>
      <c r="C243" s="0" t="s">
        <v>158</v>
      </c>
      <c r="D243" s="0" t="s">
        <v>1429</v>
      </c>
      <c r="E243" s="0" t="s">
        <v>1430</v>
      </c>
      <c r="F243" s="0" t="s">
        <v>3862</v>
      </c>
      <c r="G243" s="0" t="s">
        <v>4444</v>
      </c>
    </row>
    <row customHeight="1" ht="11.25">
      <c r="A244" s="497" t="s">
        <v>16</v>
      </c>
      <c r="B244" s="0" t="s">
        <v>157</v>
      </c>
      <c r="C244" s="0" t="s">
        <v>158</v>
      </c>
      <c r="D244" s="0" t="s">
        <v>4445</v>
      </c>
      <c r="E244" s="0" t="s">
        <v>4446</v>
      </c>
      <c r="F244" s="0" t="s">
        <v>3862</v>
      </c>
      <c r="G244" s="0" t="s">
        <v>4447</v>
      </c>
    </row>
    <row customHeight="1" ht="11.25">
      <c r="A245" s="497" t="s">
        <v>16</v>
      </c>
      <c r="B245" s="0" t="s">
        <v>157</v>
      </c>
      <c r="C245" s="0" t="s">
        <v>158</v>
      </c>
      <c r="D245" s="0" t="s">
        <v>4448</v>
      </c>
      <c r="E245" s="0" t="s">
        <v>4449</v>
      </c>
      <c r="F245" s="0" t="s">
        <v>3862</v>
      </c>
      <c r="G245" s="0" t="s">
        <v>4450</v>
      </c>
    </row>
    <row customHeight="1" ht="11.25">
      <c r="A246" s="497" t="s">
        <v>16</v>
      </c>
      <c r="B246" s="0" t="s">
        <v>157</v>
      </c>
      <c r="C246" s="0" t="s">
        <v>158</v>
      </c>
      <c r="D246" s="0" t="s">
        <v>4451</v>
      </c>
      <c r="E246" s="0" t="s">
        <v>4452</v>
      </c>
      <c r="F246" s="0" t="s">
        <v>3862</v>
      </c>
      <c r="G246" s="0" t="s">
        <v>4453</v>
      </c>
    </row>
    <row customHeight="1" ht="11.25">
      <c r="A247" s="497" t="s">
        <v>16</v>
      </c>
      <c r="B247" s="0" t="s">
        <v>157</v>
      </c>
      <c r="C247" s="0" t="s">
        <v>158</v>
      </c>
      <c r="D247" s="0" t="s">
        <v>4454</v>
      </c>
      <c r="E247" s="0" t="s">
        <v>4455</v>
      </c>
      <c r="F247" s="0" t="s">
        <v>3862</v>
      </c>
      <c r="G247" s="0" t="s">
        <v>4456</v>
      </c>
    </row>
    <row customHeight="1" ht="11.25">
      <c r="A248" s="497" t="s">
        <v>16</v>
      </c>
      <c r="B248" s="0" t="s">
        <v>157</v>
      </c>
      <c r="C248" s="0" t="s">
        <v>158</v>
      </c>
      <c r="D248" s="0" t="s">
        <v>4457</v>
      </c>
      <c r="E248" s="0" t="s">
        <v>4458</v>
      </c>
      <c r="F248" s="0" t="s">
        <v>3862</v>
      </c>
      <c r="G248" s="0" t="s">
        <v>4459</v>
      </c>
    </row>
    <row customHeight="1" ht="11.25">
      <c r="A249" s="497" t="s">
        <v>16</v>
      </c>
      <c r="B249" s="0" t="s">
        <v>157</v>
      </c>
      <c r="C249" s="0" t="s">
        <v>158</v>
      </c>
      <c r="D249" s="0" t="s">
        <v>4460</v>
      </c>
      <c r="E249" s="0" t="s">
        <v>4461</v>
      </c>
      <c r="F249" s="0" t="s">
        <v>3862</v>
      </c>
      <c r="G249" s="0" t="s">
        <v>4462</v>
      </c>
    </row>
    <row customHeight="1" ht="11.25">
      <c r="A250" s="497" t="s">
        <v>16</v>
      </c>
      <c r="B250" s="0" t="s">
        <v>157</v>
      </c>
      <c r="C250" s="0" t="s">
        <v>158</v>
      </c>
      <c r="D250" s="0" t="s">
        <v>4463</v>
      </c>
      <c r="E250" s="0" t="s">
        <v>4464</v>
      </c>
      <c r="F250" s="0" t="s">
        <v>3862</v>
      </c>
      <c r="G250" s="0" t="s">
        <v>4465</v>
      </c>
    </row>
    <row customHeight="1" ht="11.25">
      <c r="A251" s="497" t="s">
        <v>16</v>
      </c>
      <c r="B251" s="0" t="s">
        <v>157</v>
      </c>
      <c r="C251" s="0" t="s">
        <v>158</v>
      </c>
      <c r="D251" s="0" t="s">
        <v>4466</v>
      </c>
      <c r="E251" s="0" t="s">
        <v>4467</v>
      </c>
      <c r="F251" s="0" t="s">
        <v>3862</v>
      </c>
      <c r="G251" s="0" t="s">
        <v>4468</v>
      </c>
    </row>
    <row customHeight="1" ht="11.25">
      <c r="A252" s="497" t="s">
        <v>16</v>
      </c>
      <c r="B252" s="0" t="s">
        <v>157</v>
      </c>
      <c r="C252" s="0" t="s">
        <v>158</v>
      </c>
      <c r="D252" s="0" t="s">
        <v>4469</v>
      </c>
      <c r="E252" s="0" t="s">
        <v>4470</v>
      </c>
      <c r="F252" s="0" t="s">
        <v>3862</v>
      </c>
      <c r="G252" s="0" t="s">
        <v>4471</v>
      </c>
    </row>
    <row customHeight="1" ht="11.25">
      <c r="A253" s="497" t="s">
        <v>16</v>
      </c>
      <c r="B253" s="0" t="s">
        <v>157</v>
      </c>
      <c r="C253" s="0" t="s">
        <v>158</v>
      </c>
      <c r="D253" s="0" t="s">
        <v>4472</v>
      </c>
      <c r="E253" s="0" t="s">
        <v>4473</v>
      </c>
      <c r="F253" s="0" t="s">
        <v>3862</v>
      </c>
      <c r="G253" s="0" t="s">
        <v>4474</v>
      </c>
    </row>
    <row customHeight="1" ht="11.25">
      <c r="A254" s="497" t="s">
        <v>16</v>
      </c>
      <c r="B254" s="0" t="s">
        <v>157</v>
      </c>
      <c r="C254" s="0" t="s">
        <v>158</v>
      </c>
      <c r="D254" s="0" t="s">
        <v>4475</v>
      </c>
      <c r="E254" s="0" t="s">
        <v>4476</v>
      </c>
      <c r="F254" s="0" t="s">
        <v>3862</v>
      </c>
      <c r="G254" s="0" t="s">
        <v>1167</v>
      </c>
    </row>
    <row customHeight="1" ht="11.25">
      <c r="A255" s="497" t="s">
        <v>16</v>
      </c>
      <c r="B255" s="0" t="s">
        <v>157</v>
      </c>
      <c r="C255" s="0" t="s">
        <v>158</v>
      </c>
      <c r="D255" s="0" t="s">
        <v>4477</v>
      </c>
      <c r="E255" s="0" t="s">
        <v>4478</v>
      </c>
      <c r="F255" s="0" t="s">
        <v>3862</v>
      </c>
      <c r="G255" s="0" t="s">
        <v>4479</v>
      </c>
    </row>
    <row customHeight="1" ht="11.25">
      <c r="A256" s="497" t="s">
        <v>16</v>
      </c>
      <c r="B256" s="0" t="s">
        <v>157</v>
      </c>
      <c r="C256" s="0" t="s">
        <v>158</v>
      </c>
      <c r="D256" s="0" t="s">
        <v>4480</v>
      </c>
      <c r="E256" s="0" t="s">
        <v>4481</v>
      </c>
      <c r="F256" s="0" t="s">
        <v>3862</v>
      </c>
      <c r="G256" s="0" t="s">
        <v>4482</v>
      </c>
    </row>
    <row customHeight="1" ht="11.25">
      <c r="A257" s="497" t="s">
        <v>16</v>
      </c>
      <c r="B257" s="0" t="s">
        <v>157</v>
      </c>
      <c r="C257" s="0" t="s">
        <v>158</v>
      </c>
      <c r="D257" s="0" t="s">
        <v>4483</v>
      </c>
      <c r="E257" s="0" t="s">
        <v>4484</v>
      </c>
      <c r="F257" s="0" t="s">
        <v>3862</v>
      </c>
      <c r="G257" s="0" t="s">
        <v>4485</v>
      </c>
    </row>
    <row customHeight="1" ht="11.25">
      <c r="A258" s="497" t="s">
        <v>16</v>
      </c>
      <c r="B258" s="0" t="s">
        <v>157</v>
      </c>
      <c r="C258" s="0" t="s">
        <v>158</v>
      </c>
      <c r="D258" s="0" t="s">
        <v>4486</v>
      </c>
      <c r="E258" s="0" t="s">
        <v>4487</v>
      </c>
      <c r="F258" s="0" t="s">
        <v>3862</v>
      </c>
      <c r="G258" s="0" t="s">
        <v>4488</v>
      </c>
    </row>
    <row customHeight="1" ht="11.25">
      <c r="A259" s="497" t="s">
        <v>16</v>
      </c>
      <c r="B259" s="0" t="s">
        <v>157</v>
      </c>
      <c r="C259" s="0" t="s">
        <v>158</v>
      </c>
      <c r="D259" s="0" t="s">
        <v>4489</v>
      </c>
      <c r="E259" s="0" t="s">
        <v>4490</v>
      </c>
      <c r="F259" s="0" t="s">
        <v>3862</v>
      </c>
      <c r="G259" s="0" t="s">
        <v>4491</v>
      </c>
    </row>
    <row customHeight="1" ht="11.25">
      <c r="A260" s="497" t="s">
        <v>16</v>
      </c>
      <c r="B260" s="0" t="s">
        <v>157</v>
      </c>
      <c r="C260" s="0" t="s">
        <v>158</v>
      </c>
      <c r="D260" s="0" t="s">
        <v>4492</v>
      </c>
      <c r="E260" s="0" t="s">
        <v>4493</v>
      </c>
      <c r="F260" s="0" t="s">
        <v>3862</v>
      </c>
      <c r="G260" s="0" t="s">
        <v>4494</v>
      </c>
    </row>
    <row customHeight="1" ht="11.25">
      <c r="A261" s="497" t="s">
        <v>16</v>
      </c>
      <c r="B261" s="0" t="s">
        <v>157</v>
      </c>
      <c r="C261" s="0" t="s">
        <v>158</v>
      </c>
      <c r="D261" s="0" t="s">
        <v>4495</v>
      </c>
      <c r="E261" s="0" t="s">
        <v>4496</v>
      </c>
      <c r="F261" s="0" t="s">
        <v>3862</v>
      </c>
      <c r="G261" s="0" t="s">
        <v>4497</v>
      </c>
    </row>
    <row customHeight="1" ht="11.25">
      <c r="A262" s="497" t="s">
        <v>16</v>
      </c>
      <c r="B262" s="0" t="s">
        <v>4498</v>
      </c>
      <c r="C262" s="0" t="s">
        <v>4499</v>
      </c>
      <c r="D262" s="0" t="s">
        <v>4498</v>
      </c>
      <c r="E262" s="0" t="s">
        <v>4499</v>
      </c>
      <c r="F262" s="0" t="s">
        <v>3859</v>
      </c>
      <c r="G262" s="0" t="s">
        <v>4500</v>
      </c>
    </row>
    <row customHeight="1" ht="11.25">
      <c r="A263" s="497" t="s">
        <v>16</v>
      </c>
      <c r="B263" s="0" t="s">
        <v>4498</v>
      </c>
      <c r="C263" s="0" t="s">
        <v>4499</v>
      </c>
      <c r="D263" s="0" t="s">
        <v>4501</v>
      </c>
      <c r="E263" s="0" t="s">
        <v>4502</v>
      </c>
      <c r="F263" s="0" t="s">
        <v>3871</v>
      </c>
      <c r="G263" s="0" t="s">
        <v>4503</v>
      </c>
    </row>
    <row customHeight="1" ht="11.25">
      <c r="A264" s="497" t="s">
        <v>16</v>
      </c>
      <c r="B264" s="0" t="s">
        <v>4498</v>
      </c>
      <c r="C264" s="0" t="s">
        <v>4499</v>
      </c>
      <c r="D264" s="0" t="s">
        <v>4504</v>
      </c>
      <c r="E264" s="0" t="s">
        <v>4505</v>
      </c>
      <c r="F264" s="0" t="s">
        <v>3871</v>
      </c>
      <c r="G264" s="0" t="s">
        <v>4506</v>
      </c>
    </row>
    <row customHeight="1" ht="11.25">
      <c r="A265" s="497" t="s">
        <v>16</v>
      </c>
      <c r="B265" s="0" t="s">
        <v>4498</v>
      </c>
      <c r="C265" s="0" t="s">
        <v>4499</v>
      </c>
      <c r="D265" s="0" t="s">
        <v>4507</v>
      </c>
      <c r="E265" s="0" t="s">
        <v>4508</v>
      </c>
      <c r="F265" s="0" t="s">
        <v>3862</v>
      </c>
      <c r="G265" s="0" t="s">
        <v>4509</v>
      </c>
    </row>
    <row customHeight="1" ht="11.25">
      <c r="A266" s="497" t="s">
        <v>16</v>
      </c>
      <c r="B266" s="0" t="s">
        <v>4498</v>
      </c>
      <c r="C266" s="0" t="s">
        <v>4499</v>
      </c>
      <c r="D266" s="0" t="s">
        <v>4510</v>
      </c>
      <c r="E266" s="0" t="s">
        <v>4511</v>
      </c>
      <c r="F266" s="0" t="s">
        <v>3862</v>
      </c>
      <c r="G266" s="0" t="s">
        <v>4512</v>
      </c>
    </row>
    <row customHeight="1" ht="11.25">
      <c r="A267" s="497" t="s">
        <v>16</v>
      </c>
      <c r="B267" s="0" t="s">
        <v>4498</v>
      </c>
      <c r="C267" s="0" t="s">
        <v>4499</v>
      </c>
      <c r="D267" s="0" t="s">
        <v>4513</v>
      </c>
      <c r="E267" s="0" t="s">
        <v>4514</v>
      </c>
      <c r="F267" s="0" t="s">
        <v>3862</v>
      </c>
      <c r="G267" s="0" t="s">
        <v>4515</v>
      </c>
    </row>
    <row customHeight="1" ht="11.25">
      <c r="A268" s="497" t="s">
        <v>16</v>
      </c>
      <c r="B268" s="0" t="s">
        <v>4498</v>
      </c>
      <c r="C268" s="0" t="s">
        <v>4499</v>
      </c>
      <c r="D268" s="0" t="s">
        <v>4516</v>
      </c>
      <c r="E268" s="0" t="s">
        <v>4517</v>
      </c>
      <c r="F268" s="0" t="s">
        <v>3862</v>
      </c>
      <c r="G268" s="0" t="s">
        <v>4518</v>
      </c>
    </row>
    <row customHeight="1" ht="11.25">
      <c r="A269" s="497" t="s">
        <v>16</v>
      </c>
      <c r="B269" s="0" t="s">
        <v>4498</v>
      </c>
      <c r="C269" s="0" t="s">
        <v>4499</v>
      </c>
      <c r="D269" s="0" t="s">
        <v>4519</v>
      </c>
      <c r="E269" s="0" t="s">
        <v>4520</v>
      </c>
      <c r="F269" s="0" t="s">
        <v>3862</v>
      </c>
      <c r="G269" s="0" t="s">
        <v>4521</v>
      </c>
    </row>
    <row customHeight="1" ht="11.25">
      <c r="A270" s="497" t="s">
        <v>16</v>
      </c>
      <c r="B270" s="0" t="s">
        <v>4498</v>
      </c>
      <c r="C270" s="0" t="s">
        <v>4499</v>
      </c>
      <c r="D270" s="0" t="s">
        <v>4522</v>
      </c>
      <c r="E270" s="0" t="s">
        <v>4523</v>
      </c>
      <c r="F270" s="0" t="s">
        <v>3862</v>
      </c>
      <c r="G270" s="0" t="s">
        <v>4524</v>
      </c>
    </row>
    <row customHeight="1" ht="11.25">
      <c r="A271" s="497" t="s">
        <v>16</v>
      </c>
      <c r="B271" s="0" t="s">
        <v>4498</v>
      </c>
      <c r="C271" s="0" t="s">
        <v>4499</v>
      </c>
      <c r="D271" s="0" t="s">
        <v>4525</v>
      </c>
      <c r="E271" s="0" t="s">
        <v>4526</v>
      </c>
      <c r="F271" s="0" t="s">
        <v>3862</v>
      </c>
      <c r="G271" s="0" t="s">
        <v>4527</v>
      </c>
    </row>
    <row customHeight="1" ht="11.25">
      <c r="A272" s="497" t="s">
        <v>16</v>
      </c>
      <c r="B272" s="0" t="s">
        <v>4498</v>
      </c>
      <c r="C272" s="0" t="s">
        <v>4499</v>
      </c>
      <c r="D272" s="0" t="s">
        <v>4528</v>
      </c>
      <c r="E272" s="0" t="s">
        <v>4529</v>
      </c>
      <c r="F272" s="0" t="s">
        <v>3862</v>
      </c>
      <c r="G272" s="0" t="s">
        <v>4530</v>
      </c>
    </row>
    <row customHeight="1" ht="11.25">
      <c r="A273" s="497" t="s">
        <v>16</v>
      </c>
      <c r="B273" s="0" t="s">
        <v>4498</v>
      </c>
      <c r="C273" s="0" t="s">
        <v>4499</v>
      </c>
      <c r="D273" s="0" t="s">
        <v>4531</v>
      </c>
      <c r="E273" s="0" t="s">
        <v>4532</v>
      </c>
      <c r="F273" s="0" t="s">
        <v>3862</v>
      </c>
      <c r="G273" s="0" t="s">
        <v>4533</v>
      </c>
    </row>
    <row customHeight="1" ht="11.25">
      <c r="A274" s="497" t="s">
        <v>16</v>
      </c>
      <c r="B274" s="0" t="s">
        <v>4498</v>
      </c>
      <c r="C274" s="0" t="s">
        <v>4499</v>
      </c>
      <c r="D274" s="0" t="s">
        <v>4534</v>
      </c>
      <c r="E274" s="0" t="s">
        <v>4535</v>
      </c>
      <c r="F274" s="0" t="s">
        <v>3862</v>
      </c>
      <c r="G274" s="0" t="s">
        <v>4536</v>
      </c>
    </row>
    <row customHeight="1" ht="11.25">
      <c r="A275" s="497" t="s">
        <v>16</v>
      </c>
      <c r="B275" s="0" t="s">
        <v>4498</v>
      </c>
      <c r="C275" s="0" t="s">
        <v>4499</v>
      </c>
      <c r="D275" s="0" t="s">
        <v>4537</v>
      </c>
      <c r="E275" s="0" t="s">
        <v>4538</v>
      </c>
      <c r="F275" s="0" t="s">
        <v>3862</v>
      </c>
      <c r="G275" s="0" t="s">
        <v>4539</v>
      </c>
    </row>
    <row customHeight="1" ht="11.25">
      <c r="A276" s="497" t="s">
        <v>16</v>
      </c>
      <c r="B276" s="0" t="s">
        <v>4498</v>
      </c>
      <c r="C276" s="0" t="s">
        <v>4499</v>
      </c>
      <c r="D276" s="0" t="s">
        <v>4540</v>
      </c>
      <c r="E276" s="0" t="s">
        <v>4541</v>
      </c>
      <c r="F276" s="0" t="s">
        <v>3862</v>
      </c>
      <c r="G276" s="0" t="s">
        <v>4542</v>
      </c>
    </row>
    <row customHeight="1" ht="11.25">
      <c r="A277" s="497" t="s">
        <v>16</v>
      </c>
      <c r="B277" s="0" t="s">
        <v>4498</v>
      </c>
      <c r="C277" s="0" t="s">
        <v>4499</v>
      </c>
      <c r="D277" s="0" t="s">
        <v>4543</v>
      </c>
      <c r="E277" s="0" t="s">
        <v>4544</v>
      </c>
      <c r="F277" s="0" t="s">
        <v>3862</v>
      </c>
      <c r="G277" s="0" t="s">
        <v>4545</v>
      </c>
    </row>
    <row customHeight="1" ht="11.25">
      <c r="A278" s="497" t="s">
        <v>16</v>
      </c>
      <c r="B278" s="0" t="s">
        <v>162</v>
      </c>
      <c r="C278" s="0" t="s">
        <v>163</v>
      </c>
      <c r="D278" s="0" t="s">
        <v>162</v>
      </c>
      <c r="E278" s="0" t="s">
        <v>163</v>
      </c>
      <c r="F278" s="0" t="s">
        <v>3859</v>
      </c>
      <c r="G278" s="0" t="s">
        <v>161</v>
      </c>
    </row>
    <row customHeight="1" ht="11.25">
      <c r="A279" s="497" t="s">
        <v>16</v>
      </c>
      <c r="B279" s="0" t="s">
        <v>162</v>
      </c>
      <c r="C279" s="0" t="s">
        <v>163</v>
      </c>
      <c r="D279" s="0" t="s">
        <v>4546</v>
      </c>
      <c r="E279" s="0" t="s">
        <v>4547</v>
      </c>
      <c r="F279" s="0" t="s">
        <v>3862</v>
      </c>
      <c r="G279" s="0" t="s">
        <v>4548</v>
      </c>
    </row>
    <row customHeight="1" ht="11.25">
      <c r="A280" s="497" t="s">
        <v>16</v>
      </c>
      <c r="B280" s="0" t="s">
        <v>162</v>
      </c>
      <c r="C280" s="0" t="s">
        <v>163</v>
      </c>
      <c r="D280" s="0" t="s">
        <v>1403</v>
      </c>
      <c r="E280" s="0" t="s">
        <v>1404</v>
      </c>
      <c r="F280" s="0" t="s">
        <v>3862</v>
      </c>
      <c r="G280" s="0" t="s">
        <v>4549</v>
      </c>
    </row>
    <row customHeight="1" ht="11.25">
      <c r="A281" s="497" t="s">
        <v>16</v>
      </c>
      <c r="B281" s="0" t="s">
        <v>162</v>
      </c>
      <c r="C281" s="0" t="s">
        <v>163</v>
      </c>
      <c r="D281" s="0" t="s">
        <v>4414</v>
      </c>
      <c r="E281" s="0" t="s">
        <v>4550</v>
      </c>
      <c r="F281" s="0" t="s">
        <v>3862</v>
      </c>
      <c r="G281" s="0" t="s">
        <v>4551</v>
      </c>
    </row>
    <row customHeight="1" ht="11.25">
      <c r="A282" s="497" t="s">
        <v>16</v>
      </c>
      <c r="B282" s="0" t="s">
        <v>162</v>
      </c>
      <c r="C282" s="0" t="s">
        <v>163</v>
      </c>
      <c r="D282" s="0" t="s">
        <v>4552</v>
      </c>
      <c r="E282" s="0" t="s">
        <v>4553</v>
      </c>
      <c r="F282" s="0" t="s">
        <v>3862</v>
      </c>
      <c r="G282" s="0" t="s">
        <v>4554</v>
      </c>
    </row>
    <row customHeight="1" ht="11.25">
      <c r="A283" s="497" t="s">
        <v>16</v>
      </c>
      <c r="B283" s="0" t="s">
        <v>162</v>
      </c>
      <c r="C283" s="0" t="s">
        <v>163</v>
      </c>
      <c r="D283" s="0" t="s">
        <v>4555</v>
      </c>
      <c r="E283" s="0" t="s">
        <v>4556</v>
      </c>
      <c r="F283" s="0" t="s">
        <v>3862</v>
      </c>
      <c r="G283" s="0" t="s">
        <v>4557</v>
      </c>
    </row>
    <row customHeight="1" ht="11.25">
      <c r="A284" s="497" t="s">
        <v>16</v>
      </c>
      <c r="B284" s="0" t="s">
        <v>162</v>
      </c>
      <c r="C284" s="0" t="s">
        <v>163</v>
      </c>
      <c r="D284" s="0" t="s">
        <v>4558</v>
      </c>
      <c r="E284" s="0" t="s">
        <v>4559</v>
      </c>
      <c r="F284" s="0" t="s">
        <v>3862</v>
      </c>
      <c r="G284" s="0" t="s">
        <v>4560</v>
      </c>
    </row>
    <row customHeight="1" ht="11.25">
      <c r="A285" s="497" t="s">
        <v>16</v>
      </c>
      <c r="B285" s="0" t="s">
        <v>162</v>
      </c>
      <c r="C285" s="0" t="s">
        <v>163</v>
      </c>
      <c r="D285" s="0" t="s">
        <v>4561</v>
      </c>
      <c r="E285" s="0" t="s">
        <v>4562</v>
      </c>
      <c r="F285" s="0" t="s">
        <v>3862</v>
      </c>
      <c r="G285" s="0" t="s">
        <v>4563</v>
      </c>
    </row>
    <row customHeight="1" ht="11.25">
      <c r="A286" s="497" t="s">
        <v>16</v>
      </c>
      <c r="B286" s="0" t="s">
        <v>162</v>
      </c>
      <c r="C286" s="0" t="s">
        <v>163</v>
      </c>
      <c r="D286" s="0" t="s">
        <v>4564</v>
      </c>
      <c r="E286" s="0" t="s">
        <v>4565</v>
      </c>
      <c r="F286" s="0" t="s">
        <v>3862</v>
      </c>
      <c r="G286" s="0" t="s">
        <v>4566</v>
      </c>
    </row>
    <row customHeight="1" ht="11.25">
      <c r="A287" s="497" t="s">
        <v>16</v>
      </c>
      <c r="B287" s="0" t="s">
        <v>162</v>
      </c>
      <c r="C287" s="0" t="s">
        <v>163</v>
      </c>
      <c r="D287" s="0" t="s">
        <v>4567</v>
      </c>
      <c r="E287" s="0" t="s">
        <v>4568</v>
      </c>
      <c r="F287" s="0" t="s">
        <v>3862</v>
      </c>
      <c r="G287" s="0" t="s">
        <v>4569</v>
      </c>
    </row>
    <row customHeight="1" ht="11.25">
      <c r="A288" s="497" t="s">
        <v>16</v>
      </c>
      <c r="B288" s="0" t="s">
        <v>162</v>
      </c>
      <c r="C288" s="0" t="s">
        <v>163</v>
      </c>
      <c r="D288" s="0" t="s">
        <v>4570</v>
      </c>
      <c r="E288" s="0" t="s">
        <v>4571</v>
      </c>
      <c r="F288" s="0" t="s">
        <v>3862</v>
      </c>
      <c r="G288" s="0" t="s">
        <v>4572</v>
      </c>
    </row>
    <row customHeight="1" ht="11.25">
      <c r="A289" s="497" t="s">
        <v>16</v>
      </c>
      <c r="B289" s="0" t="s">
        <v>162</v>
      </c>
      <c r="C289" s="0" t="s">
        <v>163</v>
      </c>
      <c r="D289" s="0" t="s">
        <v>4573</v>
      </c>
      <c r="E289" s="0" t="s">
        <v>4574</v>
      </c>
      <c r="F289" s="0" t="s">
        <v>3862</v>
      </c>
      <c r="G289" s="0" t="s">
        <v>4575</v>
      </c>
    </row>
    <row customHeight="1" ht="11.25">
      <c r="A290" s="497" t="s">
        <v>16</v>
      </c>
      <c r="B290" s="0" t="s">
        <v>4576</v>
      </c>
      <c r="C290" s="0" t="s">
        <v>4577</v>
      </c>
      <c r="D290" s="0" t="s">
        <v>4576</v>
      </c>
      <c r="E290" s="0" t="s">
        <v>4577</v>
      </c>
      <c r="F290" s="0" t="s">
        <v>3859</v>
      </c>
      <c r="G290" s="0" t="s">
        <v>4578</v>
      </c>
    </row>
    <row customHeight="1" ht="11.25">
      <c r="A291" s="497" t="s">
        <v>16</v>
      </c>
      <c r="B291" s="0" t="s">
        <v>4576</v>
      </c>
      <c r="C291" s="0" t="s">
        <v>4577</v>
      </c>
      <c r="D291" s="0" t="s">
        <v>4579</v>
      </c>
      <c r="E291" s="0" t="s">
        <v>4580</v>
      </c>
      <c r="F291" s="0" t="s">
        <v>3862</v>
      </c>
      <c r="G291" s="0" t="s">
        <v>4581</v>
      </c>
    </row>
    <row customHeight="1" ht="11.25">
      <c r="A292" s="497" t="s">
        <v>16</v>
      </c>
      <c r="B292" s="0" t="s">
        <v>4576</v>
      </c>
      <c r="C292" s="0" t="s">
        <v>4577</v>
      </c>
      <c r="D292" s="0" t="s">
        <v>4582</v>
      </c>
      <c r="E292" s="0" t="s">
        <v>4583</v>
      </c>
      <c r="F292" s="0" t="s">
        <v>3862</v>
      </c>
      <c r="G292" s="0" t="s">
        <v>4584</v>
      </c>
    </row>
    <row customHeight="1" ht="11.25">
      <c r="A293" s="497" t="s">
        <v>16</v>
      </c>
      <c r="B293" s="0" t="s">
        <v>4576</v>
      </c>
      <c r="C293" s="0" t="s">
        <v>4577</v>
      </c>
      <c r="D293" s="0" t="s">
        <v>4585</v>
      </c>
      <c r="E293" s="0" t="s">
        <v>4586</v>
      </c>
      <c r="F293" s="0" t="s">
        <v>3862</v>
      </c>
      <c r="G293" s="0" t="s">
        <v>4587</v>
      </c>
    </row>
    <row customHeight="1" ht="11.25">
      <c r="A294" s="497" t="s">
        <v>16</v>
      </c>
      <c r="B294" s="0" t="s">
        <v>4576</v>
      </c>
      <c r="C294" s="0" t="s">
        <v>4577</v>
      </c>
      <c r="D294" s="0" t="s">
        <v>4588</v>
      </c>
      <c r="E294" s="0" t="s">
        <v>4589</v>
      </c>
      <c r="F294" s="0" t="s">
        <v>3862</v>
      </c>
      <c r="G294" s="0" t="s">
        <v>4590</v>
      </c>
    </row>
    <row customHeight="1" ht="11.25">
      <c r="A295" s="497" t="s">
        <v>16</v>
      </c>
      <c r="B295" s="0" t="s">
        <v>4576</v>
      </c>
      <c r="C295" s="0" t="s">
        <v>4577</v>
      </c>
      <c r="D295" s="0" t="s">
        <v>4591</v>
      </c>
      <c r="E295" s="0" t="s">
        <v>4592</v>
      </c>
      <c r="F295" s="0" t="s">
        <v>3862</v>
      </c>
      <c r="G295" s="0" t="s">
        <v>4593</v>
      </c>
    </row>
    <row customHeight="1" ht="11.25">
      <c r="A296" s="497" t="s">
        <v>16</v>
      </c>
      <c r="B296" s="0" t="s">
        <v>4576</v>
      </c>
      <c r="C296" s="0" t="s">
        <v>4577</v>
      </c>
      <c r="D296" s="0" t="s">
        <v>4594</v>
      </c>
      <c r="E296" s="0" t="s">
        <v>4595</v>
      </c>
      <c r="F296" s="0" t="s">
        <v>3862</v>
      </c>
      <c r="G296" s="0" t="s">
        <v>4596</v>
      </c>
    </row>
    <row customHeight="1" ht="11.25">
      <c r="A297" s="497" t="s">
        <v>16</v>
      </c>
      <c r="B297" s="0" t="s">
        <v>4576</v>
      </c>
      <c r="C297" s="0" t="s">
        <v>4577</v>
      </c>
      <c r="D297" s="0" t="s">
        <v>4597</v>
      </c>
      <c r="E297" s="0" t="s">
        <v>4598</v>
      </c>
      <c r="F297" s="0" t="s">
        <v>3862</v>
      </c>
      <c r="G297" s="0" t="s">
        <v>4599</v>
      </c>
    </row>
    <row customHeight="1" ht="11.25">
      <c r="A298" s="497" t="s">
        <v>16</v>
      </c>
      <c r="B298" s="0" t="s">
        <v>4576</v>
      </c>
      <c r="C298" s="0" t="s">
        <v>4577</v>
      </c>
      <c r="D298" s="0" t="s">
        <v>4600</v>
      </c>
      <c r="E298" s="0" t="s">
        <v>4601</v>
      </c>
      <c r="F298" s="0" t="s">
        <v>3862</v>
      </c>
      <c r="G298" s="0" t="s">
        <v>4602</v>
      </c>
    </row>
    <row customHeight="1" ht="11.25">
      <c r="A299" s="497" t="s">
        <v>16</v>
      </c>
      <c r="B299" s="0" t="s">
        <v>4576</v>
      </c>
      <c r="C299" s="0" t="s">
        <v>4577</v>
      </c>
      <c r="D299" s="0" t="s">
        <v>4603</v>
      </c>
      <c r="E299" s="0" t="s">
        <v>4604</v>
      </c>
      <c r="F299" s="0" t="s">
        <v>3862</v>
      </c>
      <c r="G299" s="0" t="s">
        <v>4605</v>
      </c>
    </row>
    <row customHeight="1" ht="11.25">
      <c r="A300" s="497" t="s">
        <v>16</v>
      </c>
      <c r="B300" s="0" t="s">
        <v>4576</v>
      </c>
      <c r="C300" s="0" t="s">
        <v>4577</v>
      </c>
      <c r="D300" s="0" t="s">
        <v>4606</v>
      </c>
      <c r="E300" s="0" t="s">
        <v>4607</v>
      </c>
      <c r="F300" s="0" t="s">
        <v>3862</v>
      </c>
      <c r="G300" s="0" t="s">
        <v>4608</v>
      </c>
    </row>
    <row customHeight="1" ht="11.25">
      <c r="A301" s="497" t="s">
        <v>16</v>
      </c>
      <c r="B301" s="0" t="s">
        <v>4576</v>
      </c>
      <c r="C301" s="0" t="s">
        <v>4577</v>
      </c>
      <c r="D301" s="0" t="s">
        <v>4609</v>
      </c>
      <c r="E301" s="0" t="s">
        <v>4610</v>
      </c>
      <c r="F301" s="0" t="s">
        <v>3862</v>
      </c>
      <c r="G301" s="0" t="s">
        <v>4611</v>
      </c>
    </row>
    <row customHeight="1" ht="11.25">
      <c r="A302" s="497" t="s">
        <v>16</v>
      </c>
      <c r="B302" s="0" t="s">
        <v>4612</v>
      </c>
      <c r="C302" s="0" t="s">
        <v>4613</v>
      </c>
      <c r="D302" s="0" t="s">
        <v>4612</v>
      </c>
      <c r="E302" s="0" t="s">
        <v>4613</v>
      </c>
      <c r="F302" s="0" t="s">
        <v>3859</v>
      </c>
      <c r="G302" s="0" t="s">
        <v>4614</v>
      </c>
    </row>
    <row customHeight="1" ht="11.25">
      <c r="A303" s="497" t="s">
        <v>16</v>
      </c>
      <c r="B303" s="0" t="s">
        <v>4612</v>
      </c>
      <c r="C303" s="0" t="s">
        <v>4613</v>
      </c>
      <c r="D303" s="0" t="s">
        <v>4615</v>
      </c>
      <c r="E303" s="0" t="s">
        <v>4616</v>
      </c>
      <c r="F303" s="0" t="s">
        <v>3862</v>
      </c>
      <c r="G303" s="0" t="s">
        <v>4617</v>
      </c>
    </row>
    <row customHeight="1" ht="11.25">
      <c r="A304" s="497" t="s">
        <v>16</v>
      </c>
      <c r="B304" s="0" t="s">
        <v>4612</v>
      </c>
      <c r="C304" s="0" t="s">
        <v>4613</v>
      </c>
      <c r="D304" s="0" t="s">
        <v>3872</v>
      </c>
      <c r="E304" s="0" t="s">
        <v>4618</v>
      </c>
      <c r="F304" s="0" t="s">
        <v>3862</v>
      </c>
      <c r="G304" s="0" t="s">
        <v>4619</v>
      </c>
    </row>
    <row customHeight="1" ht="11.25">
      <c r="A305" s="497" t="s">
        <v>16</v>
      </c>
      <c r="B305" s="0" t="s">
        <v>4612</v>
      </c>
      <c r="C305" s="0" t="s">
        <v>4613</v>
      </c>
      <c r="D305" s="0" t="s">
        <v>4620</v>
      </c>
      <c r="E305" s="0" t="s">
        <v>4621</v>
      </c>
      <c r="F305" s="0" t="s">
        <v>3862</v>
      </c>
      <c r="G305" s="0" t="s">
        <v>4622</v>
      </c>
    </row>
    <row customHeight="1" ht="11.25">
      <c r="A306" s="497" t="s">
        <v>16</v>
      </c>
      <c r="B306" s="0" t="s">
        <v>4612</v>
      </c>
      <c r="C306" s="0" t="s">
        <v>4613</v>
      </c>
      <c r="D306" s="0" t="s">
        <v>4623</v>
      </c>
      <c r="E306" s="0" t="s">
        <v>4624</v>
      </c>
      <c r="F306" s="0" t="s">
        <v>3862</v>
      </c>
      <c r="G306" s="0" t="s">
        <v>4625</v>
      </c>
    </row>
    <row customHeight="1" ht="11.25">
      <c r="A307" s="497" t="s">
        <v>16</v>
      </c>
      <c r="B307" s="0" t="s">
        <v>4612</v>
      </c>
      <c r="C307" s="0" t="s">
        <v>4613</v>
      </c>
      <c r="D307" s="0" t="s">
        <v>4626</v>
      </c>
      <c r="E307" s="0" t="s">
        <v>4627</v>
      </c>
      <c r="F307" s="0" t="s">
        <v>3862</v>
      </c>
      <c r="G307" s="0" t="s">
        <v>4628</v>
      </c>
    </row>
    <row customHeight="1" ht="11.25">
      <c r="A308" s="497" t="s">
        <v>16</v>
      </c>
      <c r="B308" s="0" t="s">
        <v>4612</v>
      </c>
      <c r="C308" s="0" t="s">
        <v>4613</v>
      </c>
      <c r="D308" s="0" t="s">
        <v>4629</v>
      </c>
      <c r="E308" s="0" t="s">
        <v>4630</v>
      </c>
      <c r="F308" s="0" t="s">
        <v>3862</v>
      </c>
      <c r="G308" s="0" t="s">
        <v>4631</v>
      </c>
    </row>
    <row customHeight="1" ht="11.25">
      <c r="A309" s="497" t="s">
        <v>16</v>
      </c>
      <c r="B309" s="0" t="s">
        <v>4612</v>
      </c>
      <c r="C309" s="0" t="s">
        <v>4613</v>
      </c>
      <c r="D309" s="0" t="s">
        <v>4632</v>
      </c>
      <c r="E309" s="0" t="s">
        <v>4633</v>
      </c>
      <c r="F309" s="0" t="s">
        <v>3862</v>
      </c>
      <c r="G309" s="0" t="s">
        <v>4634</v>
      </c>
    </row>
    <row customHeight="1" ht="11.25">
      <c r="A310" s="497" t="s">
        <v>16</v>
      </c>
      <c r="B310" s="0" t="s">
        <v>4612</v>
      </c>
      <c r="C310" s="0" t="s">
        <v>4613</v>
      </c>
      <c r="D310" s="0" t="s">
        <v>4635</v>
      </c>
      <c r="E310" s="0" t="s">
        <v>4636</v>
      </c>
      <c r="F310" s="0" t="s">
        <v>3862</v>
      </c>
      <c r="G310" s="0" t="s">
        <v>4637</v>
      </c>
    </row>
    <row customHeight="1" ht="11.25">
      <c r="A311" s="497" t="s">
        <v>16</v>
      </c>
      <c r="B311" s="0" t="s">
        <v>4612</v>
      </c>
      <c r="C311" s="0" t="s">
        <v>4613</v>
      </c>
      <c r="D311" s="0" t="s">
        <v>4638</v>
      </c>
      <c r="E311" s="0" t="s">
        <v>4639</v>
      </c>
      <c r="F311" s="0" t="s">
        <v>3862</v>
      </c>
      <c r="G311" s="0" t="s">
        <v>4640</v>
      </c>
    </row>
    <row customHeight="1" ht="11.25">
      <c r="A312" s="497" t="s">
        <v>16</v>
      </c>
      <c r="B312" s="0" t="s">
        <v>4612</v>
      </c>
      <c r="C312" s="0" t="s">
        <v>4613</v>
      </c>
      <c r="D312" s="0" t="s">
        <v>4641</v>
      </c>
      <c r="E312" s="0" t="s">
        <v>4642</v>
      </c>
      <c r="F312" s="0" t="s">
        <v>3862</v>
      </c>
      <c r="G312" s="0" t="s">
        <v>4643</v>
      </c>
    </row>
    <row customHeight="1" ht="11.25">
      <c r="A313" s="497" t="s">
        <v>16</v>
      </c>
      <c r="B313" s="0" t="s">
        <v>167</v>
      </c>
      <c r="C313" s="0" t="s">
        <v>168</v>
      </c>
      <c r="D313" s="0" t="s">
        <v>167</v>
      </c>
      <c r="E313" s="0" t="s">
        <v>168</v>
      </c>
      <c r="F313" s="0" t="s">
        <v>3859</v>
      </c>
      <c r="G313" s="0" t="s">
        <v>166</v>
      </c>
    </row>
    <row customHeight="1" ht="11.25">
      <c r="A314" s="497" t="s">
        <v>16</v>
      </c>
      <c r="B314" s="0" t="s">
        <v>167</v>
      </c>
      <c r="C314" s="0" t="s">
        <v>168</v>
      </c>
      <c r="D314" s="0" t="s">
        <v>4644</v>
      </c>
      <c r="E314" s="0" t="s">
        <v>4645</v>
      </c>
      <c r="F314" s="0" t="s">
        <v>3862</v>
      </c>
      <c r="G314" s="0" t="s">
        <v>4646</v>
      </c>
    </row>
    <row customHeight="1" ht="11.25">
      <c r="A315" s="497" t="s">
        <v>16</v>
      </c>
      <c r="B315" s="0" t="s">
        <v>167</v>
      </c>
      <c r="C315" s="0" t="s">
        <v>168</v>
      </c>
      <c r="D315" s="0" t="s">
        <v>4647</v>
      </c>
      <c r="E315" s="0" t="s">
        <v>4648</v>
      </c>
      <c r="F315" s="0" t="s">
        <v>3862</v>
      </c>
      <c r="G315" s="0" t="s">
        <v>4649</v>
      </c>
    </row>
    <row customHeight="1" ht="11.25">
      <c r="A316" s="497" t="s">
        <v>16</v>
      </c>
      <c r="B316" s="0" t="s">
        <v>167</v>
      </c>
      <c r="C316" s="0" t="s">
        <v>168</v>
      </c>
      <c r="D316" s="0" t="s">
        <v>4650</v>
      </c>
      <c r="E316" s="0" t="s">
        <v>4651</v>
      </c>
      <c r="F316" s="0" t="s">
        <v>3862</v>
      </c>
      <c r="G316" s="0" t="s">
        <v>4652</v>
      </c>
    </row>
    <row customHeight="1" ht="11.25">
      <c r="A317" s="497" t="s">
        <v>16</v>
      </c>
      <c r="B317" s="0" t="s">
        <v>167</v>
      </c>
      <c r="C317" s="0" t="s">
        <v>168</v>
      </c>
      <c r="D317" s="0" t="s">
        <v>4653</v>
      </c>
      <c r="E317" s="0" t="s">
        <v>4654</v>
      </c>
      <c r="F317" s="0" t="s">
        <v>3862</v>
      </c>
      <c r="G317" s="0" t="s">
        <v>4655</v>
      </c>
    </row>
    <row customHeight="1" ht="11.25">
      <c r="A318" s="497" t="s">
        <v>16</v>
      </c>
      <c r="B318" s="0" t="s">
        <v>167</v>
      </c>
      <c r="C318" s="0" t="s">
        <v>168</v>
      </c>
      <c r="D318" s="0" t="s">
        <v>4656</v>
      </c>
      <c r="E318" s="0" t="s">
        <v>4657</v>
      </c>
      <c r="F318" s="0" t="s">
        <v>3862</v>
      </c>
      <c r="G318" s="0" t="s">
        <v>4658</v>
      </c>
    </row>
    <row customHeight="1" ht="11.25">
      <c r="A319" s="497" t="s">
        <v>16</v>
      </c>
      <c r="B319" s="0" t="s">
        <v>167</v>
      </c>
      <c r="C319" s="0" t="s">
        <v>168</v>
      </c>
      <c r="D319" s="0" t="s">
        <v>1415</v>
      </c>
      <c r="E319" s="0" t="s">
        <v>1416</v>
      </c>
      <c r="F319" s="0" t="s">
        <v>3862</v>
      </c>
      <c r="G319" s="0" t="s">
        <v>4659</v>
      </c>
    </row>
    <row customHeight="1" ht="11.25">
      <c r="A320" s="497" t="s">
        <v>16</v>
      </c>
      <c r="B320" s="0" t="s">
        <v>167</v>
      </c>
      <c r="C320" s="0" t="s">
        <v>168</v>
      </c>
      <c r="D320" s="0" t="s">
        <v>4660</v>
      </c>
      <c r="E320" s="0" t="s">
        <v>4661</v>
      </c>
      <c r="F320" s="0" t="s">
        <v>3862</v>
      </c>
      <c r="G320" s="0" t="s">
        <v>4662</v>
      </c>
    </row>
    <row customHeight="1" ht="11.25">
      <c r="A321" s="497" t="s">
        <v>16</v>
      </c>
      <c r="B321" s="0" t="s">
        <v>167</v>
      </c>
      <c r="C321" s="0" t="s">
        <v>168</v>
      </c>
      <c r="D321" s="0" t="s">
        <v>4663</v>
      </c>
      <c r="E321" s="0" t="s">
        <v>4664</v>
      </c>
      <c r="F321" s="0" t="s">
        <v>3862</v>
      </c>
      <c r="G321" s="0" t="s">
        <v>4665</v>
      </c>
    </row>
    <row customHeight="1" ht="11.25">
      <c r="A322" s="497" t="s">
        <v>16</v>
      </c>
      <c r="B322" s="0" t="s">
        <v>167</v>
      </c>
      <c r="C322" s="0" t="s">
        <v>168</v>
      </c>
      <c r="D322" s="0" t="s">
        <v>4666</v>
      </c>
      <c r="E322" s="0" t="s">
        <v>4667</v>
      </c>
      <c r="F322" s="0" t="s">
        <v>3862</v>
      </c>
      <c r="G322" s="0" t="s">
        <v>4668</v>
      </c>
    </row>
    <row customHeight="1" ht="11.25">
      <c r="A323" s="497" t="s">
        <v>16</v>
      </c>
      <c r="B323" s="0" t="s">
        <v>167</v>
      </c>
      <c r="C323" s="0" t="s">
        <v>168</v>
      </c>
      <c r="D323" s="0" t="s">
        <v>4669</v>
      </c>
      <c r="E323" s="0" t="s">
        <v>4670</v>
      </c>
      <c r="F323" s="0" t="s">
        <v>3862</v>
      </c>
      <c r="G323" s="0" t="s">
        <v>4671</v>
      </c>
    </row>
    <row customHeight="1" ht="11.25">
      <c r="A324" s="497" t="s">
        <v>16</v>
      </c>
      <c r="B324" s="0" t="s">
        <v>167</v>
      </c>
      <c r="C324" s="0" t="s">
        <v>168</v>
      </c>
      <c r="D324" s="0" t="s">
        <v>4672</v>
      </c>
      <c r="E324" s="0" t="s">
        <v>4673</v>
      </c>
      <c r="F324" s="0" t="s">
        <v>3862</v>
      </c>
      <c r="G324" s="0" t="s">
        <v>4674</v>
      </c>
    </row>
    <row customHeight="1" ht="11.25">
      <c r="A325" s="497" t="s">
        <v>16</v>
      </c>
      <c r="B325" s="0" t="s">
        <v>167</v>
      </c>
      <c r="C325" s="0" t="s">
        <v>168</v>
      </c>
      <c r="D325" s="0" t="s">
        <v>4675</v>
      </c>
      <c r="E325" s="0" t="s">
        <v>4676</v>
      </c>
      <c r="F325" s="0" t="s">
        <v>3862</v>
      </c>
      <c r="G325" s="0" t="s">
        <v>4677</v>
      </c>
    </row>
    <row customHeight="1" ht="11.25">
      <c r="A326" s="497" t="s">
        <v>16</v>
      </c>
      <c r="B326" s="0" t="s">
        <v>4678</v>
      </c>
      <c r="C326" s="0" t="s">
        <v>4679</v>
      </c>
      <c r="D326" s="0" t="s">
        <v>4678</v>
      </c>
      <c r="E326" s="0" t="s">
        <v>4679</v>
      </c>
      <c r="F326" s="0" t="s">
        <v>4680</v>
      </c>
      <c r="G326" s="0" t="s">
        <v>4681</v>
      </c>
    </row>
    <row customHeight="1" ht="11.25">
      <c r="A327" s="497" t="s">
        <v>16</v>
      </c>
      <c r="B327" s="0" t="s">
        <v>4682</v>
      </c>
      <c r="C327" s="0" t="s">
        <v>4683</v>
      </c>
      <c r="D327" s="0" t="s">
        <v>4682</v>
      </c>
      <c r="E327" s="0" t="s">
        <v>4683</v>
      </c>
      <c r="F327" s="0" t="s">
        <v>4680</v>
      </c>
      <c r="G327" s="0" t="s">
        <v>4684</v>
      </c>
    </row>
    <row customHeight="1" ht="11.25">
      <c r="A328" s="497" t="s">
        <v>16</v>
      </c>
      <c r="B328" s="0" t="s">
        <v>172</v>
      </c>
      <c r="C328" s="0" t="s">
        <v>173</v>
      </c>
      <c r="D328" s="0" t="s">
        <v>172</v>
      </c>
      <c r="E328" s="0" t="s">
        <v>173</v>
      </c>
      <c r="F328" s="0" t="s">
        <v>4680</v>
      </c>
      <c r="G328" s="0" t="s">
        <v>171</v>
      </c>
    </row>
    <row customHeight="1" ht="11.25">
      <c r="A329" s="497" t="s">
        <v>16</v>
      </c>
      <c r="B329" s="0" t="s">
        <v>177</v>
      </c>
      <c r="C329" s="0" t="s">
        <v>178</v>
      </c>
      <c r="D329" s="0" t="s">
        <v>177</v>
      </c>
      <c r="E329" s="0" t="s">
        <v>178</v>
      </c>
      <c r="F329" s="0" t="s">
        <v>4680</v>
      </c>
      <c r="G329" s="0" t="s">
        <v>176</v>
      </c>
    </row>
    <row customHeight="1" ht="11.25">
      <c r="A330" s="497" t="s">
        <v>16</v>
      </c>
      <c r="B330" s="0" t="s">
        <v>182</v>
      </c>
      <c r="C330" s="0" t="s">
        <v>183</v>
      </c>
      <c r="D330" s="0" t="s">
        <v>182</v>
      </c>
      <c r="E330" s="0" t="s">
        <v>183</v>
      </c>
      <c r="F330" s="0" t="s">
        <v>4680</v>
      </c>
      <c r="G330" s="0" t="s">
        <v>181</v>
      </c>
    </row>
    <row customHeight="1" ht="11.25">
      <c r="A331" s="497" t="s">
        <v>16</v>
      </c>
      <c r="B331" s="0" t="s">
        <v>187</v>
      </c>
      <c r="C331" s="0" t="s">
        <v>188</v>
      </c>
      <c r="D331" s="0" t="s">
        <v>187</v>
      </c>
      <c r="E331" s="0" t="s">
        <v>188</v>
      </c>
      <c r="F331" s="0" t="s">
        <v>4680</v>
      </c>
      <c r="G331" s="0" t="s">
        <v>186</v>
      </c>
    </row>
    <row customHeight="1" ht="11.25">
      <c r="A332" s="497" t="s">
        <v>16</v>
      </c>
      <c r="B332" s="0" t="s">
        <v>192</v>
      </c>
      <c r="C332" s="0" t="s">
        <v>198</v>
      </c>
      <c r="D332" s="0" t="s">
        <v>4685</v>
      </c>
      <c r="E332" s="0" t="s">
        <v>4686</v>
      </c>
      <c r="F332" s="0" t="s">
        <v>4687</v>
      </c>
      <c r="G332" s="0" t="s">
        <v>4688</v>
      </c>
    </row>
    <row customHeight="1" ht="11.25">
      <c r="A333" s="497" t="s">
        <v>16</v>
      </c>
      <c r="B333" s="0" t="s">
        <v>192</v>
      </c>
      <c r="C333" s="0" t="s">
        <v>198</v>
      </c>
      <c r="D333" s="0" t="s">
        <v>193</v>
      </c>
      <c r="E333" s="0" t="s">
        <v>194</v>
      </c>
      <c r="F333" s="0" t="s">
        <v>4687</v>
      </c>
      <c r="G333" s="0" t="s">
        <v>191</v>
      </c>
    </row>
    <row customHeight="1" ht="11.25">
      <c r="A334" s="497" t="s">
        <v>16</v>
      </c>
      <c r="B334" s="0" t="s">
        <v>192</v>
      </c>
      <c r="C334" s="0" t="s">
        <v>198</v>
      </c>
      <c r="D334" s="0" t="s">
        <v>4689</v>
      </c>
      <c r="E334" s="0" t="s">
        <v>4690</v>
      </c>
      <c r="F334" s="0" t="s">
        <v>4687</v>
      </c>
      <c r="G334" s="0" t="s">
        <v>4691</v>
      </c>
    </row>
    <row customHeight="1" ht="11.25">
      <c r="A335" s="497" t="s">
        <v>16</v>
      </c>
      <c r="B335" s="0" t="s">
        <v>192</v>
      </c>
      <c r="C335" s="0" t="s">
        <v>198</v>
      </c>
      <c r="D335" s="0" t="s">
        <v>4692</v>
      </c>
      <c r="E335" s="0" t="s">
        <v>4693</v>
      </c>
      <c r="F335" s="0" t="s">
        <v>4687</v>
      </c>
      <c r="G335" s="0" t="s">
        <v>4694</v>
      </c>
    </row>
    <row customHeight="1" ht="11.25">
      <c r="A336" s="497" t="s">
        <v>16</v>
      </c>
      <c r="B336" s="0" t="s">
        <v>192</v>
      </c>
      <c r="C336" s="0" t="s">
        <v>198</v>
      </c>
      <c r="D336" s="0" t="s">
        <v>4695</v>
      </c>
      <c r="E336" s="0" t="s">
        <v>4696</v>
      </c>
      <c r="F336" s="0" t="s">
        <v>4687</v>
      </c>
      <c r="G336" s="0" t="s">
        <v>4697</v>
      </c>
    </row>
    <row customHeight="1" ht="11.25">
      <c r="A337" s="497" t="s">
        <v>16</v>
      </c>
      <c r="B337" s="0" t="s">
        <v>192</v>
      </c>
      <c r="C337" s="0" t="s">
        <v>198</v>
      </c>
      <c r="D337" s="0" t="s">
        <v>4698</v>
      </c>
      <c r="E337" s="0" t="s">
        <v>4699</v>
      </c>
      <c r="F337" s="0" t="s">
        <v>4687</v>
      </c>
      <c r="G337" s="0" t="s">
        <v>4700</v>
      </c>
    </row>
    <row customHeight="1" ht="11.25">
      <c r="A338" s="497" t="s">
        <v>16</v>
      </c>
      <c r="B338" s="0" t="s">
        <v>192</v>
      </c>
      <c r="C338" s="0" t="s">
        <v>198</v>
      </c>
      <c r="D338" s="0" t="s">
        <v>4701</v>
      </c>
      <c r="E338" s="0" t="s">
        <v>4702</v>
      </c>
      <c r="F338" s="0" t="s">
        <v>4687</v>
      </c>
      <c r="G338" s="0" t="s">
        <v>4703</v>
      </c>
    </row>
    <row customHeight="1" ht="11.25">
      <c r="A339" s="497" t="s">
        <v>16</v>
      </c>
      <c r="B339" s="0" t="s">
        <v>192</v>
      </c>
      <c r="C339" s="0" t="s">
        <v>198</v>
      </c>
      <c r="D339" s="0" t="s">
        <v>4704</v>
      </c>
      <c r="E339" s="0" t="s">
        <v>4705</v>
      </c>
      <c r="F339" s="0" t="s">
        <v>4687</v>
      </c>
      <c r="G339" s="0" t="s">
        <v>4706</v>
      </c>
    </row>
    <row customHeight="1" ht="11.25">
      <c r="A340" s="497" t="s">
        <v>16</v>
      </c>
      <c r="B340" s="0" t="s">
        <v>192</v>
      </c>
      <c r="C340" s="0" t="s">
        <v>198</v>
      </c>
      <c r="D340" s="0" t="s">
        <v>4707</v>
      </c>
      <c r="E340" s="0" t="s">
        <v>4708</v>
      </c>
      <c r="F340" s="0" t="s">
        <v>4687</v>
      </c>
      <c r="G340" s="0" t="s">
        <v>4709</v>
      </c>
    </row>
    <row customHeight="1" ht="11.25">
      <c r="A341" s="497" t="s">
        <v>16</v>
      </c>
      <c r="B341" s="0" t="s">
        <v>192</v>
      </c>
      <c r="C341" s="0" t="s">
        <v>198</v>
      </c>
      <c r="D341" s="0" t="s">
        <v>192</v>
      </c>
      <c r="E341" s="0" t="s">
        <v>198</v>
      </c>
      <c r="F341" s="0" t="s">
        <v>4710</v>
      </c>
      <c r="G341" s="0" t="s">
        <v>197</v>
      </c>
    </row>
    <row customHeight="1" ht="11.25">
      <c r="A342" s="497" t="s">
        <v>16</v>
      </c>
      <c r="B342" s="0" t="s">
        <v>4711</v>
      </c>
      <c r="C342" s="0" t="s">
        <v>4712</v>
      </c>
      <c r="D342" s="0" t="s">
        <v>4711</v>
      </c>
      <c r="E342" s="0" t="s">
        <v>4712</v>
      </c>
      <c r="F342" s="0" t="s">
        <v>4680</v>
      </c>
      <c r="G342" s="0" t="s">
        <v>4713</v>
      </c>
    </row>
    <row customHeight="1" ht="11.25">
      <c r="A343" s="497" t="s">
        <v>16</v>
      </c>
      <c r="B343" s="0" t="s">
        <v>4714</v>
      </c>
      <c r="C343" s="0" t="s">
        <v>4715</v>
      </c>
      <c r="D343" s="0" t="s">
        <v>4714</v>
      </c>
      <c r="E343" s="0" t="s">
        <v>4715</v>
      </c>
      <c r="F343" s="0" t="s">
        <v>4680</v>
      </c>
      <c r="G343" s="0" t="s">
        <v>4716</v>
      </c>
    </row>
    <row customHeight="1" ht="11.25">
      <c r="A344" s="497" t="s">
        <v>16</v>
      </c>
      <c r="B344" s="0" t="s">
        <v>202</v>
      </c>
      <c r="C344" s="0" t="s">
        <v>203</v>
      </c>
      <c r="D344" s="0" t="s">
        <v>202</v>
      </c>
      <c r="E344" s="0" t="s">
        <v>203</v>
      </c>
      <c r="F344" s="0" t="s">
        <v>4680</v>
      </c>
      <c r="G344" s="0" t="s">
        <v>201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DD473D-21F8-77FA-3677-7D7DAFD21FA8}" mc:Ignorable="x14ac xr xr2 xr3">
  <sheetPr>
    <tabColor rgb="FFFFCC99"/>
  </sheetPr>
  <dimension ref="A1:I32"/>
  <sheetViews>
    <sheetView topLeftCell="A1" showGridLines="0" workbookViewId="0">
      <selection activeCell="A1" sqref="A1"/>
    </sheetView>
  </sheetViews>
  <sheetFormatPr defaultColWidth="9.140625" customHeight="1" defaultRowHeight="11.25"/>
  <cols>
    <col min="1" max="1" style="7950" width="13.8515625" customWidth="1"/>
    <col min="2" max="2" style="7950" width="10.421875" customWidth="1"/>
    <col min="3" max="3" style="7950" width="7.57421875" customWidth="1"/>
    <col min="4" max="4" style="7950" width="13.8515625" customWidth="1"/>
    <col min="5" max="5" style="7950" width="11.57421875" customWidth="1"/>
    <col min="6" max="6" style="7950" width="16.28125" customWidth="1"/>
    <col min="7" max="7" style="7950" width="16.00390625" customWidth="1"/>
    <col min="8" max="9" style="7950" width="16.140625" customWidth="1"/>
  </cols>
  <sheetData>
    <row customHeight="1" ht="11.25">
      <c r="A1" s="959" t="s">
        <v>4717</v>
      </c>
      <c r="B1" s="959" t="s">
        <v>4718</v>
      </c>
      <c r="C1" s="1283" t="s">
        <v>4719</v>
      </c>
      <c r="D1" s="959" t="s">
        <v>4720</v>
      </c>
      <c r="E1" s="959" t="s">
        <v>4721</v>
      </c>
      <c r="F1" s="1283" t="s">
        <v>4722</v>
      </c>
      <c r="G1" s="1283" t="s">
        <v>4723</v>
      </c>
      <c r="H1" s="1283" t="s">
        <v>4724</v>
      </c>
      <c r="I1" s="1283" t="s">
        <v>4725</v>
      </c>
    </row>
    <row customHeight="1" ht="11.25">
      <c r="A2" s="7950" t="s">
        <v>210</v>
      </c>
      <c r="B2" s="7950" t="s">
        <v>4726</v>
      </c>
      <c r="C2" s="7950" t="s">
        <v>22</v>
      </c>
      <c r="D2" s="7950" t="s">
        <v>4727</v>
      </c>
      <c r="E2" s="7950" t="s">
        <v>4728</v>
      </c>
      <c r="F2" s="7950" t="s">
        <v>22</v>
      </c>
      <c r="G2" s="7950" t="s">
        <v>22</v>
      </c>
      <c r="H2" s="7950" t="s">
        <v>22</v>
      </c>
      <c r="I2" s="7950" t="s">
        <v>22</v>
      </c>
    </row>
    <row customHeight="1" ht="11.25">
      <c r="A3" s="7950" t="s">
        <v>102</v>
      </c>
      <c r="B3" s="7950" t="s">
        <v>1201</v>
      </c>
      <c r="C3" s="7950" t="s">
        <v>4729</v>
      </c>
      <c r="D3" s="7950" t="s">
        <v>1173</v>
      </c>
      <c r="E3" s="7950" t="s">
        <v>1174</v>
      </c>
      <c r="F3" s="7950" t="s">
        <v>4730</v>
      </c>
      <c r="G3" s="7950" t="s">
        <v>1166</v>
      </c>
      <c r="H3" s="7950" t="s">
        <v>1204</v>
      </c>
      <c r="I3" s="7950" t="s">
        <v>1176</v>
      </c>
    </row>
    <row customHeight="1" ht="11.25">
      <c r="A4" s="7950" t="s">
        <v>90</v>
      </c>
      <c r="B4" s="7950" t="s">
        <v>1201</v>
      </c>
      <c r="C4" s="7950" t="s">
        <v>4729</v>
      </c>
      <c r="D4" s="7950" t="s">
        <v>1173</v>
      </c>
      <c r="E4" s="7950" t="s">
        <v>1174</v>
      </c>
      <c r="F4" s="7950" t="s">
        <v>1203</v>
      </c>
      <c r="G4" s="7950" t="s">
        <v>1166</v>
      </c>
      <c r="H4" s="7950" t="s">
        <v>1204</v>
      </c>
      <c r="I4" s="7950" t="s">
        <v>1176</v>
      </c>
    </row>
    <row customHeight="1" ht="11.25">
      <c r="A5" s="7950" t="s">
        <v>91</v>
      </c>
      <c r="B5" s="7950" t="s">
        <v>1187</v>
      </c>
      <c r="C5" s="7950" t="s">
        <v>4731</v>
      </c>
      <c r="D5" s="7950" t="s">
        <v>1173</v>
      </c>
      <c r="E5" s="7950" t="s">
        <v>1174</v>
      </c>
      <c r="F5" s="7950" t="s">
        <v>4732</v>
      </c>
      <c r="G5" s="7950" t="s">
        <v>1166</v>
      </c>
      <c r="H5" s="7950" t="s">
        <v>1190</v>
      </c>
      <c r="I5" s="7950" t="s">
        <v>1176</v>
      </c>
    </row>
    <row customHeight="1" ht="11.25">
      <c r="A6" s="7950" t="s">
        <v>116</v>
      </c>
      <c r="B6" s="7950" t="s">
        <v>1187</v>
      </c>
      <c r="C6" s="7950" t="s">
        <v>4731</v>
      </c>
      <c r="D6" s="7950" t="s">
        <v>1173</v>
      </c>
      <c r="E6" s="7950" t="s">
        <v>1174</v>
      </c>
      <c r="F6" s="7950" t="s">
        <v>1189</v>
      </c>
      <c r="G6" s="7950" t="s">
        <v>1166</v>
      </c>
      <c r="H6" s="7950" t="s">
        <v>1190</v>
      </c>
      <c r="I6" s="7950" t="s">
        <v>1176</v>
      </c>
    </row>
    <row customHeight="1" ht="11.25">
      <c r="A7" s="7950" t="s">
        <v>92</v>
      </c>
      <c r="B7" s="7950" t="s">
        <v>1254</v>
      </c>
      <c r="C7" s="7950" t="s">
        <v>4733</v>
      </c>
      <c r="D7" s="7950" t="s">
        <v>1256</v>
      </c>
      <c r="E7" s="7950" t="s">
        <v>1174</v>
      </c>
      <c r="F7" s="7950" t="s">
        <v>1257</v>
      </c>
      <c r="G7" s="7950" t="s">
        <v>1166</v>
      </c>
      <c r="H7" s="7950" t="s">
        <v>1227</v>
      </c>
      <c r="I7" s="7950" t="s">
        <v>1256</v>
      </c>
    </row>
    <row customHeight="1" ht="11.25">
      <c r="A8" s="7950" t="s">
        <v>93</v>
      </c>
      <c r="B8" s="7950" t="s">
        <v>1224</v>
      </c>
      <c r="C8" s="7950" t="s">
        <v>4734</v>
      </c>
      <c r="D8" s="7950" t="s">
        <v>1173</v>
      </c>
      <c r="E8" s="7950" t="s">
        <v>1174</v>
      </c>
      <c r="F8" s="7950" t="s">
        <v>1226</v>
      </c>
      <c r="G8" s="7950" t="s">
        <v>1166</v>
      </c>
      <c r="H8" s="7950" t="s">
        <v>1227</v>
      </c>
      <c r="I8" s="7950" t="s">
        <v>1176</v>
      </c>
    </row>
    <row customHeight="1" ht="11.25">
      <c r="A9" s="7950" t="s">
        <v>129</v>
      </c>
      <c r="B9" s="7950" t="s">
        <v>1224</v>
      </c>
      <c r="C9" s="7950" t="s">
        <v>4734</v>
      </c>
      <c r="D9" s="7950" t="s">
        <v>1173</v>
      </c>
      <c r="E9" s="7950" t="s">
        <v>1174</v>
      </c>
      <c r="F9" s="7950" t="s">
        <v>4735</v>
      </c>
      <c r="G9" s="7950" t="s">
        <v>1166</v>
      </c>
      <c r="H9" s="7950" t="s">
        <v>1227</v>
      </c>
      <c r="I9" s="7950" t="s">
        <v>1176</v>
      </c>
    </row>
    <row customHeight="1" ht="11.25">
      <c r="A10" s="7950" t="s">
        <v>134</v>
      </c>
      <c r="B10" s="7950" t="s">
        <v>1171</v>
      </c>
      <c r="C10" s="7950" t="s">
        <v>4736</v>
      </c>
      <c r="D10" s="7950" t="s">
        <v>1173</v>
      </c>
      <c r="E10" s="7950" t="s">
        <v>1174</v>
      </c>
      <c r="F10" s="7950" t="s">
        <v>4737</v>
      </c>
      <c r="G10" s="7950" t="s">
        <v>1166</v>
      </c>
      <c r="H10" s="7950" t="s">
        <v>151</v>
      </c>
      <c r="I10" s="7950" t="s">
        <v>1176</v>
      </c>
    </row>
    <row customHeight="1" ht="11.25">
      <c r="A11" s="7950" t="s">
        <v>139</v>
      </c>
      <c r="B11" s="7950" t="s">
        <v>1171</v>
      </c>
      <c r="C11" s="7950" t="s">
        <v>4736</v>
      </c>
      <c r="D11" s="7950" t="s">
        <v>1173</v>
      </c>
      <c r="E11" s="7950" t="s">
        <v>1174</v>
      </c>
      <c r="F11" s="7950" t="s">
        <v>1175</v>
      </c>
      <c r="G11" s="7950" t="s">
        <v>1166</v>
      </c>
      <c r="H11" s="7950" t="s">
        <v>151</v>
      </c>
      <c r="I11" s="7950" t="s">
        <v>1176</v>
      </c>
    </row>
    <row customHeight="1" ht="11.25">
      <c r="A12" s="7950" t="s">
        <v>144</v>
      </c>
      <c r="B12" s="7950" t="s">
        <v>1259</v>
      </c>
      <c r="C12" s="7950" t="s">
        <v>4738</v>
      </c>
      <c r="D12" s="7950" t="s">
        <v>1256</v>
      </c>
      <c r="E12" s="7950" t="s">
        <v>1261</v>
      </c>
      <c r="F12" s="7950" t="s">
        <v>1262</v>
      </c>
      <c r="G12" s="7950" t="s">
        <v>1166</v>
      </c>
      <c r="H12" s="7950" t="s">
        <v>1233</v>
      </c>
      <c r="I12" s="7950" t="s">
        <v>1256</v>
      </c>
    </row>
    <row customHeight="1" ht="11.25">
      <c r="A13" s="7950" t="s">
        <v>149</v>
      </c>
      <c r="B13" s="7950" t="s">
        <v>1230</v>
      </c>
      <c r="C13" s="7950" t="s">
        <v>4739</v>
      </c>
      <c r="D13" s="7950" t="s">
        <v>1173</v>
      </c>
      <c r="E13" s="7950" t="s">
        <v>1174</v>
      </c>
      <c r="F13" s="7950" t="s">
        <v>4740</v>
      </c>
      <c r="G13" s="7950" t="s">
        <v>1166</v>
      </c>
      <c r="H13" s="7950" t="s">
        <v>1233</v>
      </c>
      <c r="I13" s="7950" t="s">
        <v>1184</v>
      </c>
    </row>
    <row customHeight="1" ht="11.25">
      <c r="A14" s="7950" t="s">
        <v>154</v>
      </c>
      <c r="B14" s="7950" t="s">
        <v>1230</v>
      </c>
      <c r="C14" s="7950" t="s">
        <v>4739</v>
      </c>
      <c r="D14" s="7950" t="s">
        <v>1173</v>
      </c>
      <c r="E14" s="7950" t="s">
        <v>1174</v>
      </c>
      <c r="F14" s="7950" t="s">
        <v>1232</v>
      </c>
      <c r="G14" s="7950" t="s">
        <v>1166</v>
      </c>
      <c r="H14" s="7950" t="s">
        <v>1233</v>
      </c>
      <c r="I14" s="7950" t="s">
        <v>1184</v>
      </c>
    </row>
    <row customHeight="1" ht="11.25">
      <c r="A15" s="7950" t="s">
        <v>159</v>
      </c>
      <c r="B15" s="7950" t="s">
        <v>1180</v>
      </c>
      <c r="C15" s="7950" t="s">
        <v>4741</v>
      </c>
      <c r="D15" s="7950" t="s">
        <v>1173</v>
      </c>
      <c r="E15" s="7950" t="s">
        <v>1174</v>
      </c>
      <c r="F15" s="7950" t="s">
        <v>4742</v>
      </c>
      <c r="G15" s="7950" t="s">
        <v>1166</v>
      </c>
      <c r="H15" s="7950" t="s">
        <v>1183</v>
      </c>
      <c r="I15" s="7950" t="s">
        <v>1184</v>
      </c>
    </row>
    <row customHeight="1" ht="11.25">
      <c r="A16" s="7950" t="s">
        <v>164</v>
      </c>
      <c r="B16" s="7950" t="s">
        <v>1180</v>
      </c>
      <c r="C16" s="7950" t="s">
        <v>4741</v>
      </c>
      <c r="D16" s="7950" t="s">
        <v>1173</v>
      </c>
      <c r="E16" s="7950" t="s">
        <v>1174</v>
      </c>
      <c r="F16" s="7950" t="s">
        <v>1182</v>
      </c>
      <c r="G16" s="7950" t="s">
        <v>1166</v>
      </c>
      <c r="H16" s="7950" t="s">
        <v>1183</v>
      </c>
      <c r="I16" s="7950" t="s">
        <v>1184</v>
      </c>
    </row>
    <row customHeight="1" ht="11.25">
      <c r="A17" s="7950" t="s">
        <v>169</v>
      </c>
      <c r="B17" s="7950" t="s">
        <v>1236</v>
      </c>
      <c r="C17" s="7950" t="s">
        <v>4743</v>
      </c>
      <c r="D17" s="7950" t="s">
        <v>1173</v>
      </c>
      <c r="E17" s="7950" t="s">
        <v>1174</v>
      </c>
      <c r="F17" s="7950" t="s">
        <v>4744</v>
      </c>
      <c r="G17" s="7950" t="s">
        <v>1166</v>
      </c>
      <c r="H17" s="7950" t="s">
        <v>1239</v>
      </c>
      <c r="I17" s="7950" t="s">
        <v>1211</v>
      </c>
    </row>
    <row customHeight="1" ht="11.25">
      <c r="A18" s="7950" t="s">
        <v>174</v>
      </c>
      <c r="B18" s="7950" t="s">
        <v>1236</v>
      </c>
      <c r="C18" s="7950" t="s">
        <v>4743</v>
      </c>
      <c r="D18" s="7950" t="s">
        <v>1173</v>
      </c>
      <c r="E18" s="7950" t="s">
        <v>1174</v>
      </c>
      <c r="F18" s="7950" t="s">
        <v>1238</v>
      </c>
      <c r="G18" s="7950" t="s">
        <v>1166</v>
      </c>
      <c r="H18" s="7950" t="s">
        <v>1239</v>
      </c>
      <c r="I18" s="7950" t="s">
        <v>1211</v>
      </c>
    </row>
    <row customHeight="1" ht="11.25">
      <c r="A19" s="7950" t="s">
        <v>179</v>
      </c>
      <c r="B19" s="7950" t="s">
        <v>1207</v>
      </c>
      <c r="C19" s="7950" t="s">
        <v>4745</v>
      </c>
      <c r="D19" s="7950" t="s">
        <v>1173</v>
      </c>
      <c r="E19" s="7950" t="s">
        <v>1174</v>
      </c>
      <c r="F19" s="7950" t="s">
        <v>4746</v>
      </c>
      <c r="G19" s="7950" t="s">
        <v>1166</v>
      </c>
      <c r="H19" s="7950" t="s">
        <v>1210</v>
      </c>
      <c r="I19" s="7950" t="s">
        <v>1211</v>
      </c>
    </row>
    <row customHeight="1" ht="11.25">
      <c r="A20" s="7950" t="s">
        <v>184</v>
      </c>
      <c r="B20" s="7950" t="s">
        <v>1207</v>
      </c>
      <c r="C20" s="7950" t="s">
        <v>4745</v>
      </c>
      <c r="D20" s="7950" t="s">
        <v>1173</v>
      </c>
      <c r="E20" s="7950" t="s">
        <v>1174</v>
      </c>
      <c r="F20" s="7950" t="s">
        <v>1209</v>
      </c>
      <c r="G20" s="7950" t="s">
        <v>1166</v>
      </c>
      <c r="H20" s="7950" t="s">
        <v>1210</v>
      </c>
      <c r="I20" s="7950" t="s">
        <v>1211</v>
      </c>
    </row>
    <row customHeight="1" ht="11.25">
      <c r="A21" s="7950" t="s">
        <v>189</v>
      </c>
      <c r="B21" s="7950" t="s">
        <v>1242</v>
      </c>
      <c r="C21" s="7950" t="s">
        <v>4747</v>
      </c>
      <c r="D21" s="7950" t="s">
        <v>1173</v>
      </c>
      <c r="E21" s="7950" t="s">
        <v>1174</v>
      </c>
      <c r="F21" s="7950" t="s">
        <v>4748</v>
      </c>
      <c r="G21" s="7950" t="s">
        <v>1166</v>
      </c>
      <c r="H21" s="7950" t="s">
        <v>1245</v>
      </c>
      <c r="I21" s="7950" t="s">
        <v>1211</v>
      </c>
    </row>
    <row customHeight="1" ht="11.25">
      <c r="A22" s="7950" t="s">
        <v>195</v>
      </c>
      <c r="B22" s="7950" t="s">
        <v>1242</v>
      </c>
      <c r="C22" s="7950" t="s">
        <v>4747</v>
      </c>
      <c r="D22" s="7950" t="s">
        <v>1173</v>
      </c>
      <c r="E22" s="7950" t="s">
        <v>1174</v>
      </c>
      <c r="F22" s="7950" t="s">
        <v>1244</v>
      </c>
      <c r="G22" s="7950" t="s">
        <v>1166</v>
      </c>
      <c r="H22" s="7950" t="s">
        <v>1245</v>
      </c>
      <c r="I22" s="7950" t="s">
        <v>1211</v>
      </c>
    </row>
    <row customHeight="1" ht="11.25">
      <c r="A23" s="7950" t="s">
        <v>199</v>
      </c>
      <c r="B23" s="7950" t="s">
        <v>1248</v>
      </c>
      <c r="C23" s="7950" t="s">
        <v>4749</v>
      </c>
      <c r="D23" s="7950" t="s">
        <v>1173</v>
      </c>
      <c r="E23" s="7950" t="s">
        <v>1174</v>
      </c>
      <c r="F23" s="7950" t="s">
        <v>4750</v>
      </c>
      <c r="G23" s="7950" t="s">
        <v>1166</v>
      </c>
      <c r="H23" s="7950" t="s">
        <v>1251</v>
      </c>
      <c r="I23" s="7950" t="s">
        <v>1211</v>
      </c>
    </row>
    <row customHeight="1" ht="11.25">
      <c r="A24" s="7950" t="s">
        <v>1959</v>
      </c>
      <c r="B24" s="7950" t="s">
        <v>1248</v>
      </c>
      <c r="C24" s="7950" t="s">
        <v>4749</v>
      </c>
      <c r="D24" s="7950" t="s">
        <v>1173</v>
      </c>
      <c r="E24" s="7950" t="s">
        <v>1174</v>
      </c>
      <c r="F24" s="7950" t="s">
        <v>1250</v>
      </c>
      <c r="G24" s="7950" t="s">
        <v>1166</v>
      </c>
      <c r="H24" s="7950" t="s">
        <v>1251</v>
      </c>
      <c r="I24" s="7950" t="s">
        <v>1211</v>
      </c>
    </row>
    <row customHeight="1" ht="11.25">
      <c r="A25" s="7950" t="s">
        <v>1965</v>
      </c>
      <c r="B25" s="7950" t="s">
        <v>1213</v>
      </c>
      <c r="C25" s="7950" t="s">
        <v>4751</v>
      </c>
      <c r="D25" s="7950" t="s">
        <v>1173</v>
      </c>
      <c r="E25" s="7950" t="s">
        <v>1174</v>
      </c>
      <c r="F25" s="7950" t="s">
        <v>4752</v>
      </c>
      <c r="G25" s="7950" t="s">
        <v>1166</v>
      </c>
      <c r="H25" s="7950" t="s">
        <v>1216</v>
      </c>
      <c r="I25" s="7950" t="s">
        <v>1198</v>
      </c>
    </row>
    <row customHeight="1" ht="11.25">
      <c r="A26" s="7950" t="s">
        <v>1969</v>
      </c>
      <c r="B26" s="7950" t="s">
        <v>1213</v>
      </c>
      <c r="C26" s="7950" t="s">
        <v>4751</v>
      </c>
      <c r="D26" s="7950" t="s">
        <v>1173</v>
      </c>
      <c r="E26" s="7950" t="s">
        <v>1174</v>
      </c>
      <c r="F26" s="7950" t="s">
        <v>1215</v>
      </c>
      <c r="G26" s="7950" t="s">
        <v>1166</v>
      </c>
      <c r="H26" s="7950" t="s">
        <v>1216</v>
      </c>
      <c r="I26" s="7950" t="s">
        <v>1198</v>
      </c>
    </row>
    <row customHeight="1" ht="11.25">
      <c r="A27" s="7950" t="s">
        <v>1364</v>
      </c>
      <c r="B27" s="7950" t="s">
        <v>1219</v>
      </c>
      <c r="C27" s="7950" t="s">
        <v>4753</v>
      </c>
      <c r="D27" s="7950" t="s">
        <v>1173</v>
      </c>
      <c r="E27" s="7950" t="s">
        <v>1174</v>
      </c>
      <c r="F27" s="7950" t="s">
        <v>4754</v>
      </c>
      <c r="G27" s="7950" t="s">
        <v>1166</v>
      </c>
      <c r="H27" s="7950" t="s">
        <v>1222</v>
      </c>
      <c r="I27" s="7950" t="s">
        <v>1198</v>
      </c>
    </row>
    <row customHeight="1" ht="11.25">
      <c r="A28" s="7950" t="s">
        <v>1981</v>
      </c>
      <c r="B28" s="7950" t="s">
        <v>1219</v>
      </c>
      <c r="C28" s="7950" t="s">
        <v>4753</v>
      </c>
      <c r="D28" s="7950" t="s">
        <v>1173</v>
      </c>
      <c r="E28" s="7950" t="s">
        <v>1174</v>
      </c>
      <c r="F28" s="7950" t="s">
        <v>1221</v>
      </c>
      <c r="G28" s="7950" t="s">
        <v>1166</v>
      </c>
      <c r="H28" s="7950" t="s">
        <v>1222</v>
      </c>
      <c r="I28" s="7950" t="s">
        <v>1198</v>
      </c>
    </row>
    <row customHeight="1" ht="11.25">
      <c r="A29" s="7950" t="s">
        <v>1983</v>
      </c>
      <c r="B29" s="7950" t="s">
        <v>1193</v>
      </c>
      <c r="C29" s="7950" t="s">
        <v>4755</v>
      </c>
      <c r="D29" s="7950" t="s">
        <v>1173</v>
      </c>
      <c r="E29" s="7950" t="s">
        <v>1174</v>
      </c>
      <c r="F29" s="7950" t="s">
        <v>4756</v>
      </c>
      <c r="G29" s="7950" t="s">
        <v>1166</v>
      </c>
      <c r="H29" s="7950" t="s">
        <v>1197</v>
      </c>
      <c r="I29" s="7950" t="s">
        <v>1198</v>
      </c>
    </row>
    <row customHeight="1" ht="11.25">
      <c r="A30" s="7950" t="s">
        <v>1986</v>
      </c>
      <c r="B30" s="7950" t="s">
        <v>1193</v>
      </c>
      <c r="C30" s="7950" t="s">
        <v>4755</v>
      </c>
      <c r="D30" s="7950" t="s">
        <v>1173</v>
      </c>
      <c r="E30" s="7950" t="s">
        <v>1174</v>
      </c>
      <c r="F30" s="7950" t="s">
        <v>1196</v>
      </c>
      <c r="G30" s="7950" t="s">
        <v>1166</v>
      </c>
      <c r="H30" s="7950" t="s">
        <v>1197</v>
      </c>
      <c r="I30" s="7950" t="s">
        <v>1198</v>
      </c>
    </row>
    <row customHeight="1" ht="11.25">
      <c r="A31" s="7950" t="s">
        <v>1992</v>
      </c>
      <c r="B31" s="7950" t="s">
        <v>1159</v>
      </c>
      <c r="C31" s="7950" t="s">
        <v>4757</v>
      </c>
      <c r="D31" s="7950" t="s">
        <v>1163</v>
      </c>
      <c r="E31" s="7950" t="s">
        <v>1164</v>
      </c>
      <c r="F31" s="7950" t="s">
        <v>4758</v>
      </c>
      <c r="G31" s="7950" t="s">
        <v>1166</v>
      </c>
      <c r="H31" s="7950" t="s">
        <v>1167</v>
      </c>
      <c r="I31" s="7950" t="s">
        <v>1163</v>
      </c>
    </row>
    <row customHeight="1" ht="11.25">
      <c r="A32" s="7950" t="s">
        <v>1994</v>
      </c>
      <c r="B32" s="7950" t="s">
        <v>1159</v>
      </c>
      <c r="C32" s="7950" t="s">
        <v>4757</v>
      </c>
      <c r="D32" s="7950" t="s">
        <v>1163</v>
      </c>
      <c r="E32" s="7950" t="s">
        <v>1164</v>
      </c>
      <c r="F32" s="7950" t="s">
        <v>1165</v>
      </c>
      <c r="G32" s="7950" t="s">
        <v>1166</v>
      </c>
      <c r="H32" s="7950" t="s">
        <v>1167</v>
      </c>
      <c r="I32" s="7950" t="s">
        <v>1163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702ADD-8888-9853-EBAE-C67536B33CA8}" mc:Ignorable="x14ac xr xr2 xr3">
  <sheetPr>
    <tabColor rgb="FFFFCC99"/>
  </sheetPr>
  <dimension ref="A1:AL360"/>
  <sheetViews>
    <sheetView topLeftCell="A1" workbookViewId="0">
      <selection activeCell="A1" sqref="A1"/>
    </sheetView>
  </sheetViews>
  <sheetFormatPr customHeight="1" defaultRowHeight="11.25"/>
  <sheetData>
    <row customHeight="1" ht="11.25">
      <c r="A1" s="0" t="s">
        <v>2643</v>
      </c>
      <c r="B1" s="0" t="s">
        <v>2644</v>
      </c>
      <c r="C1" s="0" t="s">
        <v>2645</v>
      </c>
      <c r="D1" s="0" t="s">
        <v>4759</v>
      </c>
      <c r="E1" s="0" t="s">
        <v>4760</v>
      </c>
      <c r="F1" s="0" t="s">
        <v>4761</v>
      </c>
      <c r="G1" s="0" t="s">
        <v>4762</v>
      </c>
      <c r="H1" s="0" t="s">
        <v>4763</v>
      </c>
      <c r="I1" s="0" t="s">
        <v>4764</v>
      </c>
      <c r="J1" s="0" t="s">
        <v>4765</v>
      </c>
      <c r="K1" s="0" t="s">
        <v>4766</v>
      </c>
      <c r="L1" s="0" t="s">
        <v>4767</v>
      </c>
      <c r="M1" s="0" t="s">
        <v>4768</v>
      </c>
      <c r="N1" s="0" t="s">
        <v>4769</v>
      </c>
      <c r="O1" s="0" t="s">
        <v>3851</v>
      </c>
      <c r="P1" s="0" t="s">
        <v>3853</v>
      </c>
      <c r="Q1" s="0" t="s">
        <v>3854</v>
      </c>
      <c r="R1" s="0" t="s">
        <v>4770</v>
      </c>
      <c r="S1" s="0" t="s">
        <v>4771</v>
      </c>
      <c r="T1" s="0" t="s">
        <v>4772</v>
      </c>
      <c r="U1" s="0" t="s">
        <v>4773</v>
      </c>
      <c r="V1" s="0" t="s">
        <v>4774</v>
      </c>
      <c r="W1" s="0" t="s">
        <v>4775</v>
      </c>
      <c r="X1" s="0" t="s">
        <v>4776</v>
      </c>
      <c r="Y1" s="0" t="s">
        <v>4777</v>
      </c>
      <c r="Z1" s="0" t="s">
        <v>4778</v>
      </c>
      <c r="AA1" s="0" t="s">
        <v>4779</v>
      </c>
      <c r="AB1" s="0" t="s">
        <v>4780</v>
      </c>
      <c r="AC1" s="0" t="s">
        <v>4781</v>
      </c>
      <c r="AD1" s="0" t="s">
        <v>4782</v>
      </c>
      <c r="AE1" s="0" t="s">
        <v>4783</v>
      </c>
      <c r="AF1" s="0" t="s">
        <v>4784</v>
      </c>
      <c r="AG1" s="0" t="s">
        <v>4785</v>
      </c>
      <c r="AH1" s="0" t="s">
        <v>4786</v>
      </c>
      <c r="AI1" s="0" t="s">
        <v>4787</v>
      </c>
      <c r="AJ1" s="0" t="s">
        <v>4788</v>
      </c>
      <c r="AK1" s="0" t="s">
        <v>4789</v>
      </c>
      <c r="AL1" s="0" t="s">
        <v>4790</v>
      </c>
    </row>
    <row customHeight="1" ht="11.25">
      <c r="A2" s="0" t="s">
        <v>22</v>
      </c>
      <c r="B2" s="0" t="s">
        <v>48</v>
      </c>
      <c r="C2" s="0" t="s">
        <v>50</v>
      </c>
      <c r="D2" s="0" t="s">
        <v>22</v>
      </c>
      <c r="E2" s="0" t="s">
        <v>4791</v>
      </c>
      <c r="F2" s="0" t="s">
        <v>1299</v>
      </c>
      <c r="G2" s="0" t="s">
        <v>99</v>
      </c>
      <c r="H2" s="0" t="s">
        <v>1300</v>
      </c>
      <c r="I2" s="0" t="s">
        <v>1301</v>
      </c>
      <c r="J2" s="0" t="s">
        <v>4792</v>
      </c>
      <c r="K2" s="0" t="s">
        <v>4793</v>
      </c>
      <c r="L2" s="0" t="s">
        <v>4794</v>
      </c>
      <c r="M2" s="0" t="s">
        <v>1355</v>
      </c>
      <c r="N2" s="0" t="s">
        <v>210</v>
      </c>
      <c r="O2" s="0" t="s">
        <v>99</v>
      </c>
      <c r="P2" s="0" t="s">
        <v>1300</v>
      </c>
      <c r="Q2" s="0" t="s">
        <v>1301</v>
      </c>
      <c r="R2" s="0" t="s">
        <v>4792</v>
      </c>
      <c r="S2" s="0" t="s">
        <v>4793</v>
      </c>
      <c r="T2" s="0" t="s">
        <v>4795</v>
      </c>
      <c r="U2" s="0" t="s">
        <v>4796</v>
      </c>
      <c r="V2" s="0" t="s">
        <v>4797</v>
      </c>
      <c r="W2" s="0" t="s">
        <v>4798</v>
      </c>
      <c r="X2" s="0" t="s">
        <v>4799</v>
      </c>
      <c r="Y2" s="0" t="s">
        <v>4796</v>
      </c>
      <c r="Z2" s="0" t="s">
        <v>4800</v>
      </c>
      <c r="AA2" s="0" t="s">
        <v>4801</v>
      </c>
      <c r="AB2" s="0" t="s">
        <v>4797</v>
      </c>
      <c r="AC2" s="0" t="s">
        <v>62</v>
      </c>
      <c r="AD2" s="0" t="s">
        <v>62</v>
      </c>
      <c r="AE2" s="0" t="s">
        <v>62</v>
      </c>
      <c r="AF2" s="0" t="s">
        <v>4802</v>
      </c>
      <c r="AG2" s="0" t="s">
        <v>4803</v>
      </c>
      <c r="AH2" s="0" t="s">
        <v>4802</v>
      </c>
      <c r="AI2" s="0" t="s">
        <v>4803</v>
      </c>
      <c r="AJ2" s="0" t="s">
        <v>4802</v>
      </c>
      <c r="AK2" s="0" t="s">
        <v>4803</v>
      </c>
      <c r="AL2" s="0" t="s">
        <v>4804</v>
      </c>
    </row>
    <row customHeight="1" ht="11.25">
      <c r="A3" s="0" t="s">
        <v>22</v>
      </c>
      <c r="B3" s="0" t="s">
        <v>48</v>
      </c>
      <c r="C3" s="0" t="s">
        <v>50</v>
      </c>
      <c r="D3" s="0" t="s">
        <v>22</v>
      </c>
      <c r="E3" s="0" t="s">
        <v>4791</v>
      </c>
      <c r="F3" s="0" t="s">
        <v>1299</v>
      </c>
      <c r="G3" s="0" t="s">
        <v>99</v>
      </c>
      <c r="H3" s="0" t="s">
        <v>1300</v>
      </c>
      <c r="I3" s="0" t="s">
        <v>1301</v>
      </c>
      <c r="J3" s="0" t="s">
        <v>4792</v>
      </c>
      <c r="K3" s="0" t="s">
        <v>4793</v>
      </c>
      <c r="L3" s="0" t="s">
        <v>4794</v>
      </c>
      <c r="M3" s="0" t="s">
        <v>1355</v>
      </c>
      <c r="N3" s="0" t="s">
        <v>210</v>
      </c>
      <c r="O3" s="0" t="s">
        <v>99</v>
      </c>
      <c r="P3" s="0" t="s">
        <v>1300</v>
      </c>
      <c r="Q3" s="0" t="s">
        <v>1301</v>
      </c>
      <c r="R3" s="0" t="s">
        <v>4792</v>
      </c>
      <c r="S3" s="0" t="s">
        <v>4793</v>
      </c>
      <c r="T3" s="0" t="s">
        <v>4795</v>
      </c>
      <c r="U3" s="0" t="s">
        <v>4796</v>
      </c>
      <c r="V3" s="0" t="s">
        <v>4805</v>
      </c>
      <c r="W3" s="0" t="s">
        <v>4798</v>
      </c>
      <c r="X3" s="0" t="s">
        <v>4799</v>
      </c>
      <c r="Y3" s="0" t="s">
        <v>4796</v>
      </c>
      <c r="Z3" s="0" t="s">
        <v>4806</v>
      </c>
      <c r="AA3" s="0" t="s">
        <v>4807</v>
      </c>
      <c r="AB3" s="0" t="s">
        <v>4805</v>
      </c>
      <c r="AC3" s="0" t="s">
        <v>62</v>
      </c>
      <c r="AD3" s="0" t="s">
        <v>62</v>
      </c>
      <c r="AE3" s="0" t="s">
        <v>62</v>
      </c>
      <c r="AF3" s="0" t="s">
        <v>4802</v>
      </c>
      <c r="AG3" s="0" t="s">
        <v>4803</v>
      </c>
      <c r="AH3" s="0" t="s">
        <v>4802</v>
      </c>
      <c r="AI3" s="0" t="s">
        <v>4803</v>
      </c>
      <c r="AJ3" s="0" t="s">
        <v>4802</v>
      </c>
      <c r="AK3" s="0" t="s">
        <v>4803</v>
      </c>
      <c r="AL3" s="0" t="s">
        <v>4804</v>
      </c>
    </row>
    <row customHeight="1" ht="11.25">
      <c r="A4" s="0" t="s">
        <v>22</v>
      </c>
      <c r="B4" s="0" t="s">
        <v>48</v>
      </c>
      <c r="C4" s="0" t="s">
        <v>50</v>
      </c>
      <c r="D4" s="0" t="s">
        <v>22</v>
      </c>
      <c r="E4" s="0" t="s">
        <v>4808</v>
      </c>
      <c r="F4" s="0" t="s">
        <v>1299</v>
      </c>
      <c r="G4" s="0" t="s">
        <v>99</v>
      </c>
      <c r="H4" s="0" t="s">
        <v>1300</v>
      </c>
      <c r="I4" s="0" t="s">
        <v>1301</v>
      </c>
      <c r="J4" s="0" t="s">
        <v>1302</v>
      </c>
      <c r="K4" s="0" t="s">
        <v>1303</v>
      </c>
      <c r="L4" s="0" t="s">
        <v>1378</v>
      </c>
      <c r="M4" s="0" t="s">
        <v>4809</v>
      </c>
      <c r="N4" s="0" t="s">
        <v>210</v>
      </c>
      <c r="O4" s="0" t="s">
        <v>99</v>
      </c>
      <c r="P4" s="0" t="s">
        <v>1300</v>
      </c>
      <c r="Q4" s="0" t="s">
        <v>1301</v>
      </c>
      <c r="R4" s="0" t="s">
        <v>1302</v>
      </c>
      <c r="S4" s="0" t="s">
        <v>1303</v>
      </c>
      <c r="T4" s="0" t="s">
        <v>4795</v>
      </c>
      <c r="U4" s="0" t="s">
        <v>4796</v>
      </c>
      <c r="V4" s="0" t="s">
        <v>4805</v>
      </c>
      <c r="W4" s="0" t="s">
        <v>4798</v>
      </c>
      <c r="X4" s="0" t="s">
        <v>4799</v>
      </c>
      <c r="Y4" s="0" t="s">
        <v>4796</v>
      </c>
      <c r="Z4" s="0" t="s">
        <v>4806</v>
      </c>
      <c r="AA4" s="0" t="s">
        <v>4807</v>
      </c>
      <c r="AB4" s="0" t="s">
        <v>4805</v>
      </c>
      <c r="AC4" s="0" t="s">
        <v>62</v>
      </c>
      <c r="AD4" s="0" t="s">
        <v>62</v>
      </c>
      <c r="AE4" s="0" t="s">
        <v>62</v>
      </c>
      <c r="AF4" s="0" t="s">
        <v>4810</v>
      </c>
      <c r="AG4" s="0" t="s">
        <v>4811</v>
      </c>
      <c r="AH4" s="0" t="s">
        <v>4810</v>
      </c>
      <c r="AI4" s="0" t="s">
        <v>4811</v>
      </c>
      <c r="AJ4" s="0" t="s">
        <v>4810</v>
      </c>
      <c r="AK4" s="0" t="s">
        <v>4811</v>
      </c>
      <c r="AL4" s="0" t="s">
        <v>4804</v>
      </c>
    </row>
    <row customHeight="1" ht="11.25">
      <c r="A5" s="0" t="s">
        <v>22</v>
      </c>
      <c r="B5" s="0" t="s">
        <v>48</v>
      </c>
      <c r="C5" s="0" t="s">
        <v>50</v>
      </c>
      <c r="D5" s="0" t="s">
        <v>22</v>
      </c>
      <c r="E5" s="0" t="s">
        <v>4808</v>
      </c>
      <c r="F5" s="0" t="s">
        <v>1299</v>
      </c>
      <c r="G5" s="0" t="s">
        <v>99</v>
      </c>
      <c r="H5" s="0" t="s">
        <v>1300</v>
      </c>
      <c r="I5" s="0" t="s">
        <v>1301</v>
      </c>
      <c r="J5" s="0" t="s">
        <v>1302</v>
      </c>
      <c r="K5" s="0" t="s">
        <v>1303</v>
      </c>
      <c r="L5" s="0" t="s">
        <v>1378</v>
      </c>
      <c r="M5" s="0" t="s">
        <v>4809</v>
      </c>
      <c r="N5" s="0" t="s">
        <v>210</v>
      </c>
      <c r="O5" s="0" t="s">
        <v>99</v>
      </c>
      <c r="P5" s="0" t="s">
        <v>1300</v>
      </c>
      <c r="Q5" s="0" t="s">
        <v>1301</v>
      </c>
      <c r="R5" s="0" t="s">
        <v>1302</v>
      </c>
      <c r="S5" s="0" t="s">
        <v>1303</v>
      </c>
      <c r="T5" s="0" t="s">
        <v>4795</v>
      </c>
      <c r="U5" s="0" t="s">
        <v>4796</v>
      </c>
      <c r="V5" s="0" t="s">
        <v>4812</v>
      </c>
      <c r="W5" s="0" t="s">
        <v>4798</v>
      </c>
      <c r="X5" s="0" t="s">
        <v>4799</v>
      </c>
      <c r="Y5" s="0" t="s">
        <v>4796</v>
      </c>
      <c r="Z5" s="0" t="s">
        <v>4800</v>
      </c>
      <c r="AA5" s="0" t="s">
        <v>4801</v>
      </c>
      <c r="AB5" s="0" t="s">
        <v>4812</v>
      </c>
      <c r="AC5" s="0" t="s">
        <v>62</v>
      </c>
      <c r="AD5" s="0" t="s">
        <v>62</v>
      </c>
      <c r="AE5" s="0" t="s">
        <v>62</v>
      </c>
      <c r="AF5" s="0" t="s">
        <v>4810</v>
      </c>
      <c r="AG5" s="0" t="s">
        <v>4811</v>
      </c>
      <c r="AH5" s="0" t="s">
        <v>4810</v>
      </c>
      <c r="AI5" s="0" t="s">
        <v>4811</v>
      </c>
      <c r="AJ5" s="0" t="s">
        <v>4810</v>
      </c>
      <c r="AK5" s="0" t="s">
        <v>4811</v>
      </c>
      <c r="AL5" s="0" t="s">
        <v>4804</v>
      </c>
    </row>
    <row customHeight="1" ht="11.25">
      <c r="A6" s="0" t="s">
        <v>22</v>
      </c>
      <c r="B6" s="0" t="s">
        <v>48</v>
      </c>
      <c r="C6" s="0" t="s">
        <v>50</v>
      </c>
      <c r="D6" s="0" t="s">
        <v>22</v>
      </c>
      <c r="E6" s="0" t="s">
        <v>4813</v>
      </c>
      <c r="F6" s="0" t="s">
        <v>1299</v>
      </c>
      <c r="G6" s="0" t="s">
        <v>99</v>
      </c>
      <c r="H6" s="0" t="s">
        <v>1300</v>
      </c>
      <c r="I6" s="0" t="s">
        <v>1301</v>
      </c>
      <c r="J6" s="0" t="s">
        <v>1302</v>
      </c>
      <c r="K6" s="0" t="s">
        <v>1303</v>
      </c>
      <c r="L6" s="0" t="s">
        <v>4814</v>
      </c>
      <c r="M6" s="0" t="s">
        <v>2109</v>
      </c>
      <c r="N6" s="0" t="s">
        <v>210</v>
      </c>
      <c r="O6" s="0" t="s">
        <v>99</v>
      </c>
      <c r="P6" s="0" t="s">
        <v>1300</v>
      </c>
      <c r="Q6" s="0" t="s">
        <v>1301</v>
      </c>
      <c r="R6" s="0" t="s">
        <v>1302</v>
      </c>
      <c r="S6" s="0" t="s">
        <v>1303</v>
      </c>
      <c r="T6" s="0" t="s">
        <v>4795</v>
      </c>
      <c r="U6" s="0" t="s">
        <v>4796</v>
      </c>
      <c r="V6" s="0" t="s">
        <v>4805</v>
      </c>
      <c r="W6" s="0" t="s">
        <v>4798</v>
      </c>
      <c r="X6" s="0" t="s">
        <v>4799</v>
      </c>
      <c r="Y6" s="0" t="s">
        <v>4796</v>
      </c>
      <c r="Z6" s="0" t="s">
        <v>4806</v>
      </c>
      <c r="AA6" s="0" t="s">
        <v>4807</v>
      </c>
      <c r="AB6" s="0" t="s">
        <v>4805</v>
      </c>
      <c r="AC6" s="0" t="s">
        <v>62</v>
      </c>
      <c r="AD6" s="0" t="s">
        <v>62</v>
      </c>
      <c r="AE6" s="0" t="s">
        <v>62</v>
      </c>
      <c r="AF6" s="0" t="s">
        <v>4815</v>
      </c>
      <c r="AG6" s="0" t="s">
        <v>4816</v>
      </c>
      <c r="AH6" s="0" t="s">
        <v>4815</v>
      </c>
      <c r="AI6" s="0" t="s">
        <v>4816</v>
      </c>
      <c r="AJ6" s="0" t="s">
        <v>4815</v>
      </c>
      <c r="AK6" s="0" t="s">
        <v>4816</v>
      </c>
      <c r="AL6" s="0" t="s">
        <v>4804</v>
      </c>
    </row>
    <row customHeight="1" ht="11.25">
      <c r="A7" s="0" t="s">
        <v>22</v>
      </c>
      <c r="B7" s="0" t="s">
        <v>48</v>
      </c>
      <c r="C7" s="0" t="s">
        <v>50</v>
      </c>
      <c r="D7" s="0" t="s">
        <v>22</v>
      </c>
      <c r="E7" s="0" t="s">
        <v>4813</v>
      </c>
      <c r="F7" s="0" t="s">
        <v>1299</v>
      </c>
      <c r="G7" s="0" t="s">
        <v>99</v>
      </c>
      <c r="H7" s="0" t="s">
        <v>1300</v>
      </c>
      <c r="I7" s="0" t="s">
        <v>1301</v>
      </c>
      <c r="J7" s="0" t="s">
        <v>1302</v>
      </c>
      <c r="K7" s="0" t="s">
        <v>1303</v>
      </c>
      <c r="L7" s="0" t="s">
        <v>4814</v>
      </c>
      <c r="M7" s="0" t="s">
        <v>2109</v>
      </c>
      <c r="N7" s="0" t="s">
        <v>210</v>
      </c>
      <c r="O7" s="0" t="s">
        <v>99</v>
      </c>
      <c r="P7" s="0" t="s">
        <v>1300</v>
      </c>
      <c r="Q7" s="0" t="s">
        <v>1301</v>
      </c>
      <c r="R7" s="0" t="s">
        <v>1302</v>
      </c>
      <c r="S7" s="0" t="s">
        <v>1303</v>
      </c>
      <c r="T7" s="0" t="s">
        <v>4795</v>
      </c>
      <c r="U7" s="0" t="s">
        <v>4796</v>
      </c>
      <c r="V7" s="0" t="s">
        <v>4797</v>
      </c>
      <c r="W7" s="0" t="s">
        <v>4798</v>
      </c>
      <c r="X7" s="0" t="s">
        <v>4799</v>
      </c>
      <c r="Y7" s="0" t="s">
        <v>4796</v>
      </c>
      <c r="Z7" s="0" t="s">
        <v>4800</v>
      </c>
      <c r="AA7" s="0" t="s">
        <v>4801</v>
      </c>
      <c r="AB7" s="0" t="s">
        <v>4797</v>
      </c>
      <c r="AC7" s="0" t="s">
        <v>62</v>
      </c>
      <c r="AD7" s="0" t="s">
        <v>62</v>
      </c>
      <c r="AE7" s="0" t="s">
        <v>62</v>
      </c>
      <c r="AF7" s="0" t="s">
        <v>4815</v>
      </c>
      <c r="AG7" s="0" t="s">
        <v>4816</v>
      </c>
      <c r="AH7" s="0" t="s">
        <v>4815</v>
      </c>
      <c r="AI7" s="0" t="s">
        <v>4816</v>
      </c>
      <c r="AJ7" s="0" t="s">
        <v>4815</v>
      </c>
      <c r="AK7" s="0" t="s">
        <v>4816</v>
      </c>
      <c r="AL7" s="0" t="s">
        <v>4804</v>
      </c>
    </row>
    <row customHeight="1" ht="11.25">
      <c r="A8" s="0" t="s">
        <v>22</v>
      </c>
      <c r="B8" s="0" t="s">
        <v>48</v>
      </c>
      <c r="C8" s="0" t="s">
        <v>50</v>
      </c>
      <c r="D8" s="0" t="s">
        <v>22</v>
      </c>
      <c r="E8" s="0" t="s">
        <v>4817</v>
      </c>
      <c r="F8" s="0" t="s">
        <v>1299</v>
      </c>
      <c r="G8" s="0" t="s">
        <v>99</v>
      </c>
      <c r="H8" s="0" t="s">
        <v>1300</v>
      </c>
      <c r="I8" s="0" t="s">
        <v>1301</v>
      </c>
      <c r="J8" s="0" t="s">
        <v>1302</v>
      </c>
      <c r="K8" s="0" t="s">
        <v>1303</v>
      </c>
      <c r="L8" s="0" t="s">
        <v>4818</v>
      </c>
      <c r="M8" s="0" t="s">
        <v>210</v>
      </c>
      <c r="N8" s="0" t="s">
        <v>210</v>
      </c>
      <c r="O8" s="0" t="s">
        <v>99</v>
      </c>
      <c r="P8" s="0" t="s">
        <v>1300</v>
      </c>
      <c r="Q8" s="0" t="s">
        <v>1301</v>
      </c>
      <c r="R8" s="0" t="s">
        <v>1302</v>
      </c>
      <c r="S8" s="0" t="s">
        <v>1303</v>
      </c>
      <c r="T8" s="0" t="s">
        <v>4795</v>
      </c>
      <c r="U8" s="0" t="s">
        <v>4796</v>
      </c>
      <c r="V8" s="0" t="s">
        <v>4797</v>
      </c>
      <c r="W8" s="0" t="s">
        <v>4798</v>
      </c>
      <c r="X8" s="0" t="s">
        <v>4799</v>
      </c>
      <c r="Y8" s="0" t="s">
        <v>4796</v>
      </c>
      <c r="Z8" s="0" t="s">
        <v>4800</v>
      </c>
      <c r="AA8" s="0" t="s">
        <v>4801</v>
      </c>
      <c r="AB8" s="0" t="s">
        <v>4797</v>
      </c>
      <c r="AC8" s="0" t="s">
        <v>62</v>
      </c>
      <c r="AD8" s="0" t="s">
        <v>62</v>
      </c>
      <c r="AE8" s="0" t="s">
        <v>62</v>
      </c>
      <c r="AF8" s="0" t="s">
        <v>4819</v>
      </c>
      <c r="AG8" s="0" t="s">
        <v>4820</v>
      </c>
      <c r="AH8" s="0" t="s">
        <v>4819</v>
      </c>
      <c r="AI8" s="0" t="s">
        <v>4820</v>
      </c>
      <c r="AJ8" s="0" t="s">
        <v>4819</v>
      </c>
      <c r="AK8" s="0" t="s">
        <v>4820</v>
      </c>
      <c r="AL8" s="0" t="s">
        <v>4804</v>
      </c>
    </row>
    <row customHeight="1" ht="11.25">
      <c r="A9" s="0" t="s">
        <v>22</v>
      </c>
      <c r="B9" s="0" t="s">
        <v>48</v>
      </c>
      <c r="C9" s="0" t="s">
        <v>50</v>
      </c>
      <c r="D9" s="0" t="s">
        <v>22</v>
      </c>
      <c r="E9" s="0" t="s">
        <v>4817</v>
      </c>
      <c r="F9" s="0" t="s">
        <v>1299</v>
      </c>
      <c r="G9" s="0" t="s">
        <v>99</v>
      </c>
      <c r="H9" s="0" t="s">
        <v>1300</v>
      </c>
      <c r="I9" s="0" t="s">
        <v>1301</v>
      </c>
      <c r="J9" s="0" t="s">
        <v>1302</v>
      </c>
      <c r="K9" s="0" t="s">
        <v>1303</v>
      </c>
      <c r="L9" s="0" t="s">
        <v>4818</v>
      </c>
      <c r="M9" s="0" t="s">
        <v>210</v>
      </c>
      <c r="N9" s="0" t="s">
        <v>210</v>
      </c>
      <c r="O9" s="0" t="s">
        <v>99</v>
      </c>
      <c r="P9" s="0" t="s">
        <v>1300</v>
      </c>
      <c r="Q9" s="0" t="s">
        <v>1301</v>
      </c>
      <c r="R9" s="0" t="s">
        <v>1302</v>
      </c>
      <c r="S9" s="0" t="s">
        <v>1303</v>
      </c>
      <c r="T9" s="0" t="s">
        <v>4795</v>
      </c>
      <c r="U9" s="0" t="s">
        <v>4796</v>
      </c>
      <c r="V9" s="0" t="s">
        <v>4805</v>
      </c>
      <c r="W9" s="0" t="s">
        <v>4798</v>
      </c>
      <c r="X9" s="0" t="s">
        <v>4799</v>
      </c>
      <c r="Y9" s="0" t="s">
        <v>4796</v>
      </c>
      <c r="Z9" s="0" t="s">
        <v>4806</v>
      </c>
      <c r="AA9" s="0" t="s">
        <v>4807</v>
      </c>
      <c r="AB9" s="0" t="s">
        <v>4805</v>
      </c>
      <c r="AC9" s="0" t="s">
        <v>62</v>
      </c>
      <c r="AD9" s="0" t="s">
        <v>62</v>
      </c>
      <c r="AE9" s="0" t="s">
        <v>62</v>
      </c>
      <c r="AF9" s="0" t="s">
        <v>4819</v>
      </c>
      <c r="AG9" s="0" t="s">
        <v>4820</v>
      </c>
      <c r="AH9" s="0" t="s">
        <v>4819</v>
      </c>
      <c r="AI9" s="0" t="s">
        <v>4820</v>
      </c>
      <c r="AJ9" s="0" t="s">
        <v>4819</v>
      </c>
      <c r="AK9" s="0" t="s">
        <v>4820</v>
      </c>
      <c r="AL9" s="0" t="s">
        <v>4804</v>
      </c>
    </row>
    <row customHeight="1" ht="11.25">
      <c r="A10" s="0" t="s">
        <v>22</v>
      </c>
      <c r="B10" s="0" t="s">
        <v>48</v>
      </c>
      <c r="C10" s="0" t="s">
        <v>50</v>
      </c>
      <c r="D10" s="0" t="s">
        <v>22</v>
      </c>
      <c r="E10" s="0" t="s">
        <v>4821</v>
      </c>
      <c r="F10" s="0" t="s">
        <v>1299</v>
      </c>
      <c r="G10" s="0" t="s">
        <v>99</v>
      </c>
      <c r="H10" s="0" t="s">
        <v>1300</v>
      </c>
      <c r="I10" s="0" t="s">
        <v>1301</v>
      </c>
      <c r="J10" s="0" t="s">
        <v>1302</v>
      </c>
      <c r="K10" s="0" t="s">
        <v>1303</v>
      </c>
      <c r="L10" s="0" t="s">
        <v>4822</v>
      </c>
      <c r="M10" s="0" t="s">
        <v>4303</v>
      </c>
      <c r="N10" s="0" t="s">
        <v>210</v>
      </c>
      <c r="O10" s="0" t="s">
        <v>99</v>
      </c>
      <c r="P10" s="0" t="s">
        <v>1300</v>
      </c>
      <c r="Q10" s="0" t="s">
        <v>1301</v>
      </c>
      <c r="R10" s="0" t="s">
        <v>1302</v>
      </c>
      <c r="S10" s="0" t="s">
        <v>1303</v>
      </c>
      <c r="T10" s="0" t="s">
        <v>4795</v>
      </c>
      <c r="U10" s="0" t="s">
        <v>4796</v>
      </c>
      <c r="V10" s="0" t="s">
        <v>4797</v>
      </c>
      <c r="W10" s="0" t="s">
        <v>4798</v>
      </c>
      <c r="X10" s="0" t="s">
        <v>4799</v>
      </c>
      <c r="Y10" s="0" t="s">
        <v>4796</v>
      </c>
      <c r="Z10" s="0" t="s">
        <v>4800</v>
      </c>
      <c r="AA10" s="0" t="s">
        <v>4801</v>
      </c>
      <c r="AB10" s="0" t="s">
        <v>4797</v>
      </c>
      <c r="AC10" s="0" t="s">
        <v>62</v>
      </c>
      <c r="AD10" s="0" t="s">
        <v>62</v>
      </c>
      <c r="AE10" s="0" t="s">
        <v>62</v>
      </c>
      <c r="AF10" s="0" t="s">
        <v>4823</v>
      </c>
      <c r="AG10" s="0" t="s">
        <v>4824</v>
      </c>
      <c r="AH10" s="0" t="s">
        <v>4823</v>
      </c>
      <c r="AI10" s="0" t="s">
        <v>4824</v>
      </c>
      <c r="AJ10" s="0" t="s">
        <v>4823</v>
      </c>
      <c r="AK10" s="0" t="s">
        <v>4824</v>
      </c>
      <c r="AL10" s="0" t="s">
        <v>4804</v>
      </c>
    </row>
    <row customHeight="1" ht="11.25">
      <c r="A11" s="0" t="s">
        <v>22</v>
      </c>
      <c r="B11" s="0" t="s">
        <v>48</v>
      </c>
      <c r="C11" s="0" t="s">
        <v>50</v>
      </c>
      <c r="D11" s="0" t="s">
        <v>22</v>
      </c>
      <c r="E11" s="0" t="s">
        <v>4821</v>
      </c>
      <c r="F11" s="0" t="s">
        <v>1299</v>
      </c>
      <c r="G11" s="0" t="s">
        <v>99</v>
      </c>
      <c r="H11" s="0" t="s">
        <v>1300</v>
      </c>
      <c r="I11" s="0" t="s">
        <v>1301</v>
      </c>
      <c r="J11" s="0" t="s">
        <v>1302</v>
      </c>
      <c r="K11" s="0" t="s">
        <v>1303</v>
      </c>
      <c r="L11" s="0" t="s">
        <v>4822</v>
      </c>
      <c r="M11" s="0" t="s">
        <v>4303</v>
      </c>
      <c r="N11" s="0" t="s">
        <v>210</v>
      </c>
      <c r="O11" s="0" t="s">
        <v>99</v>
      </c>
      <c r="P11" s="0" t="s">
        <v>1300</v>
      </c>
      <c r="Q11" s="0" t="s">
        <v>1301</v>
      </c>
      <c r="R11" s="0" t="s">
        <v>1302</v>
      </c>
      <c r="S11" s="0" t="s">
        <v>1303</v>
      </c>
      <c r="T11" s="0" t="s">
        <v>4795</v>
      </c>
      <c r="U11" s="0" t="s">
        <v>4796</v>
      </c>
      <c r="V11" s="0" t="s">
        <v>4805</v>
      </c>
      <c r="W11" s="0" t="s">
        <v>4798</v>
      </c>
      <c r="X11" s="0" t="s">
        <v>4799</v>
      </c>
      <c r="Y11" s="0" t="s">
        <v>4796</v>
      </c>
      <c r="Z11" s="0" t="s">
        <v>4806</v>
      </c>
      <c r="AA11" s="0" t="s">
        <v>4807</v>
      </c>
      <c r="AB11" s="0" t="s">
        <v>4805</v>
      </c>
      <c r="AC11" s="0" t="s">
        <v>62</v>
      </c>
      <c r="AD11" s="0" t="s">
        <v>62</v>
      </c>
      <c r="AE11" s="0" t="s">
        <v>62</v>
      </c>
      <c r="AF11" s="0" t="s">
        <v>4823</v>
      </c>
      <c r="AG11" s="0" t="s">
        <v>4824</v>
      </c>
      <c r="AH11" s="0" t="s">
        <v>4823</v>
      </c>
      <c r="AI11" s="0" t="s">
        <v>4824</v>
      </c>
      <c r="AJ11" s="0" t="s">
        <v>4823</v>
      </c>
      <c r="AK11" s="0" t="s">
        <v>4824</v>
      </c>
      <c r="AL11" s="0" t="s">
        <v>4804</v>
      </c>
    </row>
    <row customHeight="1" ht="11.25">
      <c r="A12" s="0" t="s">
        <v>22</v>
      </c>
      <c r="B12" s="0" t="s">
        <v>48</v>
      </c>
      <c r="C12" s="0" t="s">
        <v>50</v>
      </c>
      <c r="D12" s="0" t="s">
        <v>22</v>
      </c>
      <c r="E12" s="0" t="s">
        <v>1298</v>
      </c>
      <c r="F12" s="0" t="s">
        <v>1299</v>
      </c>
      <c r="G12" s="0" t="s">
        <v>99</v>
      </c>
      <c r="H12" s="0" t="s">
        <v>1300</v>
      </c>
      <c r="I12" s="0" t="s">
        <v>1301</v>
      </c>
      <c r="J12" s="0" t="s">
        <v>1302</v>
      </c>
      <c r="K12" s="0" t="s">
        <v>1303</v>
      </c>
      <c r="L12" s="0" t="s">
        <v>1304</v>
      </c>
      <c r="M12" s="0" t="s">
        <v>1305</v>
      </c>
      <c r="N12" s="0" t="s">
        <v>210</v>
      </c>
      <c r="O12" s="0" t="s">
        <v>99</v>
      </c>
      <c r="P12" s="0" t="s">
        <v>1300</v>
      </c>
      <c r="Q12" s="0" t="s">
        <v>1301</v>
      </c>
      <c r="R12" s="0" t="s">
        <v>1302</v>
      </c>
      <c r="S12" s="0" t="s">
        <v>1303</v>
      </c>
      <c r="T12" s="0" t="s">
        <v>4795</v>
      </c>
      <c r="U12" s="0" t="s">
        <v>4796</v>
      </c>
      <c r="V12" s="0" t="s">
        <v>4805</v>
      </c>
      <c r="W12" s="0" t="s">
        <v>4798</v>
      </c>
      <c r="X12" s="0" t="s">
        <v>4799</v>
      </c>
      <c r="Y12" s="0" t="s">
        <v>4796</v>
      </c>
      <c r="Z12" s="0" t="s">
        <v>4806</v>
      </c>
      <c r="AA12" s="0" t="s">
        <v>4807</v>
      </c>
      <c r="AB12" s="0" t="s">
        <v>4805</v>
      </c>
      <c r="AC12" s="0" t="s">
        <v>62</v>
      </c>
      <c r="AD12" s="0" t="s">
        <v>62</v>
      </c>
      <c r="AE12" s="0" t="s">
        <v>62</v>
      </c>
      <c r="AF12" s="0" t="s">
        <v>4825</v>
      </c>
      <c r="AG12" s="0" t="s">
        <v>4826</v>
      </c>
      <c r="AH12" s="0" t="s">
        <v>4825</v>
      </c>
      <c r="AI12" s="0" t="s">
        <v>4826</v>
      </c>
      <c r="AJ12" s="0" t="s">
        <v>4825</v>
      </c>
      <c r="AK12" s="0" t="s">
        <v>4826</v>
      </c>
      <c r="AL12" s="0" t="s">
        <v>4804</v>
      </c>
    </row>
    <row customHeight="1" ht="11.25">
      <c r="A13" s="0" t="s">
        <v>22</v>
      </c>
      <c r="B13" s="0" t="s">
        <v>48</v>
      </c>
      <c r="C13" s="0" t="s">
        <v>50</v>
      </c>
      <c r="D13" s="0" t="s">
        <v>22</v>
      </c>
      <c r="E13" s="0" t="s">
        <v>1298</v>
      </c>
      <c r="F13" s="0" t="s">
        <v>1299</v>
      </c>
      <c r="G13" s="0" t="s">
        <v>99</v>
      </c>
      <c r="H13" s="0" t="s">
        <v>1300</v>
      </c>
      <c r="I13" s="0" t="s">
        <v>1301</v>
      </c>
      <c r="J13" s="0" t="s">
        <v>1302</v>
      </c>
      <c r="K13" s="0" t="s">
        <v>1303</v>
      </c>
      <c r="L13" s="0" t="s">
        <v>1304</v>
      </c>
      <c r="M13" s="0" t="s">
        <v>1305</v>
      </c>
      <c r="N13" s="0" t="s">
        <v>210</v>
      </c>
      <c r="O13" s="0" t="s">
        <v>99</v>
      </c>
      <c r="P13" s="0" t="s">
        <v>1300</v>
      </c>
      <c r="Q13" s="0" t="s">
        <v>1301</v>
      </c>
      <c r="R13" s="0" t="s">
        <v>1302</v>
      </c>
      <c r="S13" s="0" t="s">
        <v>1303</v>
      </c>
      <c r="T13" s="0" t="s">
        <v>4795</v>
      </c>
      <c r="U13" s="0" t="s">
        <v>4796</v>
      </c>
      <c r="V13" s="0" t="s">
        <v>4797</v>
      </c>
      <c r="W13" s="0" t="s">
        <v>4798</v>
      </c>
      <c r="X13" s="0" t="s">
        <v>4799</v>
      </c>
      <c r="Y13" s="0" t="s">
        <v>4796</v>
      </c>
      <c r="Z13" s="0" t="s">
        <v>4800</v>
      </c>
      <c r="AA13" s="0" t="s">
        <v>4801</v>
      </c>
      <c r="AB13" s="0" t="s">
        <v>4797</v>
      </c>
      <c r="AC13" s="0" t="s">
        <v>62</v>
      </c>
      <c r="AD13" s="0" t="s">
        <v>62</v>
      </c>
      <c r="AE13" s="0" t="s">
        <v>62</v>
      </c>
      <c r="AF13" s="0" t="s">
        <v>4825</v>
      </c>
      <c r="AG13" s="0" t="s">
        <v>4826</v>
      </c>
      <c r="AH13" s="0" t="s">
        <v>4825</v>
      </c>
      <c r="AI13" s="0" t="s">
        <v>4826</v>
      </c>
      <c r="AJ13" s="0" t="s">
        <v>4825</v>
      </c>
      <c r="AK13" s="0" t="s">
        <v>4826</v>
      </c>
      <c r="AL13" s="0" t="s">
        <v>4804</v>
      </c>
    </row>
    <row customHeight="1" ht="11.25">
      <c r="A14" s="0" t="s">
        <v>22</v>
      </c>
      <c r="B14" s="0" t="s">
        <v>48</v>
      </c>
      <c r="C14" s="0" t="s">
        <v>50</v>
      </c>
      <c r="D14" s="0" t="s">
        <v>22</v>
      </c>
      <c r="E14" s="0" t="s">
        <v>4827</v>
      </c>
      <c r="F14" s="0" t="s">
        <v>1299</v>
      </c>
      <c r="G14" s="0" t="s">
        <v>99</v>
      </c>
      <c r="H14" s="0" t="s">
        <v>1300</v>
      </c>
      <c r="I14" s="0" t="s">
        <v>1301</v>
      </c>
      <c r="J14" s="0" t="s">
        <v>1302</v>
      </c>
      <c r="K14" s="0" t="s">
        <v>1303</v>
      </c>
      <c r="L14" s="0" t="s">
        <v>4828</v>
      </c>
      <c r="M14" s="0" t="s">
        <v>4829</v>
      </c>
      <c r="N14" s="0" t="s">
        <v>210</v>
      </c>
      <c r="O14" s="0" t="s">
        <v>99</v>
      </c>
      <c r="P14" s="0" t="s">
        <v>1300</v>
      </c>
      <c r="Q14" s="0" t="s">
        <v>1301</v>
      </c>
      <c r="R14" s="0" t="s">
        <v>1302</v>
      </c>
      <c r="S14" s="0" t="s">
        <v>1303</v>
      </c>
      <c r="T14" s="0" t="s">
        <v>4795</v>
      </c>
      <c r="U14" s="0" t="s">
        <v>4796</v>
      </c>
      <c r="V14" s="0" t="s">
        <v>4805</v>
      </c>
      <c r="W14" s="0" t="s">
        <v>4798</v>
      </c>
      <c r="X14" s="0" t="s">
        <v>4799</v>
      </c>
      <c r="Y14" s="0" t="s">
        <v>4796</v>
      </c>
      <c r="Z14" s="0" t="s">
        <v>4806</v>
      </c>
      <c r="AA14" s="0" t="s">
        <v>4807</v>
      </c>
      <c r="AB14" s="0" t="s">
        <v>4805</v>
      </c>
      <c r="AC14" s="0" t="s">
        <v>62</v>
      </c>
      <c r="AD14" s="0" t="s">
        <v>62</v>
      </c>
      <c r="AE14" s="0" t="s">
        <v>62</v>
      </c>
      <c r="AF14" s="0" t="s">
        <v>4830</v>
      </c>
      <c r="AG14" s="0" t="s">
        <v>4831</v>
      </c>
      <c r="AH14" s="0" t="s">
        <v>4830</v>
      </c>
      <c r="AI14" s="0" t="s">
        <v>4831</v>
      </c>
      <c r="AJ14" s="0" t="s">
        <v>4830</v>
      </c>
      <c r="AK14" s="0" t="s">
        <v>4831</v>
      </c>
      <c r="AL14" s="0" t="s">
        <v>4804</v>
      </c>
    </row>
    <row customHeight="1" ht="11.25">
      <c r="A15" s="0" t="s">
        <v>22</v>
      </c>
      <c r="B15" s="0" t="s">
        <v>48</v>
      </c>
      <c r="C15" s="0" t="s">
        <v>50</v>
      </c>
      <c r="D15" s="0" t="s">
        <v>22</v>
      </c>
      <c r="E15" s="0" t="s">
        <v>4827</v>
      </c>
      <c r="F15" s="0" t="s">
        <v>1299</v>
      </c>
      <c r="G15" s="0" t="s">
        <v>99</v>
      </c>
      <c r="H15" s="0" t="s">
        <v>1300</v>
      </c>
      <c r="I15" s="0" t="s">
        <v>1301</v>
      </c>
      <c r="J15" s="0" t="s">
        <v>1302</v>
      </c>
      <c r="K15" s="0" t="s">
        <v>1303</v>
      </c>
      <c r="L15" s="0" t="s">
        <v>4828</v>
      </c>
      <c r="M15" s="0" t="s">
        <v>4829</v>
      </c>
      <c r="N15" s="0" t="s">
        <v>210</v>
      </c>
      <c r="O15" s="0" t="s">
        <v>99</v>
      </c>
      <c r="P15" s="0" t="s">
        <v>1300</v>
      </c>
      <c r="Q15" s="0" t="s">
        <v>1301</v>
      </c>
      <c r="R15" s="0" t="s">
        <v>1302</v>
      </c>
      <c r="S15" s="0" t="s">
        <v>1303</v>
      </c>
      <c r="T15" s="0" t="s">
        <v>4795</v>
      </c>
      <c r="U15" s="0" t="s">
        <v>4796</v>
      </c>
      <c r="V15" s="0" t="s">
        <v>4797</v>
      </c>
      <c r="W15" s="0" t="s">
        <v>4798</v>
      </c>
      <c r="X15" s="0" t="s">
        <v>4799</v>
      </c>
      <c r="Y15" s="0" t="s">
        <v>4796</v>
      </c>
      <c r="Z15" s="0" t="s">
        <v>4800</v>
      </c>
      <c r="AA15" s="0" t="s">
        <v>4801</v>
      </c>
      <c r="AB15" s="0" t="s">
        <v>4797</v>
      </c>
      <c r="AC15" s="0" t="s">
        <v>62</v>
      </c>
      <c r="AD15" s="0" t="s">
        <v>62</v>
      </c>
      <c r="AE15" s="0" t="s">
        <v>62</v>
      </c>
      <c r="AF15" s="0" t="s">
        <v>4830</v>
      </c>
      <c r="AG15" s="0" t="s">
        <v>4831</v>
      </c>
      <c r="AH15" s="0" t="s">
        <v>4830</v>
      </c>
      <c r="AI15" s="0" t="s">
        <v>4831</v>
      </c>
      <c r="AJ15" s="0" t="s">
        <v>4830</v>
      </c>
      <c r="AK15" s="0" t="s">
        <v>4831</v>
      </c>
      <c r="AL15" s="0" t="s">
        <v>4804</v>
      </c>
    </row>
    <row customHeight="1" ht="11.25">
      <c r="A16" s="0" t="s">
        <v>22</v>
      </c>
      <c r="B16" s="0" t="s">
        <v>48</v>
      </c>
      <c r="C16" s="0" t="s">
        <v>50</v>
      </c>
      <c r="D16" s="0" t="s">
        <v>22</v>
      </c>
      <c r="E16" s="0" t="s">
        <v>4832</v>
      </c>
      <c r="F16" s="0" t="s">
        <v>1299</v>
      </c>
      <c r="G16" s="0" t="s">
        <v>99</v>
      </c>
      <c r="H16" s="0" t="s">
        <v>1300</v>
      </c>
      <c r="I16" s="0" t="s">
        <v>1301</v>
      </c>
      <c r="J16" s="0" t="s">
        <v>1302</v>
      </c>
      <c r="K16" s="0" t="s">
        <v>1303</v>
      </c>
      <c r="L16" s="0" t="s">
        <v>4833</v>
      </c>
      <c r="M16" s="0" t="s">
        <v>4834</v>
      </c>
      <c r="N16" s="0" t="s">
        <v>210</v>
      </c>
      <c r="O16" s="0" t="s">
        <v>99</v>
      </c>
      <c r="P16" s="0" t="s">
        <v>1300</v>
      </c>
      <c r="Q16" s="0" t="s">
        <v>1301</v>
      </c>
      <c r="R16" s="0" t="s">
        <v>1302</v>
      </c>
      <c r="S16" s="0" t="s">
        <v>1303</v>
      </c>
      <c r="T16" s="0" t="s">
        <v>4795</v>
      </c>
      <c r="U16" s="0" t="s">
        <v>4796</v>
      </c>
      <c r="V16" s="0" t="s">
        <v>4797</v>
      </c>
      <c r="W16" s="0" t="s">
        <v>4798</v>
      </c>
      <c r="X16" s="0" t="s">
        <v>4799</v>
      </c>
      <c r="Y16" s="0" t="s">
        <v>4796</v>
      </c>
      <c r="Z16" s="0" t="s">
        <v>4800</v>
      </c>
      <c r="AA16" s="0" t="s">
        <v>4801</v>
      </c>
      <c r="AB16" s="0" t="s">
        <v>4797</v>
      </c>
      <c r="AC16" s="0" t="s">
        <v>62</v>
      </c>
      <c r="AD16" s="0" t="s">
        <v>62</v>
      </c>
      <c r="AE16" s="0" t="s">
        <v>62</v>
      </c>
      <c r="AF16" s="0" t="s">
        <v>4835</v>
      </c>
      <c r="AG16" s="0" t="s">
        <v>4836</v>
      </c>
      <c r="AH16" s="0" t="s">
        <v>4835</v>
      </c>
      <c r="AI16" s="0" t="s">
        <v>4836</v>
      </c>
      <c r="AJ16" s="0" t="s">
        <v>4835</v>
      </c>
      <c r="AK16" s="0" t="s">
        <v>4836</v>
      </c>
      <c r="AL16" s="0" t="s">
        <v>4804</v>
      </c>
    </row>
    <row customHeight="1" ht="11.25">
      <c r="A17" s="0" t="s">
        <v>22</v>
      </c>
      <c r="B17" s="0" t="s">
        <v>48</v>
      </c>
      <c r="C17" s="0" t="s">
        <v>50</v>
      </c>
      <c r="D17" s="0" t="s">
        <v>22</v>
      </c>
      <c r="E17" s="0" t="s">
        <v>4832</v>
      </c>
      <c r="F17" s="0" t="s">
        <v>1299</v>
      </c>
      <c r="G17" s="0" t="s">
        <v>99</v>
      </c>
      <c r="H17" s="0" t="s">
        <v>1300</v>
      </c>
      <c r="I17" s="0" t="s">
        <v>1301</v>
      </c>
      <c r="J17" s="0" t="s">
        <v>1302</v>
      </c>
      <c r="K17" s="0" t="s">
        <v>1303</v>
      </c>
      <c r="L17" s="0" t="s">
        <v>4833</v>
      </c>
      <c r="M17" s="0" t="s">
        <v>4834</v>
      </c>
      <c r="N17" s="0" t="s">
        <v>210</v>
      </c>
      <c r="O17" s="0" t="s">
        <v>99</v>
      </c>
      <c r="P17" s="0" t="s">
        <v>1300</v>
      </c>
      <c r="Q17" s="0" t="s">
        <v>1301</v>
      </c>
      <c r="R17" s="0" t="s">
        <v>1302</v>
      </c>
      <c r="S17" s="0" t="s">
        <v>1303</v>
      </c>
      <c r="T17" s="0" t="s">
        <v>4795</v>
      </c>
      <c r="U17" s="0" t="s">
        <v>4796</v>
      </c>
      <c r="V17" s="0" t="s">
        <v>4805</v>
      </c>
      <c r="W17" s="0" t="s">
        <v>4798</v>
      </c>
      <c r="X17" s="0" t="s">
        <v>4799</v>
      </c>
      <c r="Y17" s="0" t="s">
        <v>4796</v>
      </c>
      <c r="Z17" s="0" t="s">
        <v>4806</v>
      </c>
      <c r="AA17" s="0" t="s">
        <v>4807</v>
      </c>
      <c r="AB17" s="0" t="s">
        <v>4805</v>
      </c>
      <c r="AC17" s="0" t="s">
        <v>62</v>
      </c>
      <c r="AD17" s="0" t="s">
        <v>62</v>
      </c>
      <c r="AE17" s="0" t="s">
        <v>62</v>
      </c>
      <c r="AF17" s="0" t="s">
        <v>4835</v>
      </c>
      <c r="AG17" s="0" t="s">
        <v>4836</v>
      </c>
      <c r="AH17" s="0" t="s">
        <v>4835</v>
      </c>
      <c r="AI17" s="0" t="s">
        <v>4836</v>
      </c>
      <c r="AJ17" s="0" t="s">
        <v>4835</v>
      </c>
      <c r="AK17" s="0" t="s">
        <v>4836</v>
      </c>
      <c r="AL17" s="0" t="s">
        <v>4804</v>
      </c>
    </row>
    <row customHeight="1" ht="11.25">
      <c r="A18" s="0" t="s">
        <v>22</v>
      </c>
      <c r="B18" s="0" t="s">
        <v>48</v>
      </c>
      <c r="C18" s="0" t="s">
        <v>50</v>
      </c>
      <c r="D18" s="0" t="s">
        <v>22</v>
      </c>
      <c r="E18" s="0" t="s">
        <v>4837</v>
      </c>
      <c r="F18" s="0" t="s">
        <v>1299</v>
      </c>
      <c r="G18" s="0" t="s">
        <v>99</v>
      </c>
      <c r="H18" s="0" t="s">
        <v>1300</v>
      </c>
      <c r="I18" s="0" t="s">
        <v>1301</v>
      </c>
      <c r="J18" s="0" t="s">
        <v>1302</v>
      </c>
      <c r="K18" s="0" t="s">
        <v>1303</v>
      </c>
      <c r="L18" s="0" t="s">
        <v>4833</v>
      </c>
      <c r="M18" s="0" t="s">
        <v>2426</v>
      </c>
      <c r="N18" s="0" t="s">
        <v>210</v>
      </c>
      <c r="O18" s="0" t="s">
        <v>99</v>
      </c>
      <c r="P18" s="0" t="s">
        <v>1300</v>
      </c>
      <c r="Q18" s="0" t="s">
        <v>1301</v>
      </c>
      <c r="R18" s="0" t="s">
        <v>1302</v>
      </c>
      <c r="S18" s="0" t="s">
        <v>1303</v>
      </c>
      <c r="T18" s="0" t="s">
        <v>4795</v>
      </c>
      <c r="U18" s="0" t="s">
        <v>4796</v>
      </c>
      <c r="V18" s="0" t="s">
        <v>4797</v>
      </c>
      <c r="W18" s="0" t="s">
        <v>4798</v>
      </c>
      <c r="X18" s="0" t="s">
        <v>4799</v>
      </c>
      <c r="Y18" s="0" t="s">
        <v>4796</v>
      </c>
      <c r="Z18" s="0" t="s">
        <v>4800</v>
      </c>
      <c r="AA18" s="0" t="s">
        <v>4801</v>
      </c>
      <c r="AB18" s="0" t="s">
        <v>4797</v>
      </c>
      <c r="AC18" s="0" t="s">
        <v>62</v>
      </c>
      <c r="AD18" s="0" t="s">
        <v>62</v>
      </c>
      <c r="AE18" s="0" t="s">
        <v>62</v>
      </c>
      <c r="AF18" s="0" t="s">
        <v>4838</v>
      </c>
      <c r="AG18" s="0" t="s">
        <v>4839</v>
      </c>
      <c r="AH18" s="0" t="s">
        <v>4838</v>
      </c>
      <c r="AI18" s="0" t="s">
        <v>4839</v>
      </c>
      <c r="AJ18" s="0" t="s">
        <v>4838</v>
      </c>
      <c r="AK18" s="0" t="s">
        <v>4839</v>
      </c>
      <c r="AL18" s="0" t="s">
        <v>4804</v>
      </c>
    </row>
    <row customHeight="1" ht="11.25">
      <c r="A19" s="0" t="s">
        <v>22</v>
      </c>
      <c r="B19" s="0" t="s">
        <v>48</v>
      </c>
      <c r="C19" s="0" t="s">
        <v>50</v>
      </c>
      <c r="D19" s="0" t="s">
        <v>22</v>
      </c>
      <c r="E19" s="0" t="s">
        <v>4837</v>
      </c>
      <c r="F19" s="0" t="s">
        <v>1299</v>
      </c>
      <c r="G19" s="0" t="s">
        <v>99</v>
      </c>
      <c r="H19" s="0" t="s">
        <v>1300</v>
      </c>
      <c r="I19" s="0" t="s">
        <v>1301</v>
      </c>
      <c r="J19" s="0" t="s">
        <v>1302</v>
      </c>
      <c r="K19" s="0" t="s">
        <v>1303</v>
      </c>
      <c r="L19" s="0" t="s">
        <v>4833</v>
      </c>
      <c r="M19" s="0" t="s">
        <v>2426</v>
      </c>
      <c r="N19" s="0" t="s">
        <v>210</v>
      </c>
      <c r="O19" s="0" t="s">
        <v>99</v>
      </c>
      <c r="P19" s="0" t="s">
        <v>1300</v>
      </c>
      <c r="Q19" s="0" t="s">
        <v>1301</v>
      </c>
      <c r="R19" s="0" t="s">
        <v>1302</v>
      </c>
      <c r="S19" s="0" t="s">
        <v>1303</v>
      </c>
      <c r="T19" s="0" t="s">
        <v>4795</v>
      </c>
      <c r="U19" s="0" t="s">
        <v>4796</v>
      </c>
      <c r="V19" s="0" t="s">
        <v>4805</v>
      </c>
      <c r="W19" s="0" t="s">
        <v>4798</v>
      </c>
      <c r="X19" s="0" t="s">
        <v>4799</v>
      </c>
      <c r="Y19" s="0" t="s">
        <v>4796</v>
      </c>
      <c r="Z19" s="0" t="s">
        <v>4806</v>
      </c>
      <c r="AA19" s="0" t="s">
        <v>4807</v>
      </c>
      <c r="AB19" s="0" t="s">
        <v>4805</v>
      </c>
      <c r="AC19" s="0" t="s">
        <v>62</v>
      </c>
      <c r="AD19" s="0" t="s">
        <v>62</v>
      </c>
      <c r="AE19" s="0" t="s">
        <v>62</v>
      </c>
      <c r="AF19" s="0" t="s">
        <v>4838</v>
      </c>
      <c r="AG19" s="0" t="s">
        <v>4839</v>
      </c>
      <c r="AH19" s="0" t="s">
        <v>4838</v>
      </c>
      <c r="AI19" s="0" t="s">
        <v>4839</v>
      </c>
      <c r="AJ19" s="0" t="s">
        <v>4838</v>
      </c>
      <c r="AK19" s="0" t="s">
        <v>4839</v>
      </c>
      <c r="AL19" s="0" t="s">
        <v>4804</v>
      </c>
    </row>
    <row customHeight="1" ht="11.25">
      <c r="A20" s="0" t="s">
        <v>22</v>
      </c>
      <c r="B20" s="0" t="s">
        <v>48</v>
      </c>
      <c r="C20" s="0" t="s">
        <v>50</v>
      </c>
      <c r="D20" s="0" t="s">
        <v>22</v>
      </c>
      <c r="E20" s="0" t="s">
        <v>4840</v>
      </c>
      <c r="F20" s="0" t="s">
        <v>4841</v>
      </c>
      <c r="G20" s="0" t="s">
        <v>99</v>
      </c>
      <c r="H20" s="0" t="s">
        <v>1313</v>
      </c>
      <c r="I20" s="0" t="s">
        <v>1314</v>
      </c>
      <c r="J20" s="0" t="s">
        <v>4842</v>
      </c>
      <c r="K20" s="0" t="s">
        <v>4843</v>
      </c>
      <c r="L20" s="0" t="s">
        <v>4842</v>
      </c>
      <c r="M20" s="0" t="s">
        <v>1355</v>
      </c>
      <c r="N20" s="0" t="s">
        <v>210</v>
      </c>
      <c r="O20" s="0" t="s">
        <v>99</v>
      </c>
      <c r="P20" s="0" t="s">
        <v>1313</v>
      </c>
      <c r="Q20" s="0" t="s">
        <v>1314</v>
      </c>
      <c r="R20" s="0" t="s">
        <v>4842</v>
      </c>
      <c r="S20" s="0" t="s">
        <v>4843</v>
      </c>
      <c r="T20" s="0" t="s">
        <v>4795</v>
      </c>
      <c r="U20" s="0" t="s">
        <v>4796</v>
      </c>
      <c r="V20" s="0" t="s">
        <v>4844</v>
      </c>
      <c r="W20" s="0" t="s">
        <v>4798</v>
      </c>
      <c r="X20" s="0" t="s">
        <v>4799</v>
      </c>
      <c r="Y20" s="0" t="s">
        <v>4796</v>
      </c>
      <c r="Z20" s="0" t="s">
        <v>4845</v>
      </c>
      <c r="AA20" s="0" t="s">
        <v>4846</v>
      </c>
      <c r="AB20" s="0" t="s">
        <v>4844</v>
      </c>
      <c r="AC20" s="0" t="s">
        <v>19</v>
      </c>
      <c r="AD20" s="0" t="s">
        <v>62</v>
      </c>
      <c r="AE20" s="0" t="s">
        <v>62</v>
      </c>
      <c r="AF20" s="0" t="s">
        <v>22</v>
      </c>
      <c r="AG20" s="0" t="s">
        <v>22</v>
      </c>
      <c r="AH20" s="0" t="s">
        <v>4847</v>
      </c>
      <c r="AI20" s="0" t="s">
        <v>4847</v>
      </c>
      <c r="AJ20" s="0" t="s">
        <v>4847</v>
      </c>
      <c r="AK20" s="0" t="s">
        <v>4847</v>
      </c>
      <c r="AL20" s="0" t="s">
        <v>22</v>
      </c>
    </row>
    <row customHeight="1" ht="11.25">
      <c r="A21" s="0" t="s">
        <v>22</v>
      </c>
      <c r="B21" s="0" t="s">
        <v>48</v>
      </c>
      <c r="C21" s="0" t="s">
        <v>50</v>
      </c>
      <c r="D21" s="0" t="s">
        <v>22</v>
      </c>
      <c r="E21" s="0" t="s">
        <v>4840</v>
      </c>
      <c r="F21" s="0" t="s">
        <v>4841</v>
      </c>
      <c r="G21" s="0" t="s">
        <v>99</v>
      </c>
      <c r="H21" s="0" t="s">
        <v>1313</v>
      </c>
      <c r="I21" s="0" t="s">
        <v>1314</v>
      </c>
      <c r="J21" s="0" t="s">
        <v>4842</v>
      </c>
      <c r="K21" s="0" t="s">
        <v>4843</v>
      </c>
      <c r="L21" s="0" t="s">
        <v>4842</v>
      </c>
      <c r="M21" s="0" t="s">
        <v>1355</v>
      </c>
      <c r="N21" s="0" t="s">
        <v>210</v>
      </c>
      <c r="O21" s="0" t="s">
        <v>99</v>
      </c>
      <c r="P21" s="0" t="s">
        <v>1313</v>
      </c>
      <c r="Q21" s="0" t="s">
        <v>1314</v>
      </c>
      <c r="R21" s="0" t="s">
        <v>4842</v>
      </c>
      <c r="S21" s="0" t="s">
        <v>4843</v>
      </c>
      <c r="T21" s="0" t="s">
        <v>4795</v>
      </c>
      <c r="U21" s="0" t="s">
        <v>4796</v>
      </c>
      <c r="V21" s="0" t="s">
        <v>4844</v>
      </c>
      <c r="W21" s="0" t="s">
        <v>4798</v>
      </c>
      <c r="X21" s="0" t="s">
        <v>4799</v>
      </c>
      <c r="Y21" s="0" t="s">
        <v>4796</v>
      </c>
      <c r="Z21" s="0" t="s">
        <v>4845</v>
      </c>
      <c r="AA21" s="0" t="s">
        <v>4846</v>
      </c>
      <c r="AB21" s="0" t="s">
        <v>4844</v>
      </c>
      <c r="AC21" s="0" t="s">
        <v>19</v>
      </c>
      <c r="AD21" s="0" t="s">
        <v>62</v>
      </c>
      <c r="AE21" s="0" t="s">
        <v>62</v>
      </c>
      <c r="AF21" s="0" t="s">
        <v>22</v>
      </c>
      <c r="AG21" s="0" t="s">
        <v>22</v>
      </c>
      <c r="AH21" s="0" t="s">
        <v>4847</v>
      </c>
      <c r="AI21" s="0" t="s">
        <v>4847</v>
      </c>
      <c r="AJ21" s="0" t="s">
        <v>4847</v>
      </c>
      <c r="AK21" s="0" t="s">
        <v>4847</v>
      </c>
      <c r="AL21" s="0" t="s">
        <v>22</v>
      </c>
    </row>
    <row customHeight="1" ht="11.25">
      <c r="A22" s="0" t="s">
        <v>22</v>
      </c>
      <c r="B22" s="0" t="s">
        <v>48</v>
      </c>
      <c r="C22" s="0" t="s">
        <v>50</v>
      </c>
      <c r="D22" s="0" t="s">
        <v>22</v>
      </c>
      <c r="E22" s="0" t="s">
        <v>4848</v>
      </c>
      <c r="F22" s="0" t="s">
        <v>4841</v>
      </c>
      <c r="G22" s="0" t="s">
        <v>99</v>
      </c>
      <c r="H22" s="0" t="s">
        <v>1313</v>
      </c>
      <c r="I22" s="0" t="s">
        <v>1314</v>
      </c>
      <c r="J22" s="0" t="s">
        <v>4849</v>
      </c>
      <c r="K22" s="0" t="s">
        <v>4850</v>
      </c>
      <c r="L22" s="0" t="s">
        <v>4849</v>
      </c>
      <c r="M22" s="0" t="s">
        <v>1355</v>
      </c>
      <c r="N22" s="0" t="s">
        <v>210</v>
      </c>
      <c r="O22" s="0" t="s">
        <v>99</v>
      </c>
      <c r="P22" s="0" t="s">
        <v>1313</v>
      </c>
      <c r="Q22" s="0" t="s">
        <v>1314</v>
      </c>
      <c r="R22" s="0" t="s">
        <v>4849</v>
      </c>
      <c r="S22" s="0" t="s">
        <v>4850</v>
      </c>
      <c r="T22" s="0" t="s">
        <v>4795</v>
      </c>
      <c r="U22" s="0" t="s">
        <v>4796</v>
      </c>
      <c r="V22" s="0" t="s">
        <v>4851</v>
      </c>
      <c r="W22" s="0" t="s">
        <v>4798</v>
      </c>
      <c r="X22" s="0" t="s">
        <v>4799</v>
      </c>
      <c r="Y22" s="0" t="s">
        <v>4796</v>
      </c>
      <c r="Z22" s="0" t="s">
        <v>4852</v>
      </c>
      <c r="AA22" s="0" t="s">
        <v>4846</v>
      </c>
      <c r="AB22" s="0" t="s">
        <v>4851</v>
      </c>
      <c r="AC22" s="0" t="s">
        <v>19</v>
      </c>
      <c r="AD22" s="0" t="s">
        <v>62</v>
      </c>
      <c r="AE22" s="0" t="s">
        <v>62</v>
      </c>
      <c r="AF22" s="0" t="s">
        <v>22</v>
      </c>
      <c r="AG22" s="0" t="s">
        <v>22</v>
      </c>
      <c r="AH22" s="0" t="s">
        <v>4853</v>
      </c>
      <c r="AI22" s="0" t="s">
        <v>4853</v>
      </c>
      <c r="AJ22" s="0" t="s">
        <v>4853</v>
      </c>
      <c r="AK22" s="0" t="s">
        <v>4853</v>
      </c>
      <c r="AL22" s="0" t="s">
        <v>22</v>
      </c>
    </row>
    <row customHeight="1" ht="11.25">
      <c r="A23" s="0" t="s">
        <v>22</v>
      </c>
      <c r="B23" s="0" t="s">
        <v>48</v>
      </c>
      <c r="C23" s="0" t="s">
        <v>50</v>
      </c>
      <c r="D23" s="0" t="s">
        <v>22</v>
      </c>
      <c r="E23" s="0" t="s">
        <v>4848</v>
      </c>
      <c r="F23" s="0" t="s">
        <v>4841</v>
      </c>
      <c r="G23" s="0" t="s">
        <v>99</v>
      </c>
      <c r="H23" s="0" t="s">
        <v>1313</v>
      </c>
      <c r="I23" s="0" t="s">
        <v>1314</v>
      </c>
      <c r="J23" s="0" t="s">
        <v>4849</v>
      </c>
      <c r="K23" s="0" t="s">
        <v>4850</v>
      </c>
      <c r="L23" s="0" t="s">
        <v>4849</v>
      </c>
      <c r="M23" s="0" t="s">
        <v>1355</v>
      </c>
      <c r="N23" s="0" t="s">
        <v>210</v>
      </c>
      <c r="O23" s="0" t="s">
        <v>99</v>
      </c>
      <c r="P23" s="0" t="s">
        <v>1313</v>
      </c>
      <c r="Q23" s="0" t="s">
        <v>1314</v>
      </c>
      <c r="R23" s="0" t="s">
        <v>4849</v>
      </c>
      <c r="S23" s="0" t="s">
        <v>4850</v>
      </c>
      <c r="T23" s="0" t="s">
        <v>4795</v>
      </c>
      <c r="U23" s="0" t="s">
        <v>4796</v>
      </c>
      <c r="V23" s="0" t="s">
        <v>4851</v>
      </c>
      <c r="W23" s="0" t="s">
        <v>4798</v>
      </c>
      <c r="X23" s="0" t="s">
        <v>4799</v>
      </c>
      <c r="Y23" s="0" t="s">
        <v>4796</v>
      </c>
      <c r="Z23" s="0" t="s">
        <v>4852</v>
      </c>
      <c r="AA23" s="0" t="s">
        <v>4846</v>
      </c>
      <c r="AB23" s="0" t="s">
        <v>4851</v>
      </c>
      <c r="AC23" s="0" t="s">
        <v>19</v>
      </c>
      <c r="AD23" s="0" t="s">
        <v>62</v>
      </c>
      <c r="AE23" s="0" t="s">
        <v>62</v>
      </c>
      <c r="AF23" s="0" t="s">
        <v>22</v>
      </c>
      <c r="AG23" s="0" t="s">
        <v>22</v>
      </c>
      <c r="AH23" s="0" t="s">
        <v>4853</v>
      </c>
      <c r="AI23" s="0" t="s">
        <v>4853</v>
      </c>
      <c r="AJ23" s="0" t="s">
        <v>4853</v>
      </c>
      <c r="AK23" s="0" t="s">
        <v>4853</v>
      </c>
      <c r="AL23" s="0" t="s">
        <v>22</v>
      </c>
    </row>
    <row customHeight="1" ht="11.25">
      <c r="A24" s="0" t="s">
        <v>22</v>
      </c>
      <c r="B24" s="0" t="s">
        <v>48</v>
      </c>
      <c r="C24" s="0" t="s">
        <v>50</v>
      </c>
      <c r="D24" s="0" t="s">
        <v>22</v>
      </c>
      <c r="E24" s="0" t="s">
        <v>4854</v>
      </c>
      <c r="F24" s="0" t="s">
        <v>1299</v>
      </c>
      <c r="G24" s="0" t="s">
        <v>99</v>
      </c>
      <c r="H24" s="0" t="s">
        <v>1313</v>
      </c>
      <c r="I24" s="0" t="s">
        <v>1314</v>
      </c>
      <c r="J24" s="0" t="s">
        <v>1315</v>
      </c>
      <c r="K24" s="0" t="s">
        <v>1316</v>
      </c>
      <c r="L24" s="0" t="s">
        <v>4855</v>
      </c>
      <c r="M24" s="0" t="s">
        <v>1355</v>
      </c>
      <c r="N24" s="0" t="s">
        <v>210</v>
      </c>
      <c r="O24" s="0" t="s">
        <v>99</v>
      </c>
      <c r="P24" s="0" t="s">
        <v>1313</v>
      </c>
      <c r="Q24" s="0" t="s">
        <v>1314</v>
      </c>
      <c r="R24" s="0" t="s">
        <v>1315</v>
      </c>
      <c r="S24" s="0" t="s">
        <v>1316</v>
      </c>
      <c r="T24" s="0" t="s">
        <v>4795</v>
      </c>
      <c r="U24" s="0" t="s">
        <v>4796</v>
      </c>
      <c r="V24" s="0" t="s">
        <v>4856</v>
      </c>
      <c r="W24" s="0" t="s">
        <v>4798</v>
      </c>
      <c r="X24" s="0" t="s">
        <v>4799</v>
      </c>
      <c r="Y24" s="0" t="s">
        <v>4796</v>
      </c>
      <c r="Z24" s="0" t="s">
        <v>4857</v>
      </c>
      <c r="AA24" s="0" t="s">
        <v>4801</v>
      </c>
      <c r="AB24" s="0" t="s">
        <v>4856</v>
      </c>
      <c r="AC24" s="0" t="s">
        <v>62</v>
      </c>
      <c r="AD24" s="0" t="s">
        <v>62</v>
      </c>
      <c r="AE24" s="0" t="s">
        <v>62</v>
      </c>
      <c r="AF24" s="0" t="s">
        <v>4858</v>
      </c>
      <c r="AG24" s="0" t="s">
        <v>4859</v>
      </c>
      <c r="AH24" s="0" t="s">
        <v>4858</v>
      </c>
      <c r="AI24" s="0" t="s">
        <v>4859</v>
      </c>
      <c r="AJ24" s="0" t="s">
        <v>4858</v>
      </c>
      <c r="AK24" s="0" t="s">
        <v>4859</v>
      </c>
      <c r="AL24" s="0" t="s">
        <v>4804</v>
      </c>
    </row>
    <row customHeight="1" ht="11.25">
      <c r="A25" s="0" t="s">
        <v>22</v>
      </c>
      <c r="B25" s="0" t="s">
        <v>48</v>
      </c>
      <c r="C25" s="0" t="s">
        <v>50</v>
      </c>
      <c r="D25" s="0" t="s">
        <v>22</v>
      </c>
      <c r="E25" s="0" t="s">
        <v>4854</v>
      </c>
      <c r="F25" s="0" t="s">
        <v>1299</v>
      </c>
      <c r="G25" s="0" t="s">
        <v>99</v>
      </c>
      <c r="H25" s="0" t="s">
        <v>1313</v>
      </c>
      <c r="I25" s="0" t="s">
        <v>1314</v>
      </c>
      <c r="J25" s="0" t="s">
        <v>1315</v>
      </c>
      <c r="K25" s="0" t="s">
        <v>1316</v>
      </c>
      <c r="L25" s="0" t="s">
        <v>4855</v>
      </c>
      <c r="M25" s="0" t="s">
        <v>1355</v>
      </c>
      <c r="N25" s="0" t="s">
        <v>210</v>
      </c>
      <c r="O25" s="0" t="s">
        <v>99</v>
      </c>
      <c r="P25" s="0" t="s">
        <v>1313</v>
      </c>
      <c r="Q25" s="0" t="s">
        <v>1314</v>
      </c>
      <c r="R25" s="0" t="s">
        <v>1315</v>
      </c>
      <c r="S25" s="0" t="s">
        <v>1316</v>
      </c>
      <c r="T25" s="0" t="s">
        <v>4795</v>
      </c>
      <c r="U25" s="0" t="s">
        <v>4796</v>
      </c>
      <c r="V25" s="0" t="s">
        <v>4860</v>
      </c>
      <c r="W25" s="0" t="s">
        <v>4798</v>
      </c>
      <c r="X25" s="0" t="s">
        <v>4799</v>
      </c>
      <c r="Y25" s="0" t="s">
        <v>4796</v>
      </c>
      <c r="Z25" s="0" t="s">
        <v>4861</v>
      </c>
      <c r="AA25" s="0" t="s">
        <v>4807</v>
      </c>
      <c r="AB25" s="0" t="s">
        <v>4860</v>
      </c>
      <c r="AC25" s="0" t="s">
        <v>62</v>
      </c>
      <c r="AD25" s="0" t="s">
        <v>62</v>
      </c>
      <c r="AE25" s="0" t="s">
        <v>62</v>
      </c>
      <c r="AF25" s="0" t="s">
        <v>4858</v>
      </c>
      <c r="AG25" s="0" t="s">
        <v>4859</v>
      </c>
      <c r="AH25" s="0" t="s">
        <v>4858</v>
      </c>
      <c r="AI25" s="0" t="s">
        <v>4859</v>
      </c>
      <c r="AJ25" s="0" t="s">
        <v>4858</v>
      </c>
      <c r="AK25" s="0" t="s">
        <v>4859</v>
      </c>
      <c r="AL25" s="0" t="s">
        <v>4804</v>
      </c>
    </row>
    <row customHeight="1" ht="11.25">
      <c r="A26" s="0" t="s">
        <v>22</v>
      </c>
      <c r="B26" s="0" t="s">
        <v>48</v>
      </c>
      <c r="C26" s="0" t="s">
        <v>50</v>
      </c>
      <c r="D26" s="0" t="s">
        <v>22</v>
      </c>
      <c r="E26" s="0" t="s">
        <v>1312</v>
      </c>
      <c r="F26" s="0" t="s">
        <v>1299</v>
      </c>
      <c r="G26" s="0" t="s">
        <v>99</v>
      </c>
      <c r="H26" s="0" t="s">
        <v>1313</v>
      </c>
      <c r="I26" s="0" t="s">
        <v>1314</v>
      </c>
      <c r="J26" s="0" t="s">
        <v>1315</v>
      </c>
      <c r="K26" s="0" t="s">
        <v>1316</v>
      </c>
      <c r="L26" s="0" t="s">
        <v>1317</v>
      </c>
      <c r="M26" s="0" t="s">
        <v>210</v>
      </c>
      <c r="N26" s="0" t="s">
        <v>210</v>
      </c>
      <c r="O26" s="0" t="s">
        <v>99</v>
      </c>
      <c r="P26" s="0" t="s">
        <v>1313</v>
      </c>
      <c r="Q26" s="0" t="s">
        <v>1314</v>
      </c>
      <c r="R26" s="0" t="s">
        <v>1315</v>
      </c>
      <c r="S26" s="0" t="s">
        <v>1316</v>
      </c>
      <c r="T26" s="0" t="s">
        <v>4795</v>
      </c>
      <c r="U26" s="0" t="s">
        <v>4796</v>
      </c>
      <c r="V26" s="0" t="s">
        <v>4856</v>
      </c>
      <c r="W26" s="0" t="s">
        <v>4798</v>
      </c>
      <c r="X26" s="0" t="s">
        <v>4799</v>
      </c>
      <c r="Y26" s="0" t="s">
        <v>4796</v>
      </c>
      <c r="Z26" s="0" t="s">
        <v>4857</v>
      </c>
      <c r="AA26" s="0" t="s">
        <v>4801</v>
      </c>
      <c r="AB26" s="0" t="s">
        <v>4856</v>
      </c>
      <c r="AC26" s="0" t="s">
        <v>62</v>
      </c>
      <c r="AD26" s="0" t="s">
        <v>62</v>
      </c>
      <c r="AE26" s="0" t="s">
        <v>62</v>
      </c>
      <c r="AF26" s="0" t="s">
        <v>4862</v>
      </c>
      <c r="AG26" s="0" t="s">
        <v>4863</v>
      </c>
      <c r="AH26" s="0" t="s">
        <v>4862</v>
      </c>
      <c r="AI26" s="0" t="s">
        <v>4863</v>
      </c>
      <c r="AJ26" s="0" t="s">
        <v>4862</v>
      </c>
      <c r="AK26" s="0" t="s">
        <v>4863</v>
      </c>
      <c r="AL26" s="0" t="s">
        <v>4804</v>
      </c>
    </row>
    <row customHeight="1" ht="11.25">
      <c r="A27" s="0" t="s">
        <v>22</v>
      </c>
      <c r="B27" s="0" t="s">
        <v>48</v>
      </c>
      <c r="C27" s="0" t="s">
        <v>50</v>
      </c>
      <c r="D27" s="0" t="s">
        <v>22</v>
      </c>
      <c r="E27" s="0" t="s">
        <v>1312</v>
      </c>
      <c r="F27" s="0" t="s">
        <v>1299</v>
      </c>
      <c r="G27" s="0" t="s">
        <v>99</v>
      </c>
      <c r="H27" s="0" t="s">
        <v>1313</v>
      </c>
      <c r="I27" s="0" t="s">
        <v>1314</v>
      </c>
      <c r="J27" s="0" t="s">
        <v>1315</v>
      </c>
      <c r="K27" s="0" t="s">
        <v>1316</v>
      </c>
      <c r="L27" s="0" t="s">
        <v>1317</v>
      </c>
      <c r="M27" s="0" t="s">
        <v>210</v>
      </c>
      <c r="N27" s="0" t="s">
        <v>210</v>
      </c>
      <c r="O27" s="0" t="s">
        <v>99</v>
      </c>
      <c r="P27" s="0" t="s">
        <v>1313</v>
      </c>
      <c r="Q27" s="0" t="s">
        <v>1314</v>
      </c>
      <c r="R27" s="0" t="s">
        <v>1315</v>
      </c>
      <c r="S27" s="0" t="s">
        <v>1316</v>
      </c>
      <c r="T27" s="0" t="s">
        <v>4795</v>
      </c>
      <c r="U27" s="0" t="s">
        <v>4796</v>
      </c>
      <c r="V27" s="0" t="s">
        <v>4860</v>
      </c>
      <c r="W27" s="0" t="s">
        <v>4798</v>
      </c>
      <c r="X27" s="0" t="s">
        <v>4799</v>
      </c>
      <c r="Y27" s="0" t="s">
        <v>4796</v>
      </c>
      <c r="Z27" s="0" t="s">
        <v>4861</v>
      </c>
      <c r="AA27" s="0" t="s">
        <v>4807</v>
      </c>
      <c r="AB27" s="0" t="s">
        <v>4860</v>
      </c>
      <c r="AC27" s="0" t="s">
        <v>62</v>
      </c>
      <c r="AD27" s="0" t="s">
        <v>62</v>
      </c>
      <c r="AE27" s="0" t="s">
        <v>62</v>
      </c>
      <c r="AF27" s="0" t="s">
        <v>4862</v>
      </c>
      <c r="AG27" s="0" t="s">
        <v>4863</v>
      </c>
      <c r="AH27" s="0" t="s">
        <v>4862</v>
      </c>
      <c r="AI27" s="0" t="s">
        <v>4863</v>
      </c>
      <c r="AJ27" s="0" t="s">
        <v>4862</v>
      </c>
      <c r="AK27" s="0" t="s">
        <v>4863</v>
      </c>
      <c r="AL27" s="0" t="s">
        <v>4804</v>
      </c>
    </row>
    <row customHeight="1" ht="11.25">
      <c r="A28" s="0" t="s">
        <v>22</v>
      </c>
      <c r="B28" s="0" t="s">
        <v>48</v>
      </c>
      <c r="C28" s="0" t="s">
        <v>50</v>
      </c>
      <c r="D28" s="0" t="s">
        <v>22</v>
      </c>
      <c r="E28" s="0" t="s">
        <v>1319</v>
      </c>
      <c r="F28" s="0" t="s">
        <v>1299</v>
      </c>
      <c r="G28" s="0" t="s">
        <v>99</v>
      </c>
      <c r="H28" s="0" t="s">
        <v>1313</v>
      </c>
      <c r="I28" s="0" t="s">
        <v>1314</v>
      </c>
      <c r="J28" s="0" t="s">
        <v>1315</v>
      </c>
      <c r="K28" s="0" t="s">
        <v>1316</v>
      </c>
      <c r="L28" s="0" t="s">
        <v>1317</v>
      </c>
      <c r="M28" s="0" t="s">
        <v>102</v>
      </c>
      <c r="N28" s="0" t="s">
        <v>210</v>
      </c>
      <c r="O28" s="0" t="s">
        <v>99</v>
      </c>
      <c r="P28" s="0" t="s">
        <v>1313</v>
      </c>
      <c r="Q28" s="0" t="s">
        <v>1314</v>
      </c>
      <c r="R28" s="0" t="s">
        <v>1315</v>
      </c>
      <c r="S28" s="0" t="s">
        <v>1316</v>
      </c>
      <c r="T28" s="0" t="s">
        <v>4795</v>
      </c>
      <c r="U28" s="0" t="s">
        <v>4796</v>
      </c>
      <c r="V28" s="0" t="s">
        <v>4856</v>
      </c>
      <c r="W28" s="0" t="s">
        <v>4798</v>
      </c>
      <c r="X28" s="0" t="s">
        <v>4799</v>
      </c>
      <c r="Y28" s="0" t="s">
        <v>4796</v>
      </c>
      <c r="Z28" s="0" t="s">
        <v>4857</v>
      </c>
      <c r="AA28" s="0" t="s">
        <v>4801</v>
      </c>
      <c r="AB28" s="0" t="s">
        <v>4856</v>
      </c>
      <c r="AC28" s="0" t="s">
        <v>62</v>
      </c>
      <c r="AD28" s="0" t="s">
        <v>62</v>
      </c>
      <c r="AE28" s="0" t="s">
        <v>62</v>
      </c>
      <c r="AF28" s="0" t="s">
        <v>4862</v>
      </c>
      <c r="AG28" s="0" t="s">
        <v>4864</v>
      </c>
      <c r="AH28" s="0" t="s">
        <v>4862</v>
      </c>
      <c r="AI28" s="0" t="s">
        <v>4864</v>
      </c>
      <c r="AJ28" s="0" t="s">
        <v>4862</v>
      </c>
      <c r="AK28" s="0" t="s">
        <v>4864</v>
      </c>
      <c r="AL28" s="0" t="s">
        <v>4804</v>
      </c>
    </row>
    <row customHeight="1" ht="11.25">
      <c r="A29" s="0" t="s">
        <v>22</v>
      </c>
      <c r="B29" s="0" t="s">
        <v>48</v>
      </c>
      <c r="C29" s="0" t="s">
        <v>50</v>
      </c>
      <c r="D29" s="0" t="s">
        <v>22</v>
      </c>
      <c r="E29" s="0" t="s">
        <v>1319</v>
      </c>
      <c r="F29" s="0" t="s">
        <v>1299</v>
      </c>
      <c r="G29" s="0" t="s">
        <v>99</v>
      </c>
      <c r="H29" s="0" t="s">
        <v>1313</v>
      </c>
      <c r="I29" s="0" t="s">
        <v>1314</v>
      </c>
      <c r="J29" s="0" t="s">
        <v>1315</v>
      </c>
      <c r="K29" s="0" t="s">
        <v>1316</v>
      </c>
      <c r="L29" s="0" t="s">
        <v>1317</v>
      </c>
      <c r="M29" s="0" t="s">
        <v>102</v>
      </c>
      <c r="N29" s="0" t="s">
        <v>210</v>
      </c>
      <c r="O29" s="0" t="s">
        <v>99</v>
      </c>
      <c r="P29" s="0" t="s">
        <v>1313</v>
      </c>
      <c r="Q29" s="0" t="s">
        <v>1314</v>
      </c>
      <c r="R29" s="0" t="s">
        <v>1315</v>
      </c>
      <c r="S29" s="0" t="s">
        <v>1316</v>
      </c>
      <c r="T29" s="0" t="s">
        <v>4795</v>
      </c>
      <c r="U29" s="0" t="s">
        <v>4796</v>
      </c>
      <c r="V29" s="0" t="s">
        <v>4860</v>
      </c>
      <c r="W29" s="0" t="s">
        <v>4798</v>
      </c>
      <c r="X29" s="0" t="s">
        <v>4799</v>
      </c>
      <c r="Y29" s="0" t="s">
        <v>4796</v>
      </c>
      <c r="Z29" s="0" t="s">
        <v>4861</v>
      </c>
      <c r="AA29" s="0" t="s">
        <v>4807</v>
      </c>
      <c r="AB29" s="0" t="s">
        <v>4860</v>
      </c>
      <c r="AC29" s="0" t="s">
        <v>62</v>
      </c>
      <c r="AD29" s="0" t="s">
        <v>62</v>
      </c>
      <c r="AE29" s="0" t="s">
        <v>62</v>
      </c>
      <c r="AF29" s="0" t="s">
        <v>4862</v>
      </c>
      <c r="AG29" s="0" t="s">
        <v>4864</v>
      </c>
      <c r="AH29" s="0" t="s">
        <v>4862</v>
      </c>
      <c r="AI29" s="0" t="s">
        <v>4864</v>
      </c>
      <c r="AJ29" s="0" t="s">
        <v>4862</v>
      </c>
      <c r="AK29" s="0" t="s">
        <v>4864</v>
      </c>
      <c r="AL29" s="0" t="s">
        <v>4804</v>
      </c>
    </row>
    <row customHeight="1" ht="11.25">
      <c r="A30" s="0" t="s">
        <v>22</v>
      </c>
      <c r="B30" s="0" t="s">
        <v>48</v>
      </c>
      <c r="C30" s="0" t="s">
        <v>50</v>
      </c>
      <c r="D30" s="0" t="s">
        <v>22</v>
      </c>
      <c r="E30" s="0" t="s">
        <v>1321</v>
      </c>
      <c r="F30" s="0" t="s">
        <v>1299</v>
      </c>
      <c r="G30" s="0" t="s">
        <v>99</v>
      </c>
      <c r="H30" s="0" t="s">
        <v>1313</v>
      </c>
      <c r="I30" s="0" t="s">
        <v>1314</v>
      </c>
      <c r="J30" s="0" t="s">
        <v>1315</v>
      </c>
      <c r="K30" s="0" t="s">
        <v>1316</v>
      </c>
      <c r="L30" s="0" t="s">
        <v>1317</v>
      </c>
      <c r="M30" s="0" t="s">
        <v>90</v>
      </c>
      <c r="N30" s="0" t="s">
        <v>210</v>
      </c>
      <c r="O30" s="0" t="s">
        <v>99</v>
      </c>
      <c r="P30" s="0" t="s">
        <v>1313</v>
      </c>
      <c r="Q30" s="0" t="s">
        <v>1314</v>
      </c>
      <c r="R30" s="0" t="s">
        <v>1315</v>
      </c>
      <c r="S30" s="0" t="s">
        <v>1316</v>
      </c>
      <c r="T30" s="0" t="s">
        <v>4795</v>
      </c>
      <c r="U30" s="0" t="s">
        <v>4796</v>
      </c>
      <c r="V30" s="0" t="s">
        <v>4860</v>
      </c>
      <c r="W30" s="0" t="s">
        <v>4798</v>
      </c>
      <c r="X30" s="0" t="s">
        <v>4799</v>
      </c>
      <c r="Y30" s="0" t="s">
        <v>4796</v>
      </c>
      <c r="Z30" s="0" t="s">
        <v>4861</v>
      </c>
      <c r="AA30" s="0" t="s">
        <v>4807</v>
      </c>
      <c r="AB30" s="0" t="s">
        <v>4860</v>
      </c>
      <c r="AC30" s="0" t="s">
        <v>62</v>
      </c>
      <c r="AD30" s="0" t="s">
        <v>62</v>
      </c>
      <c r="AE30" s="0" t="s">
        <v>62</v>
      </c>
      <c r="AF30" s="0" t="s">
        <v>4862</v>
      </c>
      <c r="AG30" s="0" t="s">
        <v>4865</v>
      </c>
      <c r="AH30" s="0" t="s">
        <v>4862</v>
      </c>
      <c r="AI30" s="0" t="s">
        <v>4865</v>
      </c>
      <c r="AJ30" s="0" t="s">
        <v>4862</v>
      </c>
      <c r="AK30" s="0" t="s">
        <v>4865</v>
      </c>
      <c r="AL30" s="0" t="s">
        <v>4804</v>
      </c>
    </row>
    <row customHeight="1" ht="11.25">
      <c r="A31" s="0" t="s">
        <v>22</v>
      </c>
      <c r="B31" s="0" t="s">
        <v>48</v>
      </c>
      <c r="C31" s="0" t="s">
        <v>50</v>
      </c>
      <c r="D31" s="0" t="s">
        <v>22</v>
      </c>
      <c r="E31" s="0" t="s">
        <v>1321</v>
      </c>
      <c r="F31" s="0" t="s">
        <v>1299</v>
      </c>
      <c r="G31" s="0" t="s">
        <v>99</v>
      </c>
      <c r="H31" s="0" t="s">
        <v>1313</v>
      </c>
      <c r="I31" s="0" t="s">
        <v>1314</v>
      </c>
      <c r="J31" s="0" t="s">
        <v>1315</v>
      </c>
      <c r="K31" s="0" t="s">
        <v>1316</v>
      </c>
      <c r="L31" s="0" t="s">
        <v>1317</v>
      </c>
      <c r="M31" s="0" t="s">
        <v>90</v>
      </c>
      <c r="N31" s="0" t="s">
        <v>210</v>
      </c>
      <c r="O31" s="0" t="s">
        <v>99</v>
      </c>
      <c r="P31" s="0" t="s">
        <v>1313</v>
      </c>
      <c r="Q31" s="0" t="s">
        <v>1314</v>
      </c>
      <c r="R31" s="0" t="s">
        <v>1315</v>
      </c>
      <c r="S31" s="0" t="s">
        <v>1316</v>
      </c>
      <c r="T31" s="0" t="s">
        <v>4795</v>
      </c>
      <c r="U31" s="0" t="s">
        <v>4796</v>
      </c>
      <c r="V31" s="0" t="s">
        <v>4856</v>
      </c>
      <c r="W31" s="0" t="s">
        <v>4798</v>
      </c>
      <c r="X31" s="0" t="s">
        <v>4799</v>
      </c>
      <c r="Y31" s="0" t="s">
        <v>4796</v>
      </c>
      <c r="Z31" s="0" t="s">
        <v>4857</v>
      </c>
      <c r="AA31" s="0" t="s">
        <v>4801</v>
      </c>
      <c r="AB31" s="0" t="s">
        <v>4856</v>
      </c>
      <c r="AC31" s="0" t="s">
        <v>62</v>
      </c>
      <c r="AD31" s="0" t="s">
        <v>62</v>
      </c>
      <c r="AE31" s="0" t="s">
        <v>62</v>
      </c>
      <c r="AF31" s="0" t="s">
        <v>4862</v>
      </c>
      <c r="AG31" s="0" t="s">
        <v>4865</v>
      </c>
      <c r="AH31" s="0" t="s">
        <v>4862</v>
      </c>
      <c r="AI31" s="0" t="s">
        <v>4865</v>
      </c>
      <c r="AJ31" s="0" t="s">
        <v>4862</v>
      </c>
      <c r="AK31" s="0" t="s">
        <v>4865</v>
      </c>
      <c r="AL31" s="0" t="s">
        <v>4804</v>
      </c>
    </row>
    <row customHeight="1" ht="11.25">
      <c r="A32" s="0" t="s">
        <v>22</v>
      </c>
      <c r="B32" s="0" t="s">
        <v>48</v>
      </c>
      <c r="C32" s="0" t="s">
        <v>50</v>
      </c>
      <c r="D32" s="0" t="s">
        <v>22</v>
      </c>
      <c r="E32" s="0" t="s">
        <v>1323</v>
      </c>
      <c r="F32" s="0" t="s">
        <v>1299</v>
      </c>
      <c r="G32" s="0" t="s">
        <v>99</v>
      </c>
      <c r="H32" s="0" t="s">
        <v>1313</v>
      </c>
      <c r="I32" s="0" t="s">
        <v>1314</v>
      </c>
      <c r="J32" s="0" t="s">
        <v>1315</v>
      </c>
      <c r="K32" s="0" t="s">
        <v>1316</v>
      </c>
      <c r="L32" s="0" t="s">
        <v>1317</v>
      </c>
      <c r="M32" s="0" t="s">
        <v>91</v>
      </c>
      <c r="N32" s="0" t="s">
        <v>210</v>
      </c>
      <c r="O32" s="0" t="s">
        <v>99</v>
      </c>
      <c r="P32" s="0" t="s">
        <v>1313</v>
      </c>
      <c r="Q32" s="0" t="s">
        <v>1314</v>
      </c>
      <c r="R32" s="0" t="s">
        <v>1315</v>
      </c>
      <c r="S32" s="0" t="s">
        <v>1316</v>
      </c>
      <c r="T32" s="0" t="s">
        <v>4795</v>
      </c>
      <c r="U32" s="0" t="s">
        <v>4796</v>
      </c>
      <c r="V32" s="0" t="s">
        <v>4860</v>
      </c>
      <c r="W32" s="0" t="s">
        <v>4798</v>
      </c>
      <c r="X32" s="0" t="s">
        <v>4799</v>
      </c>
      <c r="Y32" s="0" t="s">
        <v>4796</v>
      </c>
      <c r="Z32" s="0" t="s">
        <v>4861</v>
      </c>
      <c r="AA32" s="0" t="s">
        <v>4807</v>
      </c>
      <c r="AB32" s="0" t="s">
        <v>4860</v>
      </c>
      <c r="AC32" s="0" t="s">
        <v>62</v>
      </c>
      <c r="AD32" s="0" t="s">
        <v>62</v>
      </c>
      <c r="AE32" s="0" t="s">
        <v>62</v>
      </c>
      <c r="AF32" s="0" t="s">
        <v>4862</v>
      </c>
      <c r="AG32" s="0" t="s">
        <v>4866</v>
      </c>
      <c r="AH32" s="0" t="s">
        <v>4862</v>
      </c>
      <c r="AI32" s="0" t="s">
        <v>4866</v>
      </c>
      <c r="AJ32" s="0" t="s">
        <v>4862</v>
      </c>
      <c r="AK32" s="0" t="s">
        <v>4866</v>
      </c>
      <c r="AL32" s="0" t="s">
        <v>4804</v>
      </c>
    </row>
    <row customHeight="1" ht="11.25">
      <c r="A33" s="0" t="s">
        <v>22</v>
      </c>
      <c r="B33" s="0" t="s">
        <v>48</v>
      </c>
      <c r="C33" s="0" t="s">
        <v>50</v>
      </c>
      <c r="D33" s="0" t="s">
        <v>22</v>
      </c>
      <c r="E33" s="0" t="s">
        <v>1323</v>
      </c>
      <c r="F33" s="0" t="s">
        <v>1299</v>
      </c>
      <c r="G33" s="0" t="s">
        <v>99</v>
      </c>
      <c r="H33" s="0" t="s">
        <v>1313</v>
      </c>
      <c r="I33" s="0" t="s">
        <v>1314</v>
      </c>
      <c r="J33" s="0" t="s">
        <v>1315</v>
      </c>
      <c r="K33" s="0" t="s">
        <v>1316</v>
      </c>
      <c r="L33" s="0" t="s">
        <v>1317</v>
      </c>
      <c r="M33" s="0" t="s">
        <v>91</v>
      </c>
      <c r="N33" s="0" t="s">
        <v>210</v>
      </c>
      <c r="O33" s="0" t="s">
        <v>99</v>
      </c>
      <c r="P33" s="0" t="s">
        <v>1313</v>
      </c>
      <c r="Q33" s="0" t="s">
        <v>1314</v>
      </c>
      <c r="R33" s="0" t="s">
        <v>1315</v>
      </c>
      <c r="S33" s="0" t="s">
        <v>1316</v>
      </c>
      <c r="T33" s="0" t="s">
        <v>4795</v>
      </c>
      <c r="U33" s="0" t="s">
        <v>4796</v>
      </c>
      <c r="V33" s="0" t="s">
        <v>4856</v>
      </c>
      <c r="W33" s="0" t="s">
        <v>4798</v>
      </c>
      <c r="X33" s="0" t="s">
        <v>4799</v>
      </c>
      <c r="Y33" s="0" t="s">
        <v>4796</v>
      </c>
      <c r="Z33" s="0" t="s">
        <v>4857</v>
      </c>
      <c r="AA33" s="0" t="s">
        <v>4801</v>
      </c>
      <c r="AB33" s="0" t="s">
        <v>4856</v>
      </c>
      <c r="AC33" s="0" t="s">
        <v>62</v>
      </c>
      <c r="AD33" s="0" t="s">
        <v>62</v>
      </c>
      <c r="AE33" s="0" t="s">
        <v>62</v>
      </c>
      <c r="AF33" s="0" t="s">
        <v>4862</v>
      </c>
      <c r="AG33" s="0" t="s">
        <v>4866</v>
      </c>
      <c r="AH33" s="0" t="s">
        <v>4862</v>
      </c>
      <c r="AI33" s="0" t="s">
        <v>4866</v>
      </c>
      <c r="AJ33" s="0" t="s">
        <v>4862</v>
      </c>
      <c r="AK33" s="0" t="s">
        <v>4866</v>
      </c>
      <c r="AL33" s="0" t="s">
        <v>4804</v>
      </c>
    </row>
    <row customHeight="1" ht="11.25">
      <c r="A34" s="0" t="s">
        <v>22</v>
      </c>
      <c r="B34" s="0" t="s">
        <v>48</v>
      </c>
      <c r="C34" s="0" t="s">
        <v>50</v>
      </c>
      <c r="D34" s="0" t="s">
        <v>22</v>
      </c>
      <c r="E34" s="0" t="s">
        <v>4867</v>
      </c>
      <c r="F34" s="0" t="s">
        <v>1299</v>
      </c>
      <c r="G34" s="0" t="s">
        <v>99</v>
      </c>
      <c r="H34" s="0" t="s">
        <v>1313</v>
      </c>
      <c r="I34" s="0" t="s">
        <v>1314</v>
      </c>
      <c r="J34" s="0" t="s">
        <v>4868</v>
      </c>
      <c r="K34" s="0" t="s">
        <v>4869</v>
      </c>
      <c r="L34" s="0" t="s">
        <v>4870</v>
      </c>
      <c r="M34" s="0" t="s">
        <v>154</v>
      </c>
      <c r="N34" s="0" t="s">
        <v>210</v>
      </c>
      <c r="O34" s="0" t="s">
        <v>99</v>
      </c>
      <c r="P34" s="0" t="s">
        <v>1313</v>
      </c>
      <c r="Q34" s="0" t="s">
        <v>1314</v>
      </c>
      <c r="R34" s="0" t="s">
        <v>4868</v>
      </c>
      <c r="S34" s="0" t="s">
        <v>4869</v>
      </c>
      <c r="T34" s="0" t="s">
        <v>4795</v>
      </c>
      <c r="U34" s="0" t="s">
        <v>4796</v>
      </c>
      <c r="V34" s="0" t="s">
        <v>4856</v>
      </c>
      <c r="W34" s="0" t="s">
        <v>4798</v>
      </c>
      <c r="X34" s="0" t="s">
        <v>4799</v>
      </c>
      <c r="Y34" s="0" t="s">
        <v>4796</v>
      </c>
      <c r="Z34" s="0" t="s">
        <v>4857</v>
      </c>
      <c r="AA34" s="0" t="s">
        <v>4801</v>
      </c>
      <c r="AB34" s="0" t="s">
        <v>4856</v>
      </c>
      <c r="AC34" s="0" t="s">
        <v>62</v>
      </c>
      <c r="AD34" s="0" t="s">
        <v>62</v>
      </c>
      <c r="AE34" s="0" t="s">
        <v>62</v>
      </c>
      <c r="AF34" s="0" t="s">
        <v>4871</v>
      </c>
      <c r="AG34" s="0" t="s">
        <v>4847</v>
      </c>
      <c r="AH34" s="0" t="s">
        <v>4871</v>
      </c>
      <c r="AI34" s="0" t="s">
        <v>4847</v>
      </c>
      <c r="AJ34" s="0" t="s">
        <v>4871</v>
      </c>
      <c r="AK34" s="0" t="s">
        <v>4847</v>
      </c>
      <c r="AL34" s="0" t="s">
        <v>4804</v>
      </c>
    </row>
    <row customHeight="1" ht="11.25">
      <c r="A35" s="0" t="s">
        <v>22</v>
      </c>
      <c r="B35" s="0" t="s">
        <v>48</v>
      </c>
      <c r="C35" s="0" t="s">
        <v>50</v>
      </c>
      <c r="D35" s="0" t="s">
        <v>22</v>
      </c>
      <c r="E35" s="0" t="s">
        <v>4867</v>
      </c>
      <c r="F35" s="0" t="s">
        <v>1299</v>
      </c>
      <c r="G35" s="0" t="s">
        <v>99</v>
      </c>
      <c r="H35" s="0" t="s">
        <v>1313</v>
      </c>
      <c r="I35" s="0" t="s">
        <v>1314</v>
      </c>
      <c r="J35" s="0" t="s">
        <v>4868</v>
      </c>
      <c r="K35" s="0" t="s">
        <v>4869</v>
      </c>
      <c r="L35" s="0" t="s">
        <v>4870</v>
      </c>
      <c r="M35" s="0" t="s">
        <v>154</v>
      </c>
      <c r="N35" s="0" t="s">
        <v>210</v>
      </c>
      <c r="O35" s="0" t="s">
        <v>99</v>
      </c>
      <c r="P35" s="0" t="s">
        <v>1313</v>
      </c>
      <c r="Q35" s="0" t="s">
        <v>1314</v>
      </c>
      <c r="R35" s="0" t="s">
        <v>4868</v>
      </c>
      <c r="S35" s="0" t="s">
        <v>4869</v>
      </c>
      <c r="T35" s="0" t="s">
        <v>4795</v>
      </c>
      <c r="U35" s="0" t="s">
        <v>4796</v>
      </c>
      <c r="V35" s="0" t="s">
        <v>4860</v>
      </c>
      <c r="W35" s="0" t="s">
        <v>4798</v>
      </c>
      <c r="X35" s="0" t="s">
        <v>4799</v>
      </c>
      <c r="Y35" s="0" t="s">
        <v>4796</v>
      </c>
      <c r="Z35" s="0" t="s">
        <v>4861</v>
      </c>
      <c r="AA35" s="0" t="s">
        <v>4807</v>
      </c>
      <c r="AB35" s="0" t="s">
        <v>4860</v>
      </c>
      <c r="AC35" s="0" t="s">
        <v>62</v>
      </c>
      <c r="AD35" s="0" t="s">
        <v>62</v>
      </c>
      <c r="AE35" s="0" t="s">
        <v>62</v>
      </c>
      <c r="AF35" s="0" t="s">
        <v>4871</v>
      </c>
      <c r="AG35" s="0" t="s">
        <v>4847</v>
      </c>
      <c r="AH35" s="0" t="s">
        <v>4871</v>
      </c>
      <c r="AI35" s="0" t="s">
        <v>4847</v>
      </c>
      <c r="AJ35" s="0" t="s">
        <v>4871</v>
      </c>
      <c r="AK35" s="0" t="s">
        <v>4847</v>
      </c>
      <c r="AL35" s="0" t="s">
        <v>4804</v>
      </c>
    </row>
    <row customHeight="1" ht="11.25">
      <c r="A36" s="0" t="s">
        <v>22</v>
      </c>
      <c r="B36" s="0" t="s">
        <v>48</v>
      </c>
      <c r="C36" s="0" t="s">
        <v>50</v>
      </c>
      <c r="D36" s="0" t="s">
        <v>22</v>
      </c>
      <c r="E36" s="0" t="s">
        <v>4872</v>
      </c>
      <c r="F36" s="0" t="s">
        <v>1299</v>
      </c>
      <c r="G36" s="0" t="s">
        <v>99</v>
      </c>
      <c r="H36" s="0" t="s">
        <v>1313</v>
      </c>
      <c r="I36" s="0" t="s">
        <v>1314</v>
      </c>
      <c r="J36" s="0" t="s">
        <v>4868</v>
      </c>
      <c r="K36" s="0" t="s">
        <v>4869</v>
      </c>
      <c r="L36" s="0" t="s">
        <v>4870</v>
      </c>
      <c r="M36" s="0" t="s">
        <v>164</v>
      </c>
      <c r="N36" s="0" t="s">
        <v>210</v>
      </c>
      <c r="O36" s="0" t="s">
        <v>99</v>
      </c>
      <c r="P36" s="0" t="s">
        <v>1313</v>
      </c>
      <c r="Q36" s="0" t="s">
        <v>1314</v>
      </c>
      <c r="R36" s="0" t="s">
        <v>4868</v>
      </c>
      <c r="S36" s="0" t="s">
        <v>4869</v>
      </c>
      <c r="T36" s="0" t="s">
        <v>4795</v>
      </c>
      <c r="U36" s="0" t="s">
        <v>4796</v>
      </c>
      <c r="V36" s="0" t="s">
        <v>4860</v>
      </c>
      <c r="W36" s="0" t="s">
        <v>4798</v>
      </c>
      <c r="X36" s="0" t="s">
        <v>4799</v>
      </c>
      <c r="Y36" s="0" t="s">
        <v>4796</v>
      </c>
      <c r="Z36" s="0" t="s">
        <v>4861</v>
      </c>
      <c r="AA36" s="0" t="s">
        <v>4807</v>
      </c>
      <c r="AB36" s="0" t="s">
        <v>4860</v>
      </c>
      <c r="AC36" s="0" t="s">
        <v>62</v>
      </c>
      <c r="AD36" s="0" t="s">
        <v>62</v>
      </c>
      <c r="AE36" s="0" t="s">
        <v>62</v>
      </c>
      <c r="AF36" s="0" t="s">
        <v>4871</v>
      </c>
      <c r="AG36" s="0" t="s">
        <v>4873</v>
      </c>
      <c r="AH36" s="0" t="s">
        <v>4871</v>
      </c>
      <c r="AI36" s="0" t="s">
        <v>4873</v>
      </c>
      <c r="AJ36" s="0" t="s">
        <v>4871</v>
      </c>
      <c r="AK36" s="0" t="s">
        <v>4873</v>
      </c>
      <c r="AL36" s="0" t="s">
        <v>4804</v>
      </c>
    </row>
    <row customHeight="1" ht="11.25">
      <c r="A37" s="0" t="s">
        <v>22</v>
      </c>
      <c r="B37" s="0" t="s">
        <v>48</v>
      </c>
      <c r="C37" s="0" t="s">
        <v>50</v>
      </c>
      <c r="D37" s="0" t="s">
        <v>22</v>
      </c>
      <c r="E37" s="0" t="s">
        <v>4872</v>
      </c>
      <c r="F37" s="0" t="s">
        <v>1299</v>
      </c>
      <c r="G37" s="0" t="s">
        <v>99</v>
      </c>
      <c r="H37" s="0" t="s">
        <v>1313</v>
      </c>
      <c r="I37" s="0" t="s">
        <v>1314</v>
      </c>
      <c r="J37" s="0" t="s">
        <v>4868</v>
      </c>
      <c r="K37" s="0" t="s">
        <v>4869</v>
      </c>
      <c r="L37" s="0" t="s">
        <v>4870</v>
      </c>
      <c r="M37" s="0" t="s">
        <v>164</v>
      </c>
      <c r="N37" s="0" t="s">
        <v>210</v>
      </c>
      <c r="O37" s="0" t="s">
        <v>99</v>
      </c>
      <c r="P37" s="0" t="s">
        <v>1313</v>
      </c>
      <c r="Q37" s="0" t="s">
        <v>1314</v>
      </c>
      <c r="R37" s="0" t="s">
        <v>4868</v>
      </c>
      <c r="S37" s="0" t="s">
        <v>4869</v>
      </c>
      <c r="T37" s="0" t="s">
        <v>4795</v>
      </c>
      <c r="U37" s="0" t="s">
        <v>4796</v>
      </c>
      <c r="V37" s="0" t="s">
        <v>4856</v>
      </c>
      <c r="W37" s="0" t="s">
        <v>4798</v>
      </c>
      <c r="X37" s="0" t="s">
        <v>4799</v>
      </c>
      <c r="Y37" s="0" t="s">
        <v>4796</v>
      </c>
      <c r="Z37" s="0" t="s">
        <v>4857</v>
      </c>
      <c r="AA37" s="0" t="s">
        <v>4801</v>
      </c>
      <c r="AB37" s="0" t="s">
        <v>4856</v>
      </c>
      <c r="AC37" s="0" t="s">
        <v>62</v>
      </c>
      <c r="AD37" s="0" t="s">
        <v>62</v>
      </c>
      <c r="AE37" s="0" t="s">
        <v>62</v>
      </c>
      <c r="AF37" s="0" t="s">
        <v>4871</v>
      </c>
      <c r="AG37" s="0" t="s">
        <v>4873</v>
      </c>
      <c r="AH37" s="0" t="s">
        <v>4871</v>
      </c>
      <c r="AI37" s="0" t="s">
        <v>4873</v>
      </c>
      <c r="AJ37" s="0" t="s">
        <v>4871</v>
      </c>
      <c r="AK37" s="0" t="s">
        <v>4873</v>
      </c>
      <c r="AL37" s="0" t="s">
        <v>4804</v>
      </c>
    </row>
    <row customHeight="1" ht="11.25">
      <c r="A38" s="0" t="s">
        <v>22</v>
      </c>
      <c r="B38" s="0" t="s">
        <v>48</v>
      </c>
      <c r="C38" s="0" t="s">
        <v>50</v>
      </c>
      <c r="D38" s="0" t="s">
        <v>22</v>
      </c>
      <c r="E38" s="0" t="s">
        <v>4874</v>
      </c>
      <c r="F38" s="0" t="s">
        <v>1299</v>
      </c>
      <c r="G38" s="0" t="s">
        <v>99</v>
      </c>
      <c r="H38" s="0" t="s">
        <v>1326</v>
      </c>
      <c r="I38" s="0" t="s">
        <v>1327</v>
      </c>
      <c r="J38" s="0" t="s">
        <v>4875</v>
      </c>
      <c r="K38" s="0" t="s">
        <v>4876</v>
      </c>
      <c r="L38" s="0" t="s">
        <v>1378</v>
      </c>
      <c r="M38" s="0" t="s">
        <v>2058</v>
      </c>
      <c r="N38" s="0" t="s">
        <v>210</v>
      </c>
      <c r="O38" s="0" t="s">
        <v>99</v>
      </c>
      <c r="P38" s="0" t="s">
        <v>1326</v>
      </c>
      <c r="Q38" s="0" t="s">
        <v>1327</v>
      </c>
      <c r="R38" s="0" t="s">
        <v>4875</v>
      </c>
      <c r="S38" s="0" t="s">
        <v>4876</v>
      </c>
      <c r="T38" s="0" t="s">
        <v>4795</v>
      </c>
      <c r="U38" s="0" t="s">
        <v>4796</v>
      </c>
      <c r="V38" s="0" t="s">
        <v>4856</v>
      </c>
      <c r="W38" s="0" t="s">
        <v>4798</v>
      </c>
      <c r="X38" s="0" t="s">
        <v>4799</v>
      </c>
      <c r="Y38" s="0" t="s">
        <v>4796</v>
      </c>
      <c r="Z38" s="0" t="s">
        <v>4857</v>
      </c>
      <c r="AA38" s="0" t="s">
        <v>4801</v>
      </c>
      <c r="AB38" s="0" t="s">
        <v>4856</v>
      </c>
      <c r="AC38" s="0" t="s">
        <v>62</v>
      </c>
      <c r="AD38" s="0" t="s">
        <v>62</v>
      </c>
      <c r="AE38" s="0" t="s">
        <v>62</v>
      </c>
      <c r="AF38" s="0" t="s">
        <v>4871</v>
      </c>
      <c r="AG38" s="0" t="s">
        <v>4877</v>
      </c>
      <c r="AH38" s="0" t="s">
        <v>4871</v>
      </c>
      <c r="AI38" s="0" t="s">
        <v>4877</v>
      </c>
      <c r="AJ38" s="0" t="s">
        <v>4871</v>
      </c>
      <c r="AK38" s="0" t="s">
        <v>4877</v>
      </c>
      <c r="AL38" s="0" t="s">
        <v>4804</v>
      </c>
    </row>
    <row customHeight="1" ht="11.25">
      <c r="A39" s="0" t="s">
        <v>22</v>
      </c>
      <c r="B39" s="0" t="s">
        <v>48</v>
      </c>
      <c r="C39" s="0" t="s">
        <v>50</v>
      </c>
      <c r="D39" s="0" t="s">
        <v>22</v>
      </c>
      <c r="E39" s="0" t="s">
        <v>4874</v>
      </c>
      <c r="F39" s="0" t="s">
        <v>1299</v>
      </c>
      <c r="G39" s="0" t="s">
        <v>99</v>
      </c>
      <c r="H39" s="0" t="s">
        <v>1326</v>
      </c>
      <c r="I39" s="0" t="s">
        <v>1327</v>
      </c>
      <c r="J39" s="0" t="s">
        <v>4875</v>
      </c>
      <c r="K39" s="0" t="s">
        <v>4876</v>
      </c>
      <c r="L39" s="0" t="s">
        <v>1378</v>
      </c>
      <c r="M39" s="0" t="s">
        <v>2058</v>
      </c>
      <c r="N39" s="0" t="s">
        <v>210</v>
      </c>
      <c r="O39" s="0" t="s">
        <v>99</v>
      </c>
      <c r="P39" s="0" t="s">
        <v>1326</v>
      </c>
      <c r="Q39" s="0" t="s">
        <v>1327</v>
      </c>
      <c r="R39" s="0" t="s">
        <v>4875</v>
      </c>
      <c r="S39" s="0" t="s">
        <v>4876</v>
      </c>
      <c r="T39" s="0" t="s">
        <v>4795</v>
      </c>
      <c r="U39" s="0" t="s">
        <v>4796</v>
      </c>
      <c r="V39" s="0" t="s">
        <v>4860</v>
      </c>
      <c r="W39" s="0" t="s">
        <v>4798</v>
      </c>
      <c r="X39" s="0" t="s">
        <v>4799</v>
      </c>
      <c r="Y39" s="0" t="s">
        <v>4796</v>
      </c>
      <c r="Z39" s="0" t="s">
        <v>4861</v>
      </c>
      <c r="AA39" s="0" t="s">
        <v>4807</v>
      </c>
      <c r="AB39" s="0" t="s">
        <v>4860</v>
      </c>
      <c r="AC39" s="0" t="s">
        <v>62</v>
      </c>
      <c r="AD39" s="0" t="s">
        <v>62</v>
      </c>
      <c r="AE39" s="0" t="s">
        <v>62</v>
      </c>
      <c r="AF39" s="0" t="s">
        <v>4871</v>
      </c>
      <c r="AG39" s="0" t="s">
        <v>4877</v>
      </c>
      <c r="AH39" s="0" t="s">
        <v>4871</v>
      </c>
      <c r="AI39" s="0" t="s">
        <v>4877</v>
      </c>
      <c r="AJ39" s="0" t="s">
        <v>4871</v>
      </c>
      <c r="AK39" s="0" t="s">
        <v>4877</v>
      </c>
      <c r="AL39" s="0" t="s">
        <v>4804</v>
      </c>
    </row>
    <row customHeight="1" ht="11.25">
      <c r="A40" s="0" t="s">
        <v>22</v>
      </c>
      <c r="B40" s="0" t="s">
        <v>48</v>
      </c>
      <c r="C40" s="0" t="s">
        <v>50</v>
      </c>
      <c r="D40" s="0" t="s">
        <v>22</v>
      </c>
      <c r="E40" s="0" t="s">
        <v>1325</v>
      </c>
      <c r="F40" s="0" t="s">
        <v>1299</v>
      </c>
      <c r="G40" s="0" t="s">
        <v>99</v>
      </c>
      <c r="H40" s="0" t="s">
        <v>1326</v>
      </c>
      <c r="I40" s="0" t="s">
        <v>1327</v>
      </c>
      <c r="J40" s="0" t="s">
        <v>1328</v>
      </c>
      <c r="K40" s="0" t="s">
        <v>1329</v>
      </c>
      <c r="L40" s="0" t="s">
        <v>1330</v>
      </c>
      <c r="M40" s="0" t="s">
        <v>1331</v>
      </c>
      <c r="N40" s="0" t="s">
        <v>210</v>
      </c>
      <c r="O40" s="0" t="s">
        <v>99</v>
      </c>
      <c r="P40" s="0" t="s">
        <v>1326</v>
      </c>
      <c r="Q40" s="0" t="s">
        <v>1327</v>
      </c>
      <c r="R40" s="0" t="s">
        <v>1328</v>
      </c>
      <c r="S40" s="0" t="s">
        <v>1329</v>
      </c>
      <c r="T40" s="0" t="s">
        <v>4795</v>
      </c>
      <c r="U40" s="0" t="s">
        <v>4796</v>
      </c>
      <c r="V40" s="0" t="s">
        <v>4856</v>
      </c>
      <c r="W40" s="0" t="s">
        <v>4798</v>
      </c>
      <c r="X40" s="0" t="s">
        <v>4799</v>
      </c>
      <c r="Y40" s="0" t="s">
        <v>4796</v>
      </c>
      <c r="Z40" s="0" t="s">
        <v>4857</v>
      </c>
      <c r="AA40" s="0" t="s">
        <v>4801</v>
      </c>
      <c r="AB40" s="0" t="s">
        <v>4856</v>
      </c>
      <c r="AC40" s="0" t="s">
        <v>62</v>
      </c>
      <c r="AD40" s="0" t="s">
        <v>62</v>
      </c>
      <c r="AE40" s="0" t="s">
        <v>62</v>
      </c>
      <c r="AF40" s="0" t="s">
        <v>4862</v>
      </c>
      <c r="AG40" s="0" t="s">
        <v>4878</v>
      </c>
      <c r="AH40" s="0" t="s">
        <v>4862</v>
      </c>
      <c r="AI40" s="0" t="s">
        <v>4878</v>
      </c>
      <c r="AJ40" s="0" t="s">
        <v>4862</v>
      </c>
      <c r="AK40" s="0" t="s">
        <v>4878</v>
      </c>
      <c r="AL40" s="0" t="s">
        <v>4804</v>
      </c>
    </row>
    <row customHeight="1" ht="11.25">
      <c r="A41" s="0" t="s">
        <v>22</v>
      </c>
      <c r="B41" s="0" t="s">
        <v>48</v>
      </c>
      <c r="C41" s="0" t="s">
        <v>50</v>
      </c>
      <c r="D41" s="0" t="s">
        <v>22</v>
      </c>
      <c r="E41" s="0" t="s">
        <v>1325</v>
      </c>
      <c r="F41" s="0" t="s">
        <v>1299</v>
      </c>
      <c r="G41" s="0" t="s">
        <v>99</v>
      </c>
      <c r="H41" s="0" t="s">
        <v>1326</v>
      </c>
      <c r="I41" s="0" t="s">
        <v>1327</v>
      </c>
      <c r="J41" s="0" t="s">
        <v>1328</v>
      </c>
      <c r="K41" s="0" t="s">
        <v>1329</v>
      </c>
      <c r="L41" s="0" t="s">
        <v>1330</v>
      </c>
      <c r="M41" s="0" t="s">
        <v>1331</v>
      </c>
      <c r="N41" s="0" t="s">
        <v>210</v>
      </c>
      <c r="O41" s="0" t="s">
        <v>99</v>
      </c>
      <c r="P41" s="0" t="s">
        <v>1326</v>
      </c>
      <c r="Q41" s="0" t="s">
        <v>1327</v>
      </c>
      <c r="R41" s="0" t="s">
        <v>1328</v>
      </c>
      <c r="S41" s="0" t="s">
        <v>1329</v>
      </c>
      <c r="T41" s="0" t="s">
        <v>4795</v>
      </c>
      <c r="U41" s="0" t="s">
        <v>4796</v>
      </c>
      <c r="V41" s="0" t="s">
        <v>4860</v>
      </c>
      <c r="W41" s="0" t="s">
        <v>4798</v>
      </c>
      <c r="X41" s="0" t="s">
        <v>4799</v>
      </c>
      <c r="Y41" s="0" t="s">
        <v>4796</v>
      </c>
      <c r="Z41" s="0" t="s">
        <v>4861</v>
      </c>
      <c r="AA41" s="0" t="s">
        <v>4807</v>
      </c>
      <c r="AB41" s="0" t="s">
        <v>4860</v>
      </c>
      <c r="AC41" s="0" t="s">
        <v>62</v>
      </c>
      <c r="AD41" s="0" t="s">
        <v>62</v>
      </c>
      <c r="AE41" s="0" t="s">
        <v>62</v>
      </c>
      <c r="AF41" s="0" t="s">
        <v>4862</v>
      </c>
      <c r="AG41" s="0" t="s">
        <v>4878</v>
      </c>
      <c r="AH41" s="0" t="s">
        <v>4862</v>
      </c>
      <c r="AI41" s="0" t="s">
        <v>4878</v>
      </c>
      <c r="AJ41" s="0" t="s">
        <v>4862</v>
      </c>
      <c r="AK41" s="0" t="s">
        <v>4878</v>
      </c>
      <c r="AL41" s="0" t="s">
        <v>4804</v>
      </c>
    </row>
    <row customHeight="1" ht="11.25">
      <c r="A42" s="0" t="s">
        <v>22</v>
      </c>
      <c r="B42" s="0" t="s">
        <v>48</v>
      </c>
      <c r="C42" s="0" t="s">
        <v>50</v>
      </c>
      <c r="D42" s="0" t="s">
        <v>22</v>
      </c>
      <c r="E42" s="0" t="s">
        <v>4879</v>
      </c>
      <c r="F42" s="0" t="s">
        <v>1299</v>
      </c>
      <c r="G42" s="0" t="s">
        <v>99</v>
      </c>
      <c r="H42" s="0" t="s">
        <v>1326</v>
      </c>
      <c r="I42" s="0" t="s">
        <v>1327</v>
      </c>
      <c r="J42" s="0" t="s">
        <v>1328</v>
      </c>
      <c r="K42" s="0" t="s">
        <v>1329</v>
      </c>
      <c r="L42" s="0" t="s">
        <v>1330</v>
      </c>
      <c r="M42" s="0" t="s">
        <v>4880</v>
      </c>
      <c r="N42" s="0" t="s">
        <v>210</v>
      </c>
      <c r="O42" s="0" t="s">
        <v>99</v>
      </c>
      <c r="P42" s="0" t="s">
        <v>1326</v>
      </c>
      <c r="Q42" s="0" t="s">
        <v>1327</v>
      </c>
      <c r="R42" s="0" t="s">
        <v>1328</v>
      </c>
      <c r="S42" s="0" t="s">
        <v>1329</v>
      </c>
      <c r="T42" s="0" t="s">
        <v>4795</v>
      </c>
      <c r="U42" s="0" t="s">
        <v>4796</v>
      </c>
      <c r="V42" s="0" t="s">
        <v>4856</v>
      </c>
      <c r="W42" s="0" t="s">
        <v>4798</v>
      </c>
      <c r="X42" s="0" t="s">
        <v>4799</v>
      </c>
      <c r="Y42" s="0" t="s">
        <v>4796</v>
      </c>
      <c r="Z42" s="0" t="s">
        <v>4857</v>
      </c>
      <c r="AA42" s="0" t="s">
        <v>4801</v>
      </c>
      <c r="AB42" s="0" t="s">
        <v>4856</v>
      </c>
      <c r="AC42" s="0" t="s">
        <v>62</v>
      </c>
      <c r="AD42" s="0" t="s">
        <v>62</v>
      </c>
      <c r="AE42" s="0" t="s">
        <v>62</v>
      </c>
      <c r="AF42" s="0" t="s">
        <v>4881</v>
      </c>
      <c r="AG42" s="0" t="s">
        <v>4882</v>
      </c>
      <c r="AH42" s="0" t="s">
        <v>4881</v>
      </c>
      <c r="AI42" s="0" t="s">
        <v>4882</v>
      </c>
      <c r="AJ42" s="0" t="s">
        <v>4881</v>
      </c>
      <c r="AK42" s="0" t="s">
        <v>4882</v>
      </c>
      <c r="AL42" s="0" t="s">
        <v>4804</v>
      </c>
    </row>
    <row customHeight="1" ht="11.25">
      <c r="A43" s="0" t="s">
        <v>22</v>
      </c>
      <c r="B43" s="0" t="s">
        <v>48</v>
      </c>
      <c r="C43" s="0" t="s">
        <v>50</v>
      </c>
      <c r="D43" s="0" t="s">
        <v>22</v>
      </c>
      <c r="E43" s="0" t="s">
        <v>4879</v>
      </c>
      <c r="F43" s="0" t="s">
        <v>1299</v>
      </c>
      <c r="G43" s="0" t="s">
        <v>99</v>
      </c>
      <c r="H43" s="0" t="s">
        <v>1326</v>
      </c>
      <c r="I43" s="0" t="s">
        <v>1327</v>
      </c>
      <c r="J43" s="0" t="s">
        <v>1328</v>
      </c>
      <c r="K43" s="0" t="s">
        <v>1329</v>
      </c>
      <c r="L43" s="0" t="s">
        <v>1330</v>
      </c>
      <c r="M43" s="0" t="s">
        <v>4880</v>
      </c>
      <c r="N43" s="0" t="s">
        <v>210</v>
      </c>
      <c r="O43" s="0" t="s">
        <v>99</v>
      </c>
      <c r="P43" s="0" t="s">
        <v>1326</v>
      </c>
      <c r="Q43" s="0" t="s">
        <v>1327</v>
      </c>
      <c r="R43" s="0" t="s">
        <v>1328</v>
      </c>
      <c r="S43" s="0" t="s">
        <v>1329</v>
      </c>
      <c r="T43" s="0" t="s">
        <v>4795</v>
      </c>
      <c r="U43" s="0" t="s">
        <v>4796</v>
      </c>
      <c r="V43" s="0" t="s">
        <v>4860</v>
      </c>
      <c r="W43" s="0" t="s">
        <v>4798</v>
      </c>
      <c r="X43" s="0" t="s">
        <v>4799</v>
      </c>
      <c r="Y43" s="0" t="s">
        <v>4796</v>
      </c>
      <c r="Z43" s="0" t="s">
        <v>4861</v>
      </c>
      <c r="AA43" s="0" t="s">
        <v>4807</v>
      </c>
      <c r="AB43" s="0" t="s">
        <v>4860</v>
      </c>
      <c r="AC43" s="0" t="s">
        <v>62</v>
      </c>
      <c r="AD43" s="0" t="s">
        <v>62</v>
      </c>
      <c r="AE43" s="0" t="s">
        <v>62</v>
      </c>
      <c r="AF43" s="0" t="s">
        <v>4881</v>
      </c>
      <c r="AG43" s="0" t="s">
        <v>4882</v>
      </c>
      <c r="AH43" s="0" t="s">
        <v>4881</v>
      </c>
      <c r="AI43" s="0" t="s">
        <v>4882</v>
      </c>
      <c r="AJ43" s="0" t="s">
        <v>4881</v>
      </c>
      <c r="AK43" s="0" t="s">
        <v>4882</v>
      </c>
      <c r="AL43" s="0" t="s">
        <v>4804</v>
      </c>
    </row>
    <row customHeight="1" ht="11.25">
      <c r="A44" s="0" t="s">
        <v>22</v>
      </c>
      <c r="B44" s="0" t="s">
        <v>48</v>
      </c>
      <c r="C44" s="0" t="s">
        <v>50</v>
      </c>
      <c r="D44" s="0" t="s">
        <v>22</v>
      </c>
      <c r="E44" s="0" t="s">
        <v>4883</v>
      </c>
      <c r="F44" s="0" t="s">
        <v>1299</v>
      </c>
      <c r="G44" s="0" t="s">
        <v>99</v>
      </c>
      <c r="H44" s="0" t="s">
        <v>3874</v>
      </c>
      <c r="I44" s="0" t="s">
        <v>3875</v>
      </c>
      <c r="J44" s="0" t="s">
        <v>4884</v>
      </c>
      <c r="K44" s="0" t="s">
        <v>4885</v>
      </c>
      <c r="L44" s="0" t="s">
        <v>4886</v>
      </c>
      <c r="M44" s="0" t="s">
        <v>4887</v>
      </c>
      <c r="N44" s="0" t="s">
        <v>210</v>
      </c>
      <c r="O44" s="0" t="s">
        <v>99</v>
      </c>
      <c r="P44" s="0" t="s">
        <v>3874</v>
      </c>
      <c r="Q44" s="0" t="s">
        <v>3875</v>
      </c>
      <c r="R44" s="0" t="s">
        <v>4884</v>
      </c>
      <c r="S44" s="0" t="s">
        <v>4885</v>
      </c>
      <c r="T44" s="0" t="s">
        <v>4795</v>
      </c>
      <c r="U44" s="0" t="s">
        <v>4796</v>
      </c>
      <c r="V44" s="0" t="s">
        <v>4856</v>
      </c>
      <c r="W44" s="0" t="s">
        <v>4798</v>
      </c>
      <c r="X44" s="0" t="s">
        <v>4799</v>
      </c>
      <c r="Y44" s="0" t="s">
        <v>4796</v>
      </c>
      <c r="Z44" s="0" t="s">
        <v>4857</v>
      </c>
      <c r="AA44" s="0" t="s">
        <v>4801</v>
      </c>
      <c r="AB44" s="0" t="s">
        <v>4856</v>
      </c>
      <c r="AC44" s="0" t="s">
        <v>62</v>
      </c>
      <c r="AD44" s="0" t="s">
        <v>62</v>
      </c>
      <c r="AE44" s="0" t="s">
        <v>62</v>
      </c>
      <c r="AF44" s="0" t="s">
        <v>4888</v>
      </c>
      <c r="AG44" s="0" t="s">
        <v>4889</v>
      </c>
      <c r="AH44" s="0" t="s">
        <v>4888</v>
      </c>
      <c r="AI44" s="0" t="s">
        <v>4889</v>
      </c>
      <c r="AJ44" s="0" t="s">
        <v>4888</v>
      </c>
      <c r="AK44" s="0" t="s">
        <v>4889</v>
      </c>
      <c r="AL44" s="0" t="s">
        <v>4804</v>
      </c>
    </row>
    <row customHeight="1" ht="11.25">
      <c r="A45" s="0" t="s">
        <v>22</v>
      </c>
      <c r="B45" s="0" t="s">
        <v>48</v>
      </c>
      <c r="C45" s="0" t="s">
        <v>50</v>
      </c>
      <c r="D45" s="0" t="s">
        <v>22</v>
      </c>
      <c r="E45" s="0" t="s">
        <v>4883</v>
      </c>
      <c r="F45" s="0" t="s">
        <v>1299</v>
      </c>
      <c r="G45" s="0" t="s">
        <v>99</v>
      </c>
      <c r="H45" s="0" t="s">
        <v>3874</v>
      </c>
      <c r="I45" s="0" t="s">
        <v>3875</v>
      </c>
      <c r="J45" s="0" t="s">
        <v>4884</v>
      </c>
      <c r="K45" s="0" t="s">
        <v>4885</v>
      </c>
      <c r="L45" s="0" t="s">
        <v>4886</v>
      </c>
      <c r="M45" s="0" t="s">
        <v>4887</v>
      </c>
      <c r="N45" s="0" t="s">
        <v>210</v>
      </c>
      <c r="O45" s="0" t="s">
        <v>99</v>
      </c>
      <c r="P45" s="0" t="s">
        <v>3874</v>
      </c>
      <c r="Q45" s="0" t="s">
        <v>3875</v>
      </c>
      <c r="R45" s="0" t="s">
        <v>4884</v>
      </c>
      <c r="S45" s="0" t="s">
        <v>4885</v>
      </c>
      <c r="T45" s="0" t="s">
        <v>4795</v>
      </c>
      <c r="U45" s="0" t="s">
        <v>4796</v>
      </c>
      <c r="V45" s="0" t="s">
        <v>4860</v>
      </c>
      <c r="W45" s="0" t="s">
        <v>4798</v>
      </c>
      <c r="X45" s="0" t="s">
        <v>4799</v>
      </c>
      <c r="Y45" s="0" t="s">
        <v>4796</v>
      </c>
      <c r="Z45" s="0" t="s">
        <v>4861</v>
      </c>
      <c r="AA45" s="0" t="s">
        <v>4807</v>
      </c>
      <c r="AB45" s="0" t="s">
        <v>4860</v>
      </c>
      <c r="AC45" s="0" t="s">
        <v>62</v>
      </c>
      <c r="AD45" s="0" t="s">
        <v>62</v>
      </c>
      <c r="AE45" s="0" t="s">
        <v>62</v>
      </c>
      <c r="AF45" s="0" t="s">
        <v>4888</v>
      </c>
      <c r="AG45" s="0" t="s">
        <v>4889</v>
      </c>
      <c r="AH45" s="0" t="s">
        <v>4888</v>
      </c>
      <c r="AI45" s="0" t="s">
        <v>4889</v>
      </c>
      <c r="AJ45" s="0" t="s">
        <v>4888</v>
      </c>
      <c r="AK45" s="0" t="s">
        <v>4889</v>
      </c>
      <c r="AL45" s="0" t="s">
        <v>4804</v>
      </c>
    </row>
    <row customHeight="1" ht="11.25">
      <c r="A46" s="0" t="s">
        <v>22</v>
      </c>
      <c r="B46" s="0" t="s">
        <v>48</v>
      </c>
      <c r="C46" s="0" t="s">
        <v>50</v>
      </c>
      <c r="D46" s="0" t="s">
        <v>22</v>
      </c>
      <c r="E46" s="0" t="s">
        <v>4890</v>
      </c>
      <c r="F46" s="0" t="s">
        <v>4841</v>
      </c>
      <c r="G46" s="0" t="s">
        <v>99</v>
      </c>
      <c r="H46" s="0" t="s">
        <v>3874</v>
      </c>
      <c r="I46" s="0" t="s">
        <v>3875</v>
      </c>
      <c r="J46" s="0" t="s">
        <v>4884</v>
      </c>
      <c r="K46" s="0" t="s">
        <v>4885</v>
      </c>
      <c r="L46" s="0" t="s">
        <v>4884</v>
      </c>
      <c r="M46" s="0" t="s">
        <v>1355</v>
      </c>
      <c r="N46" s="0" t="s">
        <v>210</v>
      </c>
      <c r="O46" s="0" t="s">
        <v>99</v>
      </c>
      <c r="P46" s="0" t="s">
        <v>3874</v>
      </c>
      <c r="Q46" s="0" t="s">
        <v>3875</v>
      </c>
      <c r="R46" s="0" t="s">
        <v>4884</v>
      </c>
      <c r="S46" s="0" t="s">
        <v>4885</v>
      </c>
      <c r="T46" s="0" t="s">
        <v>4795</v>
      </c>
      <c r="U46" s="0" t="s">
        <v>4796</v>
      </c>
      <c r="V46" s="0" t="s">
        <v>4851</v>
      </c>
      <c r="W46" s="0" t="s">
        <v>4798</v>
      </c>
      <c r="X46" s="0" t="s">
        <v>4799</v>
      </c>
      <c r="Y46" s="0" t="s">
        <v>4796</v>
      </c>
      <c r="Z46" s="0" t="s">
        <v>4852</v>
      </c>
      <c r="AA46" s="0" t="s">
        <v>4846</v>
      </c>
      <c r="AB46" s="0" t="s">
        <v>4851</v>
      </c>
      <c r="AC46" s="0" t="s">
        <v>19</v>
      </c>
      <c r="AD46" s="0" t="s">
        <v>62</v>
      </c>
      <c r="AE46" s="0" t="s">
        <v>62</v>
      </c>
      <c r="AF46" s="0" t="s">
        <v>22</v>
      </c>
      <c r="AG46" s="0" t="s">
        <v>22</v>
      </c>
      <c r="AH46" s="0" t="s">
        <v>4891</v>
      </c>
      <c r="AI46" s="0" t="s">
        <v>4891</v>
      </c>
      <c r="AJ46" s="0" t="s">
        <v>4891</v>
      </c>
      <c r="AK46" s="0" t="s">
        <v>4891</v>
      </c>
      <c r="AL46" s="0" t="s">
        <v>22</v>
      </c>
    </row>
    <row customHeight="1" ht="11.25">
      <c r="A47" s="0" t="s">
        <v>22</v>
      </c>
      <c r="B47" s="0" t="s">
        <v>48</v>
      </c>
      <c r="C47" s="0" t="s">
        <v>50</v>
      </c>
      <c r="D47" s="0" t="s">
        <v>22</v>
      </c>
      <c r="E47" s="0" t="s">
        <v>4890</v>
      </c>
      <c r="F47" s="0" t="s">
        <v>4841</v>
      </c>
      <c r="G47" s="0" t="s">
        <v>99</v>
      </c>
      <c r="H47" s="0" t="s">
        <v>3874</v>
      </c>
      <c r="I47" s="0" t="s">
        <v>3875</v>
      </c>
      <c r="J47" s="0" t="s">
        <v>4884</v>
      </c>
      <c r="K47" s="0" t="s">
        <v>4885</v>
      </c>
      <c r="L47" s="0" t="s">
        <v>4884</v>
      </c>
      <c r="M47" s="0" t="s">
        <v>1355</v>
      </c>
      <c r="N47" s="0" t="s">
        <v>210</v>
      </c>
      <c r="O47" s="0" t="s">
        <v>99</v>
      </c>
      <c r="P47" s="0" t="s">
        <v>3874</v>
      </c>
      <c r="Q47" s="0" t="s">
        <v>3875</v>
      </c>
      <c r="R47" s="0" t="s">
        <v>4884</v>
      </c>
      <c r="S47" s="0" t="s">
        <v>4885</v>
      </c>
      <c r="T47" s="0" t="s">
        <v>4795</v>
      </c>
      <c r="U47" s="0" t="s">
        <v>4796</v>
      </c>
      <c r="V47" s="0" t="s">
        <v>4851</v>
      </c>
      <c r="W47" s="0" t="s">
        <v>4798</v>
      </c>
      <c r="X47" s="0" t="s">
        <v>4799</v>
      </c>
      <c r="Y47" s="0" t="s">
        <v>4796</v>
      </c>
      <c r="Z47" s="0" t="s">
        <v>4852</v>
      </c>
      <c r="AA47" s="0" t="s">
        <v>4846</v>
      </c>
      <c r="AB47" s="0" t="s">
        <v>4851</v>
      </c>
      <c r="AC47" s="0" t="s">
        <v>19</v>
      </c>
      <c r="AD47" s="0" t="s">
        <v>62</v>
      </c>
      <c r="AE47" s="0" t="s">
        <v>62</v>
      </c>
      <c r="AF47" s="0" t="s">
        <v>22</v>
      </c>
      <c r="AG47" s="0" t="s">
        <v>22</v>
      </c>
      <c r="AH47" s="0" t="s">
        <v>4891</v>
      </c>
      <c r="AI47" s="0" t="s">
        <v>4891</v>
      </c>
      <c r="AJ47" s="0" t="s">
        <v>4891</v>
      </c>
      <c r="AK47" s="0" t="s">
        <v>4891</v>
      </c>
      <c r="AL47" s="0" t="s">
        <v>22</v>
      </c>
    </row>
    <row customHeight="1" ht="11.25">
      <c r="A48" s="0" t="s">
        <v>22</v>
      </c>
      <c r="B48" s="0" t="s">
        <v>48</v>
      </c>
      <c r="C48" s="0" t="s">
        <v>50</v>
      </c>
      <c r="D48" s="0" t="s">
        <v>22</v>
      </c>
      <c r="E48" s="0" t="s">
        <v>4892</v>
      </c>
      <c r="F48" s="0" t="s">
        <v>1299</v>
      </c>
      <c r="G48" s="0" t="s">
        <v>99</v>
      </c>
      <c r="H48" s="0" t="s">
        <v>3874</v>
      </c>
      <c r="I48" s="0" t="s">
        <v>3875</v>
      </c>
      <c r="J48" s="0" t="s">
        <v>4893</v>
      </c>
      <c r="K48" s="0" t="s">
        <v>4894</v>
      </c>
      <c r="L48" s="0" t="s">
        <v>1378</v>
      </c>
      <c r="M48" s="0" t="s">
        <v>1305</v>
      </c>
      <c r="N48" s="0" t="s">
        <v>210</v>
      </c>
      <c r="O48" s="0" t="s">
        <v>99</v>
      </c>
      <c r="P48" s="0" t="s">
        <v>3874</v>
      </c>
      <c r="Q48" s="0" t="s">
        <v>3875</v>
      </c>
      <c r="R48" s="0" t="s">
        <v>4893</v>
      </c>
      <c r="S48" s="0" t="s">
        <v>4894</v>
      </c>
      <c r="T48" s="0" t="s">
        <v>4795</v>
      </c>
      <c r="U48" s="0" t="s">
        <v>4796</v>
      </c>
      <c r="V48" s="0" t="s">
        <v>4860</v>
      </c>
      <c r="W48" s="0" t="s">
        <v>4798</v>
      </c>
      <c r="X48" s="0" t="s">
        <v>4799</v>
      </c>
      <c r="Y48" s="0" t="s">
        <v>4796</v>
      </c>
      <c r="Z48" s="0" t="s">
        <v>4861</v>
      </c>
      <c r="AA48" s="0" t="s">
        <v>4807</v>
      </c>
      <c r="AB48" s="0" t="s">
        <v>4860</v>
      </c>
      <c r="AC48" s="0" t="s">
        <v>62</v>
      </c>
      <c r="AD48" s="0" t="s">
        <v>62</v>
      </c>
      <c r="AE48" s="0" t="s">
        <v>62</v>
      </c>
      <c r="AF48" s="0" t="s">
        <v>4895</v>
      </c>
      <c r="AG48" s="0" t="s">
        <v>4896</v>
      </c>
      <c r="AH48" s="0" t="s">
        <v>4895</v>
      </c>
      <c r="AI48" s="0" t="s">
        <v>4896</v>
      </c>
      <c r="AJ48" s="0" t="s">
        <v>4895</v>
      </c>
      <c r="AK48" s="0" t="s">
        <v>4896</v>
      </c>
      <c r="AL48" s="0" t="s">
        <v>4804</v>
      </c>
    </row>
    <row customHeight="1" ht="11.25">
      <c r="A49" s="0" t="s">
        <v>22</v>
      </c>
      <c r="B49" s="0" t="s">
        <v>48</v>
      </c>
      <c r="C49" s="0" t="s">
        <v>50</v>
      </c>
      <c r="D49" s="0" t="s">
        <v>22</v>
      </c>
      <c r="E49" s="0" t="s">
        <v>4892</v>
      </c>
      <c r="F49" s="0" t="s">
        <v>1299</v>
      </c>
      <c r="G49" s="0" t="s">
        <v>99</v>
      </c>
      <c r="H49" s="0" t="s">
        <v>3874</v>
      </c>
      <c r="I49" s="0" t="s">
        <v>3875</v>
      </c>
      <c r="J49" s="0" t="s">
        <v>4893</v>
      </c>
      <c r="K49" s="0" t="s">
        <v>4894</v>
      </c>
      <c r="L49" s="0" t="s">
        <v>1378</v>
      </c>
      <c r="M49" s="0" t="s">
        <v>1305</v>
      </c>
      <c r="N49" s="0" t="s">
        <v>210</v>
      </c>
      <c r="O49" s="0" t="s">
        <v>99</v>
      </c>
      <c r="P49" s="0" t="s">
        <v>3874</v>
      </c>
      <c r="Q49" s="0" t="s">
        <v>3875</v>
      </c>
      <c r="R49" s="0" t="s">
        <v>4893</v>
      </c>
      <c r="S49" s="0" t="s">
        <v>4894</v>
      </c>
      <c r="T49" s="0" t="s">
        <v>4795</v>
      </c>
      <c r="U49" s="0" t="s">
        <v>4796</v>
      </c>
      <c r="V49" s="0" t="s">
        <v>4856</v>
      </c>
      <c r="W49" s="0" t="s">
        <v>4798</v>
      </c>
      <c r="X49" s="0" t="s">
        <v>4799</v>
      </c>
      <c r="Y49" s="0" t="s">
        <v>4796</v>
      </c>
      <c r="Z49" s="0" t="s">
        <v>4857</v>
      </c>
      <c r="AA49" s="0" t="s">
        <v>4801</v>
      </c>
      <c r="AB49" s="0" t="s">
        <v>4856</v>
      </c>
      <c r="AC49" s="0" t="s">
        <v>62</v>
      </c>
      <c r="AD49" s="0" t="s">
        <v>62</v>
      </c>
      <c r="AE49" s="0" t="s">
        <v>62</v>
      </c>
      <c r="AF49" s="0" t="s">
        <v>4895</v>
      </c>
      <c r="AG49" s="0" t="s">
        <v>4896</v>
      </c>
      <c r="AH49" s="0" t="s">
        <v>4895</v>
      </c>
      <c r="AI49" s="0" t="s">
        <v>4896</v>
      </c>
      <c r="AJ49" s="0" t="s">
        <v>4895</v>
      </c>
      <c r="AK49" s="0" t="s">
        <v>4896</v>
      </c>
      <c r="AL49" s="0" t="s">
        <v>4804</v>
      </c>
    </row>
    <row customHeight="1" ht="11.25">
      <c r="A50" s="0" t="s">
        <v>22</v>
      </c>
      <c r="B50" s="0" t="s">
        <v>48</v>
      </c>
      <c r="C50" s="0" t="s">
        <v>50</v>
      </c>
      <c r="D50" s="0" t="s">
        <v>22</v>
      </c>
      <c r="E50" s="0" t="s">
        <v>4897</v>
      </c>
      <c r="F50" s="0" t="s">
        <v>1299</v>
      </c>
      <c r="G50" s="0" t="s">
        <v>99</v>
      </c>
      <c r="H50" s="0" t="s">
        <v>3876</v>
      </c>
      <c r="I50" s="0" t="s">
        <v>3877</v>
      </c>
      <c r="J50" s="0" t="s">
        <v>4898</v>
      </c>
      <c r="K50" s="0" t="s">
        <v>4899</v>
      </c>
      <c r="L50" s="0" t="s">
        <v>4900</v>
      </c>
      <c r="M50" s="0" t="s">
        <v>91</v>
      </c>
      <c r="N50" s="0" t="s">
        <v>210</v>
      </c>
      <c r="O50" s="0" t="s">
        <v>99</v>
      </c>
      <c r="P50" s="0" t="s">
        <v>3876</v>
      </c>
      <c r="Q50" s="0" t="s">
        <v>3877</v>
      </c>
      <c r="R50" s="0" t="s">
        <v>4898</v>
      </c>
      <c r="S50" s="0" t="s">
        <v>4899</v>
      </c>
      <c r="T50" s="0" t="s">
        <v>4795</v>
      </c>
      <c r="U50" s="0" t="s">
        <v>4796</v>
      </c>
      <c r="V50" s="0" t="s">
        <v>4860</v>
      </c>
      <c r="W50" s="0" t="s">
        <v>4798</v>
      </c>
      <c r="X50" s="0" t="s">
        <v>4799</v>
      </c>
      <c r="Y50" s="0" t="s">
        <v>4796</v>
      </c>
      <c r="Z50" s="0" t="s">
        <v>4861</v>
      </c>
      <c r="AA50" s="0" t="s">
        <v>4807</v>
      </c>
      <c r="AB50" s="0" t="s">
        <v>4860</v>
      </c>
      <c r="AC50" s="0" t="s">
        <v>62</v>
      </c>
      <c r="AD50" s="0" t="s">
        <v>62</v>
      </c>
      <c r="AE50" s="0" t="s">
        <v>62</v>
      </c>
      <c r="AF50" s="0" t="s">
        <v>4901</v>
      </c>
      <c r="AG50" s="0" t="s">
        <v>4902</v>
      </c>
      <c r="AH50" s="0" t="s">
        <v>4901</v>
      </c>
      <c r="AI50" s="0" t="s">
        <v>4902</v>
      </c>
      <c r="AJ50" s="0" t="s">
        <v>4901</v>
      </c>
      <c r="AK50" s="0" t="s">
        <v>4902</v>
      </c>
      <c r="AL50" s="0" t="s">
        <v>4804</v>
      </c>
    </row>
    <row customHeight="1" ht="11.25">
      <c r="A51" s="0" t="s">
        <v>22</v>
      </c>
      <c r="B51" s="0" t="s">
        <v>48</v>
      </c>
      <c r="C51" s="0" t="s">
        <v>50</v>
      </c>
      <c r="D51" s="0" t="s">
        <v>22</v>
      </c>
      <c r="E51" s="0" t="s">
        <v>4897</v>
      </c>
      <c r="F51" s="0" t="s">
        <v>1299</v>
      </c>
      <c r="G51" s="0" t="s">
        <v>99</v>
      </c>
      <c r="H51" s="0" t="s">
        <v>3876</v>
      </c>
      <c r="I51" s="0" t="s">
        <v>3877</v>
      </c>
      <c r="J51" s="0" t="s">
        <v>4898</v>
      </c>
      <c r="K51" s="0" t="s">
        <v>4899</v>
      </c>
      <c r="L51" s="0" t="s">
        <v>4900</v>
      </c>
      <c r="M51" s="0" t="s">
        <v>91</v>
      </c>
      <c r="N51" s="0" t="s">
        <v>210</v>
      </c>
      <c r="O51" s="0" t="s">
        <v>99</v>
      </c>
      <c r="P51" s="0" t="s">
        <v>3876</v>
      </c>
      <c r="Q51" s="0" t="s">
        <v>3877</v>
      </c>
      <c r="R51" s="0" t="s">
        <v>4898</v>
      </c>
      <c r="S51" s="0" t="s">
        <v>4899</v>
      </c>
      <c r="T51" s="0" t="s">
        <v>4795</v>
      </c>
      <c r="U51" s="0" t="s">
        <v>4796</v>
      </c>
      <c r="V51" s="0" t="s">
        <v>4856</v>
      </c>
      <c r="W51" s="0" t="s">
        <v>4798</v>
      </c>
      <c r="X51" s="0" t="s">
        <v>4799</v>
      </c>
      <c r="Y51" s="0" t="s">
        <v>4796</v>
      </c>
      <c r="Z51" s="0" t="s">
        <v>4857</v>
      </c>
      <c r="AA51" s="0" t="s">
        <v>4801</v>
      </c>
      <c r="AB51" s="0" t="s">
        <v>4856</v>
      </c>
      <c r="AC51" s="0" t="s">
        <v>62</v>
      </c>
      <c r="AD51" s="0" t="s">
        <v>62</v>
      </c>
      <c r="AE51" s="0" t="s">
        <v>62</v>
      </c>
      <c r="AF51" s="0" t="s">
        <v>4901</v>
      </c>
      <c r="AG51" s="0" t="s">
        <v>4902</v>
      </c>
      <c r="AH51" s="0" t="s">
        <v>4901</v>
      </c>
      <c r="AI51" s="0" t="s">
        <v>4902</v>
      </c>
      <c r="AJ51" s="0" t="s">
        <v>4901</v>
      </c>
      <c r="AK51" s="0" t="s">
        <v>4902</v>
      </c>
      <c r="AL51" s="0" t="s">
        <v>4804</v>
      </c>
    </row>
    <row customHeight="1" ht="11.25">
      <c r="A52" s="0" t="s">
        <v>22</v>
      </c>
      <c r="B52" s="0" t="s">
        <v>48</v>
      </c>
      <c r="C52" s="0" t="s">
        <v>50</v>
      </c>
      <c r="D52" s="0" t="s">
        <v>22</v>
      </c>
      <c r="E52" s="0" t="s">
        <v>4903</v>
      </c>
      <c r="F52" s="0" t="s">
        <v>1299</v>
      </c>
      <c r="G52" s="0" t="s">
        <v>99</v>
      </c>
      <c r="H52" s="0" t="s">
        <v>3878</v>
      </c>
      <c r="I52" s="0" t="s">
        <v>3879</v>
      </c>
      <c r="J52" s="0" t="s">
        <v>4904</v>
      </c>
      <c r="K52" s="0" t="s">
        <v>4905</v>
      </c>
      <c r="L52" s="0" t="s">
        <v>1338</v>
      </c>
      <c r="M52" s="0" t="s">
        <v>1339</v>
      </c>
      <c r="N52" s="0" t="s">
        <v>210</v>
      </c>
      <c r="O52" s="0" t="s">
        <v>99</v>
      </c>
      <c r="P52" s="0" t="s">
        <v>3878</v>
      </c>
      <c r="Q52" s="0" t="s">
        <v>3879</v>
      </c>
      <c r="R52" s="0" t="s">
        <v>4904</v>
      </c>
      <c r="S52" s="0" t="s">
        <v>4905</v>
      </c>
      <c r="T52" s="0" t="s">
        <v>4795</v>
      </c>
      <c r="U52" s="0" t="s">
        <v>4796</v>
      </c>
      <c r="V52" s="0" t="s">
        <v>4860</v>
      </c>
      <c r="W52" s="0" t="s">
        <v>4798</v>
      </c>
      <c r="X52" s="0" t="s">
        <v>4799</v>
      </c>
      <c r="Y52" s="0" t="s">
        <v>4796</v>
      </c>
      <c r="Z52" s="0" t="s">
        <v>4861</v>
      </c>
      <c r="AA52" s="0" t="s">
        <v>4807</v>
      </c>
      <c r="AB52" s="0" t="s">
        <v>4860</v>
      </c>
      <c r="AC52" s="0" t="s">
        <v>62</v>
      </c>
      <c r="AD52" s="0" t="s">
        <v>62</v>
      </c>
      <c r="AE52" s="0" t="s">
        <v>62</v>
      </c>
      <c r="AF52" s="0" t="s">
        <v>4888</v>
      </c>
      <c r="AG52" s="0" t="s">
        <v>4906</v>
      </c>
      <c r="AH52" s="0" t="s">
        <v>4888</v>
      </c>
      <c r="AI52" s="0" t="s">
        <v>4906</v>
      </c>
      <c r="AJ52" s="0" t="s">
        <v>4888</v>
      </c>
      <c r="AK52" s="0" t="s">
        <v>4906</v>
      </c>
      <c r="AL52" s="0" t="s">
        <v>4804</v>
      </c>
    </row>
    <row customHeight="1" ht="11.25">
      <c r="A53" s="0" t="s">
        <v>22</v>
      </c>
      <c r="B53" s="0" t="s">
        <v>48</v>
      </c>
      <c r="C53" s="0" t="s">
        <v>50</v>
      </c>
      <c r="D53" s="0" t="s">
        <v>22</v>
      </c>
      <c r="E53" s="0" t="s">
        <v>4903</v>
      </c>
      <c r="F53" s="0" t="s">
        <v>1299</v>
      </c>
      <c r="G53" s="0" t="s">
        <v>99</v>
      </c>
      <c r="H53" s="0" t="s">
        <v>3878</v>
      </c>
      <c r="I53" s="0" t="s">
        <v>3879</v>
      </c>
      <c r="J53" s="0" t="s">
        <v>4904</v>
      </c>
      <c r="K53" s="0" t="s">
        <v>4905</v>
      </c>
      <c r="L53" s="0" t="s">
        <v>1338</v>
      </c>
      <c r="M53" s="0" t="s">
        <v>1339</v>
      </c>
      <c r="N53" s="0" t="s">
        <v>210</v>
      </c>
      <c r="O53" s="0" t="s">
        <v>99</v>
      </c>
      <c r="P53" s="0" t="s">
        <v>3878</v>
      </c>
      <c r="Q53" s="0" t="s">
        <v>3879</v>
      </c>
      <c r="R53" s="0" t="s">
        <v>4904</v>
      </c>
      <c r="S53" s="0" t="s">
        <v>4905</v>
      </c>
      <c r="T53" s="0" t="s">
        <v>4795</v>
      </c>
      <c r="U53" s="0" t="s">
        <v>4796</v>
      </c>
      <c r="V53" s="0" t="s">
        <v>4856</v>
      </c>
      <c r="W53" s="0" t="s">
        <v>4798</v>
      </c>
      <c r="X53" s="0" t="s">
        <v>4799</v>
      </c>
      <c r="Y53" s="0" t="s">
        <v>4796</v>
      </c>
      <c r="Z53" s="0" t="s">
        <v>4857</v>
      </c>
      <c r="AA53" s="0" t="s">
        <v>4801</v>
      </c>
      <c r="AB53" s="0" t="s">
        <v>4856</v>
      </c>
      <c r="AC53" s="0" t="s">
        <v>62</v>
      </c>
      <c r="AD53" s="0" t="s">
        <v>62</v>
      </c>
      <c r="AE53" s="0" t="s">
        <v>62</v>
      </c>
      <c r="AF53" s="0" t="s">
        <v>4888</v>
      </c>
      <c r="AG53" s="0" t="s">
        <v>4906</v>
      </c>
      <c r="AH53" s="0" t="s">
        <v>4888</v>
      </c>
      <c r="AI53" s="0" t="s">
        <v>4906</v>
      </c>
      <c r="AJ53" s="0" t="s">
        <v>4888</v>
      </c>
      <c r="AK53" s="0" t="s">
        <v>4906</v>
      </c>
      <c r="AL53" s="0" t="s">
        <v>4804</v>
      </c>
    </row>
    <row customHeight="1" ht="11.25">
      <c r="A54" s="0" t="s">
        <v>22</v>
      </c>
      <c r="B54" s="0" t="s">
        <v>48</v>
      </c>
      <c r="C54" s="0" t="s">
        <v>50</v>
      </c>
      <c r="D54" s="0" t="s">
        <v>22</v>
      </c>
      <c r="E54" s="0" t="s">
        <v>4907</v>
      </c>
      <c r="F54" s="0" t="s">
        <v>1299</v>
      </c>
      <c r="G54" s="0" t="s">
        <v>99</v>
      </c>
      <c r="H54" s="0" t="s">
        <v>3880</v>
      </c>
      <c r="I54" s="0" t="s">
        <v>3881</v>
      </c>
      <c r="J54" s="0" t="s">
        <v>4908</v>
      </c>
      <c r="K54" s="0" t="s">
        <v>4909</v>
      </c>
      <c r="L54" s="0" t="s">
        <v>4910</v>
      </c>
      <c r="M54" s="0" t="s">
        <v>4911</v>
      </c>
      <c r="N54" s="0" t="s">
        <v>210</v>
      </c>
      <c r="O54" s="0" t="s">
        <v>99</v>
      </c>
      <c r="P54" s="0" t="s">
        <v>3880</v>
      </c>
      <c r="Q54" s="0" t="s">
        <v>3881</v>
      </c>
      <c r="R54" s="0" t="s">
        <v>4908</v>
      </c>
      <c r="S54" s="0" t="s">
        <v>4909</v>
      </c>
      <c r="T54" s="0" t="s">
        <v>4795</v>
      </c>
      <c r="U54" s="0" t="s">
        <v>4796</v>
      </c>
      <c r="V54" s="0" t="s">
        <v>4856</v>
      </c>
      <c r="W54" s="0" t="s">
        <v>4798</v>
      </c>
      <c r="X54" s="0" t="s">
        <v>4799</v>
      </c>
      <c r="Y54" s="0" t="s">
        <v>4796</v>
      </c>
      <c r="Z54" s="0" t="s">
        <v>4857</v>
      </c>
      <c r="AA54" s="0" t="s">
        <v>4801</v>
      </c>
      <c r="AB54" s="0" t="s">
        <v>4856</v>
      </c>
      <c r="AC54" s="0" t="s">
        <v>62</v>
      </c>
      <c r="AD54" s="0" t="s">
        <v>62</v>
      </c>
      <c r="AE54" s="0" t="s">
        <v>62</v>
      </c>
      <c r="AF54" s="0" t="s">
        <v>4912</v>
      </c>
      <c r="AG54" s="0" t="s">
        <v>4913</v>
      </c>
      <c r="AH54" s="0" t="s">
        <v>4912</v>
      </c>
      <c r="AI54" s="0" t="s">
        <v>4913</v>
      </c>
      <c r="AJ54" s="0" t="s">
        <v>4912</v>
      </c>
      <c r="AK54" s="0" t="s">
        <v>4913</v>
      </c>
      <c r="AL54" s="0" t="s">
        <v>4804</v>
      </c>
    </row>
    <row customHeight="1" ht="11.25">
      <c r="A55" s="0" t="s">
        <v>22</v>
      </c>
      <c r="B55" s="0" t="s">
        <v>48</v>
      </c>
      <c r="C55" s="0" t="s">
        <v>50</v>
      </c>
      <c r="D55" s="0" t="s">
        <v>22</v>
      </c>
      <c r="E55" s="0" t="s">
        <v>4907</v>
      </c>
      <c r="F55" s="0" t="s">
        <v>1299</v>
      </c>
      <c r="G55" s="0" t="s">
        <v>99</v>
      </c>
      <c r="H55" s="0" t="s">
        <v>3880</v>
      </c>
      <c r="I55" s="0" t="s">
        <v>3881</v>
      </c>
      <c r="J55" s="0" t="s">
        <v>4908</v>
      </c>
      <c r="K55" s="0" t="s">
        <v>4909</v>
      </c>
      <c r="L55" s="0" t="s">
        <v>4910</v>
      </c>
      <c r="M55" s="0" t="s">
        <v>4911</v>
      </c>
      <c r="N55" s="0" t="s">
        <v>210</v>
      </c>
      <c r="O55" s="0" t="s">
        <v>99</v>
      </c>
      <c r="P55" s="0" t="s">
        <v>3880</v>
      </c>
      <c r="Q55" s="0" t="s">
        <v>3881</v>
      </c>
      <c r="R55" s="0" t="s">
        <v>4908</v>
      </c>
      <c r="S55" s="0" t="s">
        <v>4909</v>
      </c>
      <c r="T55" s="0" t="s">
        <v>4795</v>
      </c>
      <c r="U55" s="0" t="s">
        <v>4796</v>
      </c>
      <c r="V55" s="0" t="s">
        <v>4860</v>
      </c>
      <c r="W55" s="0" t="s">
        <v>4798</v>
      </c>
      <c r="X55" s="0" t="s">
        <v>4799</v>
      </c>
      <c r="Y55" s="0" t="s">
        <v>4796</v>
      </c>
      <c r="Z55" s="0" t="s">
        <v>4861</v>
      </c>
      <c r="AA55" s="0" t="s">
        <v>4807</v>
      </c>
      <c r="AB55" s="0" t="s">
        <v>4860</v>
      </c>
      <c r="AC55" s="0" t="s">
        <v>62</v>
      </c>
      <c r="AD55" s="0" t="s">
        <v>62</v>
      </c>
      <c r="AE55" s="0" t="s">
        <v>62</v>
      </c>
      <c r="AF55" s="0" t="s">
        <v>4912</v>
      </c>
      <c r="AG55" s="0" t="s">
        <v>4913</v>
      </c>
      <c r="AH55" s="0" t="s">
        <v>4912</v>
      </c>
      <c r="AI55" s="0" t="s">
        <v>4913</v>
      </c>
      <c r="AJ55" s="0" t="s">
        <v>4912</v>
      </c>
      <c r="AK55" s="0" t="s">
        <v>4913</v>
      </c>
      <c r="AL55" s="0" t="s">
        <v>4804</v>
      </c>
    </row>
    <row customHeight="1" ht="11.25">
      <c r="A56" s="0" t="s">
        <v>22</v>
      </c>
      <c r="B56" s="0" t="s">
        <v>48</v>
      </c>
      <c r="C56" s="0" t="s">
        <v>50</v>
      </c>
      <c r="D56" s="0" t="s">
        <v>22</v>
      </c>
      <c r="E56" s="0" t="s">
        <v>4914</v>
      </c>
      <c r="F56" s="0" t="s">
        <v>1299</v>
      </c>
      <c r="G56" s="0" t="s">
        <v>99</v>
      </c>
      <c r="H56" s="0" t="s">
        <v>3882</v>
      </c>
      <c r="I56" s="0" t="s">
        <v>3883</v>
      </c>
      <c r="J56" s="0" t="s">
        <v>4915</v>
      </c>
      <c r="K56" s="0" t="s">
        <v>4916</v>
      </c>
      <c r="L56" s="0" t="s">
        <v>1378</v>
      </c>
      <c r="M56" s="0" t="s">
        <v>1355</v>
      </c>
      <c r="N56" s="0" t="s">
        <v>210</v>
      </c>
      <c r="O56" s="0" t="s">
        <v>99</v>
      </c>
      <c r="P56" s="0" t="s">
        <v>3882</v>
      </c>
      <c r="Q56" s="0" t="s">
        <v>3883</v>
      </c>
      <c r="R56" s="0" t="s">
        <v>4915</v>
      </c>
      <c r="S56" s="0" t="s">
        <v>4916</v>
      </c>
      <c r="T56" s="0" t="s">
        <v>4795</v>
      </c>
      <c r="U56" s="0" t="s">
        <v>4796</v>
      </c>
      <c r="V56" s="0" t="s">
        <v>4860</v>
      </c>
      <c r="W56" s="0" t="s">
        <v>4798</v>
      </c>
      <c r="X56" s="0" t="s">
        <v>4799</v>
      </c>
      <c r="Y56" s="0" t="s">
        <v>4796</v>
      </c>
      <c r="Z56" s="0" t="s">
        <v>4861</v>
      </c>
      <c r="AA56" s="0" t="s">
        <v>4807</v>
      </c>
      <c r="AB56" s="0" t="s">
        <v>4860</v>
      </c>
      <c r="AC56" s="0" t="s">
        <v>62</v>
      </c>
      <c r="AD56" s="0" t="s">
        <v>62</v>
      </c>
      <c r="AE56" s="0" t="s">
        <v>62</v>
      </c>
      <c r="AF56" s="0" t="s">
        <v>4917</v>
      </c>
      <c r="AG56" s="0" t="s">
        <v>4918</v>
      </c>
      <c r="AH56" s="0" t="s">
        <v>4917</v>
      </c>
      <c r="AI56" s="0" t="s">
        <v>4918</v>
      </c>
      <c r="AJ56" s="0" t="s">
        <v>4917</v>
      </c>
      <c r="AK56" s="0" t="s">
        <v>4918</v>
      </c>
      <c r="AL56" s="0" t="s">
        <v>4804</v>
      </c>
    </row>
    <row customHeight="1" ht="11.25">
      <c r="A57" s="0" t="s">
        <v>22</v>
      </c>
      <c r="B57" s="0" t="s">
        <v>48</v>
      </c>
      <c r="C57" s="0" t="s">
        <v>50</v>
      </c>
      <c r="D57" s="0" t="s">
        <v>22</v>
      </c>
      <c r="E57" s="0" t="s">
        <v>4914</v>
      </c>
      <c r="F57" s="0" t="s">
        <v>1299</v>
      </c>
      <c r="G57" s="0" t="s">
        <v>99</v>
      </c>
      <c r="H57" s="0" t="s">
        <v>3882</v>
      </c>
      <c r="I57" s="0" t="s">
        <v>3883</v>
      </c>
      <c r="J57" s="0" t="s">
        <v>4915</v>
      </c>
      <c r="K57" s="0" t="s">
        <v>4916</v>
      </c>
      <c r="L57" s="0" t="s">
        <v>1378</v>
      </c>
      <c r="M57" s="0" t="s">
        <v>1355</v>
      </c>
      <c r="N57" s="0" t="s">
        <v>210</v>
      </c>
      <c r="O57" s="0" t="s">
        <v>99</v>
      </c>
      <c r="P57" s="0" t="s">
        <v>3882</v>
      </c>
      <c r="Q57" s="0" t="s">
        <v>3883</v>
      </c>
      <c r="R57" s="0" t="s">
        <v>4915</v>
      </c>
      <c r="S57" s="0" t="s">
        <v>4916</v>
      </c>
      <c r="T57" s="0" t="s">
        <v>4795</v>
      </c>
      <c r="U57" s="0" t="s">
        <v>4796</v>
      </c>
      <c r="V57" s="0" t="s">
        <v>4856</v>
      </c>
      <c r="W57" s="0" t="s">
        <v>4798</v>
      </c>
      <c r="X57" s="0" t="s">
        <v>4799</v>
      </c>
      <c r="Y57" s="0" t="s">
        <v>4796</v>
      </c>
      <c r="Z57" s="0" t="s">
        <v>4857</v>
      </c>
      <c r="AA57" s="0" t="s">
        <v>4801</v>
      </c>
      <c r="AB57" s="0" t="s">
        <v>4856</v>
      </c>
      <c r="AC57" s="0" t="s">
        <v>62</v>
      </c>
      <c r="AD57" s="0" t="s">
        <v>62</v>
      </c>
      <c r="AE57" s="0" t="s">
        <v>62</v>
      </c>
      <c r="AF57" s="0" t="s">
        <v>4917</v>
      </c>
      <c r="AG57" s="0" t="s">
        <v>4918</v>
      </c>
      <c r="AH57" s="0" t="s">
        <v>4917</v>
      </c>
      <c r="AI57" s="0" t="s">
        <v>4918</v>
      </c>
      <c r="AJ57" s="0" t="s">
        <v>4917</v>
      </c>
      <c r="AK57" s="0" t="s">
        <v>4918</v>
      </c>
      <c r="AL57" s="0" t="s">
        <v>4804</v>
      </c>
    </row>
    <row customHeight="1" ht="11.25">
      <c r="A58" s="0" t="s">
        <v>22</v>
      </c>
      <c r="B58" s="0" t="s">
        <v>48</v>
      </c>
      <c r="C58" s="0" t="s">
        <v>50</v>
      </c>
      <c r="D58" s="0" t="s">
        <v>22</v>
      </c>
      <c r="E58" s="0" t="s">
        <v>4919</v>
      </c>
      <c r="F58" s="0" t="s">
        <v>4841</v>
      </c>
      <c r="G58" s="0" t="s">
        <v>99</v>
      </c>
      <c r="H58" s="0" t="s">
        <v>3882</v>
      </c>
      <c r="I58" s="0" t="s">
        <v>3883</v>
      </c>
      <c r="J58" s="0" t="s">
        <v>4920</v>
      </c>
      <c r="K58" s="0" t="s">
        <v>4921</v>
      </c>
      <c r="L58" s="0" t="s">
        <v>4920</v>
      </c>
      <c r="M58" s="0" t="s">
        <v>1355</v>
      </c>
      <c r="N58" s="0" t="s">
        <v>210</v>
      </c>
      <c r="O58" s="0" t="s">
        <v>99</v>
      </c>
      <c r="P58" s="0" t="s">
        <v>3882</v>
      </c>
      <c r="Q58" s="0" t="s">
        <v>3883</v>
      </c>
      <c r="R58" s="0" t="s">
        <v>4920</v>
      </c>
      <c r="S58" s="0" t="s">
        <v>4921</v>
      </c>
      <c r="T58" s="0" t="s">
        <v>4795</v>
      </c>
      <c r="U58" s="0" t="s">
        <v>4796</v>
      </c>
      <c r="V58" s="0" t="s">
        <v>4922</v>
      </c>
      <c r="W58" s="0" t="s">
        <v>4798</v>
      </c>
      <c r="X58" s="0" t="s">
        <v>4799</v>
      </c>
      <c r="Y58" s="0" t="s">
        <v>4796</v>
      </c>
      <c r="Z58" s="0" t="s">
        <v>4923</v>
      </c>
      <c r="AA58" s="0" t="s">
        <v>4846</v>
      </c>
      <c r="AB58" s="0" t="s">
        <v>4922</v>
      </c>
      <c r="AC58" s="0" t="s">
        <v>19</v>
      </c>
      <c r="AD58" s="0" t="s">
        <v>62</v>
      </c>
      <c r="AE58" s="0" t="s">
        <v>62</v>
      </c>
      <c r="AF58" s="0" t="s">
        <v>22</v>
      </c>
      <c r="AG58" s="0" t="s">
        <v>22</v>
      </c>
      <c r="AH58" s="0" t="s">
        <v>4924</v>
      </c>
      <c r="AI58" s="0" t="s">
        <v>4924</v>
      </c>
      <c r="AJ58" s="0" t="s">
        <v>4924</v>
      </c>
      <c r="AK58" s="0" t="s">
        <v>4924</v>
      </c>
      <c r="AL58" s="0" t="s">
        <v>22</v>
      </c>
    </row>
    <row customHeight="1" ht="11.25">
      <c r="A59" s="0" t="s">
        <v>22</v>
      </c>
      <c r="B59" s="0" t="s">
        <v>48</v>
      </c>
      <c r="C59" s="0" t="s">
        <v>50</v>
      </c>
      <c r="D59" s="0" t="s">
        <v>22</v>
      </c>
      <c r="E59" s="0" t="s">
        <v>4919</v>
      </c>
      <c r="F59" s="0" t="s">
        <v>4841</v>
      </c>
      <c r="G59" s="0" t="s">
        <v>99</v>
      </c>
      <c r="H59" s="0" t="s">
        <v>3882</v>
      </c>
      <c r="I59" s="0" t="s">
        <v>3883</v>
      </c>
      <c r="J59" s="0" t="s">
        <v>4920</v>
      </c>
      <c r="K59" s="0" t="s">
        <v>4921</v>
      </c>
      <c r="L59" s="0" t="s">
        <v>4920</v>
      </c>
      <c r="M59" s="0" t="s">
        <v>1355</v>
      </c>
      <c r="N59" s="0" t="s">
        <v>210</v>
      </c>
      <c r="O59" s="0" t="s">
        <v>99</v>
      </c>
      <c r="P59" s="0" t="s">
        <v>3882</v>
      </c>
      <c r="Q59" s="0" t="s">
        <v>3883</v>
      </c>
      <c r="R59" s="0" t="s">
        <v>4920</v>
      </c>
      <c r="S59" s="0" t="s">
        <v>4921</v>
      </c>
      <c r="T59" s="0" t="s">
        <v>4795</v>
      </c>
      <c r="U59" s="0" t="s">
        <v>4796</v>
      </c>
      <c r="V59" s="0" t="s">
        <v>4922</v>
      </c>
      <c r="W59" s="0" t="s">
        <v>4798</v>
      </c>
      <c r="X59" s="0" t="s">
        <v>4799</v>
      </c>
      <c r="Y59" s="0" t="s">
        <v>4796</v>
      </c>
      <c r="Z59" s="0" t="s">
        <v>4923</v>
      </c>
      <c r="AA59" s="0" t="s">
        <v>4846</v>
      </c>
      <c r="AB59" s="0" t="s">
        <v>4922</v>
      </c>
      <c r="AC59" s="0" t="s">
        <v>19</v>
      </c>
      <c r="AD59" s="0" t="s">
        <v>62</v>
      </c>
      <c r="AE59" s="0" t="s">
        <v>62</v>
      </c>
      <c r="AF59" s="0" t="s">
        <v>22</v>
      </c>
      <c r="AG59" s="0" t="s">
        <v>22</v>
      </c>
      <c r="AH59" s="0" t="s">
        <v>4924</v>
      </c>
      <c r="AI59" s="0" t="s">
        <v>4924</v>
      </c>
      <c r="AJ59" s="0" t="s">
        <v>4924</v>
      </c>
      <c r="AK59" s="0" t="s">
        <v>4924</v>
      </c>
      <c r="AL59" s="0" t="s">
        <v>22</v>
      </c>
    </row>
    <row customHeight="1" ht="11.25">
      <c r="A60" s="0" t="s">
        <v>22</v>
      </c>
      <c r="B60" s="0" t="s">
        <v>48</v>
      </c>
      <c r="C60" s="0" t="s">
        <v>50</v>
      </c>
      <c r="D60" s="0" t="s">
        <v>22</v>
      </c>
      <c r="E60" s="0" t="s">
        <v>4925</v>
      </c>
      <c r="F60" s="0" t="s">
        <v>1299</v>
      </c>
      <c r="G60" s="0" t="s">
        <v>99</v>
      </c>
      <c r="H60" s="0" t="s">
        <v>3882</v>
      </c>
      <c r="I60" s="0" t="s">
        <v>3883</v>
      </c>
      <c r="J60" s="0" t="s">
        <v>4926</v>
      </c>
      <c r="K60" s="0" t="s">
        <v>4927</v>
      </c>
      <c r="L60" s="0" t="s">
        <v>1378</v>
      </c>
      <c r="M60" s="0" t="s">
        <v>4928</v>
      </c>
      <c r="N60" s="0" t="s">
        <v>210</v>
      </c>
      <c r="O60" s="0" t="s">
        <v>99</v>
      </c>
      <c r="P60" s="0" t="s">
        <v>3882</v>
      </c>
      <c r="Q60" s="0" t="s">
        <v>3883</v>
      </c>
      <c r="R60" s="0" t="s">
        <v>4926</v>
      </c>
      <c r="S60" s="0" t="s">
        <v>4927</v>
      </c>
      <c r="T60" s="0" t="s">
        <v>4795</v>
      </c>
      <c r="U60" s="0" t="s">
        <v>4796</v>
      </c>
      <c r="V60" s="0" t="s">
        <v>4856</v>
      </c>
      <c r="W60" s="0" t="s">
        <v>4798</v>
      </c>
      <c r="X60" s="0" t="s">
        <v>4799</v>
      </c>
      <c r="Y60" s="0" t="s">
        <v>4796</v>
      </c>
      <c r="Z60" s="0" t="s">
        <v>4857</v>
      </c>
      <c r="AA60" s="0" t="s">
        <v>4801</v>
      </c>
      <c r="AB60" s="0" t="s">
        <v>4856</v>
      </c>
      <c r="AC60" s="0" t="s">
        <v>62</v>
      </c>
      <c r="AD60" s="0" t="s">
        <v>62</v>
      </c>
      <c r="AE60" s="0" t="s">
        <v>62</v>
      </c>
      <c r="AF60" s="0" t="s">
        <v>4862</v>
      </c>
      <c r="AG60" s="0" t="s">
        <v>4929</v>
      </c>
      <c r="AH60" s="0" t="s">
        <v>4862</v>
      </c>
      <c r="AI60" s="0" t="s">
        <v>4929</v>
      </c>
      <c r="AJ60" s="0" t="s">
        <v>4862</v>
      </c>
      <c r="AK60" s="0" t="s">
        <v>4929</v>
      </c>
      <c r="AL60" s="0" t="s">
        <v>4804</v>
      </c>
    </row>
    <row customHeight="1" ht="11.25">
      <c r="A61" s="0" t="s">
        <v>22</v>
      </c>
      <c r="B61" s="0" t="s">
        <v>48</v>
      </c>
      <c r="C61" s="0" t="s">
        <v>50</v>
      </c>
      <c r="D61" s="0" t="s">
        <v>22</v>
      </c>
      <c r="E61" s="0" t="s">
        <v>4925</v>
      </c>
      <c r="F61" s="0" t="s">
        <v>1299</v>
      </c>
      <c r="G61" s="0" t="s">
        <v>99</v>
      </c>
      <c r="H61" s="0" t="s">
        <v>3882</v>
      </c>
      <c r="I61" s="0" t="s">
        <v>3883</v>
      </c>
      <c r="J61" s="0" t="s">
        <v>4926</v>
      </c>
      <c r="K61" s="0" t="s">
        <v>4927</v>
      </c>
      <c r="L61" s="0" t="s">
        <v>1378</v>
      </c>
      <c r="M61" s="0" t="s">
        <v>4928</v>
      </c>
      <c r="N61" s="0" t="s">
        <v>210</v>
      </c>
      <c r="O61" s="0" t="s">
        <v>99</v>
      </c>
      <c r="P61" s="0" t="s">
        <v>3882</v>
      </c>
      <c r="Q61" s="0" t="s">
        <v>3883</v>
      </c>
      <c r="R61" s="0" t="s">
        <v>4926</v>
      </c>
      <c r="S61" s="0" t="s">
        <v>4927</v>
      </c>
      <c r="T61" s="0" t="s">
        <v>4795</v>
      </c>
      <c r="U61" s="0" t="s">
        <v>4796</v>
      </c>
      <c r="V61" s="0" t="s">
        <v>4860</v>
      </c>
      <c r="W61" s="0" t="s">
        <v>4798</v>
      </c>
      <c r="X61" s="0" t="s">
        <v>4799</v>
      </c>
      <c r="Y61" s="0" t="s">
        <v>4796</v>
      </c>
      <c r="Z61" s="0" t="s">
        <v>4861</v>
      </c>
      <c r="AA61" s="0" t="s">
        <v>4807</v>
      </c>
      <c r="AB61" s="0" t="s">
        <v>4860</v>
      </c>
      <c r="AC61" s="0" t="s">
        <v>62</v>
      </c>
      <c r="AD61" s="0" t="s">
        <v>62</v>
      </c>
      <c r="AE61" s="0" t="s">
        <v>62</v>
      </c>
      <c r="AF61" s="0" t="s">
        <v>4862</v>
      </c>
      <c r="AG61" s="0" t="s">
        <v>4929</v>
      </c>
      <c r="AH61" s="0" t="s">
        <v>4862</v>
      </c>
      <c r="AI61" s="0" t="s">
        <v>4929</v>
      </c>
      <c r="AJ61" s="0" t="s">
        <v>4862</v>
      </c>
      <c r="AK61" s="0" t="s">
        <v>4929</v>
      </c>
      <c r="AL61" s="0" t="s">
        <v>4804</v>
      </c>
    </row>
    <row customHeight="1" ht="11.25">
      <c r="A62" s="0" t="s">
        <v>22</v>
      </c>
      <c r="B62" s="0" t="s">
        <v>48</v>
      </c>
      <c r="C62" s="0" t="s">
        <v>50</v>
      </c>
      <c r="D62" s="0" t="s">
        <v>22</v>
      </c>
      <c r="E62" s="0" t="s">
        <v>4930</v>
      </c>
      <c r="F62" s="0" t="s">
        <v>1299</v>
      </c>
      <c r="G62" s="0" t="s">
        <v>99</v>
      </c>
      <c r="H62" s="0" t="s">
        <v>3882</v>
      </c>
      <c r="I62" s="0" t="s">
        <v>3883</v>
      </c>
      <c r="J62" s="0" t="s">
        <v>4926</v>
      </c>
      <c r="K62" s="0" t="s">
        <v>4927</v>
      </c>
      <c r="L62" s="0" t="s">
        <v>1378</v>
      </c>
      <c r="M62" s="0" t="s">
        <v>4931</v>
      </c>
      <c r="N62" s="0" t="s">
        <v>210</v>
      </c>
      <c r="O62" s="0" t="s">
        <v>99</v>
      </c>
      <c r="P62" s="0" t="s">
        <v>3882</v>
      </c>
      <c r="Q62" s="0" t="s">
        <v>3883</v>
      </c>
      <c r="R62" s="0" t="s">
        <v>4926</v>
      </c>
      <c r="S62" s="0" t="s">
        <v>4927</v>
      </c>
      <c r="T62" s="0" t="s">
        <v>4795</v>
      </c>
      <c r="U62" s="0" t="s">
        <v>4796</v>
      </c>
      <c r="V62" s="0" t="s">
        <v>4856</v>
      </c>
      <c r="W62" s="0" t="s">
        <v>4798</v>
      </c>
      <c r="X62" s="0" t="s">
        <v>4799</v>
      </c>
      <c r="Y62" s="0" t="s">
        <v>4796</v>
      </c>
      <c r="Z62" s="0" t="s">
        <v>4857</v>
      </c>
      <c r="AA62" s="0" t="s">
        <v>4801</v>
      </c>
      <c r="AB62" s="0" t="s">
        <v>4856</v>
      </c>
      <c r="AC62" s="0" t="s">
        <v>62</v>
      </c>
      <c r="AD62" s="0" t="s">
        <v>62</v>
      </c>
      <c r="AE62" s="0" t="s">
        <v>62</v>
      </c>
      <c r="AF62" s="0" t="s">
        <v>4932</v>
      </c>
      <c r="AG62" s="0" t="s">
        <v>4933</v>
      </c>
      <c r="AH62" s="0" t="s">
        <v>4932</v>
      </c>
      <c r="AI62" s="0" t="s">
        <v>4933</v>
      </c>
      <c r="AJ62" s="0" t="s">
        <v>4932</v>
      </c>
      <c r="AK62" s="0" t="s">
        <v>4933</v>
      </c>
      <c r="AL62" s="0" t="s">
        <v>4804</v>
      </c>
    </row>
    <row customHeight="1" ht="11.25">
      <c r="A63" s="0" t="s">
        <v>22</v>
      </c>
      <c r="B63" s="0" t="s">
        <v>48</v>
      </c>
      <c r="C63" s="0" t="s">
        <v>50</v>
      </c>
      <c r="D63" s="0" t="s">
        <v>22</v>
      </c>
      <c r="E63" s="0" t="s">
        <v>4930</v>
      </c>
      <c r="F63" s="0" t="s">
        <v>1299</v>
      </c>
      <c r="G63" s="0" t="s">
        <v>99</v>
      </c>
      <c r="H63" s="0" t="s">
        <v>3882</v>
      </c>
      <c r="I63" s="0" t="s">
        <v>3883</v>
      </c>
      <c r="J63" s="0" t="s">
        <v>4926</v>
      </c>
      <c r="K63" s="0" t="s">
        <v>4927</v>
      </c>
      <c r="L63" s="0" t="s">
        <v>1378</v>
      </c>
      <c r="M63" s="0" t="s">
        <v>4931</v>
      </c>
      <c r="N63" s="0" t="s">
        <v>210</v>
      </c>
      <c r="O63" s="0" t="s">
        <v>99</v>
      </c>
      <c r="P63" s="0" t="s">
        <v>3882</v>
      </c>
      <c r="Q63" s="0" t="s">
        <v>3883</v>
      </c>
      <c r="R63" s="0" t="s">
        <v>4926</v>
      </c>
      <c r="S63" s="0" t="s">
        <v>4927</v>
      </c>
      <c r="T63" s="0" t="s">
        <v>4795</v>
      </c>
      <c r="U63" s="0" t="s">
        <v>4796</v>
      </c>
      <c r="V63" s="0" t="s">
        <v>4860</v>
      </c>
      <c r="W63" s="0" t="s">
        <v>4798</v>
      </c>
      <c r="X63" s="0" t="s">
        <v>4799</v>
      </c>
      <c r="Y63" s="0" t="s">
        <v>4796</v>
      </c>
      <c r="Z63" s="0" t="s">
        <v>4861</v>
      </c>
      <c r="AA63" s="0" t="s">
        <v>4807</v>
      </c>
      <c r="AB63" s="0" t="s">
        <v>4860</v>
      </c>
      <c r="AC63" s="0" t="s">
        <v>62</v>
      </c>
      <c r="AD63" s="0" t="s">
        <v>62</v>
      </c>
      <c r="AE63" s="0" t="s">
        <v>62</v>
      </c>
      <c r="AF63" s="0" t="s">
        <v>4932</v>
      </c>
      <c r="AG63" s="0" t="s">
        <v>4933</v>
      </c>
      <c r="AH63" s="0" t="s">
        <v>4932</v>
      </c>
      <c r="AI63" s="0" t="s">
        <v>4933</v>
      </c>
      <c r="AJ63" s="0" t="s">
        <v>4932</v>
      </c>
      <c r="AK63" s="0" t="s">
        <v>4933</v>
      </c>
      <c r="AL63" s="0" t="s">
        <v>4804</v>
      </c>
    </row>
    <row customHeight="1" ht="11.25">
      <c r="A64" s="0" t="s">
        <v>22</v>
      </c>
      <c r="B64" s="0" t="s">
        <v>48</v>
      </c>
      <c r="C64" s="0" t="s">
        <v>50</v>
      </c>
      <c r="D64" s="0" t="s">
        <v>22</v>
      </c>
      <c r="E64" s="0" t="s">
        <v>4934</v>
      </c>
      <c r="F64" s="0" t="s">
        <v>1299</v>
      </c>
      <c r="G64" s="0" t="s">
        <v>99</v>
      </c>
      <c r="H64" s="0" t="s">
        <v>3882</v>
      </c>
      <c r="I64" s="0" t="s">
        <v>3883</v>
      </c>
      <c r="J64" s="0" t="s">
        <v>4926</v>
      </c>
      <c r="K64" s="0" t="s">
        <v>4927</v>
      </c>
      <c r="L64" s="0" t="s">
        <v>1378</v>
      </c>
      <c r="M64" s="0" t="s">
        <v>1355</v>
      </c>
      <c r="N64" s="0" t="s">
        <v>210</v>
      </c>
      <c r="O64" s="0" t="s">
        <v>99</v>
      </c>
      <c r="P64" s="0" t="s">
        <v>3882</v>
      </c>
      <c r="Q64" s="0" t="s">
        <v>3883</v>
      </c>
      <c r="R64" s="0" t="s">
        <v>4926</v>
      </c>
      <c r="S64" s="0" t="s">
        <v>4927</v>
      </c>
      <c r="T64" s="0" t="s">
        <v>4795</v>
      </c>
      <c r="U64" s="0" t="s">
        <v>4796</v>
      </c>
      <c r="V64" s="0" t="s">
        <v>4856</v>
      </c>
      <c r="W64" s="0" t="s">
        <v>4798</v>
      </c>
      <c r="X64" s="0" t="s">
        <v>4799</v>
      </c>
      <c r="Y64" s="0" t="s">
        <v>4796</v>
      </c>
      <c r="Z64" s="0" t="s">
        <v>4857</v>
      </c>
      <c r="AA64" s="0" t="s">
        <v>4801</v>
      </c>
      <c r="AB64" s="0" t="s">
        <v>4856</v>
      </c>
      <c r="AC64" s="0" t="s">
        <v>62</v>
      </c>
      <c r="AD64" s="0" t="s">
        <v>62</v>
      </c>
      <c r="AE64" s="0" t="s">
        <v>62</v>
      </c>
      <c r="AF64" s="0" t="s">
        <v>4871</v>
      </c>
      <c r="AG64" s="0" t="s">
        <v>4935</v>
      </c>
      <c r="AH64" s="0" t="s">
        <v>4871</v>
      </c>
      <c r="AI64" s="0" t="s">
        <v>4935</v>
      </c>
      <c r="AJ64" s="0" t="s">
        <v>4871</v>
      </c>
      <c r="AK64" s="0" t="s">
        <v>4935</v>
      </c>
      <c r="AL64" s="0" t="s">
        <v>4804</v>
      </c>
    </row>
    <row customHeight="1" ht="11.25">
      <c r="A65" s="0" t="s">
        <v>22</v>
      </c>
      <c r="B65" s="0" t="s">
        <v>48</v>
      </c>
      <c r="C65" s="0" t="s">
        <v>50</v>
      </c>
      <c r="D65" s="0" t="s">
        <v>22</v>
      </c>
      <c r="E65" s="0" t="s">
        <v>4934</v>
      </c>
      <c r="F65" s="0" t="s">
        <v>1299</v>
      </c>
      <c r="G65" s="0" t="s">
        <v>99</v>
      </c>
      <c r="H65" s="0" t="s">
        <v>3882</v>
      </c>
      <c r="I65" s="0" t="s">
        <v>3883</v>
      </c>
      <c r="J65" s="0" t="s">
        <v>4926</v>
      </c>
      <c r="K65" s="0" t="s">
        <v>4927</v>
      </c>
      <c r="L65" s="0" t="s">
        <v>1378</v>
      </c>
      <c r="M65" s="0" t="s">
        <v>1355</v>
      </c>
      <c r="N65" s="0" t="s">
        <v>210</v>
      </c>
      <c r="O65" s="0" t="s">
        <v>99</v>
      </c>
      <c r="P65" s="0" t="s">
        <v>3882</v>
      </c>
      <c r="Q65" s="0" t="s">
        <v>3883</v>
      </c>
      <c r="R65" s="0" t="s">
        <v>4926</v>
      </c>
      <c r="S65" s="0" t="s">
        <v>4927</v>
      </c>
      <c r="T65" s="0" t="s">
        <v>4795</v>
      </c>
      <c r="U65" s="0" t="s">
        <v>4796</v>
      </c>
      <c r="V65" s="0" t="s">
        <v>4860</v>
      </c>
      <c r="W65" s="0" t="s">
        <v>4798</v>
      </c>
      <c r="X65" s="0" t="s">
        <v>4799</v>
      </c>
      <c r="Y65" s="0" t="s">
        <v>4796</v>
      </c>
      <c r="Z65" s="0" t="s">
        <v>4861</v>
      </c>
      <c r="AA65" s="0" t="s">
        <v>4807</v>
      </c>
      <c r="AB65" s="0" t="s">
        <v>4860</v>
      </c>
      <c r="AC65" s="0" t="s">
        <v>62</v>
      </c>
      <c r="AD65" s="0" t="s">
        <v>62</v>
      </c>
      <c r="AE65" s="0" t="s">
        <v>62</v>
      </c>
      <c r="AF65" s="0" t="s">
        <v>4871</v>
      </c>
      <c r="AG65" s="0" t="s">
        <v>4935</v>
      </c>
      <c r="AH65" s="0" t="s">
        <v>4871</v>
      </c>
      <c r="AI65" s="0" t="s">
        <v>4935</v>
      </c>
      <c r="AJ65" s="0" t="s">
        <v>4871</v>
      </c>
      <c r="AK65" s="0" t="s">
        <v>4935</v>
      </c>
      <c r="AL65" s="0" t="s">
        <v>4804</v>
      </c>
    </row>
    <row customHeight="1" ht="11.25">
      <c r="A66" s="0" t="s">
        <v>22</v>
      </c>
      <c r="B66" s="0" t="s">
        <v>48</v>
      </c>
      <c r="C66" s="0" t="s">
        <v>50</v>
      </c>
      <c r="D66" s="0" t="s">
        <v>22</v>
      </c>
      <c r="E66" s="0" t="s">
        <v>4936</v>
      </c>
      <c r="F66" s="0" t="s">
        <v>1299</v>
      </c>
      <c r="G66" s="0" t="s">
        <v>99</v>
      </c>
      <c r="H66" s="0" t="s">
        <v>3882</v>
      </c>
      <c r="I66" s="0" t="s">
        <v>3883</v>
      </c>
      <c r="J66" s="0" t="s">
        <v>4926</v>
      </c>
      <c r="K66" s="0" t="s">
        <v>4927</v>
      </c>
      <c r="L66" s="0" t="s">
        <v>1338</v>
      </c>
      <c r="M66" s="0" t="s">
        <v>1355</v>
      </c>
      <c r="N66" s="0" t="s">
        <v>210</v>
      </c>
      <c r="O66" s="0" t="s">
        <v>99</v>
      </c>
      <c r="P66" s="0" t="s">
        <v>3882</v>
      </c>
      <c r="Q66" s="0" t="s">
        <v>3883</v>
      </c>
      <c r="R66" s="0" t="s">
        <v>4926</v>
      </c>
      <c r="S66" s="0" t="s">
        <v>4927</v>
      </c>
      <c r="T66" s="0" t="s">
        <v>4795</v>
      </c>
      <c r="U66" s="0" t="s">
        <v>4796</v>
      </c>
      <c r="V66" s="0" t="s">
        <v>4860</v>
      </c>
      <c r="W66" s="0" t="s">
        <v>4798</v>
      </c>
      <c r="X66" s="0" t="s">
        <v>4799</v>
      </c>
      <c r="Y66" s="0" t="s">
        <v>4796</v>
      </c>
      <c r="Z66" s="0" t="s">
        <v>4861</v>
      </c>
      <c r="AA66" s="0" t="s">
        <v>4807</v>
      </c>
      <c r="AB66" s="0" t="s">
        <v>4860</v>
      </c>
      <c r="AC66" s="0" t="s">
        <v>62</v>
      </c>
      <c r="AD66" s="0" t="s">
        <v>62</v>
      </c>
      <c r="AE66" s="0" t="s">
        <v>62</v>
      </c>
      <c r="AF66" s="0" t="s">
        <v>4862</v>
      </c>
      <c r="AG66" s="0" t="s">
        <v>4937</v>
      </c>
      <c r="AH66" s="0" t="s">
        <v>4862</v>
      </c>
      <c r="AI66" s="0" t="s">
        <v>4937</v>
      </c>
      <c r="AJ66" s="0" t="s">
        <v>4862</v>
      </c>
      <c r="AK66" s="0" t="s">
        <v>4937</v>
      </c>
      <c r="AL66" s="0" t="s">
        <v>4804</v>
      </c>
    </row>
    <row customHeight="1" ht="11.25">
      <c r="A67" s="0" t="s">
        <v>22</v>
      </c>
      <c r="B67" s="0" t="s">
        <v>48</v>
      </c>
      <c r="C67" s="0" t="s">
        <v>50</v>
      </c>
      <c r="D67" s="0" t="s">
        <v>22</v>
      </c>
      <c r="E67" s="0" t="s">
        <v>4936</v>
      </c>
      <c r="F67" s="0" t="s">
        <v>1299</v>
      </c>
      <c r="G67" s="0" t="s">
        <v>99</v>
      </c>
      <c r="H67" s="0" t="s">
        <v>3882</v>
      </c>
      <c r="I67" s="0" t="s">
        <v>3883</v>
      </c>
      <c r="J67" s="0" t="s">
        <v>4926</v>
      </c>
      <c r="K67" s="0" t="s">
        <v>4927</v>
      </c>
      <c r="L67" s="0" t="s">
        <v>1338</v>
      </c>
      <c r="M67" s="0" t="s">
        <v>1355</v>
      </c>
      <c r="N67" s="0" t="s">
        <v>210</v>
      </c>
      <c r="O67" s="0" t="s">
        <v>99</v>
      </c>
      <c r="P67" s="0" t="s">
        <v>3882</v>
      </c>
      <c r="Q67" s="0" t="s">
        <v>3883</v>
      </c>
      <c r="R67" s="0" t="s">
        <v>4926</v>
      </c>
      <c r="S67" s="0" t="s">
        <v>4927</v>
      </c>
      <c r="T67" s="0" t="s">
        <v>4795</v>
      </c>
      <c r="U67" s="0" t="s">
        <v>4796</v>
      </c>
      <c r="V67" s="0" t="s">
        <v>4856</v>
      </c>
      <c r="W67" s="0" t="s">
        <v>4798</v>
      </c>
      <c r="X67" s="0" t="s">
        <v>4799</v>
      </c>
      <c r="Y67" s="0" t="s">
        <v>4796</v>
      </c>
      <c r="Z67" s="0" t="s">
        <v>4857</v>
      </c>
      <c r="AA67" s="0" t="s">
        <v>4801</v>
      </c>
      <c r="AB67" s="0" t="s">
        <v>4856</v>
      </c>
      <c r="AC67" s="0" t="s">
        <v>62</v>
      </c>
      <c r="AD67" s="0" t="s">
        <v>62</v>
      </c>
      <c r="AE67" s="0" t="s">
        <v>62</v>
      </c>
      <c r="AF67" s="0" t="s">
        <v>4862</v>
      </c>
      <c r="AG67" s="0" t="s">
        <v>4937</v>
      </c>
      <c r="AH67" s="0" t="s">
        <v>4862</v>
      </c>
      <c r="AI67" s="0" t="s">
        <v>4937</v>
      </c>
      <c r="AJ67" s="0" t="s">
        <v>4862</v>
      </c>
      <c r="AK67" s="0" t="s">
        <v>4937</v>
      </c>
      <c r="AL67" s="0" t="s">
        <v>4804</v>
      </c>
    </row>
    <row customHeight="1" ht="11.25">
      <c r="A68" s="0" t="s">
        <v>22</v>
      </c>
      <c r="B68" s="0" t="s">
        <v>48</v>
      </c>
      <c r="C68" s="0" t="s">
        <v>50</v>
      </c>
      <c r="D68" s="0" t="s">
        <v>22</v>
      </c>
      <c r="E68" s="0" t="s">
        <v>4938</v>
      </c>
      <c r="F68" s="0" t="s">
        <v>1299</v>
      </c>
      <c r="G68" s="0" t="s">
        <v>99</v>
      </c>
      <c r="H68" s="0" t="s">
        <v>3884</v>
      </c>
      <c r="I68" s="0" t="s">
        <v>3885</v>
      </c>
      <c r="J68" s="0" t="s">
        <v>4939</v>
      </c>
      <c r="K68" s="0" t="s">
        <v>4940</v>
      </c>
      <c r="L68" s="0" t="s">
        <v>1378</v>
      </c>
      <c r="M68" s="0" t="s">
        <v>210</v>
      </c>
      <c r="N68" s="0" t="s">
        <v>210</v>
      </c>
      <c r="O68" s="0" t="s">
        <v>99</v>
      </c>
      <c r="P68" s="0" t="s">
        <v>3884</v>
      </c>
      <c r="Q68" s="0" t="s">
        <v>3885</v>
      </c>
      <c r="R68" s="0" t="s">
        <v>4939</v>
      </c>
      <c r="S68" s="0" t="s">
        <v>4940</v>
      </c>
      <c r="T68" s="0" t="s">
        <v>4795</v>
      </c>
      <c r="U68" s="0" t="s">
        <v>4796</v>
      </c>
      <c r="V68" s="0" t="s">
        <v>4860</v>
      </c>
      <c r="W68" s="0" t="s">
        <v>4798</v>
      </c>
      <c r="X68" s="0" t="s">
        <v>4799</v>
      </c>
      <c r="Y68" s="0" t="s">
        <v>4796</v>
      </c>
      <c r="Z68" s="0" t="s">
        <v>4861</v>
      </c>
      <c r="AA68" s="0" t="s">
        <v>4807</v>
      </c>
      <c r="AB68" s="0" t="s">
        <v>4860</v>
      </c>
      <c r="AC68" s="0" t="s">
        <v>62</v>
      </c>
      <c r="AD68" s="0" t="s">
        <v>62</v>
      </c>
      <c r="AE68" s="0" t="s">
        <v>62</v>
      </c>
      <c r="AF68" s="0" t="s">
        <v>4871</v>
      </c>
      <c r="AG68" s="0" t="s">
        <v>4941</v>
      </c>
      <c r="AH68" s="0" t="s">
        <v>4871</v>
      </c>
      <c r="AI68" s="0" t="s">
        <v>4941</v>
      </c>
      <c r="AJ68" s="0" t="s">
        <v>4871</v>
      </c>
      <c r="AK68" s="0" t="s">
        <v>4941</v>
      </c>
      <c r="AL68" s="0" t="s">
        <v>4804</v>
      </c>
    </row>
    <row customHeight="1" ht="11.25">
      <c r="A69" s="0" t="s">
        <v>22</v>
      </c>
      <c r="B69" s="0" t="s">
        <v>48</v>
      </c>
      <c r="C69" s="0" t="s">
        <v>50</v>
      </c>
      <c r="D69" s="0" t="s">
        <v>22</v>
      </c>
      <c r="E69" s="0" t="s">
        <v>4938</v>
      </c>
      <c r="F69" s="0" t="s">
        <v>1299</v>
      </c>
      <c r="G69" s="0" t="s">
        <v>99</v>
      </c>
      <c r="H69" s="0" t="s">
        <v>3884</v>
      </c>
      <c r="I69" s="0" t="s">
        <v>3885</v>
      </c>
      <c r="J69" s="0" t="s">
        <v>4939</v>
      </c>
      <c r="K69" s="0" t="s">
        <v>4940</v>
      </c>
      <c r="L69" s="0" t="s">
        <v>1378</v>
      </c>
      <c r="M69" s="0" t="s">
        <v>210</v>
      </c>
      <c r="N69" s="0" t="s">
        <v>210</v>
      </c>
      <c r="O69" s="0" t="s">
        <v>99</v>
      </c>
      <c r="P69" s="0" t="s">
        <v>3884</v>
      </c>
      <c r="Q69" s="0" t="s">
        <v>3885</v>
      </c>
      <c r="R69" s="0" t="s">
        <v>4939</v>
      </c>
      <c r="S69" s="0" t="s">
        <v>4940</v>
      </c>
      <c r="T69" s="0" t="s">
        <v>4795</v>
      </c>
      <c r="U69" s="0" t="s">
        <v>4796</v>
      </c>
      <c r="V69" s="0" t="s">
        <v>4856</v>
      </c>
      <c r="W69" s="0" t="s">
        <v>4798</v>
      </c>
      <c r="X69" s="0" t="s">
        <v>4799</v>
      </c>
      <c r="Y69" s="0" t="s">
        <v>4796</v>
      </c>
      <c r="Z69" s="0" t="s">
        <v>4857</v>
      </c>
      <c r="AA69" s="0" t="s">
        <v>4801</v>
      </c>
      <c r="AB69" s="0" t="s">
        <v>4856</v>
      </c>
      <c r="AC69" s="0" t="s">
        <v>62</v>
      </c>
      <c r="AD69" s="0" t="s">
        <v>62</v>
      </c>
      <c r="AE69" s="0" t="s">
        <v>62</v>
      </c>
      <c r="AF69" s="0" t="s">
        <v>4871</v>
      </c>
      <c r="AG69" s="0" t="s">
        <v>4941</v>
      </c>
      <c r="AH69" s="0" t="s">
        <v>4871</v>
      </c>
      <c r="AI69" s="0" t="s">
        <v>4941</v>
      </c>
      <c r="AJ69" s="0" t="s">
        <v>4871</v>
      </c>
      <c r="AK69" s="0" t="s">
        <v>4941</v>
      </c>
      <c r="AL69" s="0" t="s">
        <v>4804</v>
      </c>
    </row>
    <row customHeight="1" ht="11.25">
      <c r="A70" s="0" t="s">
        <v>22</v>
      </c>
      <c r="B70" s="0" t="s">
        <v>48</v>
      </c>
      <c r="C70" s="0" t="s">
        <v>50</v>
      </c>
      <c r="D70" s="0" t="s">
        <v>22</v>
      </c>
      <c r="E70" s="0" t="s">
        <v>4942</v>
      </c>
      <c r="F70" s="0" t="s">
        <v>1299</v>
      </c>
      <c r="G70" s="0" t="s">
        <v>99</v>
      </c>
      <c r="H70" s="0" t="s">
        <v>3884</v>
      </c>
      <c r="I70" s="0" t="s">
        <v>3885</v>
      </c>
      <c r="J70" s="0" t="s">
        <v>4939</v>
      </c>
      <c r="K70" s="0" t="s">
        <v>4940</v>
      </c>
      <c r="L70" s="0" t="s">
        <v>1378</v>
      </c>
      <c r="M70" s="0" t="s">
        <v>92</v>
      </c>
      <c r="N70" s="0" t="s">
        <v>210</v>
      </c>
      <c r="O70" s="0" t="s">
        <v>99</v>
      </c>
      <c r="P70" s="0" t="s">
        <v>3884</v>
      </c>
      <c r="Q70" s="0" t="s">
        <v>3885</v>
      </c>
      <c r="R70" s="0" t="s">
        <v>4939</v>
      </c>
      <c r="S70" s="0" t="s">
        <v>4940</v>
      </c>
      <c r="T70" s="0" t="s">
        <v>4795</v>
      </c>
      <c r="U70" s="0" t="s">
        <v>4796</v>
      </c>
      <c r="V70" s="0" t="s">
        <v>4860</v>
      </c>
      <c r="W70" s="0" t="s">
        <v>4798</v>
      </c>
      <c r="X70" s="0" t="s">
        <v>4799</v>
      </c>
      <c r="Y70" s="0" t="s">
        <v>4796</v>
      </c>
      <c r="Z70" s="0" t="s">
        <v>4861</v>
      </c>
      <c r="AA70" s="0" t="s">
        <v>4807</v>
      </c>
      <c r="AB70" s="0" t="s">
        <v>4860</v>
      </c>
      <c r="AC70" s="0" t="s">
        <v>62</v>
      </c>
      <c r="AD70" s="0" t="s">
        <v>62</v>
      </c>
      <c r="AE70" s="0" t="s">
        <v>62</v>
      </c>
      <c r="AF70" s="0" t="s">
        <v>4871</v>
      </c>
      <c r="AG70" s="0" t="s">
        <v>4943</v>
      </c>
      <c r="AH70" s="0" t="s">
        <v>4871</v>
      </c>
      <c r="AI70" s="0" t="s">
        <v>4943</v>
      </c>
      <c r="AJ70" s="0" t="s">
        <v>4871</v>
      </c>
      <c r="AK70" s="0" t="s">
        <v>4943</v>
      </c>
      <c r="AL70" s="0" t="s">
        <v>4804</v>
      </c>
    </row>
    <row customHeight="1" ht="11.25">
      <c r="A71" s="0" t="s">
        <v>22</v>
      </c>
      <c r="B71" s="0" t="s">
        <v>48</v>
      </c>
      <c r="C71" s="0" t="s">
        <v>50</v>
      </c>
      <c r="D71" s="0" t="s">
        <v>22</v>
      </c>
      <c r="E71" s="0" t="s">
        <v>4942</v>
      </c>
      <c r="F71" s="0" t="s">
        <v>1299</v>
      </c>
      <c r="G71" s="0" t="s">
        <v>99</v>
      </c>
      <c r="H71" s="0" t="s">
        <v>3884</v>
      </c>
      <c r="I71" s="0" t="s">
        <v>3885</v>
      </c>
      <c r="J71" s="0" t="s">
        <v>4939</v>
      </c>
      <c r="K71" s="0" t="s">
        <v>4940</v>
      </c>
      <c r="L71" s="0" t="s">
        <v>1378</v>
      </c>
      <c r="M71" s="0" t="s">
        <v>92</v>
      </c>
      <c r="N71" s="0" t="s">
        <v>210</v>
      </c>
      <c r="O71" s="0" t="s">
        <v>99</v>
      </c>
      <c r="P71" s="0" t="s">
        <v>3884</v>
      </c>
      <c r="Q71" s="0" t="s">
        <v>3885</v>
      </c>
      <c r="R71" s="0" t="s">
        <v>4939</v>
      </c>
      <c r="S71" s="0" t="s">
        <v>4940</v>
      </c>
      <c r="T71" s="0" t="s">
        <v>4795</v>
      </c>
      <c r="U71" s="0" t="s">
        <v>4796</v>
      </c>
      <c r="V71" s="0" t="s">
        <v>4856</v>
      </c>
      <c r="W71" s="0" t="s">
        <v>4798</v>
      </c>
      <c r="X71" s="0" t="s">
        <v>4799</v>
      </c>
      <c r="Y71" s="0" t="s">
        <v>4796</v>
      </c>
      <c r="Z71" s="0" t="s">
        <v>4857</v>
      </c>
      <c r="AA71" s="0" t="s">
        <v>4801</v>
      </c>
      <c r="AB71" s="0" t="s">
        <v>4856</v>
      </c>
      <c r="AC71" s="0" t="s">
        <v>62</v>
      </c>
      <c r="AD71" s="0" t="s">
        <v>62</v>
      </c>
      <c r="AE71" s="0" t="s">
        <v>62</v>
      </c>
      <c r="AF71" s="0" t="s">
        <v>4871</v>
      </c>
      <c r="AG71" s="0" t="s">
        <v>4943</v>
      </c>
      <c r="AH71" s="0" t="s">
        <v>4871</v>
      </c>
      <c r="AI71" s="0" t="s">
        <v>4943</v>
      </c>
      <c r="AJ71" s="0" t="s">
        <v>4871</v>
      </c>
      <c r="AK71" s="0" t="s">
        <v>4943</v>
      </c>
      <c r="AL71" s="0" t="s">
        <v>4804</v>
      </c>
    </row>
    <row customHeight="1" ht="11.25">
      <c r="A72" s="0" t="s">
        <v>22</v>
      </c>
      <c r="B72" s="0" t="s">
        <v>48</v>
      </c>
      <c r="C72" s="0" t="s">
        <v>50</v>
      </c>
      <c r="D72" s="0" t="s">
        <v>22</v>
      </c>
      <c r="E72" s="0" t="s">
        <v>4944</v>
      </c>
      <c r="F72" s="0" t="s">
        <v>1299</v>
      </c>
      <c r="G72" s="0" t="s">
        <v>99</v>
      </c>
      <c r="H72" s="0" t="s">
        <v>3884</v>
      </c>
      <c r="I72" s="0" t="s">
        <v>3885</v>
      </c>
      <c r="J72" s="0" t="s">
        <v>4939</v>
      </c>
      <c r="K72" s="0" t="s">
        <v>4940</v>
      </c>
      <c r="L72" s="0" t="s">
        <v>1378</v>
      </c>
      <c r="M72" s="0" t="s">
        <v>159</v>
      </c>
      <c r="N72" s="0" t="s">
        <v>210</v>
      </c>
      <c r="O72" s="0" t="s">
        <v>99</v>
      </c>
      <c r="P72" s="0" t="s">
        <v>3884</v>
      </c>
      <c r="Q72" s="0" t="s">
        <v>3885</v>
      </c>
      <c r="R72" s="0" t="s">
        <v>4939</v>
      </c>
      <c r="S72" s="0" t="s">
        <v>4940</v>
      </c>
      <c r="T72" s="0" t="s">
        <v>4795</v>
      </c>
      <c r="U72" s="0" t="s">
        <v>4796</v>
      </c>
      <c r="V72" s="0" t="s">
        <v>4856</v>
      </c>
      <c r="W72" s="0" t="s">
        <v>4798</v>
      </c>
      <c r="X72" s="0" t="s">
        <v>4799</v>
      </c>
      <c r="Y72" s="0" t="s">
        <v>4796</v>
      </c>
      <c r="Z72" s="0" t="s">
        <v>4857</v>
      </c>
      <c r="AA72" s="0" t="s">
        <v>4801</v>
      </c>
      <c r="AB72" s="0" t="s">
        <v>4856</v>
      </c>
      <c r="AC72" s="0" t="s">
        <v>62</v>
      </c>
      <c r="AD72" s="0" t="s">
        <v>62</v>
      </c>
      <c r="AE72" s="0" t="s">
        <v>62</v>
      </c>
      <c r="AF72" s="0" t="s">
        <v>4871</v>
      </c>
      <c r="AG72" s="0" t="s">
        <v>4945</v>
      </c>
      <c r="AH72" s="0" t="s">
        <v>4871</v>
      </c>
      <c r="AI72" s="0" t="s">
        <v>4945</v>
      </c>
      <c r="AJ72" s="0" t="s">
        <v>4871</v>
      </c>
      <c r="AK72" s="0" t="s">
        <v>4945</v>
      </c>
      <c r="AL72" s="0" t="s">
        <v>4804</v>
      </c>
    </row>
    <row customHeight="1" ht="11.25">
      <c r="A73" s="0" t="s">
        <v>22</v>
      </c>
      <c r="B73" s="0" t="s">
        <v>48</v>
      </c>
      <c r="C73" s="0" t="s">
        <v>50</v>
      </c>
      <c r="D73" s="0" t="s">
        <v>22</v>
      </c>
      <c r="E73" s="0" t="s">
        <v>4944</v>
      </c>
      <c r="F73" s="0" t="s">
        <v>1299</v>
      </c>
      <c r="G73" s="0" t="s">
        <v>99</v>
      </c>
      <c r="H73" s="0" t="s">
        <v>3884</v>
      </c>
      <c r="I73" s="0" t="s">
        <v>3885</v>
      </c>
      <c r="J73" s="0" t="s">
        <v>4939</v>
      </c>
      <c r="K73" s="0" t="s">
        <v>4940</v>
      </c>
      <c r="L73" s="0" t="s">
        <v>1378</v>
      </c>
      <c r="M73" s="0" t="s">
        <v>159</v>
      </c>
      <c r="N73" s="0" t="s">
        <v>210</v>
      </c>
      <c r="O73" s="0" t="s">
        <v>99</v>
      </c>
      <c r="P73" s="0" t="s">
        <v>3884</v>
      </c>
      <c r="Q73" s="0" t="s">
        <v>3885</v>
      </c>
      <c r="R73" s="0" t="s">
        <v>4939</v>
      </c>
      <c r="S73" s="0" t="s">
        <v>4940</v>
      </c>
      <c r="T73" s="0" t="s">
        <v>4795</v>
      </c>
      <c r="U73" s="0" t="s">
        <v>4796</v>
      </c>
      <c r="V73" s="0" t="s">
        <v>4860</v>
      </c>
      <c r="W73" s="0" t="s">
        <v>4798</v>
      </c>
      <c r="X73" s="0" t="s">
        <v>4799</v>
      </c>
      <c r="Y73" s="0" t="s">
        <v>4796</v>
      </c>
      <c r="Z73" s="0" t="s">
        <v>4861</v>
      </c>
      <c r="AA73" s="0" t="s">
        <v>4807</v>
      </c>
      <c r="AB73" s="0" t="s">
        <v>4860</v>
      </c>
      <c r="AC73" s="0" t="s">
        <v>62</v>
      </c>
      <c r="AD73" s="0" t="s">
        <v>62</v>
      </c>
      <c r="AE73" s="0" t="s">
        <v>62</v>
      </c>
      <c r="AF73" s="0" t="s">
        <v>4871</v>
      </c>
      <c r="AG73" s="0" t="s">
        <v>4945</v>
      </c>
      <c r="AH73" s="0" t="s">
        <v>4871</v>
      </c>
      <c r="AI73" s="0" t="s">
        <v>4945</v>
      </c>
      <c r="AJ73" s="0" t="s">
        <v>4871</v>
      </c>
      <c r="AK73" s="0" t="s">
        <v>4945</v>
      </c>
      <c r="AL73" s="0" t="s">
        <v>4804</v>
      </c>
    </row>
    <row customHeight="1" ht="11.25">
      <c r="A74" s="0" t="s">
        <v>22</v>
      </c>
      <c r="B74" s="0" t="s">
        <v>48</v>
      </c>
      <c r="C74" s="0" t="s">
        <v>50</v>
      </c>
      <c r="D74" s="0" t="s">
        <v>22</v>
      </c>
      <c r="E74" s="0" t="s">
        <v>4946</v>
      </c>
      <c r="F74" s="0" t="s">
        <v>1299</v>
      </c>
      <c r="G74" s="0" t="s">
        <v>99</v>
      </c>
      <c r="H74" s="0" t="s">
        <v>3884</v>
      </c>
      <c r="I74" s="0" t="s">
        <v>3885</v>
      </c>
      <c r="J74" s="0" t="s">
        <v>4939</v>
      </c>
      <c r="K74" s="0" t="s">
        <v>4940</v>
      </c>
      <c r="L74" s="0" t="s">
        <v>4947</v>
      </c>
      <c r="M74" s="0" t="s">
        <v>90</v>
      </c>
      <c r="N74" s="0" t="s">
        <v>210</v>
      </c>
      <c r="O74" s="0" t="s">
        <v>99</v>
      </c>
      <c r="P74" s="0" t="s">
        <v>3884</v>
      </c>
      <c r="Q74" s="0" t="s">
        <v>3885</v>
      </c>
      <c r="R74" s="0" t="s">
        <v>4939</v>
      </c>
      <c r="S74" s="0" t="s">
        <v>4940</v>
      </c>
      <c r="T74" s="0" t="s">
        <v>4795</v>
      </c>
      <c r="U74" s="0" t="s">
        <v>4796</v>
      </c>
      <c r="V74" s="0" t="s">
        <v>4856</v>
      </c>
      <c r="W74" s="0" t="s">
        <v>4798</v>
      </c>
      <c r="X74" s="0" t="s">
        <v>4799</v>
      </c>
      <c r="Y74" s="0" t="s">
        <v>4796</v>
      </c>
      <c r="Z74" s="0" t="s">
        <v>4857</v>
      </c>
      <c r="AA74" s="0" t="s">
        <v>4801</v>
      </c>
      <c r="AB74" s="0" t="s">
        <v>4856</v>
      </c>
      <c r="AC74" s="0" t="s">
        <v>62</v>
      </c>
      <c r="AD74" s="0" t="s">
        <v>62</v>
      </c>
      <c r="AE74" s="0" t="s">
        <v>62</v>
      </c>
      <c r="AF74" s="0" t="s">
        <v>4948</v>
      </c>
      <c r="AG74" s="0" t="s">
        <v>4949</v>
      </c>
      <c r="AH74" s="0" t="s">
        <v>4948</v>
      </c>
      <c r="AI74" s="0" t="s">
        <v>4949</v>
      </c>
      <c r="AJ74" s="0" t="s">
        <v>4948</v>
      </c>
      <c r="AK74" s="0" t="s">
        <v>4949</v>
      </c>
      <c r="AL74" s="0" t="s">
        <v>4804</v>
      </c>
    </row>
    <row customHeight="1" ht="11.25">
      <c r="A75" s="0" t="s">
        <v>22</v>
      </c>
      <c r="B75" s="0" t="s">
        <v>48</v>
      </c>
      <c r="C75" s="0" t="s">
        <v>50</v>
      </c>
      <c r="D75" s="0" t="s">
        <v>22</v>
      </c>
      <c r="E75" s="0" t="s">
        <v>4946</v>
      </c>
      <c r="F75" s="0" t="s">
        <v>1299</v>
      </c>
      <c r="G75" s="0" t="s">
        <v>99</v>
      </c>
      <c r="H75" s="0" t="s">
        <v>3884</v>
      </c>
      <c r="I75" s="0" t="s">
        <v>3885</v>
      </c>
      <c r="J75" s="0" t="s">
        <v>4939</v>
      </c>
      <c r="K75" s="0" t="s">
        <v>4940</v>
      </c>
      <c r="L75" s="0" t="s">
        <v>4947</v>
      </c>
      <c r="M75" s="0" t="s">
        <v>90</v>
      </c>
      <c r="N75" s="0" t="s">
        <v>210</v>
      </c>
      <c r="O75" s="0" t="s">
        <v>99</v>
      </c>
      <c r="P75" s="0" t="s">
        <v>3884</v>
      </c>
      <c r="Q75" s="0" t="s">
        <v>3885</v>
      </c>
      <c r="R75" s="0" t="s">
        <v>4939</v>
      </c>
      <c r="S75" s="0" t="s">
        <v>4940</v>
      </c>
      <c r="T75" s="0" t="s">
        <v>4795</v>
      </c>
      <c r="U75" s="0" t="s">
        <v>4796</v>
      </c>
      <c r="V75" s="0" t="s">
        <v>4860</v>
      </c>
      <c r="W75" s="0" t="s">
        <v>4798</v>
      </c>
      <c r="X75" s="0" t="s">
        <v>4799</v>
      </c>
      <c r="Y75" s="0" t="s">
        <v>4796</v>
      </c>
      <c r="Z75" s="0" t="s">
        <v>4861</v>
      </c>
      <c r="AA75" s="0" t="s">
        <v>4807</v>
      </c>
      <c r="AB75" s="0" t="s">
        <v>4860</v>
      </c>
      <c r="AC75" s="0" t="s">
        <v>62</v>
      </c>
      <c r="AD75" s="0" t="s">
        <v>62</v>
      </c>
      <c r="AE75" s="0" t="s">
        <v>62</v>
      </c>
      <c r="AF75" s="0" t="s">
        <v>4948</v>
      </c>
      <c r="AG75" s="0" t="s">
        <v>4949</v>
      </c>
      <c r="AH75" s="0" t="s">
        <v>4948</v>
      </c>
      <c r="AI75" s="0" t="s">
        <v>4949</v>
      </c>
      <c r="AJ75" s="0" t="s">
        <v>4948</v>
      </c>
      <c r="AK75" s="0" t="s">
        <v>4949</v>
      </c>
      <c r="AL75" s="0" t="s">
        <v>4804</v>
      </c>
    </row>
    <row customHeight="1" ht="11.25">
      <c r="A76" s="0" t="s">
        <v>22</v>
      </c>
      <c r="B76" s="0" t="s">
        <v>48</v>
      </c>
      <c r="C76" s="0" t="s">
        <v>50</v>
      </c>
      <c r="D76" s="0" t="s">
        <v>22</v>
      </c>
      <c r="E76" s="0" t="s">
        <v>4950</v>
      </c>
      <c r="F76" s="0" t="s">
        <v>1299</v>
      </c>
      <c r="G76" s="0" t="s">
        <v>99</v>
      </c>
      <c r="H76" s="0" t="s">
        <v>3884</v>
      </c>
      <c r="I76" s="0" t="s">
        <v>3885</v>
      </c>
      <c r="J76" s="0" t="s">
        <v>4951</v>
      </c>
      <c r="K76" s="0" t="s">
        <v>4952</v>
      </c>
      <c r="L76" s="0" t="s">
        <v>1378</v>
      </c>
      <c r="M76" s="0" t="s">
        <v>1355</v>
      </c>
      <c r="N76" s="0" t="s">
        <v>210</v>
      </c>
      <c r="O76" s="0" t="s">
        <v>99</v>
      </c>
      <c r="P76" s="0" t="s">
        <v>3884</v>
      </c>
      <c r="Q76" s="0" t="s">
        <v>3885</v>
      </c>
      <c r="R76" s="0" t="s">
        <v>4951</v>
      </c>
      <c r="S76" s="0" t="s">
        <v>4952</v>
      </c>
      <c r="T76" s="0" t="s">
        <v>4795</v>
      </c>
      <c r="U76" s="0" t="s">
        <v>4796</v>
      </c>
      <c r="V76" s="0" t="s">
        <v>4860</v>
      </c>
      <c r="W76" s="0" t="s">
        <v>4798</v>
      </c>
      <c r="X76" s="0" t="s">
        <v>4799</v>
      </c>
      <c r="Y76" s="0" t="s">
        <v>4796</v>
      </c>
      <c r="Z76" s="0" t="s">
        <v>4861</v>
      </c>
      <c r="AA76" s="0" t="s">
        <v>4807</v>
      </c>
      <c r="AB76" s="0" t="s">
        <v>4860</v>
      </c>
      <c r="AC76" s="0" t="s">
        <v>62</v>
      </c>
      <c r="AD76" s="0" t="s">
        <v>62</v>
      </c>
      <c r="AE76" s="0" t="s">
        <v>62</v>
      </c>
      <c r="AF76" s="0" t="s">
        <v>4953</v>
      </c>
      <c r="AG76" s="0" t="s">
        <v>4954</v>
      </c>
      <c r="AH76" s="0" t="s">
        <v>4953</v>
      </c>
      <c r="AI76" s="0" t="s">
        <v>4954</v>
      </c>
      <c r="AJ76" s="0" t="s">
        <v>4953</v>
      </c>
      <c r="AK76" s="0" t="s">
        <v>4954</v>
      </c>
      <c r="AL76" s="0" t="s">
        <v>4804</v>
      </c>
    </row>
    <row customHeight="1" ht="11.25">
      <c r="A77" s="0" t="s">
        <v>22</v>
      </c>
      <c r="B77" s="0" t="s">
        <v>48</v>
      </c>
      <c r="C77" s="0" t="s">
        <v>50</v>
      </c>
      <c r="D77" s="0" t="s">
        <v>22</v>
      </c>
      <c r="E77" s="0" t="s">
        <v>4950</v>
      </c>
      <c r="F77" s="0" t="s">
        <v>1299</v>
      </c>
      <c r="G77" s="0" t="s">
        <v>99</v>
      </c>
      <c r="H77" s="0" t="s">
        <v>3884</v>
      </c>
      <c r="I77" s="0" t="s">
        <v>3885</v>
      </c>
      <c r="J77" s="0" t="s">
        <v>4951</v>
      </c>
      <c r="K77" s="0" t="s">
        <v>4952</v>
      </c>
      <c r="L77" s="0" t="s">
        <v>1378</v>
      </c>
      <c r="M77" s="0" t="s">
        <v>1355</v>
      </c>
      <c r="N77" s="0" t="s">
        <v>210</v>
      </c>
      <c r="O77" s="0" t="s">
        <v>99</v>
      </c>
      <c r="P77" s="0" t="s">
        <v>3884</v>
      </c>
      <c r="Q77" s="0" t="s">
        <v>3885</v>
      </c>
      <c r="R77" s="0" t="s">
        <v>4951</v>
      </c>
      <c r="S77" s="0" t="s">
        <v>4952</v>
      </c>
      <c r="T77" s="0" t="s">
        <v>4795</v>
      </c>
      <c r="U77" s="0" t="s">
        <v>4796</v>
      </c>
      <c r="V77" s="0" t="s">
        <v>4856</v>
      </c>
      <c r="W77" s="0" t="s">
        <v>4798</v>
      </c>
      <c r="X77" s="0" t="s">
        <v>4799</v>
      </c>
      <c r="Y77" s="0" t="s">
        <v>4796</v>
      </c>
      <c r="Z77" s="0" t="s">
        <v>4857</v>
      </c>
      <c r="AA77" s="0" t="s">
        <v>4801</v>
      </c>
      <c r="AB77" s="0" t="s">
        <v>4856</v>
      </c>
      <c r="AC77" s="0" t="s">
        <v>62</v>
      </c>
      <c r="AD77" s="0" t="s">
        <v>62</v>
      </c>
      <c r="AE77" s="0" t="s">
        <v>62</v>
      </c>
      <c r="AF77" s="0" t="s">
        <v>4953</v>
      </c>
      <c r="AG77" s="0" t="s">
        <v>4954</v>
      </c>
      <c r="AH77" s="0" t="s">
        <v>4953</v>
      </c>
      <c r="AI77" s="0" t="s">
        <v>4954</v>
      </c>
      <c r="AJ77" s="0" t="s">
        <v>4953</v>
      </c>
      <c r="AK77" s="0" t="s">
        <v>4954</v>
      </c>
      <c r="AL77" s="0" t="s">
        <v>4804</v>
      </c>
    </row>
    <row customHeight="1" ht="11.25">
      <c r="A78" s="0" t="s">
        <v>22</v>
      </c>
      <c r="B78" s="0" t="s">
        <v>48</v>
      </c>
      <c r="C78" s="0" t="s">
        <v>50</v>
      </c>
      <c r="D78" s="0" t="s">
        <v>22</v>
      </c>
      <c r="E78" s="0" t="s">
        <v>4955</v>
      </c>
      <c r="F78" s="0" t="s">
        <v>1299</v>
      </c>
      <c r="G78" s="0" t="s">
        <v>99</v>
      </c>
      <c r="H78" s="0" t="s">
        <v>3888</v>
      </c>
      <c r="I78" s="0" t="s">
        <v>3889</v>
      </c>
      <c r="J78" s="0" t="s">
        <v>4956</v>
      </c>
      <c r="K78" s="0" t="s">
        <v>4957</v>
      </c>
      <c r="L78" s="0" t="s">
        <v>4958</v>
      </c>
      <c r="M78" s="0" t="s">
        <v>90</v>
      </c>
      <c r="N78" s="0" t="s">
        <v>210</v>
      </c>
      <c r="O78" s="0" t="s">
        <v>99</v>
      </c>
      <c r="P78" s="0" t="s">
        <v>3888</v>
      </c>
      <c r="Q78" s="0" t="s">
        <v>3889</v>
      </c>
      <c r="R78" s="0" t="s">
        <v>4956</v>
      </c>
      <c r="S78" s="0" t="s">
        <v>4957</v>
      </c>
      <c r="T78" s="0" t="s">
        <v>4795</v>
      </c>
      <c r="U78" s="0" t="s">
        <v>4796</v>
      </c>
      <c r="V78" s="0" t="s">
        <v>4860</v>
      </c>
      <c r="W78" s="0" t="s">
        <v>4798</v>
      </c>
      <c r="X78" s="0" t="s">
        <v>4799</v>
      </c>
      <c r="Y78" s="0" t="s">
        <v>4796</v>
      </c>
      <c r="Z78" s="0" t="s">
        <v>4861</v>
      </c>
      <c r="AA78" s="0" t="s">
        <v>4807</v>
      </c>
      <c r="AB78" s="0" t="s">
        <v>4860</v>
      </c>
      <c r="AC78" s="0" t="s">
        <v>62</v>
      </c>
      <c r="AD78" s="0" t="s">
        <v>62</v>
      </c>
      <c r="AE78" s="0" t="s">
        <v>62</v>
      </c>
      <c r="AF78" s="0" t="s">
        <v>4862</v>
      </c>
      <c r="AG78" s="0" t="s">
        <v>4937</v>
      </c>
      <c r="AH78" s="0" t="s">
        <v>4862</v>
      </c>
      <c r="AI78" s="0" t="s">
        <v>4937</v>
      </c>
      <c r="AJ78" s="0" t="s">
        <v>4862</v>
      </c>
      <c r="AK78" s="0" t="s">
        <v>4937</v>
      </c>
      <c r="AL78" s="0" t="s">
        <v>4959</v>
      </c>
    </row>
    <row customHeight="1" ht="11.25">
      <c r="A79" s="0" t="s">
        <v>22</v>
      </c>
      <c r="B79" s="0" t="s">
        <v>48</v>
      </c>
      <c r="C79" s="0" t="s">
        <v>50</v>
      </c>
      <c r="D79" s="0" t="s">
        <v>22</v>
      </c>
      <c r="E79" s="0" t="s">
        <v>4955</v>
      </c>
      <c r="F79" s="0" t="s">
        <v>1299</v>
      </c>
      <c r="G79" s="0" t="s">
        <v>99</v>
      </c>
      <c r="H79" s="0" t="s">
        <v>3888</v>
      </c>
      <c r="I79" s="0" t="s">
        <v>3889</v>
      </c>
      <c r="J79" s="0" t="s">
        <v>4956</v>
      </c>
      <c r="K79" s="0" t="s">
        <v>4957</v>
      </c>
      <c r="L79" s="0" t="s">
        <v>4958</v>
      </c>
      <c r="M79" s="0" t="s">
        <v>90</v>
      </c>
      <c r="N79" s="0" t="s">
        <v>210</v>
      </c>
      <c r="O79" s="0" t="s">
        <v>99</v>
      </c>
      <c r="P79" s="0" t="s">
        <v>3888</v>
      </c>
      <c r="Q79" s="0" t="s">
        <v>3889</v>
      </c>
      <c r="R79" s="0" t="s">
        <v>4956</v>
      </c>
      <c r="S79" s="0" t="s">
        <v>4957</v>
      </c>
      <c r="T79" s="0" t="s">
        <v>4795</v>
      </c>
      <c r="U79" s="0" t="s">
        <v>4796</v>
      </c>
      <c r="V79" s="0" t="s">
        <v>4856</v>
      </c>
      <c r="W79" s="0" t="s">
        <v>4798</v>
      </c>
      <c r="X79" s="0" t="s">
        <v>4799</v>
      </c>
      <c r="Y79" s="0" t="s">
        <v>4796</v>
      </c>
      <c r="Z79" s="0" t="s">
        <v>4857</v>
      </c>
      <c r="AA79" s="0" t="s">
        <v>4801</v>
      </c>
      <c r="AB79" s="0" t="s">
        <v>4856</v>
      </c>
      <c r="AC79" s="0" t="s">
        <v>62</v>
      </c>
      <c r="AD79" s="0" t="s">
        <v>62</v>
      </c>
      <c r="AE79" s="0" t="s">
        <v>62</v>
      </c>
      <c r="AF79" s="0" t="s">
        <v>4862</v>
      </c>
      <c r="AG79" s="0" t="s">
        <v>4937</v>
      </c>
      <c r="AH79" s="0" t="s">
        <v>4862</v>
      </c>
      <c r="AI79" s="0" t="s">
        <v>4937</v>
      </c>
      <c r="AJ79" s="0" t="s">
        <v>4862</v>
      </c>
      <c r="AK79" s="0" t="s">
        <v>4937</v>
      </c>
      <c r="AL79" s="0" t="s">
        <v>4959</v>
      </c>
    </row>
    <row customHeight="1" ht="11.25">
      <c r="A80" s="0" t="s">
        <v>22</v>
      </c>
      <c r="B80" s="0" t="s">
        <v>48</v>
      </c>
      <c r="C80" s="0" t="s">
        <v>50</v>
      </c>
      <c r="D80" s="0" t="s">
        <v>22</v>
      </c>
      <c r="E80" s="0" t="s">
        <v>4960</v>
      </c>
      <c r="F80" s="0" t="s">
        <v>1299</v>
      </c>
      <c r="G80" s="0" t="s">
        <v>99</v>
      </c>
      <c r="H80" s="0" t="s">
        <v>3888</v>
      </c>
      <c r="I80" s="0" t="s">
        <v>3889</v>
      </c>
      <c r="J80" s="0" t="s">
        <v>4961</v>
      </c>
      <c r="K80" s="0" t="s">
        <v>4962</v>
      </c>
      <c r="L80" s="0" t="s">
        <v>4963</v>
      </c>
      <c r="M80" s="0" t="s">
        <v>91</v>
      </c>
      <c r="N80" s="0" t="s">
        <v>210</v>
      </c>
      <c r="O80" s="0" t="s">
        <v>99</v>
      </c>
      <c r="P80" s="0" t="s">
        <v>3888</v>
      </c>
      <c r="Q80" s="0" t="s">
        <v>3889</v>
      </c>
      <c r="R80" s="0" t="s">
        <v>4961</v>
      </c>
      <c r="S80" s="0" t="s">
        <v>4962</v>
      </c>
      <c r="T80" s="0" t="s">
        <v>4795</v>
      </c>
      <c r="U80" s="0" t="s">
        <v>4796</v>
      </c>
      <c r="V80" s="0" t="s">
        <v>4856</v>
      </c>
      <c r="W80" s="0" t="s">
        <v>4798</v>
      </c>
      <c r="X80" s="0" t="s">
        <v>4799</v>
      </c>
      <c r="Y80" s="0" t="s">
        <v>4796</v>
      </c>
      <c r="Z80" s="0" t="s">
        <v>4857</v>
      </c>
      <c r="AA80" s="0" t="s">
        <v>4801</v>
      </c>
      <c r="AB80" s="0" t="s">
        <v>4856</v>
      </c>
      <c r="AC80" s="0" t="s">
        <v>62</v>
      </c>
      <c r="AD80" s="0" t="s">
        <v>62</v>
      </c>
      <c r="AE80" s="0" t="s">
        <v>62</v>
      </c>
      <c r="AF80" s="0" t="s">
        <v>4964</v>
      </c>
      <c r="AG80" s="0" t="s">
        <v>4965</v>
      </c>
      <c r="AH80" s="0" t="s">
        <v>4964</v>
      </c>
      <c r="AI80" s="0" t="s">
        <v>4965</v>
      </c>
      <c r="AJ80" s="0" t="s">
        <v>4964</v>
      </c>
      <c r="AK80" s="0" t="s">
        <v>4965</v>
      </c>
      <c r="AL80" s="0" t="s">
        <v>4804</v>
      </c>
    </row>
    <row customHeight="1" ht="11.25">
      <c r="A81" s="0" t="s">
        <v>22</v>
      </c>
      <c r="B81" s="0" t="s">
        <v>48</v>
      </c>
      <c r="C81" s="0" t="s">
        <v>50</v>
      </c>
      <c r="D81" s="0" t="s">
        <v>22</v>
      </c>
      <c r="E81" s="0" t="s">
        <v>4960</v>
      </c>
      <c r="F81" s="0" t="s">
        <v>1299</v>
      </c>
      <c r="G81" s="0" t="s">
        <v>99</v>
      </c>
      <c r="H81" s="0" t="s">
        <v>3888</v>
      </c>
      <c r="I81" s="0" t="s">
        <v>3889</v>
      </c>
      <c r="J81" s="0" t="s">
        <v>4961</v>
      </c>
      <c r="K81" s="0" t="s">
        <v>4962</v>
      </c>
      <c r="L81" s="0" t="s">
        <v>4963</v>
      </c>
      <c r="M81" s="0" t="s">
        <v>91</v>
      </c>
      <c r="N81" s="0" t="s">
        <v>210</v>
      </c>
      <c r="O81" s="0" t="s">
        <v>99</v>
      </c>
      <c r="P81" s="0" t="s">
        <v>3888</v>
      </c>
      <c r="Q81" s="0" t="s">
        <v>3889</v>
      </c>
      <c r="R81" s="0" t="s">
        <v>4961</v>
      </c>
      <c r="S81" s="0" t="s">
        <v>4962</v>
      </c>
      <c r="T81" s="0" t="s">
        <v>4795</v>
      </c>
      <c r="U81" s="0" t="s">
        <v>4796</v>
      </c>
      <c r="V81" s="0" t="s">
        <v>4860</v>
      </c>
      <c r="W81" s="0" t="s">
        <v>4798</v>
      </c>
      <c r="X81" s="0" t="s">
        <v>4799</v>
      </c>
      <c r="Y81" s="0" t="s">
        <v>4796</v>
      </c>
      <c r="Z81" s="0" t="s">
        <v>4861</v>
      </c>
      <c r="AA81" s="0" t="s">
        <v>4807</v>
      </c>
      <c r="AB81" s="0" t="s">
        <v>4860</v>
      </c>
      <c r="AC81" s="0" t="s">
        <v>62</v>
      </c>
      <c r="AD81" s="0" t="s">
        <v>62</v>
      </c>
      <c r="AE81" s="0" t="s">
        <v>62</v>
      </c>
      <c r="AF81" s="0" t="s">
        <v>4964</v>
      </c>
      <c r="AG81" s="0" t="s">
        <v>4965</v>
      </c>
      <c r="AH81" s="0" t="s">
        <v>4964</v>
      </c>
      <c r="AI81" s="0" t="s">
        <v>4965</v>
      </c>
      <c r="AJ81" s="0" t="s">
        <v>4964</v>
      </c>
      <c r="AK81" s="0" t="s">
        <v>4965</v>
      </c>
      <c r="AL81" s="0" t="s">
        <v>4804</v>
      </c>
    </row>
    <row customHeight="1" ht="11.25">
      <c r="A82" s="0" t="s">
        <v>22</v>
      </c>
      <c r="B82" s="0" t="s">
        <v>48</v>
      </c>
      <c r="C82" s="0" t="s">
        <v>50</v>
      </c>
      <c r="D82" s="0" t="s">
        <v>22</v>
      </c>
      <c r="E82" s="0" t="s">
        <v>1388</v>
      </c>
      <c r="F82" s="0" t="s">
        <v>1299</v>
      </c>
      <c r="G82" s="0" t="s">
        <v>1389</v>
      </c>
      <c r="H82" s="0" t="s">
        <v>1390</v>
      </c>
      <c r="I82" s="0" t="s">
        <v>1391</v>
      </c>
      <c r="J82" s="0" t="s">
        <v>1392</v>
      </c>
      <c r="K82" s="0" t="s">
        <v>1393</v>
      </c>
      <c r="L82" s="0" t="s">
        <v>1354</v>
      </c>
      <c r="M82" s="0" t="s">
        <v>144</v>
      </c>
      <c r="N82" s="0" t="s">
        <v>210</v>
      </c>
      <c r="O82" s="0" t="s">
        <v>1389</v>
      </c>
      <c r="P82" s="0" t="s">
        <v>1390</v>
      </c>
      <c r="Q82" s="0" t="s">
        <v>1391</v>
      </c>
      <c r="R82" s="0" t="s">
        <v>1392</v>
      </c>
      <c r="S82" s="0" t="s">
        <v>1393</v>
      </c>
      <c r="T82" s="0" t="s">
        <v>4795</v>
      </c>
      <c r="U82" s="0" t="s">
        <v>4796</v>
      </c>
      <c r="V82" s="0" t="s">
        <v>4966</v>
      </c>
      <c r="W82" s="0" t="s">
        <v>4798</v>
      </c>
      <c r="X82" s="0" t="s">
        <v>4799</v>
      </c>
      <c r="Y82" s="0" t="s">
        <v>4796</v>
      </c>
      <c r="Z82" s="0" t="s">
        <v>4967</v>
      </c>
      <c r="AA82" s="0" t="s">
        <v>4807</v>
      </c>
      <c r="AB82" s="0" t="s">
        <v>4966</v>
      </c>
      <c r="AC82" s="0" t="s">
        <v>62</v>
      </c>
      <c r="AD82" s="0" t="s">
        <v>62</v>
      </c>
      <c r="AE82" s="0" t="s">
        <v>62</v>
      </c>
      <c r="AF82" s="0" t="s">
        <v>4953</v>
      </c>
      <c r="AG82" s="0" t="s">
        <v>4968</v>
      </c>
      <c r="AH82" s="0" t="s">
        <v>4953</v>
      </c>
      <c r="AI82" s="0" t="s">
        <v>4968</v>
      </c>
      <c r="AJ82" s="0" t="s">
        <v>4953</v>
      </c>
      <c r="AK82" s="0" t="s">
        <v>4968</v>
      </c>
      <c r="AL82" s="0" t="s">
        <v>4804</v>
      </c>
    </row>
    <row customHeight="1" ht="11.25">
      <c r="A83" s="0" t="s">
        <v>22</v>
      </c>
      <c r="B83" s="0" t="s">
        <v>48</v>
      </c>
      <c r="C83" s="0" t="s">
        <v>50</v>
      </c>
      <c r="D83" s="0" t="s">
        <v>22</v>
      </c>
      <c r="E83" s="0" t="s">
        <v>1388</v>
      </c>
      <c r="F83" s="0" t="s">
        <v>1299</v>
      </c>
      <c r="G83" s="0" t="s">
        <v>1389</v>
      </c>
      <c r="H83" s="0" t="s">
        <v>1390</v>
      </c>
      <c r="I83" s="0" t="s">
        <v>1391</v>
      </c>
      <c r="J83" s="0" t="s">
        <v>1392</v>
      </c>
      <c r="K83" s="0" t="s">
        <v>1393</v>
      </c>
      <c r="L83" s="0" t="s">
        <v>1354</v>
      </c>
      <c r="M83" s="0" t="s">
        <v>144</v>
      </c>
      <c r="N83" s="0" t="s">
        <v>210</v>
      </c>
      <c r="O83" s="0" t="s">
        <v>1389</v>
      </c>
      <c r="P83" s="0" t="s">
        <v>1390</v>
      </c>
      <c r="Q83" s="0" t="s">
        <v>1391</v>
      </c>
      <c r="R83" s="0" t="s">
        <v>1392</v>
      </c>
      <c r="S83" s="0" t="s">
        <v>1393</v>
      </c>
      <c r="T83" s="0" t="s">
        <v>4795</v>
      </c>
      <c r="U83" s="0" t="s">
        <v>4796</v>
      </c>
      <c r="V83" s="0" t="s">
        <v>4969</v>
      </c>
      <c r="W83" s="0" t="s">
        <v>4798</v>
      </c>
      <c r="X83" s="0" t="s">
        <v>4799</v>
      </c>
      <c r="Y83" s="0" t="s">
        <v>4796</v>
      </c>
      <c r="Z83" s="0" t="s">
        <v>4970</v>
      </c>
      <c r="AA83" s="0" t="s">
        <v>4971</v>
      </c>
      <c r="AB83" s="0" t="s">
        <v>4969</v>
      </c>
      <c r="AC83" s="0" t="s">
        <v>62</v>
      </c>
      <c r="AD83" s="0" t="s">
        <v>62</v>
      </c>
      <c r="AE83" s="0" t="s">
        <v>62</v>
      </c>
      <c r="AF83" s="0" t="s">
        <v>4953</v>
      </c>
      <c r="AG83" s="0" t="s">
        <v>4968</v>
      </c>
      <c r="AH83" s="0" t="s">
        <v>4953</v>
      </c>
      <c r="AI83" s="0" t="s">
        <v>4968</v>
      </c>
      <c r="AJ83" s="0" t="s">
        <v>4953</v>
      </c>
      <c r="AK83" s="0" t="s">
        <v>4968</v>
      </c>
      <c r="AL83" s="0" t="s">
        <v>4804</v>
      </c>
    </row>
    <row customHeight="1" ht="11.25">
      <c r="A84" s="0" t="s">
        <v>22</v>
      </c>
      <c r="B84" s="0" t="s">
        <v>48</v>
      </c>
      <c r="C84" s="0" t="s">
        <v>50</v>
      </c>
      <c r="D84" s="0" t="s">
        <v>22</v>
      </c>
      <c r="E84" s="0" t="s">
        <v>1381</v>
      </c>
      <c r="F84" s="0" t="s">
        <v>1299</v>
      </c>
      <c r="G84" s="0" t="s">
        <v>106</v>
      </c>
      <c r="H84" s="0" t="s">
        <v>1374</v>
      </c>
      <c r="I84" s="0" t="s">
        <v>1375</v>
      </c>
      <c r="J84" s="0" t="s">
        <v>1376</v>
      </c>
      <c r="K84" s="0" t="s">
        <v>1377</v>
      </c>
      <c r="L84" s="0" t="s">
        <v>1382</v>
      </c>
      <c r="M84" s="0" t="s">
        <v>1383</v>
      </c>
      <c r="N84" s="0" t="s">
        <v>210</v>
      </c>
      <c r="O84" s="0" t="s">
        <v>106</v>
      </c>
      <c r="P84" s="0" t="s">
        <v>1374</v>
      </c>
      <c r="Q84" s="0" t="s">
        <v>1375</v>
      </c>
      <c r="R84" s="0" t="s">
        <v>1376</v>
      </c>
      <c r="S84" s="0" t="s">
        <v>1377</v>
      </c>
      <c r="T84" s="0" t="s">
        <v>4795</v>
      </c>
      <c r="U84" s="0" t="s">
        <v>4796</v>
      </c>
      <c r="V84" s="0" t="s">
        <v>4969</v>
      </c>
      <c r="W84" s="0" t="s">
        <v>4798</v>
      </c>
      <c r="X84" s="0" t="s">
        <v>4799</v>
      </c>
      <c r="Y84" s="0" t="s">
        <v>4796</v>
      </c>
      <c r="Z84" s="0" t="s">
        <v>4970</v>
      </c>
      <c r="AA84" s="0" t="s">
        <v>4971</v>
      </c>
      <c r="AB84" s="0" t="s">
        <v>4969</v>
      </c>
      <c r="AC84" s="0" t="s">
        <v>62</v>
      </c>
      <c r="AD84" s="0" t="s">
        <v>62</v>
      </c>
      <c r="AE84" s="0" t="s">
        <v>62</v>
      </c>
      <c r="AF84" s="0" t="s">
        <v>4964</v>
      </c>
      <c r="AG84" s="0" t="s">
        <v>4972</v>
      </c>
      <c r="AH84" s="0" t="s">
        <v>4964</v>
      </c>
      <c r="AI84" s="0" t="s">
        <v>4972</v>
      </c>
      <c r="AJ84" s="0" t="s">
        <v>4964</v>
      </c>
      <c r="AK84" s="0" t="s">
        <v>4972</v>
      </c>
      <c r="AL84" s="0" t="s">
        <v>4804</v>
      </c>
    </row>
    <row customHeight="1" ht="11.25">
      <c r="A85" s="0" t="s">
        <v>22</v>
      </c>
      <c r="B85" s="0" t="s">
        <v>48</v>
      </c>
      <c r="C85" s="0" t="s">
        <v>50</v>
      </c>
      <c r="D85" s="0" t="s">
        <v>22</v>
      </c>
      <c r="E85" s="0" t="s">
        <v>1381</v>
      </c>
      <c r="F85" s="0" t="s">
        <v>1299</v>
      </c>
      <c r="G85" s="0" t="s">
        <v>106</v>
      </c>
      <c r="H85" s="0" t="s">
        <v>1374</v>
      </c>
      <c r="I85" s="0" t="s">
        <v>1375</v>
      </c>
      <c r="J85" s="0" t="s">
        <v>1376</v>
      </c>
      <c r="K85" s="0" t="s">
        <v>1377</v>
      </c>
      <c r="L85" s="0" t="s">
        <v>1382</v>
      </c>
      <c r="M85" s="0" t="s">
        <v>1383</v>
      </c>
      <c r="N85" s="0" t="s">
        <v>210</v>
      </c>
      <c r="O85" s="0" t="s">
        <v>106</v>
      </c>
      <c r="P85" s="0" t="s">
        <v>1374</v>
      </c>
      <c r="Q85" s="0" t="s">
        <v>1375</v>
      </c>
      <c r="R85" s="0" t="s">
        <v>1376</v>
      </c>
      <c r="S85" s="0" t="s">
        <v>1377</v>
      </c>
      <c r="T85" s="0" t="s">
        <v>4795</v>
      </c>
      <c r="U85" s="0" t="s">
        <v>4796</v>
      </c>
      <c r="V85" s="0" t="s">
        <v>4966</v>
      </c>
      <c r="W85" s="0" t="s">
        <v>4798</v>
      </c>
      <c r="X85" s="0" t="s">
        <v>4799</v>
      </c>
      <c r="Y85" s="0" t="s">
        <v>4796</v>
      </c>
      <c r="Z85" s="0" t="s">
        <v>4967</v>
      </c>
      <c r="AA85" s="0" t="s">
        <v>4807</v>
      </c>
      <c r="AB85" s="0" t="s">
        <v>4966</v>
      </c>
      <c r="AC85" s="0" t="s">
        <v>62</v>
      </c>
      <c r="AD85" s="0" t="s">
        <v>62</v>
      </c>
      <c r="AE85" s="0" t="s">
        <v>62</v>
      </c>
      <c r="AF85" s="0" t="s">
        <v>4964</v>
      </c>
      <c r="AG85" s="0" t="s">
        <v>4972</v>
      </c>
      <c r="AH85" s="0" t="s">
        <v>4964</v>
      </c>
      <c r="AI85" s="0" t="s">
        <v>4972</v>
      </c>
      <c r="AJ85" s="0" t="s">
        <v>4964</v>
      </c>
      <c r="AK85" s="0" t="s">
        <v>4972</v>
      </c>
      <c r="AL85" s="0" t="s">
        <v>4804</v>
      </c>
    </row>
    <row customHeight="1" ht="11.25">
      <c r="A86" s="0" t="s">
        <v>22</v>
      </c>
      <c r="B86" s="0" t="s">
        <v>48</v>
      </c>
      <c r="C86" s="0" t="s">
        <v>50</v>
      </c>
      <c r="D86" s="0" t="s">
        <v>22</v>
      </c>
      <c r="E86" s="0" t="s">
        <v>1388</v>
      </c>
      <c r="F86" s="0" t="s">
        <v>1299</v>
      </c>
      <c r="G86" s="0" t="s">
        <v>1389</v>
      </c>
      <c r="H86" s="0" t="s">
        <v>1390</v>
      </c>
      <c r="I86" s="0" t="s">
        <v>1391</v>
      </c>
      <c r="J86" s="0" t="s">
        <v>1392</v>
      </c>
      <c r="K86" s="0" t="s">
        <v>1393</v>
      </c>
      <c r="L86" s="0" t="s">
        <v>1354</v>
      </c>
      <c r="M86" s="0" t="s">
        <v>144</v>
      </c>
      <c r="N86" s="0" t="s">
        <v>102</v>
      </c>
      <c r="O86" s="0" t="s">
        <v>106</v>
      </c>
      <c r="P86" s="0" t="s">
        <v>1374</v>
      </c>
      <c r="Q86" s="0" t="s">
        <v>1375</v>
      </c>
      <c r="R86" s="0" t="s">
        <v>1376</v>
      </c>
      <c r="S86" s="0" t="s">
        <v>1377</v>
      </c>
      <c r="T86" s="0" t="s">
        <v>4795</v>
      </c>
      <c r="U86" s="0" t="s">
        <v>4796</v>
      </c>
      <c r="V86" s="0" t="s">
        <v>4969</v>
      </c>
      <c r="W86" s="0" t="s">
        <v>4798</v>
      </c>
      <c r="X86" s="0" t="s">
        <v>4799</v>
      </c>
      <c r="Y86" s="0" t="s">
        <v>4796</v>
      </c>
      <c r="Z86" s="0" t="s">
        <v>4970</v>
      </c>
      <c r="AA86" s="0" t="s">
        <v>4971</v>
      </c>
      <c r="AB86" s="0" t="s">
        <v>4969</v>
      </c>
      <c r="AC86" s="0" t="s">
        <v>62</v>
      </c>
      <c r="AD86" s="0" t="s">
        <v>62</v>
      </c>
      <c r="AE86" s="0" t="s">
        <v>62</v>
      </c>
      <c r="AF86" s="0" t="s">
        <v>4953</v>
      </c>
      <c r="AG86" s="0" t="s">
        <v>4968</v>
      </c>
      <c r="AH86" s="0" t="s">
        <v>4953</v>
      </c>
      <c r="AI86" s="0" t="s">
        <v>4968</v>
      </c>
      <c r="AJ86" s="0" t="s">
        <v>4953</v>
      </c>
      <c r="AK86" s="0" t="s">
        <v>4968</v>
      </c>
      <c r="AL86" s="0" t="s">
        <v>4804</v>
      </c>
    </row>
    <row customHeight="1" ht="11.25">
      <c r="A87" s="0" t="s">
        <v>22</v>
      </c>
      <c r="B87" s="0" t="s">
        <v>48</v>
      </c>
      <c r="C87" s="0" t="s">
        <v>50</v>
      </c>
      <c r="D87" s="0" t="s">
        <v>22</v>
      </c>
      <c r="E87" s="0" t="s">
        <v>1388</v>
      </c>
      <c r="F87" s="0" t="s">
        <v>1299</v>
      </c>
      <c r="G87" s="0" t="s">
        <v>1389</v>
      </c>
      <c r="H87" s="0" t="s">
        <v>1390</v>
      </c>
      <c r="I87" s="0" t="s">
        <v>1391</v>
      </c>
      <c r="J87" s="0" t="s">
        <v>1392</v>
      </c>
      <c r="K87" s="0" t="s">
        <v>1393</v>
      </c>
      <c r="L87" s="0" t="s">
        <v>1354</v>
      </c>
      <c r="M87" s="0" t="s">
        <v>144</v>
      </c>
      <c r="N87" s="0" t="s">
        <v>102</v>
      </c>
      <c r="O87" s="0" t="s">
        <v>106</v>
      </c>
      <c r="P87" s="0" t="s">
        <v>1374</v>
      </c>
      <c r="Q87" s="0" t="s">
        <v>1375</v>
      </c>
      <c r="R87" s="0" t="s">
        <v>1376</v>
      </c>
      <c r="S87" s="0" t="s">
        <v>1377</v>
      </c>
      <c r="T87" s="0" t="s">
        <v>4795</v>
      </c>
      <c r="U87" s="0" t="s">
        <v>4796</v>
      </c>
      <c r="V87" s="0" t="s">
        <v>4966</v>
      </c>
      <c r="W87" s="0" t="s">
        <v>4798</v>
      </c>
      <c r="X87" s="0" t="s">
        <v>4799</v>
      </c>
      <c r="Y87" s="0" t="s">
        <v>4796</v>
      </c>
      <c r="Z87" s="0" t="s">
        <v>4967</v>
      </c>
      <c r="AA87" s="0" t="s">
        <v>4807</v>
      </c>
      <c r="AB87" s="0" t="s">
        <v>4966</v>
      </c>
      <c r="AC87" s="0" t="s">
        <v>62</v>
      </c>
      <c r="AD87" s="0" t="s">
        <v>62</v>
      </c>
      <c r="AE87" s="0" t="s">
        <v>62</v>
      </c>
      <c r="AF87" s="0" t="s">
        <v>4953</v>
      </c>
      <c r="AG87" s="0" t="s">
        <v>4968</v>
      </c>
      <c r="AH87" s="0" t="s">
        <v>4953</v>
      </c>
      <c r="AI87" s="0" t="s">
        <v>4968</v>
      </c>
      <c r="AJ87" s="0" t="s">
        <v>4953</v>
      </c>
      <c r="AK87" s="0" t="s">
        <v>4968</v>
      </c>
      <c r="AL87" s="0" t="s">
        <v>4804</v>
      </c>
    </row>
    <row customHeight="1" ht="11.25">
      <c r="A88" s="0" t="s">
        <v>22</v>
      </c>
      <c r="B88" s="0" t="s">
        <v>48</v>
      </c>
      <c r="C88" s="0" t="s">
        <v>50</v>
      </c>
      <c r="D88" s="0" t="s">
        <v>22</v>
      </c>
      <c r="E88" s="0" t="s">
        <v>1373</v>
      </c>
      <c r="F88" s="0" t="s">
        <v>1299</v>
      </c>
      <c r="G88" s="0" t="s">
        <v>106</v>
      </c>
      <c r="H88" s="0" t="s">
        <v>1374</v>
      </c>
      <c r="I88" s="0" t="s">
        <v>1375</v>
      </c>
      <c r="J88" s="0" t="s">
        <v>1376</v>
      </c>
      <c r="K88" s="0" t="s">
        <v>1377</v>
      </c>
      <c r="L88" s="0" t="s">
        <v>1378</v>
      </c>
      <c r="M88" s="0" t="s">
        <v>1379</v>
      </c>
      <c r="N88" s="0" t="s">
        <v>210</v>
      </c>
      <c r="O88" s="0" t="s">
        <v>106</v>
      </c>
      <c r="P88" s="0" t="s">
        <v>1374</v>
      </c>
      <c r="Q88" s="0" t="s">
        <v>1375</v>
      </c>
      <c r="R88" s="0" t="s">
        <v>1376</v>
      </c>
      <c r="S88" s="0" t="s">
        <v>1377</v>
      </c>
      <c r="T88" s="0" t="s">
        <v>4795</v>
      </c>
      <c r="U88" s="0" t="s">
        <v>4796</v>
      </c>
      <c r="V88" s="0" t="s">
        <v>4969</v>
      </c>
      <c r="W88" s="0" t="s">
        <v>4798</v>
      </c>
      <c r="X88" s="0" t="s">
        <v>4799</v>
      </c>
      <c r="Y88" s="0" t="s">
        <v>4796</v>
      </c>
      <c r="Z88" s="0" t="s">
        <v>4970</v>
      </c>
      <c r="AA88" s="0" t="s">
        <v>4971</v>
      </c>
      <c r="AB88" s="0" t="s">
        <v>4969</v>
      </c>
      <c r="AC88" s="0" t="s">
        <v>62</v>
      </c>
      <c r="AD88" s="0" t="s">
        <v>62</v>
      </c>
      <c r="AE88" s="0" t="s">
        <v>62</v>
      </c>
      <c r="AF88" s="0" t="s">
        <v>4862</v>
      </c>
      <c r="AG88" s="0" t="s">
        <v>4973</v>
      </c>
      <c r="AH88" s="0" t="s">
        <v>4862</v>
      </c>
      <c r="AI88" s="0" t="s">
        <v>4973</v>
      </c>
      <c r="AJ88" s="0" t="s">
        <v>4862</v>
      </c>
      <c r="AK88" s="0" t="s">
        <v>4973</v>
      </c>
      <c r="AL88" s="0" t="s">
        <v>4804</v>
      </c>
    </row>
    <row customHeight="1" ht="11.25">
      <c r="A89" s="0" t="s">
        <v>22</v>
      </c>
      <c r="B89" s="0" t="s">
        <v>48</v>
      </c>
      <c r="C89" s="0" t="s">
        <v>50</v>
      </c>
      <c r="D89" s="0" t="s">
        <v>22</v>
      </c>
      <c r="E89" s="0" t="s">
        <v>1373</v>
      </c>
      <c r="F89" s="0" t="s">
        <v>1299</v>
      </c>
      <c r="G89" s="0" t="s">
        <v>106</v>
      </c>
      <c r="H89" s="0" t="s">
        <v>1374</v>
      </c>
      <c r="I89" s="0" t="s">
        <v>1375</v>
      </c>
      <c r="J89" s="0" t="s">
        <v>1376</v>
      </c>
      <c r="K89" s="0" t="s">
        <v>1377</v>
      </c>
      <c r="L89" s="0" t="s">
        <v>1378</v>
      </c>
      <c r="M89" s="0" t="s">
        <v>1379</v>
      </c>
      <c r="N89" s="0" t="s">
        <v>210</v>
      </c>
      <c r="O89" s="0" t="s">
        <v>106</v>
      </c>
      <c r="P89" s="0" t="s">
        <v>1374</v>
      </c>
      <c r="Q89" s="0" t="s">
        <v>1375</v>
      </c>
      <c r="R89" s="0" t="s">
        <v>1376</v>
      </c>
      <c r="S89" s="0" t="s">
        <v>1377</v>
      </c>
      <c r="T89" s="0" t="s">
        <v>4795</v>
      </c>
      <c r="U89" s="0" t="s">
        <v>4796</v>
      </c>
      <c r="V89" s="0" t="s">
        <v>4966</v>
      </c>
      <c r="W89" s="0" t="s">
        <v>4798</v>
      </c>
      <c r="X89" s="0" t="s">
        <v>4799</v>
      </c>
      <c r="Y89" s="0" t="s">
        <v>4796</v>
      </c>
      <c r="Z89" s="0" t="s">
        <v>4967</v>
      </c>
      <c r="AA89" s="0" t="s">
        <v>4807</v>
      </c>
      <c r="AB89" s="0" t="s">
        <v>4966</v>
      </c>
      <c r="AC89" s="0" t="s">
        <v>62</v>
      </c>
      <c r="AD89" s="0" t="s">
        <v>62</v>
      </c>
      <c r="AE89" s="0" t="s">
        <v>62</v>
      </c>
      <c r="AF89" s="0" t="s">
        <v>4862</v>
      </c>
      <c r="AG89" s="0" t="s">
        <v>4973</v>
      </c>
      <c r="AH89" s="0" t="s">
        <v>4862</v>
      </c>
      <c r="AI89" s="0" t="s">
        <v>4973</v>
      </c>
      <c r="AJ89" s="0" t="s">
        <v>4862</v>
      </c>
      <c r="AK89" s="0" t="s">
        <v>4973</v>
      </c>
      <c r="AL89" s="0" t="s">
        <v>4804</v>
      </c>
    </row>
    <row customHeight="1" ht="11.25">
      <c r="A90" s="0" t="s">
        <v>22</v>
      </c>
      <c r="B90" s="0" t="s">
        <v>48</v>
      </c>
      <c r="C90" s="0" t="s">
        <v>50</v>
      </c>
      <c r="D90" s="0" t="s">
        <v>22</v>
      </c>
      <c r="E90" s="0" t="s">
        <v>4974</v>
      </c>
      <c r="F90" s="0" t="s">
        <v>1299</v>
      </c>
      <c r="G90" s="0" t="s">
        <v>110</v>
      </c>
      <c r="H90" s="0" t="s">
        <v>3973</v>
      </c>
      <c r="I90" s="0" t="s">
        <v>3974</v>
      </c>
      <c r="J90" s="0" t="s">
        <v>4975</v>
      </c>
      <c r="K90" s="0" t="s">
        <v>4976</v>
      </c>
      <c r="L90" s="0" t="s">
        <v>4977</v>
      </c>
      <c r="M90" s="0" t="s">
        <v>1355</v>
      </c>
      <c r="N90" s="0" t="s">
        <v>210</v>
      </c>
      <c r="O90" s="0" t="s">
        <v>110</v>
      </c>
      <c r="P90" s="0" t="s">
        <v>3973</v>
      </c>
      <c r="Q90" s="0" t="s">
        <v>3974</v>
      </c>
      <c r="R90" s="0" t="s">
        <v>4975</v>
      </c>
      <c r="S90" s="0" t="s">
        <v>4976</v>
      </c>
      <c r="T90" s="0" t="s">
        <v>4795</v>
      </c>
      <c r="U90" s="0" t="s">
        <v>4796</v>
      </c>
      <c r="V90" s="0" t="s">
        <v>4978</v>
      </c>
      <c r="W90" s="0" t="s">
        <v>4798</v>
      </c>
      <c r="X90" s="0" t="s">
        <v>4799</v>
      </c>
      <c r="Y90" s="0" t="s">
        <v>4796</v>
      </c>
      <c r="Z90" s="0" t="s">
        <v>4979</v>
      </c>
      <c r="AA90" s="0" t="s">
        <v>4801</v>
      </c>
      <c r="AB90" s="0" t="s">
        <v>4978</v>
      </c>
      <c r="AC90" s="0" t="s">
        <v>62</v>
      </c>
      <c r="AD90" s="0" t="s">
        <v>62</v>
      </c>
      <c r="AE90" s="0" t="s">
        <v>62</v>
      </c>
      <c r="AF90" s="0" t="s">
        <v>4888</v>
      </c>
      <c r="AG90" s="0" t="s">
        <v>4980</v>
      </c>
      <c r="AH90" s="0" t="s">
        <v>4888</v>
      </c>
      <c r="AI90" s="0" t="s">
        <v>4980</v>
      </c>
      <c r="AJ90" s="0" t="s">
        <v>4888</v>
      </c>
      <c r="AK90" s="0" t="s">
        <v>4980</v>
      </c>
      <c r="AL90" s="0" t="s">
        <v>4804</v>
      </c>
    </row>
    <row customHeight="1" ht="11.25">
      <c r="A91" s="0" t="s">
        <v>22</v>
      </c>
      <c r="B91" s="0" t="s">
        <v>48</v>
      </c>
      <c r="C91" s="0" t="s">
        <v>50</v>
      </c>
      <c r="D91" s="0" t="s">
        <v>22</v>
      </c>
      <c r="E91" s="0" t="s">
        <v>4974</v>
      </c>
      <c r="F91" s="0" t="s">
        <v>1299</v>
      </c>
      <c r="G91" s="0" t="s">
        <v>110</v>
      </c>
      <c r="H91" s="0" t="s">
        <v>3973</v>
      </c>
      <c r="I91" s="0" t="s">
        <v>3974</v>
      </c>
      <c r="J91" s="0" t="s">
        <v>4975</v>
      </c>
      <c r="K91" s="0" t="s">
        <v>4976</v>
      </c>
      <c r="L91" s="0" t="s">
        <v>4977</v>
      </c>
      <c r="M91" s="0" t="s">
        <v>1355</v>
      </c>
      <c r="N91" s="0" t="s">
        <v>210</v>
      </c>
      <c r="O91" s="0" t="s">
        <v>110</v>
      </c>
      <c r="P91" s="0" t="s">
        <v>3973</v>
      </c>
      <c r="Q91" s="0" t="s">
        <v>3974</v>
      </c>
      <c r="R91" s="0" t="s">
        <v>4975</v>
      </c>
      <c r="S91" s="0" t="s">
        <v>4976</v>
      </c>
      <c r="T91" s="0" t="s">
        <v>4795</v>
      </c>
      <c r="U91" s="0" t="s">
        <v>4796</v>
      </c>
      <c r="V91" s="0" t="s">
        <v>4978</v>
      </c>
      <c r="W91" s="0" t="s">
        <v>4798</v>
      </c>
      <c r="X91" s="0" t="s">
        <v>4799</v>
      </c>
      <c r="Y91" s="0" t="s">
        <v>4796</v>
      </c>
      <c r="Z91" s="0" t="s">
        <v>4981</v>
      </c>
      <c r="AA91" s="0" t="s">
        <v>4807</v>
      </c>
      <c r="AB91" s="0" t="s">
        <v>4978</v>
      </c>
      <c r="AC91" s="0" t="s">
        <v>62</v>
      </c>
      <c r="AD91" s="0" t="s">
        <v>62</v>
      </c>
      <c r="AE91" s="0" t="s">
        <v>62</v>
      </c>
      <c r="AF91" s="0" t="s">
        <v>4888</v>
      </c>
      <c r="AG91" s="0" t="s">
        <v>4980</v>
      </c>
      <c r="AH91" s="0" t="s">
        <v>4888</v>
      </c>
      <c r="AI91" s="0" t="s">
        <v>4980</v>
      </c>
      <c r="AJ91" s="0" t="s">
        <v>4888</v>
      </c>
      <c r="AK91" s="0" t="s">
        <v>4980</v>
      </c>
      <c r="AL91" s="0" t="s">
        <v>4804</v>
      </c>
    </row>
    <row customHeight="1" ht="11.25">
      <c r="A92" s="0" t="s">
        <v>22</v>
      </c>
      <c r="B92" s="0" t="s">
        <v>48</v>
      </c>
      <c r="C92" s="0" t="s">
        <v>50</v>
      </c>
      <c r="D92" s="0" t="s">
        <v>22</v>
      </c>
      <c r="E92" s="0" t="s">
        <v>4982</v>
      </c>
      <c r="F92" s="0" t="s">
        <v>1299</v>
      </c>
      <c r="G92" s="0" t="s">
        <v>110</v>
      </c>
      <c r="H92" s="0" t="s">
        <v>3976</v>
      </c>
      <c r="I92" s="0" t="s">
        <v>3977</v>
      </c>
      <c r="J92" s="0" t="s">
        <v>4983</v>
      </c>
      <c r="K92" s="0" t="s">
        <v>4984</v>
      </c>
      <c r="L92" s="0" t="s">
        <v>4822</v>
      </c>
      <c r="M92" s="0" t="s">
        <v>1355</v>
      </c>
      <c r="N92" s="0" t="s">
        <v>210</v>
      </c>
      <c r="O92" s="0" t="s">
        <v>110</v>
      </c>
      <c r="P92" s="0" t="s">
        <v>3976</v>
      </c>
      <c r="Q92" s="0" t="s">
        <v>3977</v>
      </c>
      <c r="R92" s="0" t="s">
        <v>4983</v>
      </c>
      <c r="S92" s="0" t="s">
        <v>4984</v>
      </c>
      <c r="T92" s="0" t="s">
        <v>4795</v>
      </c>
      <c r="U92" s="0" t="s">
        <v>4796</v>
      </c>
      <c r="V92" s="0" t="s">
        <v>4985</v>
      </c>
      <c r="W92" s="0" t="s">
        <v>4798</v>
      </c>
      <c r="X92" s="0" t="s">
        <v>4799</v>
      </c>
      <c r="Y92" s="0" t="s">
        <v>4796</v>
      </c>
      <c r="Z92" s="0" t="s">
        <v>4979</v>
      </c>
      <c r="AA92" s="0" t="s">
        <v>4801</v>
      </c>
      <c r="AB92" s="0" t="s">
        <v>4985</v>
      </c>
      <c r="AC92" s="0" t="s">
        <v>62</v>
      </c>
      <c r="AD92" s="0" t="s">
        <v>62</v>
      </c>
      <c r="AE92" s="0" t="s">
        <v>62</v>
      </c>
      <c r="AF92" s="0" t="s">
        <v>4986</v>
      </c>
      <c r="AG92" s="0" t="s">
        <v>4987</v>
      </c>
      <c r="AH92" s="0" t="s">
        <v>4986</v>
      </c>
      <c r="AI92" s="0" t="s">
        <v>4987</v>
      </c>
      <c r="AJ92" s="0" t="s">
        <v>4986</v>
      </c>
      <c r="AK92" s="0" t="s">
        <v>4987</v>
      </c>
      <c r="AL92" s="0" t="s">
        <v>4804</v>
      </c>
    </row>
    <row customHeight="1" ht="11.25">
      <c r="A93" s="0" t="s">
        <v>22</v>
      </c>
      <c r="B93" s="0" t="s">
        <v>48</v>
      </c>
      <c r="C93" s="0" t="s">
        <v>50</v>
      </c>
      <c r="D93" s="0" t="s">
        <v>22</v>
      </c>
      <c r="E93" s="0" t="s">
        <v>4982</v>
      </c>
      <c r="F93" s="0" t="s">
        <v>1299</v>
      </c>
      <c r="G93" s="0" t="s">
        <v>110</v>
      </c>
      <c r="H93" s="0" t="s">
        <v>3976</v>
      </c>
      <c r="I93" s="0" t="s">
        <v>3977</v>
      </c>
      <c r="J93" s="0" t="s">
        <v>4983</v>
      </c>
      <c r="K93" s="0" t="s">
        <v>4984</v>
      </c>
      <c r="L93" s="0" t="s">
        <v>4822</v>
      </c>
      <c r="M93" s="0" t="s">
        <v>1355</v>
      </c>
      <c r="N93" s="0" t="s">
        <v>210</v>
      </c>
      <c r="O93" s="0" t="s">
        <v>110</v>
      </c>
      <c r="P93" s="0" t="s">
        <v>3976</v>
      </c>
      <c r="Q93" s="0" t="s">
        <v>3977</v>
      </c>
      <c r="R93" s="0" t="s">
        <v>4983</v>
      </c>
      <c r="S93" s="0" t="s">
        <v>4984</v>
      </c>
      <c r="T93" s="0" t="s">
        <v>4795</v>
      </c>
      <c r="U93" s="0" t="s">
        <v>4796</v>
      </c>
      <c r="V93" s="0" t="s">
        <v>4978</v>
      </c>
      <c r="W93" s="0" t="s">
        <v>4798</v>
      </c>
      <c r="X93" s="0" t="s">
        <v>4799</v>
      </c>
      <c r="Y93" s="0" t="s">
        <v>4796</v>
      </c>
      <c r="Z93" s="0" t="s">
        <v>4981</v>
      </c>
      <c r="AA93" s="0" t="s">
        <v>4807</v>
      </c>
      <c r="AB93" s="0" t="s">
        <v>4978</v>
      </c>
      <c r="AC93" s="0" t="s">
        <v>62</v>
      </c>
      <c r="AD93" s="0" t="s">
        <v>62</v>
      </c>
      <c r="AE93" s="0" t="s">
        <v>62</v>
      </c>
      <c r="AF93" s="0" t="s">
        <v>4986</v>
      </c>
      <c r="AG93" s="0" t="s">
        <v>4987</v>
      </c>
      <c r="AH93" s="0" t="s">
        <v>4986</v>
      </c>
      <c r="AI93" s="0" t="s">
        <v>4987</v>
      </c>
      <c r="AJ93" s="0" t="s">
        <v>4986</v>
      </c>
      <c r="AK93" s="0" t="s">
        <v>4987</v>
      </c>
      <c r="AL93" s="0" t="s">
        <v>4804</v>
      </c>
    </row>
    <row customHeight="1" ht="11.25">
      <c r="A94" s="0" t="s">
        <v>22</v>
      </c>
      <c r="B94" s="0" t="s">
        <v>48</v>
      </c>
      <c r="C94" s="0" t="s">
        <v>50</v>
      </c>
      <c r="D94" s="0" t="s">
        <v>22</v>
      </c>
      <c r="E94" s="0" t="s">
        <v>1367</v>
      </c>
      <c r="F94" s="0" t="s">
        <v>1299</v>
      </c>
      <c r="G94" s="0" t="s">
        <v>110</v>
      </c>
      <c r="H94" s="0" t="s">
        <v>1368</v>
      </c>
      <c r="I94" s="0" t="s">
        <v>1369</v>
      </c>
      <c r="J94" s="0" t="s">
        <v>1370</v>
      </c>
      <c r="K94" s="0" t="s">
        <v>1371</v>
      </c>
      <c r="L94" s="0" t="s">
        <v>1338</v>
      </c>
      <c r="M94" s="0" t="s">
        <v>1355</v>
      </c>
      <c r="N94" s="0" t="s">
        <v>210</v>
      </c>
      <c r="O94" s="0" t="s">
        <v>110</v>
      </c>
      <c r="P94" s="0" t="s">
        <v>1368</v>
      </c>
      <c r="Q94" s="0" t="s">
        <v>1369</v>
      </c>
      <c r="R94" s="0" t="s">
        <v>1370</v>
      </c>
      <c r="S94" s="0" t="s">
        <v>1371</v>
      </c>
      <c r="T94" s="0" t="s">
        <v>4795</v>
      </c>
      <c r="U94" s="0" t="s">
        <v>4796</v>
      </c>
      <c r="V94" s="0" t="s">
        <v>4978</v>
      </c>
      <c r="W94" s="0" t="s">
        <v>4798</v>
      </c>
      <c r="X94" s="0" t="s">
        <v>4799</v>
      </c>
      <c r="Y94" s="0" t="s">
        <v>4796</v>
      </c>
      <c r="Z94" s="0" t="s">
        <v>4981</v>
      </c>
      <c r="AA94" s="0" t="s">
        <v>4807</v>
      </c>
      <c r="AB94" s="0" t="s">
        <v>4978</v>
      </c>
      <c r="AC94" s="0" t="s">
        <v>62</v>
      </c>
      <c r="AD94" s="0" t="s">
        <v>62</v>
      </c>
      <c r="AE94" s="0" t="s">
        <v>62</v>
      </c>
      <c r="AF94" s="0" t="s">
        <v>4988</v>
      </c>
      <c r="AG94" s="0" t="s">
        <v>4989</v>
      </c>
      <c r="AH94" s="0" t="s">
        <v>4988</v>
      </c>
      <c r="AI94" s="0" t="s">
        <v>4989</v>
      </c>
      <c r="AJ94" s="0" t="s">
        <v>4988</v>
      </c>
      <c r="AK94" s="0" t="s">
        <v>4989</v>
      </c>
      <c r="AL94" s="0" t="s">
        <v>4804</v>
      </c>
    </row>
    <row customHeight="1" ht="11.25">
      <c r="A95" s="0" t="s">
        <v>22</v>
      </c>
      <c r="B95" s="0" t="s">
        <v>48</v>
      </c>
      <c r="C95" s="0" t="s">
        <v>50</v>
      </c>
      <c r="D95" s="0" t="s">
        <v>22</v>
      </c>
      <c r="E95" s="0" t="s">
        <v>1367</v>
      </c>
      <c r="F95" s="0" t="s">
        <v>1299</v>
      </c>
      <c r="G95" s="0" t="s">
        <v>110</v>
      </c>
      <c r="H95" s="0" t="s">
        <v>1368</v>
      </c>
      <c r="I95" s="0" t="s">
        <v>1369</v>
      </c>
      <c r="J95" s="0" t="s">
        <v>1370</v>
      </c>
      <c r="K95" s="0" t="s">
        <v>1371</v>
      </c>
      <c r="L95" s="0" t="s">
        <v>1338</v>
      </c>
      <c r="M95" s="0" t="s">
        <v>1355</v>
      </c>
      <c r="N95" s="0" t="s">
        <v>210</v>
      </c>
      <c r="O95" s="0" t="s">
        <v>110</v>
      </c>
      <c r="P95" s="0" t="s">
        <v>1368</v>
      </c>
      <c r="Q95" s="0" t="s">
        <v>1369</v>
      </c>
      <c r="R95" s="0" t="s">
        <v>1370</v>
      </c>
      <c r="S95" s="0" t="s">
        <v>1371</v>
      </c>
      <c r="T95" s="0" t="s">
        <v>4795</v>
      </c>
      <c r="U95" s="0" t="s">
        <v>4796</v>
      </c>
      <c r="V95" s="0" t="s">
        <v>4985</v>
      </c>
      <c r="W95" s="0" t="s">
        <v>4798</v>
      </c>
      <c r="X95" s="0" t="s">
        <v>4799</v>
      </c>
      <c r="Y95" s="0" t="s">
        <v>4796</v>
      </c>
      <c r="Z95" s="0" t="s">
        <v>4979</v>
      </c>
      <c r="AA95" s="0" t="s">
        <v>4801</v>
      </c>
      <c r="AB95" s="0" t="s">
        <v>4985</v>
      </c>
      <c r="AC95" s="0" t="s">
        <v>62</v>
      </c>
      <c r="AD95" s="0" t="s">
        <v>62</v>
      </c>
      <c r="AE95" s="0" t="s">
        <v>62</v>
      </c>
      <c r="AF95" s="0" t="s">
        <v>4988</v>
      </c>
      <c r="AG95" s="0" t="s">
        <v>4989</v>
      </c>
      <c r="AH95" s="0" t="s">
        <v>4988</v>
      </c>
      <c r="AI95" s="0" t="s">
        <v>4989</v>
      </c>
      <c r="AJ95" s="0" t="s">
        <v>4988</v>
      </c>
      <c r="AK95" s="0" t="s">
        <v>4989</v>
      </c>
      <c r="AL95" s="0" t="s">
        <v>4804</v>
      </c>
    </row>
    <row customHeight="1" ht="11.25">
      <c r="A96" s="0" t="s">
        <v>22</v>
      </c>
      <c r="B96" s="0" t="s">
        <v>48</v>
      </c>
      <c r="C96" s="0" t="s">
        <v>50</v>
      </c>
      <c r="D96" s="0" t="s">
        <v>22</v>
      </c>
      <c r="E96" s="0" t="s">
        <v>4990</v>
      </c>
      <c r="F96" s="0" t="s">
        <v>1299</v>
      </c>
      <c r="G96" s="0" t="s">
        <v>110</v>
      </c>
      <c r="H96" s="0" t="s">
        <v>1368</v>
      </c>
      <c r="I96" s="0" t="s">
        <v>1369</v>
      </c>
      <c r="J96" s="0" t="s">
        <v>1370</v>
      </c>
      <c r="K96" s="0" t="s">
        <v>1371</v>
      </c>
      <c r="L96" s="0" t="s">
        <v>4991</v>
      </c>
      <c r="M96" s="0" t="s">
        <v>1355</v>
      </c>
      <c r="N96" s="0" t="s">
        <v>210</v>
      </c>
      <c r="O96" s="0" t="s">
        <v>110</v>
      </c>
      <c r="P96" s="0" t="s">
        <v>1368</v>
      </c>
      <c r="Q96" s="0" t="s">
        <v>1369</v>
      </c>
      <c r="R96" s="0" t="s">
        <v>1370</v>
      </c>
      <c r="S96" s="0" t="s">
        <v>1371</v>
      </c>
      <c r="T96" s="0" t="s">
        <v>4795</v>
      </c>
      <c r="U96" s="0" t="s">
        <v>4796</v>
      </c>
      <c r="V96" s="0" t="s">
        <v>4985</v>
      </c>
      <c r="W96" s="0" t="s">
        <v>4798</v>
      </c>
      <c r="X96" s="0" t="s">
        <v>4799</v>
      </c>
      <c r="Y96" s="0" t="s">
        <v>4796</v>
      </c>
      <c r="Z96" s="0" t="s">
        <v>4979</v>
      </c>
      <c r="AA96" s="0" t="s">
        <v>4801</v>
      </c>
      <c r="AB96" s="0" t="s">
        <v>4985</v>
      </c>
      <c r="AC96" s="0" t="s">
        <v>62</v>
      </c>
      <c r="AD96" s="0" t="s">
        <v>62</v>
      </c>
      <c r="AE96" s="0" t="s">
        <v>62</v>
      </c>
      <c r="AF96" s="0" t="s">
        <v>4992</v>
      </c>
      <c r="AG96" s="0" t="s">
        <v>4993</v>
      </c>
      <c r="AH96" s="0" t="s">
        <v>4992</v>
      </c>
      <c r="AI96" s="0" t="s">
        <v>4993</v>
      </c>
      <c r="AJ96" s="0" t="s">
        <v>4992</v>
      </c>
      <c r="AK96" s="0" t="s">
        <v>4993</v>
      </c>
      <c r="AL96" s="0" t="s">
        <v>4804</v>
      </c>
    </row>
    <row customHeight="1" ht="11.25">
      <c r="A97" s="0" t="s">
        <v>22</v>
      </c>
      <c r="B97" s="0" t="s">
        <v>48</v>
      </c>
      <c r="C97" s="0" t="s">
        <v>50</v>
      </c>
      <c r="D97" s="0" t="s">
        <v>22</v>
      </c>
      <c r="E97" s="0" t="s">
        <v>4990</v>
      </c>
      <c r="F97" s="0" t="s">
        <v>1299</v>
      </c>
      <c r="G97" s="0" t="s">
        <v>110</v>
      </c>
      <c r="H97" s="0" t="s">
        <v>1368</v>
      </c>
      <c r="I97" s="0" t="s">
        <v>1369</v>
      </c>
      <c r="J97" s="0" t="s">
        <v>1370</v>
      </c>
      <c r="K97" s="0" t="s">
        <v>1371</v>
      </c>
      <c r="L97" s="0" t="s">
        <v>4991</v>
      </c>
      <c r="M97" s="0" t="s">
        <v>1355</v>
      </c>
      <c r="N97" s="0" t="s">
        <v>210</v>
      </c>
      <c r="O97" s="0" t="s">
        <v>110</v>
      </c>
      <c r="P97" s="0" t="s">
        <v>1368</v>
      </c>
      <c r="Q97" s="0" t="s">
        <v>1369</v>
      </c>
      <c r="R97" s="0" t="s">
        <v>1370</v>
      </c>
      <c r="S97" s="0" t="s">
        <v>1371</v>
      </c>
      <c r="T97" s="0" t="s">
        <v>4795</v>
      </c>
      <c r="U97" s="0" t="s">
        <v>4796</v>
      </c>
      <c r="V97" s="0" t="s">
        <v>4978</v>
      </c>
      <c r="W97" s="0" t="s">
        <v>4798</v>
      </c>
      <c r="X97" s="0" t="s">
        <v>4799</v>
      </c>
      <c r="Y97" s="0" t="s">
        <v>4796</v>
      </c>
      <c r="Z97" s="0" t="s">
        <v>4981</v>
      </c>
      <c r="AA97" s="0" t="s">
        <v>4807</v>
      </c>
      <c r="AB97" s="0" t="s">
        <v>4978</v>
      </c>
      <c r="AC97" s="0" t="s">
        <v>62</v>
      </c>
      <c r="AD97" s="0" t="s">
        <v>62</v>
      </c>
      <c r="AE97" s="0" t="s">
        <v>62</v>
      </c>
      <c r="AF97" s="0" t="s">
        <v>4992</v>
      </c>
      <c r="AG97" s="0" t="s">
        <v>4993</v>
      </c>
      <c r="AH97" s="0" t="s">
        <v>4992</v>
      </c>
      <c r="AI97" s="0" t="s">
        <v>4993</v>
      </c>
      <c r="AJ97" s="0" t="s">
        <v>4992</v>
      </c>
      <c r="AK97" s="0" t="s">
        <v>4993</v>
      </c>
      <c r="AL97" s="0" t="s">
        <v>4804</v>
      </c>
    </row>
    <row customHeight="1" ht="11.25">
      <c r="A98" s="0" t="s">
        <v>22</v>
      </c>
      <c r="B98" s="0" t="s">
        <v>48</v>
      </c>
      <c r="C98" s="0" t="s">
        <v>50</v>
      </c>
      <c r="D98" s="0" t="s">
        <v>22</v>
      </c>
      <c r="E98" s="0" t="s">
        <v>4994</v>
      </c>
      <c r="F98" s="0" t="s">
        <v>1299</v>
      </c>
      <c r="G98" s="0" t="s">
        <v>110</v>
      </c>
      <c r="H98" s="0" t="s">
        <v>3993</v>
      </c>
      <c r="I98" s="0" t="s">
        <v>3994</v>
      </c>
      <c r="J98" s="0" t="s">
        <v>4995</v>
      </c>
      <c r="K98" s="0" t="s">
        <v>4996</v>
      </c>
      <c r="L98" s="0" t="s">
        <v>1338</v>
      </c>
      <c r="M98" s="0" t="s">
        <v>1355</v>
      </c>
      <c r="N98" s="0" t="s">
        <v>210</v>
      </c>
      <c r="O98" s="0" t="s">
        <v>110</v>
      </c>
      <c r="P98" s="0" t="s">
        <v>3993</v>
      </c>
      <c r="Q98" s="0" t="s">
        <v>3994</v>
      </c>
      <c r="R98" s="0" t="s">
        <v>4995</v>
      </c>
      <c r="S98" s="0" t="s">
        <v>4996</v>
      </c>
      <c r="T98" s="0" t="s">
        <v>4795</v>
      </c>
      <c r="U98" s="0" t="s">
        <v>4796</v>
      </c>
      <c r="V98" s="0" t="s">
        <v>4978</v>
      </c>
      <c r="W98" s="0" t="s">
        <v>4798</v>
      </c>
      <c r="X98" s="0" t="s">
        <v>4799</v>
      </c>
      <c r="Y98" s="0" t="s">
        <v>4796</v>
      </c>
      <c r="Z98" s="0" t="s">
        <v>4981</v>
      </c>
      <c r="AA98" s="0" t="s">
        <v>4807</v>
      </c>
      <c r="AB98" s="0" t="s">
        <v>4978</v>
      </c>
      <c r="AC98" s="0" t="s">
        <v>62</v>
      </c>
      <c r="AD98" s="0" t="s">
        <v>62</v>
      </c>
      <c r="AE98" s="0" t="s">
        <v>62</v>
      </c>
      <c r="AF98" s="0" t="s">
        <v>4917</v>
      </c>
      <c r="AG98" s="0" t="s">
        <v>4997</v>
      </c>
      <c r="AH98" s="0" t="s">
        <v>4917</v>
      </c>
      <c r="AI98" s="0" t="s">
        <v>4997</v>
      </c>
      <c r="AJ98" s="0" t="s">
        <v>4917</v>
      </c>
      <c r="AK98" s="0" t="s">
        <v>4997</v>
      </c>
      <c r="AL98" s="0" t="s">
        <v>4804</v>
      </c>
    </row>
    <row customHeight="1" ht="11.25">
      <c r="A99" s="0" t="s">
        <v>22</v>
      </c>
      <c r="B99" s="0" t="s">
        <v>48</v>
      </c>
      <c r="C99" s="0" t="s">
        <v>50</v>
      </c>
      <c r="D99" s="0" t="s">
        <v>22</v>
      </c>
      <c r="E99" s="0" t="s">
        <v>4994</v>
      </c>
      <c r="F99" s="0" t="s">
        <v>1299</v>
      </c>
      <c r="G99" s="0" t="s">
        <v>110</v>
      </c>
      <c r="H99" s="0" t="s">
        <v>3993</v>
      </c>
      <c r="I99" s="0" t="s">
        <v>3994</v>
      </c>
      <c r="J99" s="0" t="s">
        <v>4995</v>
      </c>
      <c r="K99" s="0" t="s">
        <v>4996</v>
      </c>
      <c r="L99" s="0" t="s">
        <v>1338</v>
      </c>
      <c r="M99" s="0" t="s">
        <v>1355</v>
      </c>
      <c r="N99" s="0" t="s">
        <v>210</v>
      </c>
      <c r="O99" s="0" t="s">
        <v>110</v>
      </c>
      <c r="P99" s="0" t="s">
        <v>3993</v>
      </c>
      <c r="Q99" s="0" t="s">
        <v>3994</v>
      </c>
      <c r="R99" s="0" t="s">
        <v>4995</v>
      </c>
      <c r="S99" s="0" t="s">
        <v>4996</v>
      </c>
      <c r="T99" s="0" t="s">
        <v>4795</v>
      </c>
      <c r="U99" s="0" t="s">
        <v>4796</v>
      </c>
      <c r="V99" s="0" t="s">
        <v>4985</v>
      </c>
      <c r="W99" s="0" t="s">
        <v>4798</v>
      </c>
      <c r="X99" s="0" t="s">
        <v>4799</v>
      </c>
      <c r="Y99" s="0" t="s">
        <v>4796</v>
      </c>
      <c r="Z99" s="0" t="s">
        <v>4979</v>
      </c>
      <c r="AA99" s="0" t="s">
        <v>4801</v>
      </c>
      <c r="AB99" s="0" t="s">
        <v>4985</v>
      </c>
      <c r="AC99" s="0" t="s">
        <v>62</v>
      </c>
      <c r="AD99" s="0" t="s">
        <v>62</v>
      </c>
      <c r="AE99" s="0" t="s">
        <v>62</v>
      </c>
      <c r="AF99" s="0" t="s">
        <v>4917</v>
      </c>
      <c r="AG99" s="0" t="s">
        <v>4997</v>
      </c>
      <c r="AH99" s="0" t="s">
        <v>4917</v>
      </c>
      <c r="AI99" s="0" t="s">
        <v>4997</v>
      </c>
      <c r="AJ99" s="0" t="s">
        <v>4917</v>
      </c>
      <c r="AK99" s="0" t="s">
        <v>4997</v>
      </c>
      <c r="AL99" s="0" t="s">
        <v>4804</v>
      </c>
    </row>
    <row customHeight="1" ht="11.25">
      <c r="A100" s="0" t="s">
        <v>22</v>
      </c>
      <c r="B100" s="0" t="s">
        <v>48</v>
      </c>
      <c r="C100" s="0" t="s">
        <v>50</v>
      </c>
      <c r="D100" s="0" t="s">
        <v>22</v>
      </c>
      <c r="E100" s="0" t="s">
        <v>4998</v>
      </c>
      <c r="F100" s="0" t="s">
        <v>1299</v>
      </c>
      <c r="G100" s="0" t="s">
        <v>110</v>
      </c>
      <c r="H100" s="0" t="s">
        <v>3993</v>
      </c>
      <c r="I100" s="0" t="s">
        <v>3994</v>
      </c>
      <c r="J100" s="0" t="s">
        <v>4995</v>
      </c>
      <c r="K100" s="0" t="s">
        <v>4996</v>
      </c>
      <c r="L100" s="0" t="s">
        <v>1363</v>
      </c>
      <c r="M100" s="0" t="s">
        <v>1355</v>
      </c>
      <c r="N100" s="0" t="s">
        <v>210</v>
      </c>
      <c r="O100" s="0" t="s">
        <v>110</v>
      </c>
      <c r="P100" s="0" t="s">
        <v>3993</v>
      </c>
      <c r="Q100" s="0" t="s">
        <v>3994</v>
      </c>
      <c r="R100" s="0" t="s">
        <v>4995</v>
      </c>
      <c r="S100" s="0" t="s">
        <v>4996</v>
      </c>
      <c r="T100" s="0" t="s">
        <v>4795</v>
      </c>
      <c r="U100" s="0" t="s">
        <v>4796</v>
      </c>
      <c r="V100" s="0" t="s">
        <v>4985</v>
      </c>
      <c r="W100" s="0" t="s">
        <v>4798</v>
      </c>
      <c r="X100" s="0" t="s">
        <v>4799</v>
      </c>
      <c r="Y100" s="0" t="s">
        <v>4796</v>
      </c>
      <c r="Z100" s="0" t="s">
        <v>4979</v>
      </c>
      <c r="AA100" s="0" t="s">
        <v>4801</v>
      </c>
      <c r="AB100" s="0" t="s">
        <v>4985</v>
      </c>
      <c r="AC100" s="0" t="s">
        <v>62</v>
      </c>
      <c r="AD100" s="0" t="s">
        <v>62</v>
      </c>
      <c r="AE100" s="0" t="s">
        <v>62</v>
      </c>
      <c r="AF100" s="0" t="s">
        <v>4999</v>
      </c>
      <c r="AG100" s="0" t="s">
        <v>5000</v>
      </c>
      <c r="AH100" s="0" t="s">
        <v>4999</v>
      </c>
      <c r="AI100" s="0" t="s">
        <v>5000</v>
      </c>
      <c r="AJ100" s="0" t="s">
        <v>4999</v>
      </c>
      <c r="AK100" s="0" t="s">
        <v>5000</v>
      </c>
      <c r="AL100" s="0" t="s">
        <v>4804</v>
      </c>
    </row>
    <row customHeight="1" ht="11.25">
      <c r="A101" s="0" t="s">
        <v>22</v>
      </c>
      <c r="B101" s="0" t="s">
        <v>48</v>
      </c>
      <c r="C101" s="0" t="s">
        <v>50</v>
      </c>
      <c r="D101" s="0" t="s">
        <v>22</v>
      </c>
      <c r="E101" s="0" t="s">
        <v>4998</v>
      </c>
      <c r="F101" s="0" t="s">
        <v>1299</v>
      </c>
      <c r="G101" s="0" t="s">
        <v>110</v>
      </c>
      <c r="H101" s="0" t="s">
        <v>3993</v>
      </c>
      <c r="I101" s="0" t="s">
        <v>3994</v>
      </c>
      <c r="J101" s="0" t="s">
        <v>4995</v>
      </c>
      <c r="K101" s="0" t="s">
        <v>4996</v>
      </c>
      <c r="L101" s="0" t="s">
        <v>1363</v>
      </c>
      <c r="M101" s="0" t="s">
        <v>1355</v>
      </c>
      <c r="N101" s="0" t="s">
        <v>210</v>
      </c>
      <c r="O101" s="0" t="s">
        <v>110</v>
      </c>
      <c r="P101" s="0" t="s">
        <v>3993</v>
      </c>
      <c r="Q101" s="0" t="s">
        <v>3994</v>
      </c>
      <c r="R101" s="0" t="s">
        <v>4995</v>
      </c>
      <c r="S101" s="0" t="s">
        <v>4996</v>
      </c>
      <c r="T101" s="0" t="s">
        <v>4795</v>
      </c>
      <c r="U101" s="0" t="s">
        <v>4796</v>
      </c>
      <c r="V101" s="0" t="s">
        <v>4978</v>
      </c>
      <c r="W101" s="0" t="s">
        <v>4798</v>
      </c>
      <c r="X101" s="0" t="s">
        <v>4799</v>
      </c>
      <c r="Y101" s="0" t="s">
        <v>4796</v>
      </c>
      <c r="Z101" s="0" t="s">
        <v>4981</v>
      </c>
      <c r="AA101" s="0" t="s">
        <v>4807</v>
      </c>
      <c r="AB101" s="0" t="s">
        <v>4978</v>
      </c>
      <c r="AC101" s="0" t="s">
        <v>62</v>
      </c>
      <c r="AD101" s="0" t="s">
        <v>62</v>
      </c>
      <c r="AE101" s="0" t="s">
        <v>62</v>
      </c>
      <c r="AF101" s="0" t="s">
        <v>4999</v>
      </c>
      <c r="AG101" s="0" t="s">
        <v>5000</v>
      </c>
      <c r="AH101" s="0" t="s">
        <v>4999</v>
      </c>
      <c r="AI101" s="0" t="s">
        <v>5000</v>
      </c>
      <c r="AJ101" s="0" t="s">
        <v>4999</v>
      </c>
      <c r="AK101" s="0" t="s">
        <v>5000</v>
      </c>
      <c r="AL101" s="0" t="s">
        <v>4804</v>
      </c>
    </row>
    <row customHeight="1" ht="11.25">
      <c r="A102" s="0" t="s">
        <v>22</v>
      </c>
      <c r="B102" s="0" t="s">
        <v>48</v>
      </c>
      <c r="C102" s="0" t="s">
        <v>50</v>
      </c>
      <c r="D102" s="0" t="s">
        <v>22</v>
      </c>
      <c r="E102" s="0" t="s">
        <v>5001</v>
      </c>
      <c r="F102" s="0" t="s">
        <v>1299</v>
      </c>
      <c r="G102" s="0" t="s">
        <v>110</v>
      </c>
      <c r="H102" s="0" t="s">
        <v>3999</v>
      </c>
      <c r="I102" s="0" t="s">
        <v>4000</v>
      </c>
      <c r="J102" s="0" t="s">
        <v>5002</v>
      </c>
      <c r="K102" s="0" t="s">
        <v>5003</v>
      </c>
      <c r="L102" s="0" t="s">
        <v>1433</v>
      </c>
      <c r="M102" s="0" t="s">
        <v>1355</v>
      </c>
      <c r="N102" s="0" t="s">
        <v>210</v>
      </c>
      <c r="O102" s="0" t="s">
        <v>110</v>
      </c>
      <c r="P102" s="0" t="s">
        <v>3999</v>
      </c>
      <c r="Q102" s="0" t="s">
        <v>4000</v>
      </c>
      <c r="R102" s="0" t="s">
        <v>5002</v>
      </c>
      <c r="S102" s="0" t="s">
        <v>5003</v>
      </c>
      <c r="T102" s="0" t="s">
        <v>4795</v>
      </c>
      <c r="U102" s="0" t="s">
        <v>4796</v>
      </c>
      <c r="V102" s="0" t="s">
        <v>4978</v>
      </c>
      <c r="W102" s="0" t="s">
        <v>4798</v>
      </c>
      <c r="X102" s="0" t="s">
        <v>4799</v>
      </c>
      <c r="Y102" s="0" t="s">
        <v>4796</v>
      </c>
      <c r="Z102" s="0" t="s">
        <v>4981</v>
      </c>
      <c r="AA102" s="0" t="s">
        <v>4807</v>
      </c>
      <c r="AB102" s="0" t="s">
        <v>4978</v>
      </c>
      <c r="AC102" s="0" t="s">
        <v>62</v>
      </c>
      <c r="AD102" s="0" t="s">
        <v>62</v>
      </c>
      <c r="AE102" s="0" t="s">
        <v>62</v>
      </c>
      <c r="AF102" s="0" t="s">
        <v>5004</v>
      </c>
      <c r="AG102" s="0" t="s">
        <v>5005</v>
      </c>
      <c r="AH102" s="0" t="s">
        <v>5004</v>
      </c>
      <c r="AI102" s="0" t="s">
        <v>5005</v>
      </c>
      <c r="AJ102" s="0" t="s">
        <v>5004</v>
      </c>
      <c r="AK102" s="0" t="s">
        <v>5005</v>
      </c>
      <c r="AL102" s="0" t="s">
        <v>4804</v>
      </c>
    </row>
    <row customHeight="1" ht="11.25">
      <c r="A103" s="0" t="s">
        <v>22</v>
      </c>
      <c r="B103" s="0" t="s">
        <v>48</v>
      </c>
      <c r="C103" s="0" t="s">
        <v>50</v>
      </c>
      <c r="D103" s="0" t="s">
        <v>22</v>
      </c>
      <c r="E103" s="0" t="s">
        <v>5001</v>
      </c>
      <c r="F103" s="0" t="s">
        <v>1299</v>
      </c>
      <c r="G103" s="0" t="s">
        <v>110</v>
      </c>
      <c r="H103" s="0" t="s">
        <v>3999</v>
      </c>
      <c r="I103" s="0" t="s">
        <v>4000</v>
      </c>
      <c r="J103" s="0" t="s">
        <v>5002</v>
      </c>
      <c r="K103" s="0" t="s">
        <v>5003</v>
      </c>
      <c r="L103" s="0" t="s">
        <v>1433</v>
      </c>
      <c r="M103" s="0" t="s">
        <v>1355</v>
      </c>
      <c r="N103" s="0" t="s">
        <v>210</v>
      </c>
      <c r="O103" s="0" t="s">
        <v>110</v>
      </c>
      <c r="P103" s="0" t="s">
        <v>3999</v>
      </c>
      <c r="Q103" s="0" t="s">
        <v>4000</v>
      </c>
      <c r="R103" s="0" t="s">
        <v>5002</v>
      </c>
      <c r="S103" s="0" t="s">
        <v>5003</v>
      </c>
      <c r="T103" s="0" t="s">
        <v>4795</v>
      </c>
      <c r="U103" s="0" t="s">
        <v>4796</v>
      </c>
      <c r="V103" s="0" t="s">
        <v>4985</v>
      </c>
      <c r="W103" s="0" t="s">
        <v>4798</v>
      </c>
      <c r="X103" s="0" t="s">
        <v>4799</v>
      </c>
      <c r="Y103" s="0" t="s">
        <v>4796</v>
      </c>
      <c r="Z103" s="0" t="s">
        <v>4979</v>
      </c>
      <c r="AA103" s="0" t="s">
        <v>4801</v>
      </c>
      <c r="AB103" s="0" t="s">
        <v>4985</v>
      </c>
      <c r="AC103" s="0" t="s">
        <v>62</v>
      </c>
      <c r="AD103" s="0" t="s">
        <v>62</v>
      </c>
      <c r="AE103" s="0" t="s">
        <v>62</v>
      </c>
      <c r="AF103" s="0" t="s">
        <v>5004</v>
      </c>
      <c r="AG103" s="0" t="s">
        <v>5005</v>
      </c>
      <c r="AH103" s="0" t="s">
        <v>5004</v>
      </c>
      <c r="AI103" s="0" t="s">
        <v>5005</v>
      </c>
      <c r="AJ103" s="0" t="s">
        <v>5004</v>
      </c>
      <c r="AK103" s="0" t="s">
        <v>5005</v>
      </c>
      <c r="AL103" s="0" t="s">
        <v>4804</v>
      </c>
    </row>
    <row customHeight="1" ht="11.25">
      <c r="A104" s="0" t="s">
        <v>22</v>
      </c>
      <c r="B104" s="0" t="s">
        <v>48</v>
      </c>
      <c r="C104" s="0" t="s">
        <v>50</v>
      </c>
      <c r="D104" s="0" t="s">
        <v>22</v>
      </c>
      <c r="E104" s="0" t="s">
        <v>5006</v>
      </c>
      <c r="F104" s="0" t="s">
        <v>1299</v>
      </c>
      <c r="G104" s="0" t="s">
        <v>110</v>
      </c>
      <c r="H104" s="0" t="s">
        <v>3999</v>
      </c>
      <c r="I104" s="0" t="s">
        <v>4000</v>
      </c>
      <c r="J104" s="0" t="s">
        <v>5002</v>
      </c>
      <c r="K104" s="0" t="s">
        <v>5003</v>
      </c>
      <c r="L104" s="0" t="s">
        <v>5007</v>
      </c>
      <c r="M104" s="0" t="s">
        <v>1355</v>
      </c>
      <c r="N104" s="0" t="s">
        <v>210</v>
      </c>
      <c r="O104" s="0" t="s">
        <v>110</v>
      </c>
      <c r="P104" s="0" t="s">
        <v>3999</v>
      </c>
      <c r="Q104" s="0" t="s">
        <v>4000</v>
      </c>
      <c r="R104" s="0" t="s">
        <v>5002</v>
      </c>
      <c r="S104" s="0" t="s">
        <v>5003</v>
      </c>
      <c r="T104" s="0" t="s">
        <v>4795</v>
      </c>
      <c r="U104" s="0" t="s">
        <v>4796</v>
      </c>
      <c r="V104" s="0" t="s">
        <v>4985</v>
      </c>
      <c r="W104" s="0" t="s">
        <v>4798</v>
      </c>
      <c r="X104" s="0" t="s">
        <v>4799</v>
      </c>
      <c r="Y104" s="0" t="s">
        <v>4796</v>
      </c>
      <c r="Z104" s="0" t="s">
        <v>4979</v>
      </c>
      <c r="AA104" s="0" t="s">
        <v>4801</v>
      </c>
      <c r="AB104" s="0" t="s">
        <v>4985</v>
      </c>
      <c r="AC104" s="0" t="s">
        <v>62</v>
      </c>
      <c r="AD104" s="0" t="s">
        <v>62</v>
      </c>
      <c r="AE104" s="0" t="s">
        <v>62</v>
      </c>
      <c r="AF104" s="0" t="s">
        <v>5008</v>
      </c>
      <c r="AG104" s="0" t="s">
        <v>5009</v>
      </c>
      <c r="AH104" s="0" t="s">
        <v>5008</v>
      </c>
      <c r="AI104" s="0" t="s">
        <v>5009</v>
      </c>
      <c r="AJ104" s="0" t="s">
        <v>5008</v>
      </c>
      <c r="AK104" s="0" t="s">
        <v>5009</v>
      </c>
      <c r="AL104" s="0" t="s">
        <v>4804</v>
      </c>
    </row>
    <row customHeight="1" ht="11.25">
      <c r="A105" s="0" t="s">
        <v>22</v>
      </c>
      <c r="B105" s="0" t="s">
        <v>48</v>
      </c>
      <c r="C105" s="0" t="s">
        <v>50</v>
      </c>
      <c r="D105" s="0" t="s">
        <v>22</v>
      </c>
      <c r="E105" s="0" t="s">
        <v>5006</v>
      </c>
      <c r="F105" s="0" t="s">
        <v>1299</v>
      </c>
      <c r="G105" s="0" t="s">
        <v>110</v>
      </c>
      <c r="H105" s="0" t="s">
        <v>3999</v>
      </c>
      <c r="I105" s="0" t="s">
        <v>4000</v>
      </c>
      <c r="J105" s="0" t="s">
        <v>5002</v>
      </c>
      <c r="K105" s="0" t="s">
        <v>5003</v>
      </c>
      <c r="L105" s="0" t="s">
        <v>5007</v>
      </c>
      <c r="M105" s="0" t="s">
        <v>1355</v>
      </c>
      <c r="N105" s="0" t="s">
        <v>210</v>
      </c>
      <c r="O105" s="0" t="s">
        <v>110</v>
      </c>
      <c r="P105" s="0" t="s">
        <v>3999</v>
      </c>
      <c r="Q105" s="0" t="s">
        <v>4000</v>
      </c>
      <c r="R105" s="0" t="s">
        <v>5002</v>
      </c>
      <c r="S105" s="0" t="s">
        <v>5003</v>
      </c>
      <c r="T105" s="0" t="s">
        <v>4795</v>
      </c>
      <c r="U105" s="0" t="s">
        <v>4796</v>
      </c>
      <c r="V105" s="0" t="s">
        <v>4978</v>
      </c>
      <c r="W105" s="0" t="s">
        <v>4798</v>
      </c>
      <c r="X105" s="0" t="s">
        <v>4799</v>
      </c>
      <c r="Y105" s="0" t="s">
        <v>4796</v>
      </c>
      <c r="Z105" s="0" t="s">
        <v>4981</v>
      </c>
      <c r="AA105" s="0" t="s">
        <v>4807</v>
      </c>
      <c r="AB105" s="0" t="s">
        <v>4978</v>
      </c>
      <c r="AC105" s="0" t="s">
        <v>62</v>
      </c>
      <c r="AD105" s="0" t="s">
        <v>62</v>
      </c>
      <c r="AE105" s="0" t="s">
        <v>62</v>
      </c>
      <c r="AF105" s="0" t="s">
        <v>5008</v>
      </c>
      <c r="AG105" s="0" t="s">
        <v>5009</v>
      </c>
      <c r="AH105" s="0" t="s">
        <v>5008</v>
      </c>
      <c r="AI105" s="0" t="s">
        <v>5009</v>
      </c>
      <c r="AJ105" s="0" t="s">
        <v>5008</v>
      </c>
      <c r="AK105" s="0" t="s">
        <v>5009</v>
      </c>
      <c r="AL105" s="0" t="s">
        <v>4804</v>
      </c>
    </row>
    <row customHeight="1" ht="11.25">
      <c r="A106" s="0" t="s">
        <v>22</v>
      </c>
      <c r="B106" s="0" t="s">
        <v>48</v>
      </c>
      <c r="C106" s="0" t="s">
        <v>50</v>
      </c>
      <c r="D106" s="0" t="s">
        <v>22</v>
      </c>
      <c r="E106" s="0" t="s">
        <v>5010</v>
      </c>
      <c r="F106" s="0" t="s">
        <v>1299</v>
      </c>
      <c r="G106" s="0" t="s">
        <v>114</v>
      </c>
      <c r="H106" s="0" t="s">
        <v>1422</v>
      </c>
      <c r="I106" s="0" t="s">
        <v>1423</v>
      </c>
      <c r="J106" s="0" t="s">
        <v>1424</v>
      </c>
      <c r="K106" s="0" t="s">
        <v>1425</v>
      </c>
      <c r="L106" s="0" t="s">
        <v>5011</v>
      </c>
      <c r="M106" s="0" t="s">
        <v>210</v>
      </c>
      <c r="N106" s="0" t="s">
        <v>210</v>
      </c>
      <c r="O106" s="0" t="s">
        <v>114</v>
      </c>
      <c r="P106" s="0" t="s">
        <v>1422</v>
      </c>
      <c r="Q106" s="0" t="s">
        <v>1423</v>
      </c>
      <c r="R106" s="0" t="s">
        <v>1424</v>
      </c>
      <c r="S106" s="0" t="s">
        <v>1425</v>
      </c>
      <c r="T106" s="0" t="s">
        <v>4795</v>
      </c>
      <c r="U106" s="0" t="s">
        <v>4796</v>
      </c>
      <c r="V106" s="0" t="s">
        <v>5012</v>
      </c>
      <c r="W106" s="0" t="s">
        <v>4798</v>
      </c>
      <c r="X106" s="0" t="s">
        <v>4799</v>
      </c>
      <c r="Y106" s="0" t="s">
        <v>4796</v>
      </c>
      <c r="Z106" s="0" t="s">
        <v>5013</v>
      </c>
      <c r="AA106" s="0" t="s">
        <v>4807</v>
      </c>
      <c r="AB106" s="0" t="s">
        <v>5012</v>
      </c>
      <c r="AC106" s="0" t="s">
        <v>62</v>
      </c>
      <c r="AD106" s="0" t="s">
        <v>62</v>
      </c>
      <c r="AE106" s="0" t="s">
        <v>62</v>
      </c>
      <c r="AF106" s="0" t="s">
        <v>5014</v>
      </c>
      <c r="AG106" s="0" t="s">
        <v>5015</v>
      </c>
      <c r="AH106" s="0" t="s">
        <v>5014</v>
      </c>
      <c r="AI106" s="0" t="s">
        <v>5015</v>
      </c>
      <c r="AJ106" s="0" t="s">
        <v>5014</v>
      </c>
      <c r="AK106" s="0" t="s">
        <v>5015</v>
      </c>
      <c r="AL106" s="0" t="s">
        <v>4804</v>
      </c>
    </row>
    <row customHeight="1" ht="11.25">
      <c r="A107" s="0" t="s">
        <v>22</v>
      </c>
      <c r="B107" s="0" t="s">
        <v>48</v>
      </c>
      <c r="C107" s="0" t="s">
        <v>50</v>
      </c>
      <c r="D107" s="0" t="s">
        <v>22</v>
      </c>
      <c r="E107" s="0" t="s">
        <v>5010</v>
      </c>
      <c r="F107" s="0" t="s">
        <v>1299</v>
      </c>
      <c r="G107" s="0" t="s">
        <v>114</v>
      </c>
      <c r="H107" s="0" t="s">
        <v>1422</v>
      </c>
      <c r="I107" s="0" t="s">
        <v>1423</v>
      </c>
      <c r="J107" s="0" t="s">
        <v>1424</v>
      </c>
      <c r="K107" s="0" t="s">
        <v>1425</v>
      </c>
      <c r="L107" s="0" t="s">
        <v>5011</v>
      </c>
      <c r="M107" s="0" t="s">
        <v>210</v>
      </c>
      <c r="N107" s="0" t="s">
        <v>210</v>
      </c>
      <c r="O107" s="0" t="s">
        <v>114</v>
      </c>
      <c r="P107" s="0" t="s">
        <v>1422</v>
      </c>
      <c r="Q107" s="0" t="s">
        <v>1423</v>
      </c>
      <c r="R107" s="0" t="s">
        <v>1424</v>
      </c>
      <c r="S107" s="0" t="s">
        <v>1425</v>
      </c>
      <c r="T107" s="0" t="s">
        <v>4795</v>
      </c>
      <c r="U107" s="0" t="s">
        <v>4796</v>
      </c>
      <c r="V107" s="0" t="s">
        <v>5016</v>
      </c>
      <c r="W107" s="0" t="s">
        <v>4798</v>
      </c>
      <c r="X107" s="0" t="s">
        <v>4799</v>
      </c>
      <c r="Y107" s="0" t="s">
        <v>4796</v>
      </c>
      <c r="Z107" s="0" t="s">
        <v>5017</v>
      </c>
      <c r="AA107" s="0" t="s">
        <v>5018</v>
      </c>
      <c r="AB107" s="0" t="s">
        <v>5016</v>
      </c>
      <c r="AC107" s="0" t="s">
        <v>62</v>
      </c>
      <c r="AD107" s="0" t="s">
        <v>62</v>
      </c>
      <c r="AE107" s="0" t="s">
        <v>62</v>
      </c>
      <c r="AF107" s="0" t="s">
        <v>5014</v>
      </c>
      <c r="AG107" s="0" t="s">
        <v>5015</v>
      </c>
      <c r="AH107" s="0" t="s">
        <v>5014</v>
      </c>
      <c r="AI107" s="0" t="s">
        <v>5015</v>
      </c>
      <c r="AJ107" s="0" t="s">
        <v>5014</v>
      </c>
      <c r="AK107" s="0" t="s">
        <v>5015</v>
      </c>
      <c r="AL107" s="0" t="s">
        <v>4804</v>
      </c>
    </row>
    <row customHeight="1" ht="11.25">
      <c r="A108" s="0" t="s">
        <v>22</v>
      </c>
      <c r="B108" s="0" t="s">
        <v>48</v>
      </c>
      <c r="C108" s="0" t="s">
        <v>50</v>
      </c>
      <c r="D108" s="0" t="s">
        <v>22</v>
      </c>
      <c r="E108" s="0" t="s">
        <v>1421</v>
      </c>
      <c r="F108" s="0" t="s">
        <v>1299</v>
      </c>
      <c r="G108" s="0" t="s">
        <v>114</v>
      </c>
      <c r="H108" s="0" t="s">
        <v>1422</v>
      </c>
      <c r="I108" s="0" t="s">
        <v>1423</v>
      </c>
      <c r="J108" s="0" t="s">
        <v>1424</v>
      </c>
      <c r="K108" s="0" t="s">
        <v>1425</v>
      </c>
      <c r="L108" s="0" t="s">
        <v>1426</v>
      </c>
      <c r="M108" s="0" t="s">
        <v>129</v>
      </c>
      <c r="N108" s="0" t="s">
        <v>210</v>
      </c>
      <c r="O108" s="0" t="s">
        <v>114</v>
      </c>
      <c r="P108" s="0" t="s">
        <v>1422</v>
      </c>
      <c r="Q108" s="0" t="s">
        <v>1423</v>
      </c>
      <c r="R108" s="0" t="s">
        <v>1424</v>
      </c>
      <c r="S108" s="0" t="s">
        <v>1425</v>
      </c>
      <c r="T108" s="0" t="s">
        <v>4795</v>
      </c>
      <c r="U108" s="0" t="s">
        <v>4796</v>
      </c>
      <c r="V108" s="0" t="s">
        <v>5012</v>
      </c>
      <c r="W108" s="0" t="s">
        <v>4798</v>
      </c>
      <c r="X108" s="0" t="s">
        <v>4799</v>
      </c>
      <c r="Y108" s="0" t="s">
        <v>4796</v>
      </c>
      <c r="Z108" s="0" t="s">
        <v>5013</v>
      </c>
      <c r="AA108" s="0" t="s">
        <v>4807</v>
      </c>
      <c r="AB108" s="0" t="s">
        <v>5012</v>
      </c>
      <c r="AC108" s="0" t="s">
        <v>62</v>
      </c>
      <c r="AD108" s="0" t="s">
        <v>62</v>
      </c>
      <c r="AE108" s="0" t="s">
        <v>62</v>
      </c>
      <c r="AF108" s="0" t="s">
        <v>4862</v>
      </c>
      <c r="AG108" s="0" t="s">
        <v>4924</v>
      </c>
      <c r="AH108" s="0" t="s">
        <v>4862</v>
      </c>
      <c r="AI108" s="0" t="s">
        <v>4924</v>
      </c>
      <c r="AJ108" s="0" t="s">
        <v>4862</v>
      </c>
      <c r="AK108" s="0" t="s">
        <v>4924</v>
      </c>
      <c r="AL108" s="0" t="s">
        <v>4804</v>
      </c>
    </row>
    <row customHeight="1" ht="11.25">
      <c r="A109" s="0" t="s">
        <v>22</v>
      </c>
      <c r="B109" s="0" t="s">
        <v>48</v>
      </c>
      <c r="C109" s="0" t="s">
        <v>50</v>
      </c>
      <c r="D109" s="0" t="s">
        <v>22</v>
      </c>
      <c r="E109" s="0" t="s">
        <v>1421</v>
      </c>
      <c r="F109" s="0" t="s">
        <v>1299</v>
      </c>
      <c r="G109" s="0" t="s">
        <v>114</v>
      </c>
      <c r="H109" s="0" t="s">
        <v>1422</v>
      </c>
      <c r="I109" s="0" t="s">
        <v>1423</v>
      </c>
      <c r="J109" s="0" t="s">
        <v>1424</v>
      </c>
      <c r="K109" s="0" t="s">
        <v>1425</v>
      </c>
      <c r="L109" s="0" t="s">
        <v>1426</v>
      </c>
      <c r="M109" s="0" t="s">
        <v>129</v>
      </c>
      <c r="N109" s="0" t="s">
        <v>210</v>
      </c>
      <c r="O109" s="0" t="s">
        <v>114</v>
      </c>
      <c r="P109" s="0" t="s">
        <v>1422</v>
      </c>
      <c r="Q109" s="0" t="s">
        <v>1423</v>
      </c>
      <c r="R109" s="0" t="s">
        <v>1424</v>
      </c>
      <c r="S109" s="0" t="s">
        <v>1425</v>
      </c>
      <c r="T109" s="0" t="s">
        <v>4795</v>
      </c>
      <c r="U109" s="0" t="s">
        <v>4796</v>
      </c>
      <c r="V109" s="0" t="s">
        <v>5016</v>
      </c>
      <c r="W109" s="0" t="s">
        <v>4798</v>
      </c>
      <c r="X109" s="0" t="s">
        <v>4799</v>
      </c>
      <c r="Y109" s="0" t="s">
        <v>4796</v>
      </c>
      <c r="Z109" s="0" t="s">
        <v>5017</v>
      </c>
      <c r="AA109" s="0" t="s">
        <v>5018</v>
      </c>
      <c r="AB109" s="0" t="s">
        <v>5016</v>
      </c>
      <c r="AC109" s="0" t="s">
        <v>62</v>
      </c>
      <c r="AD109" s="0" t="s">
        <v>62</v>
      </c>
      <c r="AE109" s="0" t="s">
        <v>62</v>
      </c>
      <c r="AF109" s="0" t="s">
        <v>4862</v>
      </c>
      <c r="AG109" s="0" t="s">
        <v>4924</v>
      </c>
      <c r="AH109" s="0" t="s">
        <v>4862</v>
      </c>
      <c r="AI109" s="0" t="s">
        <v>4924</v>
      </c>
      <c r="AJ109" s="0" t="s">
        <v>4862</v>
      </c>
      <c r="AK109" s="0" t="s">
        <v>4924</v>
      </c>
      <c r="AL109" s="0" t="s">
        <v>4804</v>
      </c>
    </row>
    <row customHeight="1" ht="11.25">
      <c r="A110" s="0" t="s">
        <v>22</v>
      </c>
      <c r="B110" s="0" t="s">
        <v>48</v>
      </c>
      <c r="C110" s="0" t="s">
        <v>50</v>
      </c>
      <c r="D110" s="0" t="s">
        <v>22</v>
      </c>
      <c r="E110" s="0" t="s">
        <v>5019</v>
      </c>
      <c r="F110" s="0" t="s">
        <v>1299</v>
      </c>
      <c r="G110" s="0" t="s">
        <v>119</v>
      </c>
      <c r="H110" s="0" t="s">
        <v>1396</v>
      </c>
      <c r="I110" s="0" t="s">
        <v>1397</v>
      </c>
      <c r="J110" s="0" t="s">
        <v>1398</v>
      </c>
      <c r="K110" s="0" t="s">
        <v>1399</v>
      </c>
      <c r="L110" s="0" t="s">
        <v>1317</v>
      </c>
      <c r="M110" s="0" t="s">
        <v>1355</v>
      </c>
      <c r="N110" s="0" t="s">
        <v>210</v>
      </c>
      <c r="O110" s="0" t="s">
        <v>119</v>
      </c>
      <c r="P110" s="0" t="s">
        <v>1396</v>
      </c>
      <c r="Q110" s="0" t="s">
        <v>1397</v>
      </c>
      <c r="R110" s="0" t="s">
        <v>1398</v>
      </c>
      <c r="S110" s="0" t="s">
        <v>1399</v>
      </c>
      <c r="T110" s="0" t="s">
        <v>4795</v>
      </c>
      <c r="U110" s="0" t="s">
        <v>4796</v>
      </c>
      <c r="V110" s="0" t="s">
        <v>5020</v>
      </c>
      <c r="W110" s="0" t="s">
        <v>4798</v>
      </c>
      <c r="X110" s="0" t="s">
        <v>4799</v>
      </c>
      <c r="Y110" s="0" t="s">
        <v>4796</v>
      </c>
      <c r="Z110" s="0" t="s">
        <v>5021</v>
      </c>
      <c r="AA110" s="0" t="s">
        <v>4801</v>
      </c>
      <c r="AB110" s="0" t="s">
        <v>5020</v>
      </c>
      <c r="AC110" s="0" t="s">
        <v>62</v>
      </c>
      <c r="AD110" s="0" t="s">
        <v>62</v>
      </c>
      <c r="AE110" s="0" t="s">
        <v>62</v>
      </c>
      <c r="AF110" s="0" t="s">
        <v>5022</v>
      </c>
      <c r="AG110" s="0" t="s">
        <v>5023</v>
      </c>
      <c r="AH110" s="0" t="s">
        <v>5022</v>
      </c>
      <c r="AI110" s="0" t="s">
        <v>5023</v>
      </c>
      <c r="AJ110" s="0" t="s">
        <v>5022</v>
      </c>
      <c r="AK110" s="0" t="s">
        <v>5023</v>
      </c>
      <c r="AL110" s="0" t="s">
        <v>4804</v>
      </c>
    </row>
    <row customHeight="1" ht="11.25">
      <c r="A111" s="0" t="s">
        <v>22</v>
      </c>
      <c r="B111" s="0" t="s">
        <v>48</v>
      </c>
      <c r="C111" s="0" t="s">
        <v>50</v>
      </c>
      <c r="D111" s="0" t="s">
        <v>22</v>
      </c>
      <c r="E111" s="0" t="s">
        <v>5019</v>
      </c>
      <c r="F111" s="0" t="s">
        <v>1299</v>
      </c>
      <c r="G111" s="0" t="s">
        <v>119</v>
      </c>
      <c r="H111" s="0" t="s">
        <v>1396</v>
      </c>
      <c r="I111" s="0" t="s">
        <v>1397</v>
      </c>
      <c r="J111" s="0" t="s">
        <v>1398</v>
      </c>
      <c r="K111" s="0" t="s">
        <v>1399</v>
      </c>
      <c r="L111" s="0" t="s">
        <v>1317</v>
      </c>
      <c r="M111" s="0" t="s">
        <v>1355</v>
      </c>
      <c r="N111" s="0" t="s">
        <v>210</v>
      </c>
      <c r="O111" s="0" t="s">
        <v>119</v>
      </c>
      <c r="P111" s="0" t="s">
        <v>1396</v>
      </c>
      <c r="Q111" s="0" t="s">
        <v>1397</v>
      </c>
      <c r="R111" s="0" t="s">
        <v>1398</v>
      </c>
      <c r="S111" s="0" t="s">
        <v>1399</v>
      </c>
      <c r="T111" s="0" t="s">
        <v>4795</v>
      </c>
      <c r="U111" s="0" t="s">
        <v>4796</v>
      </c>
      <c r="V111" s="0" t="s">
        <v>5024</v>
      </c>
      <c r="W111" s="0" t="s">
        <v>4798</v>
      </c>
      <c r="X111" s="0" t="s">
        <v>4799</v>
      </c>
      <c r="Y111" s="0" t="s">
        <v>4796</v>
      </c>
      <c r="Z111" s="0" t="s">
        <v>5025</v>
      </c>
      <c r="AA111" s="0" t="s">
        <v>4807</v>
      </c>
      <c r="AB111" s="0" t="s">
        <v>5024</v>
      </c>
      <c r="AC111" s="0" t="s">
        <v>62</v>
      </c>
      <c r="AD111" s="0" t="s">
        <v>62</v>
      </c>
      <c r="AE111" s="0" t="s">
        <v>62</v>
      </c>
      <c r="AF111" s="0" t="s">
        <v>5022</v>
      </c>
      <c r="AG111" s="0" t="s">
        <v>5023</v>
      </c>
      <c r="AH111" s="0" t="s">
        <v>5022</v>
      </c>
      <c r="AI111" s="0" t="s">
        <v>5023</v>
      </c>
      <c r="AJ111" s="0" t="s">
        <v>5022</v>
      </c>
      <c r="AK111" s="0" t="s">
        <v>5023</v>
      </c>
      <c r="AL111" s="0" t="s">
        <v>4804</v>
      </c>
    </row>
    <row customHeight="1" ht="11.25">
      <c r="A112" s="0" t="s">
        <v>22</v>
      </c>
      <c r="B112" s="0" t="s">
        <v>48</v>
      </c>
      <c r="C112" s="0" t="s">
        <v>50</v>
      </c>
      <c r="D112" s="0" t="s">
        <v>22</v>
      </c>
      <c r="E112" s="0" t="s">
        <v>1395</v>
      </c>
      <c r="F112" s="0" t="s">
        <v>1299</v>
      </c>
      <c r="G112" s="0" t="s">
        <v>119</v>
      </c>
      <c r="H112" s="0" t="s">
        <v>1396</v>
      </c>
      <c r="I112" s="0" t="s">
        <v>1397</v>
      </c>
      <c r="J112" s="0" t="s">
        <v>1398</v>
      </c>
      <c r="K112" s="0" t="s">
        <v>1399</v>
      </c>
      <c r="L112" s="0" t="s">
        <v>1400</v>
      </c>
      <c r="M112" s="0" t="s">
        <v>1355</v>
      </c>
      <c r="N112" s="0" t="s">
        <v>210</v>
      </c>
      <c r="O112" s="0" t="s">
        <v>119</v>
      </c>
      <c r="P112" s="0" t="s">
        <v>1396</v>
      </c>
      <c r="Q112" s="0" t="s">
        <v>1397</v>
      </c>
      <c r="R112" s="0" t="s">
        <v>1398</v>
      </c>
      <c r="S112" s="0" t="s">
        <v>1399</v>
      </c>
      <c r="T112" s="0" t="s">
        <v>4795</v>
      </c>
      <c r="U112" s="0" t="s">
        <v>4796</v>
      </c>
      <c r="V112" s="0" t="s">
        <v>5024</v>
      </c>
      <c r="W112" s="0" t="s">
        <v>4798</v>
      </c>
      <c r="X112" s="0" t="s">
        <v>4799</v>
      </c>
      <c r="Y112" s="0" t="s">
        <v>4796</v>
      </c>
      <c r="Z112" s="0" t="s">
        <v>5025</v>
      </c>
      <c r="AA112" s="0" t="s">
        <v>4807</v>
      </c>
      <c r="AB112" s="0" t="s">
        <v>5024</v>
      </c>
      <c r="AC112" s="0" t="s">
        <v>62</v>
      </c>
      <c r="AD112" s="0" t="s">
        <v>62</v>
      </c>
      <c r="AE112" s="0" t="s">
        <v>62</v>
      </c>
      <c r="AF112" s="0" t="s">
        <v>4912</v>
      </c>
      <c r="AG112" s="0" t="s">
        <v>5026</v>
      </c>
      <c r="AH112" s="0" t="s">
        <v>4912</v>
      </c>
      <c r="AI112" s="0" t="s">
        <v>5026</v>
      </c>
      <c r="AJ112" s="0" t="s">
        <v>4912</v>
      </c>
      <c r="AK112" s="0" t="s">
        <v>5026</v>
      </c>
      <c r="AL112" s="0" t="s">
        <v>4804</v>
      </c>
    </row>
    <row customHeight="1" ht="11.25">
      <c r="A113" s="0" t="s">
        <v>22</v>
      </c>
      <c r="B113" s="0" t="s">
        <v>48</v>
      </c>
      <c r="C113" s="0" t="s">
        <v>50</v>
      </c>
      <c r="D113" s="0" t="s">
        <v>22</v>
      </c>
      <c r="E113" s="0" t="s">
        <v>1395</v>
      </c>
      <c r="F113" s="0" t="s">
        <v>1299</v>
      </c>
      <c r="G113" s="0" t="s">
        <v>119</v>
      </c>
      <c r="H113" s="0" t="s">
        <v>1396</v>
      </c>
      <c r="I113" s="0" t="s">
        <v>1397</v>
      </c>
      <c r="J113" s="0" t="s">
        <v>1398</v>
      </c>
      <c r="K113" s="0" t="s">
        <v>1399</v>
      </c>
      <c r="L113" s="0" t="s">
        <v>1400</v>
      </c>
      <c r="M113" s="0" t="s">
        <v>1355</v>
      </c>
      <c r="N113" s="0" t="s">
        <v>210</v>
      </c>
      <c r="O113" s="0" t="s">
        <v>119</v>
      </c>
      <c r="P113" s="0" t="s">
        <v>1396</v>
      </c>
      <c r="Q113" s="0" t="s">
        <v>1397</v>
      </c>
      <c r="R113" s="0" t="s">
        <v>1398</v>
      </c>
      <c r="S113" s="0" t="s">
        <v>1399</v>
      </c>
      <c r="T113" s="0" t="s">
        <v>4795</v>
      </c>
      <c r="U113" s="0" t="s">
        <v>4796</v>
      </c>
      <c r="V113" s="0" t="s">
        <v>5020</v>
      </c>
      <c r="W113" s="0" t="s">
        <v>4798</v>
      </c>
      <c r="X113" s="0" t="s">
        <v>4799</v>
      </c>
      <c r="Y113" s="0" t="s">
        <v>4796</v>
      </c>
      <c r="Z113" s="0" t="s">
        <v>5021</v>
      </c>
      <c r="AA113" s="0" t="s">
        <v>4801</v>
      </c>
      <c r="AB113" s="0" t="s">
        <v>5020</v>
      </c>
      <c r="AC113" s="0" t="s">
        <v>62</v>
      </c>
      <c r="AD113" s="0" t="s">
        <v>62</v>
      </c>
      <c r="AE113" s="0" t="s">
        <v>62</v>
      </c>
      <c r="AF113" s="0" t="s">
        <v>4912</v>
      </c>
      <c r="AG113" s="0" t="s">
        <v>5026</v>
      </c>
      <c r="AH113" s="0" t="s">
        <v>4912</v>
      </c>
      <c r="AI113" s="0" t="s">
        <v>5026</v>
      </c>
      <c r="AJ113" s="0" t="s">
        <v>4912</v>
      </c>
      <c r="AK113" s="0" t="s">
        <v>5026</v>
      </c>
      <c r="AL113" s="0" t="s">
        <v>4804</v>
      </c>
    </row>
    <row customHeight="1" ht="11.25">
      <c r="A114" s="0" t="s">
        <v>22</v>
      </c>
      <c r="B114" s="0" t="s">
        <v>48</v>
      </c>
      <c r="C114" s="0" t="s">
        <v>50</v>
      </c>
      <c r="D114" s="0" t="s">
        <v>22</v>
      </c>
      <c r="E114" s="0" t="s">
        <v>5027</v>
      </c>
      <c r="F114" s="0" t="s">
        <v>1299</v>
      </c>
      <c r="G114" s="0" t="s">
        <v>127</v>
      </c>
      <c r="H114" s="0" t="s">
        <v>3903</v>
      </c>
      <c r="I114" s="0" t="s">
        <v>4068</v>
      </c>
      <c r="J114" s="0" t="s">
        <v>4875</v>
      </c>
      <c r="K114" s="0" t="s">
        <v>5028</v>
      </c>
      <c r="L114" s="0" t="s">
        <v>5029</v>
      </c>
      <c r="M114" s="0" t="s">
        <v>129</v>
      </c>
      <c r="N114" s="0" t="s">
        <v>210</v>
      </c>
      <c r="O114" s="0" t="s">
        <v>127</v>
      </c>
      <c r="P114" s="0" t="s">
        <v>3903</v>
      </c>
      <c r="Q114" s="0" t="s">
        <v>4068</v>
      </c>
      <c r="R114" s="0" t="s">
        <v>4875</v>
      </c>
      <c r="S114" s="0" t="s">
        <v>5028</v>
      </c>
      <c r="T114" s="0" t="s">
        <v>4795</v>
      </c>
      <c r="U114" s="0" t="s">
        <v>4796</v>
      </c>
      <c r="V114" s="0" t="s">
        <v>5030</v>
      </c>
      <c r="W114" s="0" t="s">
        <v>4798</v>
      </c>
      <c r="X114" s="0" t="s">
        <v>4799</v>
      </c>
      <c r="Y114" s="0" t="s">
        <v>4796</v>
      </c>
      <c r="Z114" s="0" t="s">
        <v>5031</v>
      </c>
      <c r="AA114" s="0" t="s">
        <v>4807</v>
      </c>
      <c r="AB114" s="0" t="s">
        <v>5030</v>
      </c>
      <c r="AC114" s="0" t="s">
        <v>62</v>
      </c>
      <c r="AD114" s="0" t="s">
        <v>62</v>
      </c>
      <c r="AE114" s="0" t="s">
        <v>62</v>
      </c>
      <c r="AF114" s="0" t="s">
        <v>963</v>
      </c>
      <c r="AG114" s="0" t="s">
        <v>5032</v>
      </c>
      <c r="AH114" s="0" t="s">
        <v>963</v>
      </c>
      <c r="AI114" s="0" t="s">
        <v>5032</v>
      </c>
      <c r="AJ114" s="0" t="s">
        <v>963</v>
      </c>
      <c r="AK114" s="0" t="s">
        <v>5032</v>
      </c>
      <c r="AL114" s="0" t="s">
        <v>4804</v>
      </c>
    </row>
    <row customHeight="1" ht="11.25">
      <c r="A115" s="0" t="s">
        <v>22</v>
      </c>
      <c r="B115" s="0" t="s">
        <v>48</v>
      </c>
      <c r="C115" s="0" t="s">
        <v>50</v>
      </c>
      <c r="D115" s="0" t="s">
        <v>22</v>
      </c>
      <c r="E115" s="0" t="s">
        <v>5027</v>
      </c>
      <c r="F115" s="0" t="s">
        <v>1299</v>
      </c>
      <c r="G115" s="0" t="s">
        <v>127</v>
      </c>
      <c r="H115" s="0" t="s">
        <v>3903</v>
      </c>
      <c r="I115" s="0" t="s">
        <v>4068</v>
      </c>
      <c r="J115" s="0" t="s">
        <v>4875</v>
      </c>
      <c r="K115" s="0" t="s">
        <v>5028</v>
      </c>
      <c r="L115" s="0" t="s">
        <v>5029</v>
      </c>
      <c r="M115" s="0" t="s">
        <v>129</v>
      </c>
      <c r="N115" s="0" t="s">
        <v>210</v>
      </c>
      <c r="O115" s="0" t="s">
        <v>127</v>
      </c>
      <c r="P115" s="0" t="s">
        <v>3903</v>
      </c>
      <c r="Q115" s="0" t="s">
        <v>4068</v>
      </c>
      <c r="R115" s="0" t="s">
        <v>4875</v>
      </c>
      <c r="S115" s="0" t="s">
        <v>5028</v>
      </c>
      <c r="T115" s="0" t="s">
        <v>4795</v>
      </c>
      <c r="U115" s="0" t="s">
        <v>4796</v>
      </c>
      <c r="V115" s="0" t="s">
        <v>5033</v>
      </c>
      <c r="W115" s="0" t="s">
        <v>4798</v>
      </c>
      <c r="X115" s="0" t="s">
        <v>4799</v>
      </c>
      <c r="Y115" s="0" t="s">
        <v>4796</v>
      </c>
      <c r="Z115" s="0" t="s">
        <v>5034</v>
      </c>
      <c r="AA115" s="0" t="s">
        <v>4801</v>
      </c>
      <c r="AB115" s="0" t="s">
        <v>5033</v>
      </c>
      <c r="AC115" s="0" t="s">
        <v>62</v>
      </c>
      <c r="AD115" s="0" t="s">
        <v>62</v>
      </c>
      <c r="AE115" s="0" t="s">
        <v>62</v>
      </c>
      <c r="AF115" s="0" t="s">
        <v>963</v>
      </c>
      <c r="AG115" s="0" t="s">
        <v>5032</v>
      </c>
      <c r="AH115" s="0" t="s">
        <v>963</v>
      </c>
      <c r="AI115" s="0" t="s">
        <v>5032</v>
      </c>
      <c r="AJ115" s="0" t="s">
        <v>963</v>
      </c>
      <c r="AK115" s="0" t="s">
        <v>5032</v>
      </c>
      <c r="AL115" s="0" t="s">
        <v>4804</v>
      </c>
    </row>
    <row customHeight="1" ht="11.25">
      <c r="A116" s="0" t="s">
        <v>22</v>
      </c>
      <c r="B116" s="0" t="s">
        <v>48</v>
      </c>
      <c r="C116" s="0" t="s">
        <v>50</v>
      </c>
      <c r="D116" s="0" t="s">
        <v>22</v>
      </c>
      <c r="E116" s="0" t="s">
        <v>5035</v>
      </c>
      <c r="F116" s="0" t="s">
        <v>1299</v>
      </c>
      <c r="G116" s="0" t="s">
        <v>127</v>
      </c>
      <c r="H116" s="0" t="s">
        <v>4070</v>
      </c>
      <c r="I116" s="0" t="s">
        <v>4071</v>
      </c>
      <c r="J116" s="0" t="s">
        <v>5036</v>
      </c>
      <c r="K116" s="0" t="s">
        <v>5037</v>
      </c>
      <c r="L116" s="0" t="s">
        <v>1378</v>
      </c>
      <c r="M116" s="0" t="s">
        <v>5038</v>
      </c>
      <c r="N116" s="0" t="s">
        <v>210</v>
      </c>
      <c r="O116" s="0" t="s">
        <v>127</v>
      </c>
      <c r="P116" s="0" t="s">
        <v>4070</v>
      </c>
      <c r="Q116" s="0" t="s">
        <v>4071</v>
      </c>
      <c r="R116" s="0" t="s">
        <v>5036</v>
      </c>
      <c r="S116" s="0" t="s">
        <v>5037</v>
      </c>
      <c r="T116" s="0" t="s">
        <v>4795</v>
      </c>
      <c r="U116" s="0" t="s">
        <v>4796</v>
      </c>
      <c r="V116" s="0" t="s">
        <v>5030</v>
      </c>
      <c r="W116" s="0" t="s">
        <v>4798</v>
      </c>
      <c r="X116" s="0" t="s">
        <v>4799</v>
      </c>
      <c r="Y116" s="0" t="s">
        <v>4796</v>
      </c>
      <c r="Z116" s="0" t="s">
        <v>5031</v>
      </c>
      <c r="AA116" s="0" t="s">
        <v>4807</v>
      </c>
      <c r="AB116" s="0" t="s">
        <v>5030</v>
      </c>
      <c r="AC116" s="0" t="s">
        <v>62</v>
      </c>
      <c r="AD116" s="0" t="s">
        <v>62</v>
      </c>
      <c r="AE116" s="0" t="s">
        <v>62</v>
      </c>
      <c r="AF116" s="0" t="s">
        <v>5039</v>
      </c>
      <c r="AG116" s="0" t="s">
        <v>5040</v>
      </c>
      <c r="AH116" s="0" t="s">
        <v>5039</v>
      </c>
      <c r="AI116" s="0" t="s">
        <v>5040</v>
      </c>
      <c r="AJ116" s="0" t="s">
        <v>5039</v>
      </c>
      <c r="AK116" s="0" t="s">
        <v>5040</v>
      </c>
      <c r="AL116" s="0" t="s">
        <v>4804</v>
      </c>
    </row>
    <row customHeight="1" ht="11.25">
      <c r="A117" s="0" t="s">
        <v>22</v>
      </c>
      <c r="B117" s="0" t="s">
        <v>48</v>
      </c>
      <c r="C117" s="0" t="s">
        <v>50</v>
      </c>
      <c r="D117" s="0" t="s">
        <v>22</v>
      </c>
      <c r="E117" s="0" t="s">
        <v>5035</v>
      </c>
      <c r="F117" s="0" t="s">
        <v>1299</v>
      </c>
      <c r="G117" s="0" t="s">
        <v>127</v>
      </c>
      <c r="H117" s="0" t="s">
        <v>4070</v>
      </c>
      <c r="I117" s="0" t="s">
        <v>4071</v>
      </c>
      <c r="J117" s="0" t="s">
        <v>5036</v>
      </c>
      <c r="K117" s="0" t="s">
        <v>5037</v>
      </c>
      <c r="L117" s="0" t="s">
        <v>1378</v>
      </c>
      <c r="M117" s="0" t="s">
        <v>5038</v>
      </c>
      <c r="N117" s="0" t="s">
        <v>210</v>
      </c>
      <c r="O117" s="0" t="s">
        <v>127</v>
      </c>
      <c r="P117" s="0" t="s">
        <v>4070</v>
      </c>
      <c r="Q117" s="0" t="s">
        <v>4071</v>
      </c>
      <c r="R117" s="0" t="s">
        <v>5036</v>
      </c>
      <c r="S117" s="0" t="s">
        <v>5037</v>
      </c>
      <c r="T117" s="0" t="s">
        <v>4795</v>
      </c>
      <c r="U117" s="0" t="s">
        <v>4796</v>
      </c>
      <c r="V117" s="0" t="s">
        <v>5033</v>
      </c>
      <c r="W117" s="0" t="s">
        <v>4798</v>
      </c>
      <c r="X117" s="0" t="s">
        <v>4799</v>
      </c>
      <c r="Y117" s="0" t="s">
        <v>4796</v>
      </c>
      <c r="Z117" s="0" t="s">
        <v>5034</v>
      </c>
      <c r="AA117" s="0" t="s">
        <v>4801</v>
      </c>
      <c r="AB117" s="0" t="s">
        <v>5033</v>
      </c>
      <c r="AC117" s="0" t="s">
        <v>62</v>
      </c>
      <c r="AD117" s="0" t="s">
        <v>62</v>
      </c>
      <c r="AE117" s="0" t="s">
        <v>62</v>
      </c>
      <c r="AF117" s="0" t="s">
        <v>5039</v>
      </c>
      <c r="AG117" s="0" t="s">
        <v>5040</v>
      </c>
      <c r="AH117" s="0" t="s">
        <v>5039</v>
      </c>
      <c r="AI117" s="0" t="s">
        <v>5040</v>
      </c>
      <c r="AJ117" s="0" t="s">
        <v>5039</v>
      </c>
      <c r="AK117" s="0" t="s">
        <v>5040</v>
      </c>
      <c r="AL117" s="0" t="s">
        <v>4804</v>
      </c>
    </row>
    <row customHeight="1" ht="11.25">
      <c r="A118" s="0" t="s">
        <v>22</v>
      </c>
      <c r="B118" s="0" t="s">
        <v>48</v>
      </c>
      <c r="C118" s="0" t="s">
        <v>50</v>
      </c>
      <c r="D118" s="0" t="s">
        <v>22</v>
      </c>
      <c r="E118" s="0" t="s">
        <v>5041</v>
      </c>
      <c r="F118" s="0" t="s">
        <v>1299</v>
      </c>
      <c r="G118" s="0" t="s">
        <v>127</v>
      </c>
      <c r="H118" s="0" t="s">
        <v>4070</v>
      </c>
      <c r="I118" s="0" t="s">
        <v>4071</v>
      </c>
      <c r="J118" s="0" t="s">
        <v>5042</v>
      </c>
      <c r="K118" s="0" t="s">
        <v>5043</v>
      </c>
      <c r="L118" s="0" t="s">
        <v>5044</v>
      </c>
      <c r="M118" s="0" t="s">
        <v>144</v>
      </c>
      <c r="N118" s="0" t="s">
        <v>210</v>
      </c>
      <c r="O118" s="0" t="s">
        <v>127</v>
      </c>
      <c r="P118" s="0" t="s">
        <v>4070</v>
      </c>
      <c r="Q118" s="0" t="s">
        <v>4071</v>
      </c>
      <c r="R118" s="0" t="s">
        <v>5042</v>
      </c>
      <c r="S118" s="0" t="s">
        <v>5043</v>
      </c>
      <c r="T118" s="0" t="s">
        <v>4795</v>
      </c>
      <c r="U118" s="0" t="s">
        <v>4796</v>
      </c>
      <c r="V118" s="0" t="s">
        <v>5030</v>
      </c>
      <c r="W118" s="0" t="s">
        <v>4798</v>
      </c>
      <c r="X118" s="0" t="s">
        <v>4799</v>
      </c>
      <c r="Y118" s="0" t="s">
        <v>4796</v>
      </c>
      <c r="Z118" s="0" t="s">
        <v>5031</v>
      </c>
      <c r="AA118" s="0" t="s">
        <v>4807</v>
      </c>
      <c r="AB118" s="0" t="s">
        <v>5030</v>
      </c>
      <c r="AC118" s="0" t="s">
        <v>62</v>
      </c>
      <c r="AD118" s="0" t="s">
        <v>62</v>
      </c>
      <c r="AE118" s="0" t="s">
        <v>62</v>
      </c>
      <c r="AF118" s="0" t="s">
        <v>5045</v>
      </c>
      <c r="AG118" s="0" t="s">
        <v>5046</v>
      </c>
      <c r="AH118" s="0" t="s">
        <v>5045</v>
      </c>
      <c r="AI118" s="0" t="s">
        <v>5046</v>
      </c>
      <c r="AJ118" s="0" t="s">
        <v>5045</v>
      </c>
      <c r="AK118" s="0" t="s">
        <v>5046</v>
      </c>
      <c r="AL118" s="0" t="s">
        <v>4804</v>
      </c>
    </row>
    <row customHeight="1" ht="11.25">
      <c r="A119" s="0" t="s">
        <v>22</v>
      </c>
      <c r="B119" s="0" t="s">
        <v>48</v>
      </c>
      <c r="C119" s="0" t="s">
        <v>50</v>
      </c>
      <c r="D119" s="0" t="s">
        <v>22</v>
      </c>
      <c r="E119" s="0" t="s">
        <v>5041</v>
      </c>
      <c r="F119" s="0" t="s">
        <v>1299</v>
      </c>
      <c r="G119" s="0" t="s">
        <v>127</v>
      </c>
      <c r="H119" s="0" t="s">
        <v>4070</v>
      </c>
      <c r="I119" s="0" t="s">
        <v>4071</v>
      </c>
      <c r="J119" s="0" t="s">
        <v>5042</v>
      </c>
      <c r="K119" s="0" t="s">
        <v>5043</v>
      </c>
      <c r="L119" s="0" t="s">
        <v>5044</v>
      </c>
      <c r="M119" s="0" t="s">
        <v>144</v>
      </c>
      <c r="N119" s="0" t="s">
        <v>210</v>
      </c>
      <c r="O119" s="0" t="s">
        <v>127</v>
      </c>
      <c r="P119" s="0" t="s">
        <v>4070</v>
      </c>
      <c r="Q119" s="0" t="s">
        <v>4071</v>
      </c>
      <c r="R119" s="0" t="s">
        <v>5042</v>
      </c>
      <c r="S119" s="0" t="s">
        <v>5043</v>
      </c>
      <c r="T119" s="0" t="s">
        <v>4795</v>
      </c>
      <c r="U119" s="0" t="s">
        <v>4796</v>
      </c>
      <c r="V119" s="0" t="s">
        <v>5033</v>
      </c>
      <c r="W119" s="0" t="s">
        <v>4798</v>
      </c>
      <c r="X119" s="0" t="s">
        <v>4799</v>
      </c>
      <c r="Y119" s="0" t="s">
        <v>4796</v>
      </c>
      <c r="Z119" s="0" t="s">
        <v>5034</v>
      </c>
      <c r="AA119" s="0" t="s">
        <v>4801</v>
      </c>
      <c r="AB119" s="0" t="s">
        <v>5033</v>
      </c>
      <c r="AC119" s="0" t="s">
        <v>62</v>
      </c>
      <c r="AD119" s="0" t="s">
        <v>62</v>
      </c>
      <c r="AE119" s="0" t="s">
        <v>62</v>
      </c>
      <c r="AF119" s="0" t="s">
        <v>5045</v>
      </c>
      <c r="AG119" s="0" t="s">
        <v>5046</v>
      </c>
      <c r="AH119" s="0" t="s">
        <v>5045</v>
      </c>
      <c r="AI119" s="0" t="s">
        <v>5046</v>
      </c>
      <c r="AJ119" s="0" t="s">
        <v>5045</v>
      </c>
      <c r="AK119" s="0" t="s">
        <v>5046</v>
      </c>
      <c r="AL119" s="0" t="s">
        <v>4804</v>
      </c>
    </row>
    <row customHeight="1" ht="11.25">
      <c r="A120" s="0" t="s">
        <v>22</v>
      </c>
      <c r="B120" s="0" t="s">
        <v>48</v>
      </c>
      <c r="C120" s="0" t="s">
        <v>50</v>
      </c>
      <c r="D120" s="0" t="s">
        <v>22</v>
      </c>
      <c r="E120" s="0" t="s">
        <v>5047</v>
      </c>
      <c r="F120" s="0" t="s">
        <v>1299</v>
      </c>
      <c r="G120" s="0" t="s">
        <v>127</v>
      </c>
      <c r="H120" s="0" t="s">
        <v>4073</v>
      </c>
      <c r="I120" s="0" t="s">
        <v>4074</v>
      </c>
      <c r="J120" s="0" t="s">
        <v>5048</v>
      </c>
      <c r="K120" s="0" t="s">
        <v>5049</v>
      </c>
      <c r="L120" s="0" t="s">
        <v>1338</v>
      </c>
      <c r="M120" s="0" t="s">
        <v>4887</v>
      </c>
      <c r="N120" s="0" t="s">
        <v>210</v>
      </c>
      <c r="O120" s="0" t="s">
        <v>127</v>
      </c>
      <c r="P120" s="0" t="s">
        <v>4073</v>
      </c>
      <c r="Q120" s="0" t="s">
        <v>4074</v>
      </c>
      <c r="R120" s="0" t="s">
        <v>5048</v>
      </c>
      <c r="S120" s="0" t="s">
        <v>5049</v>
      </c>
      <c r="T120" s="0" t="s">
        <v>4795</v>
      </c>
      <c r="U120" s="0" t="s">
        <v>4796</v>
      </c>
      <c r="V120" s="0" t="s">
        <v>5033</v>
      </c>
      <c r="W120" s="0" t="s">
        <v>4798</v>
      </c>
      <c r="X120" s="0" t="s">
        <v>4799</v>
      </c>
      <c r="Y120" s="0" t="s">
        <v>4796</v>
      </c>
      <c r="Z120" s="0" t="s">
        <v>5034</v>
      </c>
      <c r="AA120" s="0" t="s">
        <v>4801</v>
      </c>
      <c r="AB120" s="0" t="s">
        <v>5033</v>
      </c>
      <c r="AC120" s="0" t="s">
        <v>62</v>
      </c>
      <c r="AD120" s="0" t="s">
        <v>62</v>
      </c>
      <c r="AE120" s="0" t="s">
        <v>62</v>
      </c>
      <c r="AF120" s="0" t="s">
        <v>4862</v>
      </c>
      <c r="AG120" s="0" t="s">
        <v>5050</v>
      </c>
      <c r="AH120" s="0" t="s">
        <v>4862</v>
      </c>
      <c r="AI120" s="0" t="s">
        <v>5050</v>
      </c>
      <c r="AJ120" s="0" t="s">
        <v>4862</v>
      </c>
      <c r="AK120" s="0" t="s">
        <v>5050</v>
      </c>
      <c r="AL120" s="0" t="s">
        <v>4804</v>
      </c>
    </row>
    <row customHeight="1" ht="11.25">
      <c r="A121" s="0" t="s">
        <v>22</v>
      </c>
      <c r="B121" s="0" t="s">
        <v>48</v>
      </c>
      <c r="C121" s="0" t="s">
        <v>50</v>
      </c>
      <c r="D121" s="0" t="s">
        <v>22</v>
      </c>
      <c r="E121" s="0" t="s">
        <v>5047</v>
      </c>
      <c r="F121" s="0" t="s">
        <v>1299</v>
      </c>
      <c r="G121" s="0" t="s">
        <v>127</v>
      </c>
      <c r="H121" s="0" t="s">
        <v>4073</v>
      </c>
      <c r="I121" s="0" t="s">
        <v>4074</v>
      </c>
      <c r="J121" s="0" t="s">
        <v>5048</v>
      </c>
      <c r="K121" s="0" t="s">
        <v>5049</v>
      </c>
      <c r="L121" s="0" t="s">
        <v>1338</v>
      </c>
      <c r="M121" s="0" t="s">
        <v>4887</v>
      </c>
      <c r="N121" s="0" t="s">
        <v>210</v>
      </c>
      <c r="O121" s="0" t="s">
        <v>127</v>
      </c>
      <c r="P121" s="0" t="s">
        <v>4073</v>
      </c>
      <c r="Q121" s="0" t="s">
        <v>4074</v>
      </c>
      <c r="R121" s="0" t="s">
        <v>5048</v>
      </c>
      <c r="S121" s="0" t="s">
        <v>5049</v>
      </c>
      <c r="T121" s="0" t="s">
        <v>4795</v>
      </c>
      <c r="U121" s="0" t="s">
        <v>4796</v>
      </c>
      <c r="V121" s="0" t="s">
        <v>5030</v>
      </c>
      <c r="W121" s="0" t="s">
        <v>4798</v>
      </c>
      <c r="X121" s="0" t="s">
        <v>4799</v>
      </c>
      <c r="Y121" s="0" t="s">
        <v>4796</v>
      </c>
      <c r="Z121" s="0" t="s">
        <v>5031</v>
      </c>
      <c r="AA121" s="0" t="s">
        <v>4807</v>
      </c>
      <c r="AB121" s="0" t="s">
        <v>5030</v>
      </c>
      <c r="AC121" s="0" t="s">
        <v>62</v>
      </c>
      <c r="AD121" s="0" t="s">
        <v>62</v>
      </c>
      <c r="AE121" s="0" t="s">
        <v>62</v>
      </c>
      <c r="AF121" s="0" t="s">
        <v>4862</v>
      </c>
      <c r="AG121" s="0" t="s">
        <v>5050</v>
      </c>
      <c r="AH121" s="0" t="s">
        <v>4862</v>
      </c>
      <c r="AI121" s="0" t="s">
        <v>5050</v>
      </c>
      <c r="AJ121" s="0" t="s">
        <v>4862</v>
      </c>
      <c r="AK121" s="0" t="s">
        <v>5050</v>
      </c>
      <c r="AL121" s="0" t="s">
        <v>4804</v>
      </c>
    </row>
    <row customHeight="1" ht="11.25">
      <c r="A122" s="0" t="s">
        <v>22</v>
      </c>
      <c r="B122" s="0" t="s">
        <v>48</v>
      </c>
      <c r="C122" s="0" t="s">
        <v>50</v>
      </c>
      <c r="D122" s="0" t="s">
        <v>22</v>
      </c>
      <c r="E122" s="0" t="s">
        <v>5051</v>
      </c>
      <c r="F122" s="0" t="s">
        <v>1299</v>
      </c>
      <c r="G122" s="0" t="s">
        <v>127</v>
      </c>
      <c r="H122" s="0" t="s">
        <v>4073</v>
      </c>
      <c r="I122" s="0" t="s">
        <v>4074</v>
      </c>
      <c r="J122" s="0" t="s">
        <v>5052</v>
      </c>
      <c r="K122" s="0" t="s">
        <v>5053</v>
      </c>
      <c r="L122" s="0" t="s">
        <v>1378</v>
      </c>
      <c r="M122" s="0" t="s">
        <v>5054</v>
      </c>
      <c r="N122" s="0" t="s">
        <v>210</v>
      </c>
      <c r="O122" s="0" t="s">
        <v>127</v>
      </c>
      <c r="P122" s="0" t="s">
        <v>4073</v>
      </c>
      <c r="Q122" s="0" t="s">
        <v>4074</v>
      </c>
      <c r="R122" s="0" t="s">
        <v>5052</v>
      </c>
      <c r="S122" s="0" t="s">
        <v>5053</v>
      </c>
      <c r="T122" s="0" t="s">
        <v>4795</v>
      </c>
      <c r="U122" s="0" t="s">
        <v>4796</v>
      </c>
      <c r="V122" s="0" t="s">
        <v>5030</v>
      </c>
      <c r="W122" s="0" t="s">
        <v>4798</v>
      </c>
      <c r="X122" s="0" t="s">
        <v>4799</v>
      </c>
      <c r="Y122" s="0" t="s">
        <v>4796</v>
      </c>
      <c r="Z122" s="0" t="s">
        <v>5031</v>
      </c>
      <c r="AA122" s="0" t="s">
        <v>4807</v>
      </c>
      <c r="AB122" s="0" t="s">
        <v>5030</v>
      </c>
      <c r="AC122" s="0" t="s">
        <v>62</v>
      </c>
      <c r="AD122" s="0" t="s">
        <v>62</v>
      </c>
      <c r="AE122" s="0" t="s">
        <v>62</v>
      </c>
      <c r="AF122" s="0" t="s">
        <v>5055</v>
      </c>
      <c r="AG122" s="0" t="s">
        <v>5056</v>
      </c>
      <c r="AH122" s="0" t="s">
        <v>5055</v>
      </c>
      <c r="AI122" s="0" t="s">
        <v>5056</v>
      </c>
      <c r="AJ122" s="0" t="s">
        <v>5055</v>
      </c>
      <c r="AK122" s="0" t="s">
        <v>5056</v>
      </c>
      <c r="AL122" s="0" t="s">
        <v>4804</v>
      </c>
    </row>
    <row customHeight="1" ht="11.25">
      <c r="A123" s="0" t="s">
        <v>22</v>
      </c>
      <c r="B123" s="0" t="s">
        <v>48</v>
      </c>
      <c r="C123" s="0" t="s">
        <v>50</v>
      </c>
      <c r="D123" s="0" t="s">
        <v>22</v>
      </c>
      <c r="E123" s="0" t="s">
        <v>5051</v>
      </c>
      <c r="F123" s="0" t="s">
        <v>1299</v>
      </c>
      <c r="G123" s="0" t="s">
        <v>127</v>
      </c>
      <c r="H123" s="0" t="s">
        <v>4073</v>
      </c>
      <c r="I123" s="0" t="s">
        <v>4074</v>
      </c>
      <c r="J123" s="0" t="s">
        <v>5052</v>
      </c>
      <c r="K123" s="0" t="s">
        <v>5053</v>
      </c>
      <c r="L123" s="0" t="s">
        <v>1378</v>
      </c>
      <c r="M123" s="0" t="s">
        <v>5054</v>
      </c>
      <c r="N123" s="0" t="s">
        <v>210</v>
      </c>
      <c r="O123" s="0" t="s">
        <v>127</v>
      </c>
      <c r="P123" s="0" t="s">
        <v>4073</v>
      </c>
      <c r="Q123" s="0" t="s">
        <v>4074</v>
      </c>
      <c r="R123" s="0" t="s">
        <v>5052</v>
      </c>
      <c r="S123" s="0" t="s">
        <v>5053</v>
      </c>
      <c r="T123" s="0" t="s">
        <v>4795</v>
      </c>
      <c r="U123" s="0" t="s">
        <v>4796</v>
      </c>
      <c r="V123" s="0" t="s">
        <v>5033</v>
      </c>
      <c r="W123" s="0" t="s">
        <v>4798</v>
      </c>
      <c r="X123" s="0" t="s">
        <v>4799</v>
      </c>
      <c r="Y123" s="0" t="s">
        <v>4796</v>
      </c>
      <c r="Z123" s="0" t="s">
        <v>5034</v>
      </c>
      <c r="AA123" s="0" t="s">
        <v>4801</v>
      </c>
      <c r="AB123" s="0" t="s">
        <v>5033</v>
      </c>
      <c r="AC123" s="0" t="s">
        <v>62</v>
      </c>
      <c r="AD123" s="0" t="s">
        <v>62</v>
      </c>
      <c r="AE123" s="0" t="s">
        <v>62</v>
      </c>
      <c r="AF123" s="0" t="s">
        <v>5055</v>
      </c>
      <c r="AG123" s="0" t="s">
        <v>5056</v>
      </c>
      <c r="AH123" s="0" t="s">
        <v>5055</v>
      </c>
      <c r="AI123" s="0" t="s">
        <v>5056</v>
      </c>
      <c r="AJ123" s="0" t="s">
        <v>5055</v>
      </c>
      <c r="AK123" s="0" t="s">
        <v>5056</v>
      </c>
      <c r="AL123" s="0" t="s">
        <v>4804</v>
      </c>
    </row>
    <row customHeight="1" ht="11.25">
      <c r="A124" s="0" t="s">
        <v>22</v>
      </c>
      <c r="B124" s="0" t="s">
        <v>48</v>
      </c>
      <c r="C124" s="0" t="s">
        <v>50</v>
      </c>
      <c r="D124" s="0" t="s">
        <v>22</v>
      </c>
      <c r="E124" s="0" t="s">
        <v>5057</v>
      </c>
      <c r="F124" s="0" t="s">
        <v>5058</v>
      </c>
      <c r="G124" s="0" t="s">
        <v>127</v>
      </c>
      <c r="H124" s="0" t="s">
        <v>4073</v>
      </c>
      <c r="I124" s="0" t="s">
        <v>4074</v>
      </c>
      <c r="J124" s="0" t="s">
        <v>5059</v>
      </c>
      <c r="K124" s="0" t="s">
        <v>5060</v>
      </c>
      <c r="L124" s="0" t="s">
        <v>4822</v>
      </c>
      <c r="M124" s="0" t="s">
        <v>5061</v>
      </c>
      <c r="N124" s="0" t="s">
        <v>210</v>
      </c>
      <c r="O124" s="0" t="s">
        <v>127</v>
      </c>
      <c r="P124" s="0" t="s">
        <v>4073</v>
      </c>
      <c r="Q124" s="0" t="s">
        <v>4074</v>
      </c>
      <c r="R124" s="0" t="s">
        <v>5059</v>
      </c>
      <c r="S124" s="0" t="s">
        <v>5060</v>
      </c>
      <c r="T124" s="0" t="s">
        <v>4795</v>
      </c>
      <c r="U124" s="0" t="s">
        <v>4796</v>
      </c>
      <c r="V124" s="0" t="s">
        <v>5030</v>
      </c>
      <c r="W124" s="0" t="s">
        <v>4798</v>
      </c>
      <c r="X124" s="0" t="s">
        <v>4799</v>
      </c>
      <c r="Y124" s="0" t="s">
        <v>4796</v>
      </c>
      <c r="Z124" s="0" t="s">
        <v>5031</v>
      </c>
      <c r="AA124" s="0" t="s">
        <v>4807</v>
      </c>
      <c r="AB124" s="0" t="s">
        <v>5030</v>
      </c>
      <c r="AC124" s="0" t="s">
        <v>62</v>
      </c>
      <c r="AD124" s="0" t="s">
        <v>19</v>
      </c>
      <c r="AE124" s="0" t="s">
        <v>19</v>
      </c>
      <c r="AF124" s="0" t="s">
        <v>4948</v>
      </c>
      <c r="AG124" s="0" t="s">
        <v>5062</v>
      </c>
      <c r="AH124" s="0" t="s">
        <v>22</v>
      </c>
      <c r="AI124" s="0" t="s">
        <v>22</v>
      </c>
      <c r="AJ124" s="0" t="s">
        <v>22</v>
      </c>
      <c r="AK124" s="0" t="s">
        <v>22</v>
      </c>
      <c r="AL124" s="0" t="s">
        <v>4804</v>
      </c>
    </row>
    <row customHeight="1" ht="11.25">
      <c r="A125" s="0" t="s">
        <v>22</v>
      </c>
      <c r="B125" s="0" t="s">
        <v>48</v>
      </c>
      <c r="C125" s="0" t="s">
        <v>50</v>
      </c>
      <c r="D125" s="0" t="s">
        <v>22</v>
      </c>
      <c r="E125" s="0" t="s">
        <v>5057</v>
      </c>
      <c r="F125" s="0" t="s">
        <v>5058</v>
      </c>
      <c r="G125" s="0" t="s">
        <v>127</v>
      </c>
      <c r="H125" s="0" t="s">
        <v>4073</v>
      </c>
      <c r="I125" s="0" t="s">
        <v>4074</v>
      </c>
      <c r="J125" s="0" t="s">
        <v>5059</v>
      </c>
      <c r="K125" s="0" t="s">
        <v>5060</v>
      </c>
      <c r="L125" s="0" t="s">
        <v>4822</v>
      </c>
      <c r="M125" s="0" t="s">
        <v>5061</v>
      </c>
      <c r="N125" s="0" t="s">
        <v>210</v>
      </c>
      <c r="O125" s="0" t="s">
        <v>127</v>
      </c>
      <c r="P125" s="0" t="s">
        <v>4073</v>
      </c>
      <c r="Q125" s="0" t="s">
        <v>4074</v>
      </c>
      <c r="R125" s="0" t="s">
        <v>5059</v>
      </c>
      <c r="S125" s="0" t="s">
        <v>5060</v>
      </c>
      <c r="T125" s="0" t="s">
        <v>4795</v>
      </c>
      <c r="U125" s="0" t="s">
        <v>4796</v>
      </c>
      <c r="V125" s="0" t="s">
        <v>5033</v>
      </c>
      <c r="W125" s="0" t="s">
        <v>4798</v>
      </c>
      <c r="X125" s="0" t="s">
        <v>4799</v>
      </c>
      <c r="Y125" s="0" t="s">
        <v>4796</v>
      </c>
      <c r="Z125" s="0" t="s">
        <v>5034</v>
      </c>
      <c r="AA125" s="0" t="s">
        <v>4801</v>
      </c>
      <c r="AB125" s="0" t="s">
        <v>5033</v>
      </c>
      <c r="AC125" s="0" t="s">
        <v>62</v>
      </c>
      <c r="AD125" s="0" t="s">
        <v>19</v>
      </c>
      <c r="AE125" s="0" t="s">
        <v>19</v>
      </c>
      <c r="AF125" s="0" t="s">
        <v>4948</v>
      </c>
      <c r="AG125" s="0" t="s">
        <v>5062</v>
      </c>
      <c r="AH125" s="0" t="s">
        <v>22</v>
      </c>
      <c r="AI125" s="0" t="s">
        <v>22</v>
      </c>
      <c r="AJ125" s="0" t="s">
        <v>22</v>
      </c>
      <c r="AK125" s="0" t="s">
        <v>22</v>
      </c>
      <c r="AL125" s="0" t="s">
        <v>4804</v>
      </c>
    </row>
    <row customHeight="1" ht="11.25">
      <c r="A126" s="0" t="s">
        <v>22</v>
      </c>
      <c r="B126" s="0" t="s">
        <v>48</v>
      </c>
      <c r="C126" s="0" t="s">
        <v>50</v>
      </c>
      <c r="D126" s="0" t="s">
        <v>22</v>
      </c>
      <c r="E126" s="0" t="s">
        <v>5063</v>
      </c>
      <c r="F126" s="0" t="s">
        <v>1299</v>
      </c>
      <c r="G126" s="0" t="s">
        <v>127</v>
      </c>
      <c r="H126" s="0" t="s">
        <v>4073</v>
      </c>
      <c r="I126" s="0" t="s">
        <v>4074</v>
      </c>
      <c r="J126" s="0" t="s">
        <v>5064</v>
      </c>
      <c r="K126" s="0" t="s">
        <v>5065</v>
      </c>
      <c r="L126" s="0" t="s">
        <v>1407</v>
      </c>
      <c r="M126" s="0" t="s">
        <v>5066</v>
      </c>
      <c r="N126" s="0" t="s">
        <v>210</v>
      </c>
      <c r="O126" s="0" t="s">
        <v>127</v>
      </c>
      <c r="P126" s="0" t="s">
        <v>4073</v>
      </c>
      <c r="Q126" s="0" t="s">
        <v>4074</v>
      </c>
      <c r="R126" s="0" t="s">
        <v>5064</v>
      </c>
      <c r="S126" s="0" t="s">
        <v>5065</v>
      </c>
      <c r="T126" s="0" t="s">
        <v>4795</v>
      </c>
      <c r="U126" s="0" t="s">
        <v>4796</v>
      </c>
      <c r="V126" s="0" t="s">
        <v>5033</v>
      </c>
      <c r="W126" s="0" t="s">
        <v>4798</v>
      </c>
      <c r="X126" s="0" t="s">
        <v>4799</v>
      </c>
      <c r="Y126" s="0" t="s">
        <v>4796</v>
      </c>
      <c r="Z126" s="0" t="s">
        <v>5034</v>
      </c>
      <c r="AA126" s="0" t="s">
        <v>4801</v>
      </c>
      <c r="AB126" s="0" t="s">
        <v>5033</v>
      </c>
      <c r="AC126" s="0" t="s">
        <v>62</v>
      </c>
      <c r="AD126" s="0" t="s">
        <v>62</v>
      </c>
      <c r="AE126" s="0" t="s">
        <v>62</v>
      </c>
      <c r="AF126" s="0" t="s">
        <v>5067</v>
      </c>
      <c r="AG126" s="0" t="s">
        <v>5068</v>
      </c>
      <c r="AH126" s="0" t="s">
        <v>5067</v>
      </c>
      <c r="AI126" s="0" t="s">
        <v>5068</v>
      </c>
      <c r="AJ126" s="0" t="s">
        <v>5067</v>
      </c>
      <c r="AK126" s="0" t="s">
        <v>5068</v>
      </c>
      <c r="AL126" s="0" t="s">
        <v>4804</v>
      </c>
    </row>
    <row customHeight="1" ht="11.25">
      <c r="A127" s="0" t="s">
        <v>22</v>
      </c>
      <c r="B127" s="0" t="s">
        <v>48</v>
      </c>
      <c r="C127" s="0" t="s">
        <v>50</v>
      </c>
      <c r="D127" s="0" t="s">
        <v>22</v>
      </c>
      <c r="E127" s="0" t="s">
        <v>5063</v>
      </c>
      <c r="F127" s="0" t="s">
        <v>1299</v>
      </c>
      <c r="G127" s="0" t="s">
        <v>127</v>
      </c>
      <c r="H127" s="0" t="s">
        <v>4073</v>
      </c>
      <c r="I127" s="0" t="s">
        <v>4074</v>
      </c>
      <c r="J127" s="0" t="s">
        <v>5064</v>
      </c>
      <c r="K127" s="0" t="s">
        <v>5065</v>
      </c>
      <c r="L127" s="0" t="s">
        <v>1407</v>
      </c>
      <c r="M127" s="0" t="s">
        <v>5066</v>
      </c>
      <c r="N127" s="0" t="s">
        <v>210</v>
      </c>
      <c r="O127" s="0" t="s">
        <v>127</v>
      </c>
      <c r="P127" s="0" t="s">
        <v>4073</v>
      </c>
      <c r="Q127" s="0" t="s">
        <v>4074</v>
      </c>
      <c r="R127" s="0" t="s">
        <v>5064</v>
      </c>
      <c r="S127" s="0" t="s">
        <v>5065</v>
      </c>
      <c r="T127" s="0" t="s">
        <v>4795</v>
      </c>
      <c r="U127" s="0" t="s">
        <v>4796</v>
      </c>
      <c r="V127" s="0" t="s">
        <v>5030</v>
      </c>
      <c r="W127" s="0" t="s">
        <v>4798</v>
      </c>
      <c r="X127" s="0" t="s">
        <v>4799</v>
      </c>
      <c r="Y127" s="0" t="s">
        <v>4796</v>
      </c>
      <c r="Z127" s="0" t="s">
        <v>5031</v>
      </c>
      <c r="AA127" s="0" t="s">
        <v>4807</v>
      </c>
      <c r="AB127" s="0" t="s">
        <v>5030</v>
      </c>
      <c r="AC127" s="0" t="s">
        <v>62</v>
      </c>
      <c r="AD127" s="0" t="s">
        <v>62</v>
      </c>
      <c r="AE127" s="0" t="s">
        <v>62</v>
      </c>
      <c r="AF127" s="0" t="s">
        <v>5067</v>
      </c>
      <c r="AG127" s="0" t="s">
        <v>5068</v>
      </c>
      <c r="AH127" s="0" t="s">
        <v>5067</v>
      </c>
      <c r="AI127" s="0" t="s">
        <v>5068</v>
      </c>
      <c r="AJ127" s="0" t="s">
        <v>5067</v>
      </c>
      <c r="AK127" s="0" t="s">
        <v>5068</v>
      </c>
      <c r="AL127" s="0" t="s">
        <v>4804</v>
      </c>
    </row>
    <row customHeight="1" ht="11.25">
      <c r="A128" s="0" t="s">
        <v>22</v>
      </c>
      <c r="B128" s="0" t="s">
        <v>48</v>
      </c>
      <c r="C128" s="0" t="s">
        <v>50</v>
      </c>
      <c r="D128" s="0" t="s">
        <v>22</v>
      </c>
      <c r="E128" s="0" t="s">
        <v>5069</v>
      </c>
      <c r="F128" s="0" t="s">
        <v>1299</v>
      </c>
      <c r="G128" s="0" t="s">
        <v>127</v>
      </c>
      <c r="H128" s="0" t="s">
        <v>4076</v>
      </c>
      <c r="I128" s="0" t="s">
        <v>4077</v>
      </c>
      <c r="J128" s="0" t="s">
        <v>5070</v>
      </c>
      <c r="K128" s="0" t="s">
        <v>5071</v>
      </c>
      <c r="L128" s="0" t="s">
        <v>1363</v>
      </c>
      <c r="M128" s="0" t="s">
        <v>1305</v>
      </c>
      <c r="N128" s="0" t="s">
        <v>210</v>
      </c>
      <c r="O128" s="0" t="s">
        <v>127</v>
      </c>
      <c r="P128" s="0" t="s">
        <v>4076</v>
      </c>
      <c r="Q128" s="0" t="s">
        <v>4077</v>
      </c>
      <c r="R128" s="0" t="s">
        <v>5070</v>
      </c>
      <c r="S128" s="0" t="s">
        <v>5071</v>
      </c>
      <c r="T128" s="0" t="s">
        <v>4795</v>
      </c>
      <c r="U128" s="0" t="s">
        <v>4796</v>
      </c>
      <c r="V128" s="0" t="s">
        <v>5033</v>
      </c>
      <c r="W128" s="0" t="s">
        <v>4798</v>
      </c>
      <c r="X128" s="0" t="s">
        <v>4799</v>
      </c>
      <c r="Y128" s="0" t="s">
        <v>4796</v>
      </c>
      <c r="Z128" s="0" t="s">
        <v>5034</v>
      </c>
      <c r="AA128" s="0" t="s">
        <v>4801</v>
      </c>
      <c r="AB128" s="0" t="s">
        <v>5033</v>
      </c>
      <c r="AC128" s="0" t="s">
        <v>62</v>
      </c>
      <c r="AD128" s="0" t="s">
        <v>62</v>
      </c>
      <c r="AE128" s="0" t="s">
        <v>62</v>
      </c>
      <c r="AF128" s="0" t="s">
        <v>5072</v>
      </c>
      <c r="AG128" s="0" t="s">
        <v>5073</v>
      </c>
      <c r="AH128" s="0" t="s">
        <v>5072</v>
      </c>
      <c r="AI128" s="0" t="s">
        <v>5073</v>
      </c>
      <c r="AJ128" s="0" t="s">
        <v>5072</v>
      </c>
      <c r="AK128" s="0" t="s">
        <v>5073</v>
      </c>
      <c r="AL128" s="0" t="s">
        <v>4804</v>
      </c>
    </row>
    <row customHeight="1" ht="11.25">
      <c r="A129" s="0" t="s">
        <v>22</v>
      </c>
      <c r="B129" s="0" t="s">
        <v>48</v>
      </c>
      <c r="C129" s="0" t="s">
        <v>50</v>
      </c>
      <c r="D129" s="0" t="s">
        <v>22</v>
      </c>
      <c r="E129" s="0" t="s">
        <v>5069</v>
      </c>
      <c r="F129" s="0" t="s">
        <v>1299</v>
      </c>
      <c r="G129" s="0" t="s">
        <v>127</v>
      </c>
      <c r="H129" s="0" t="s">
        <v>4076</v>
      </c>
      <c r="I129" s="0" t="s">
        <v>4077</v>
      </c>
      <c r="J129" s="0" t="s">
        <v>5070</v>
      </c>
      <c r="K129" s="0" t="s">
        <v>5071</v>
      </c>
      <c r="L129" s="0" t="s">
        <v>1363</v>
      </c>
      <c r="M129" s="0" t="s">
        <v>1305</v>
      </c>
      <c r="N129" s="0" t="s">
        <v>210</v>
      </c>
      <c r="O129" s="0" t="s">
        <v>127</v>
      </c>
      <c r="P129" s="0" t="s">
        <v>4076</v>
      </c>
      <c r="Q129" s="0" t="s">
        <v>4077</v>
      </c>
      <c r="R129" s="0" t="s">
        <v>5070</v>
      </c>
      <c r="S129" s="0" t="s">
        <v>5071</v>
      </c>
      <c r="T129" s="0" t="s">
        <v>4795</v>
      </c>
      <c r="U129" s="0" t="s">
        <v>4796</v>
      </c>
      <c r="V129" s="0" t="s">
        <v>5030</v>
      </c>
      <c r="W129" s="0" t="s">
        <v>4798</v>
      </c>
      <c r="X129" s="0" t="s">
        <v>4799</v>
      </c>
      <c r="Y129" s="0" t="s">
        <v>4796</v>
      </c>
      <c r="Z129" s="0" t="s">
        <v>5031</v>
      </c>
      <c r="AA129" s="0" t="s">
        <v>4807</v>
      </c>
      <c r="AB129" s="0" t="s">
        <v>5030</v>
      </c>
      <c r="AC129" s="0" t="s">
        <v>62</v>
      </c>
      <c r="AD129" s="0" t="s">
        <v>62</v>
      </c>
      <c r="AE129" s="0" t="s">
        <v>62</v>
      </c>
      <c r="AF129" s="0" t="s">
        <v>5072</v>
      </c>
      <c r="AG129" s="0" t="s">
        <v>5073</v>
      </c>
      <c r="AH129" s="0" t="s">
        <v>5072</v>
      </c>
      <c r="AI129" s="0" t="s">
        <v>5073</v>
      </c>
      <c r="AJ129" s="0" t="s">
        <v>5072</v>
      </c>
      <c r="AK129" s="0" t="s">
        <v>5073</v>
      </c>
      <c r="AL129" s="0" t="s">
        <v>4804</v>
      </c>
    </row>
    <row customHeight="1" ht="11.25">
      <c r="A130" s="0" t="s">
        <v>22</v>
      </c>
      <c r="B130" s="0" t="s">
        <v>48</v>
      </c>
      <c r="C130" s="0" t="s">
        <v>50</v>
      </c>
      <c r="D130" s="0" t="s">
        <v>22</v>
      </c>
      <c r="E130" s="0" t="s">
        <v>5074</v>
      </c>
      <c r="F130" s="0" t="s">
        <v>1299</v>
      </c>
      <c r="G130" s="0" t="s">
        <v>127</v>
      </c>
      <c r="H130" s="0" t="s">
        <v>4076</v>
      </c>
      <c r="I130" s="0" t="s">
        <v>4077</v>
      </c>
      <c r="J130" s="0" t="s">
        <v>5070</v>
      </c>
      <c r="K130" s="0" t="s">
        <v>5071</v>
      </c>
      <c r="L130" s="0" t="s">
        <v>1378</v>
      </c>
      <c r="M130" s="0" t="s">
        <v>5075</v>
      </c>
      <c r="N130" s="0" t="s">
        <v>210</v>
      </c>
      <c r="O130" s="0" t="s">
        <v>127</v>
      </c>
      <c r="P130" s="0" t="s">
        <v>4076</v>
      </c>
      <c r="Q130" s="0" t="s">
        <v>4077</v>
      </c>
      <c r="R130" s="0" t="s">
        <v>5070</v>
      </c>
      <c r="S130" s="0" t="s">
        <v>5071</v>
      </c>
      <c r="T130" s="0" t="s">
        <v>4795</v>
      </c>
      <c r="U130" s="0" t="s">
        <v>4796</v>
      </c>
      <c r="V130" s="0" t="s">
        <v>5030</v>
      </c>
      <c r="W130" s="0" t="s">
        <v>4798</v>
      </c>
      <c r="X130" s="0" t="s">
        <v>4799</v>
      </c>
      <c r="Y130" s="0" t="s">
        <v>4796</v>
      </c>
      <c r="Z130" s="0" t="s">
        <v>5031</v>
      </c>
      <c r="AA130" s="0" t="s">
        <v>4807</v>
      </c>
      <c r="AB130" s="0" t="s">
        <v>5030</v>
      </c>
      <c r="AC130" s="0" t="s">
        <v>62</v>
      </c>
      <c r="AD130" s="0" t="s">
        <v>62</v>
      </c>
      <c r="AE130" s="0" t="s">
        <v>62</v>
      </c>
      <c r="AF130" s="0" t="s">
        <v>5039</v>
      </c>
      <c r="AG130" s="0" t="s">
        <v>5076</v>
      </c>
      <c r="AH130" s="0" t="s">
        <v>5039</v>
      </c>
      <c r="AI130" s="0" t="s">
        <v>5076</v>
      </c>
      <c r="AJ130" s="0" t="s">
        <v>5039</v>
      </c>
      <c r="AK130" s="0" t="s">
        <v>5076</v>
      </c>
      <c r="AL130" s="0" t="s">
        <v>4804</v>
      </c>
    </row>
    <row customHeight="1" ht="11.25">
      <c r="A131" s="0" t="s">
        <v>22</v>
      </c>
      <c r="B131" s="0" t="s">
        <v>48</v>
      </c>
      <c r="C131" s="0" t="s">
        <v>50</v>
      </c>
      <c r="D131" s="0" t="s">
        <v>22</v>
      </c>
      <c r="E131" s="0" t="s">
        <v>5074</v>
      </c>
      <c r="F131" s="0" t="s">
        <v>1299</v>
      </c>
      <c r="G131" s="0" t="s">
        <v>127</v>
      </c>
      <c r="H131" s="0" t="s">
        <v>4076</v>
      </c>
      <c r="I131" s="0" t="s">
        <v>4077</v>
      </c>
      <c r="J131" s="0" t="s">
        <v>5070</v>
      </c>
      <c r="K131" s="0" t="s">
        <v>5071</v>
      </c>
      <c r="L131" s="0" t="s">
        <v>1378</v>
      </c>
      <c r="M131" s="0" t="s">
        <v>5075</v>
      </c>
      <c r="N131" s="0" t="s">
        <v>210</v>
      </c>
      <c r="O131" s="0" t="s">
        <v>127</v>
      </c>
      <c r="P131" s="0" t="s">
        <v>4076</v>
      </c>
      <c r="Q131" s="0" t="s">
        <v>4077</v>
      </c>
      <c r="R131" s="0" t="s">
        <v>5070</v>
      </c>
      <c r="S131" s="0" t="s">
        <v>5071</v>
      </c>
      <c r="T131" s="0" t="s">
        <v>4795</v>
      </c>
      <c r="U131" s="0" t="s">
        <v>4796</v>
      </c>
      <c r="V131" s="0" t="s">
        <v>5033</v>
      </c>
      <c r="W131" s="0" t="s">
        <v>4798</v>
      </c>
      <c r="X131" s="0" t="s">
        <v>4799</v>
      </c>
      <c r="Y131" s="0" t="s">
        <v>4796</v>
      </c>
      <c r="Z131" s="0" t="s">
        <v>5034</v>
      </c>
      <c r="AA131" s="0" t="s">
        <v>4801</v>
      </c>
      <c r="AB131" s="0" t="s">
        <v>5033</v>
      </c>
      <c r="AC131" s="0" t="s">
        <v>62</v>
      </c>
      <c r="AD131" s="0" t="s">
        <v>62</v>
      </c>
      <c r="AE131" s="0" t="s">
        <v>62</v>
      </c>
      <c r="AF131" s="0" t="s">
        <v>5039</v>
      </c>
      <c r="AG131" s="0" t="s">
        <v>5076</v>
      </c>
      <c r="AH131" s="0" t="s">
        <v>5039</v>
      </c>
      <c r="AI131" s="0" t="s">
        <v>5076</v>
      </c>
      <c r="AJ131" s="0" t="s">
        <v>5039</v>
      </c>
      <c r="AK131" s="0" t="s">
        <v>5076</v>
      </c>
      <c r="AL131" s="0" t="s">
        <v>4804</v>
      </c>
    </row>
    <row customHeight="1" ht="11.25">
      <c r="A132" s="0" t="s">
        <v>22</v>
      </c>
      <c r="B132" s="0" t="s">
        <v>48</v>
      </c>
      <c r="C132" s="0" t="s">
        <v>50</v>
      </c>
      <c r="D132" s="0" t="s">
        <v>22</v>
      </c>
      <c r="E132" s="0" t="s">
        <v>5077</v>
      </c>
      <c r="F132" s="0" t="s">
        <v>1299</v>
      </c>
      <c r="G132" s="0" t="s">
        <v>127</v>
      </c>
      <c r="H132" s="0" t="s">
        <v>4076</v>
      </c>
      <c r="I132" s="0" t="s">
        <v>4077</v>
      </c>
      <c r="J132" s="0" t="s">
        <v>5078</v>
      </c>
      <c r="K132" s="0" t="s">
        <v>5079</v>
      </c>
      <c r="L132" s="0" t="s">
        <v>5080</v>
      </c>
      <c r="M132" s="0" t="s">
        <v>5081</v>
      </c>
      <c r="N132" s="0" t="s">
        <v>210</v>
      </c>
      <c r="O132" s="0" t="s">
        <v>127</v>
      </c>
      <c r="P132" s="0" t="s">
        <v>4076</v>
      </c>
      <c r="Q132" s="0" t="s">
        <v>4077</v>
      </c>
      <c r="R132" s="0" t="s">
        <v>5078</v>
      </c>
      <c r="S132" s="0" t="s">
        <v>5079</v>
      </c>
      <c r="T132" s="0" t="s">
        <v>4795</v>
      </c>
      <c r="U132" s="0" t="s">
        <v>4796</v>
      </c>
      <c r="V132" s="0" t="s">
        <v>5030</v>
      </c>
      <c r="W132" s="0" t="s">
        <v>4798</v>
      </c>
      <c r="X132" s="0" t="s">
        <v>4799</v>
      </c>
      <c r="Y132" s="0" t="s">
        <v>4796</v>
      </c>
      <c r="Z132" s="0" t="s">
        <v>5031</v>
      </c>
      <c r="AA132" s="0" t="s">
        <v>4807</v>
      </c>
      <c r="AB132" s="0" t="s">
        <v>5030</v>
      </c>
      <c r="AC132" s="0" t="s">
        <v>62</v>
      </c>
      <c r="AD132" s="0" t="s">
        <v>62</v>
      </c>
      <c r="AE132" s="0" t="s">
        <v>62</v>
      </c>
      <c r="AF132" s="0" t="s">
        <v>5082</v>
      </c>
      <c r="AG132" s="0" t="s">
        <v>5083</v>
      </c>
      <c r="AH132" s="0" t="s">
        <v>5082</v>
      </c>
      <c r="AI132" s="0" t="s">
        <v>5083</v>
      </c>
      <c r="AJ132" s="0" t="s">
        <v>5082</v>
      </c>
      <c r="AK132" s="0" t="s">
        <v>5083</v>
      </c>
      <c r="AL132" s="0" t="s">
        <v>4804</v>
      </c>
    </row>
    <row customHeight="1" ht="11.25">
      <c r="A133" s="0" t="s">
        <v>22</v>
      </c>
      <c r="B133" s="0" t="s">
        <v>48</v>
      </c>
      <c r="C133" s="0" t="s">
        <v>50</v>
      </c>
      <c r="D133" s="0" t="s">
        <v>22</v>
      </c>
      <c r="E133" s="0" t="s">
        <v>5077</v>
      </c>
      <c r="F133" s="0" t="s">
        <v>1299</v>
      </c>
      <c r="G133" s="0" t="s">
        <v>127</v>
      </c>
      <c r="H133" s="0" t="s">
        <v>4076</v>
      </c>
      <c r="I133" s="0" t="s">
        <v>4077</v>
      </c>
      <c r="J133" s="0" t="s">
        <v>5078</v>
      </c>
      <c r="K133" s="0" t="s">
        <v>5079</v>
      </c>
      <c r="L133" s="0" t="s">
        <v>5080</v>
      </c>
      <c r="M133" s="0" t="s">
        <v>5081</v>
      </c>
      <c r="N133" s="0" t="s">
        <v>210</v>
      </c>
      <c r="O133" s="0" t="s">
        <v>127</v>
      </c>
      <c r="P133" s="0" t="s">
        <v>4076</v>
      </c>
      <c r="Q133" s="0" t="s">
        <v>4077</v>
      </c>
      <c r="R133" s="0" t="s">
        <v>5078</v>
      </c>
      <c r="S133" s="0" t="s">
        <v>5079</v>
      </c>
      <c r="T133" s="0" t="s">
        <v>4795</v>
      </c>
      <c r="U133" s="0" t="s">
        <v>4796</v>
      </c>
      <c r="V133" s="0" t="s">
        <v>5033</v>
      </c>
      <c r="W133" s="0" t="s">
        <v>4798</v>
      </c>
      <c r="X133" s="0" t="s">
        <v>4799</v>
      </c>
      <c r="Y133" s="0" t="s">
        <v>4796</v>
      </c>
      <c r="Z133" s="0" t="s">
        <v>5034</v>
      </c>
      <c r="AA133" s="0" t="s">
        <v>4801</v>
      </c>
      <c r="AB133" s="0" t="s">
        <v>5033</v>
      </c>
      <c r="AC133" s="0" t="s">
        <v>62</v>
      </c>
      <c r="AD133" s="0" t="s">
        <v>62</v>
      </c>
      <c r="AE133" s="0" t="s">
        <v>62</v>
      </c>
      <c r="AF133" s="0" t="s">
        <v>5082</v>
      </c>
      <c r="AG133" s="0" t="s">
        <v>5083</v>
      </c>
      <c r="AH133" s="0" t="s">
        <v>5082</v>
      </c>
      <c r="AI133" s="0" t="s">
        <v>5083</v>
      </c>
      <c r="AJ133" s="0" t="s">
        <v>5082</v>
      </c>
      <c r="AK133" s="0" t="s">
        <v>5083</v>
      </c>
      <c r="AL133" s="0" t="s">
        <v>4804</v>
      </c>
    </row>
    <row customHeight="1" ht="11.25">
      <c r="A134" s="0" t="s">
        <v>22</v>
      </c>
      <c r="B134" s="0" t="s">
        <v>48</v>
      </c>
      <c r="C134" s="0" t="s">
        <v>50</v>
      </c>
      <c r="D134" s="0" t="s">
        <v>22</v>
      </c>
      <c r="E134" s="0" t="s">
        <v>5084</v>
      </c>
      <c r="F134" s="0" t="s">
        <v>1299</v>
      </c>
      <c r="G134" s="0" t="s">
        <v>127</v>
      </c>
      <c r="H134" s="0" t="s">
        <v>4076</v>
      </c>
      <c r="I134" s="0" t="s">
        <v>4077</v>
      </c>
      <c r="J134" s="0" t="s">
        <v>5085</v>
      </c>
      <c r="K134" s="0" t="s">
        <v>5086</v>
      </c>
      <c r="L134" s="0" t="s">
        <v>5087</v>
      </c>
      <c r="M134" s="0" t="s">
        <v>5088</v>
      </c>
      <c r="N134" s="0" t="s">
        <v>210</v>
      </c>
      <c r="O134" s="0" t="s">
        <v>127</v>
      </c>
      <c r="P134" s="0" t="s">
        <v>4076</v>
      </c>
      <c r="Q134" s="0" t="s">
        <v>4077</v>
      </c>
      <c r="R134" s="0" t="s">
        <v>5085</v>
      </c>
      <c r="S134" s="0" t="s">
        <v>5086</v>
      </c>
      <c r="T134" s="0" t="s">
        <v>4795</v>
      </c>
      <c r="U134" s="0" t="s">
        <v>4796</v>
      </c>
      <c r="V134" s="0" t="s">
        <v>5033</v>
      </c>
      <c r="W134" s="0" t="s">
        <v>4798</v>
      </c>
      <c r="X134" s="0" t="s">
        <v>4799</v>
      </c>
      <c r="Y134" s="0" t="s">
        <v>4796</v>
      </c>
      <c r="Z134" s="0" t="s">
        <v>5034</v>
      </c>
      <c r="AA134" s="0" t="s">
        <v>4801</v>
      </c>
      <c r="AB134" s="0" t="s">
        <v>5033</v>
      </c>
      <c r="AC134" s="0" t="s">
        <v>62</v>
      </c>
      <c r="AD134" s="0" t="s">
        <v>62</v>
      </c>
      <c r="AE134" s="0" t="s">
        <v>62</v>
      </c>
      <c r="AF134" s="0" t="s">
        <v>5072</v>
      </c>
      <c r="AG134" s="0" t="s">
        <v>5089</v>
      </c>
      <c r="AH134" s="0" t="s">
        <v>5072</v>
      </c>
      <c r="AI134" s="0" t="s">
        <v>5089</v>
      </c>
      <c r="AJ134" s="0" t="s">
        <v>5072</v>
      </c>
      <c r="AK134" s="0" t="s">
        <v>5089</v>
      </c>
      <c r="AL134" s="0" t="s">
        <v>4804</v>
      </c>
    </row>
    <row customHeight="1" ht="11.25">
      <c r="A135" s="0" t="s">
        <v>22</v>
      </c>
      <c r="B135" s="0" t="s">
        <v>48</v>
      </c>
      <c r="C135" s="0" t="s">
        <v>50</v>
      </c>
      <c r="D135" s="0" t="s">
        <v>22</v>
      </c>
      <c r="E135" s="0" t="s">
        <v>5084</v>
      </c>
      <c r="F135" s="0" t="s">
        <v>1299</v>
      </c>
      <c r="G135" s="0" t="s">
        <v>127</v>
      </c>
      <c r="H135" s="0" t="s">
        <v>4076</v>
      </c>
      <c r="I135" s="0" t="s">
        <v>4077</v>
      </c>
      <c r="J135" s="0" t="s">
        <v>5085</v>
      </c>
      <c r="K135" s="0" t="s">
        <v>5086</v>
      </c>
      <c r="L135" s="0" t="s">
        <v>5087</v>
      </c>
      <c r="M135" s="0" t="s">
        <v>5088</v>
      </c>
      <c r="N135" s="0" t="s">
        <v>210</v>
      </c>
      <c r="O135" s="0" t="s">
        <v>127</v>
      </c>
      <c r="P135" s="0" t="s">
        <v>4076</v>
      </c>
      <c r="Q135" s="0" t="s">
        <v>4077</v>
      </c>
      <c r="R135" s="0" t="s">
        <v>5085</v>
      </c>
      <c r="S135" s="0" t="s">
        <v>5086</v>
      </c>
      <c r="T135" s="0" t="s">
        <v>4795</v>
      </c>
      <c r="U135" s="0" t="s">
        <v>4796</v>
      </c>
      <c r="V135" s="0" t="s">
        <v>5030</v>
      </c>
      <c r="W135" s="0" t="s">
        <v>4798</v>
      </c>
      <c r="X135" s="0" t="s">
        <v>4799</v>
      </c>
      <c r="Y135" s="0" t="s">
        <v>4796</v>
      </c>
      <c r="Z135" s="0" t="s">
        <v>5031</v>
      </c>
      <c r="AA135" s="0" t="s">
        <v>4807</v>
      </c>
      <c r="AB135" s="0" t="s">
        <v>5030</v>
      </c>
      <c r="AC135" s="0" t="s">
        <v>62</v>
      </c>
      <c r="AD135" s="0" t="s">
        <v>62</v>
      </c>
      <c r="AE135" s="0" t="s">
        <v>62</v>
      </c>
      <c r="AF135" s="0" t="s">
        <v>5072</v>
      </c>
      <c r="AG135" s="0" t="s">
        <v>5089</v>
      </c>
      <c r="AH135" s="0" t="s">
        <v>5072</v>
      </c>
      <c r="AI135" s="0" t="s">
        <v>5089</v>
      </c>
      <c r="AJ135" s="0" t="s">
        <v>5072</v>
      </c>
      <c r="AK135" s="0" t="s">
        <v>5089</v>
      </c>
      <c r="AL135" s="0" t="s">
        <v>4804</v>
      </c>
    </row>
    <row customHeight="1" ht="11.25">
      <c r="A136" s="0" t="s">
        <v>22</v>
      </c>
      <c r="B136" s="0" t="s">
        <v>48</v>
      </c>
      <c r="C136" s="0" t="s">
        <v>50</v>
      </c>
      <c r="D136" s="0" t="s">
        <v>22</v>
      </c>
      <c r="E136" s="0" t="s">
        <v>5090</v>
      </c>
      <c r="F136" s="0" t="s">
        <v>1299</v>
      </c>
      <c r="G136" s="0" t="s">
        <v>127</v>
      </c>
      <c r="H136" s="0" t="s">
        <v>4079</v>
      </c>
      <c r="I136" s="0" t="s">
        <v>4080</v>
      </c>
      <c r="J136" s="0" t="s">
        <v>5091</v>
      </c>
      <c r="K136" s="0" t="s">
        <v>5092</v>
      </c>
      <c r="L136" s="0" t="s">
        <v>5093</v>
      </c>
      <c r="M136" s="0" t="s">
        <v>4004</v>
      </c>
      <c r="N136" s="0" t="s">
        <v>210</v>
      </c>
      <c r="O136" s="0" t="s">
        <v>127</v>
      </c>
      <c r="P136" s="0" t="s">
        <v>4079</v>
      </c>
      <c r="Q136" s="0" t="s">
        <v>4080</v>
      </c>
      <c r="R136" s="0" t="s">
        <v>5091</v>
      </c>
      <c r="S136" s="0" t="s">
        <v>5092</v>
      </c>
      <c r="T136" s="0" t="s">
        <v>4795</v>
      </c>
      <c r="U136" s="0" t="s">
        <v>4796</v>
      </c>
      <c r="V136" s="0" t="s">
        <v>5033</v>
      </c>
      <c r="W136" s="0" t="s">
        <v>4798</v>
      </c>
      <c r="X136" s="0" t="s">
        <v>4799</v>
      </c>
      <c r="Y136" s="0" t="s">
        <v>4796</v>
      </c>
      <c r="Z136" s="0" t="s">
        <v>5034</v>
      </c>
      <c r="AA136" s="0" t="s">
        <v>4801</v>
      </c>
      <c r="AB136" s="0" t="s">
        <v>5033</v>
      </c>
      <c r="AC136" s="0" t="s">
        <v>62</v>
      </c>
      <c r="AD136" s="0" t="s">
        <v>62</v>
      </c>
      <c r="AE136" s="0" t="s">
        <v>62</v>
      </c>
      <c r="AF136" s="0" t="s">
        <v>4917</v>
      </c>
      <c r="AG136" s="0" t="s">
        <v>5094</v>
      </c>
      <c r="AH136" s="0" t="s">
        <v>4917</v>
      </c>
      <c r="AI136" s="0" t="s">
        <v>5094</v>
      </c>
      <c r="AJ136" s="0" t="s">
        <v>4917</v>
      </c>
      <c r="AK136" s="0" t="s">
        <v>5094</v>
      </c>
      <c r="AL136" s="0" t="s">
        <v>4804</v>
      </c>
    </row>
    <row customHeight="1" ht="11.25">
      <c r="A137" s="0" t="s">
        <v>22</v>
      </c>
      <c r="B137" s="0" t="s">
        <v>48</v>
      </c>
      <c r="C137" s="0" t="s">
        <v>50</v>
      </c>
      <c r="D137" s="0" t="s">
        <v>22</v>
      </c>
      <c r="E137" s="0" t="s">
        <v>5090</v>
      </c>
      <c r="F137" s="0" t="s">
        <v>1299</v>
      </c>
      <c r="G137" s="0" t="s">
        <v>127</v>
      </c>
      <c r="H137" s="0" t="s">
        <v>4079</v>
      </c>
      <c r="I137" s="0" t="s">
        <v>4080</v>
      </c>
      <c r="J137" s="0" t="s">
        <v>5091</v>
      </c>
      <c r="K137" s="0" t="s">
        <v>5092</v>
      </c>
      <c r="L137" s="0" t="s">
        <v>5093</v>
      </c>
      <c r="M137" s="0" t="s">
        <v>4004</v>
      </c>
      <c r="N137" s="0" t="s">
        <v>210</v>
      </c>
      <c r="O137" s="0" t="s">
        <v>127</v>
      </c>
      <c r="P137" s="0" t="s">
        <v>4079</v>
      </c>
      <c r="Q137" s="0" t="s">
        <v>4080</v>
      </c>
      <c r="R137" s="0" t="s">
        <v>5091</v>
      </c>
      <c r="S137" s="0" t="s">
        <v>5092</v>
      </c>
      <c r="T137" s="0" t="s">
        <v>4795</v>
      </c>
      <c r="U137" s="0" t="s">
        <v>4796</v>
      </c>
      <c r="V137" s="0" t="s">
        <v>5030</v>
      </c>
      <c r="W137" s="0" t="s">
        <v>4798</v>
      </c>
      <c r="X137" s="0" t="s">
        <v>4799</v>
      </c>
      <c r="Y137" s="0" t="s">
        <v>4796</v>
      </c>
      <c r="Z137" s="0" t="s">
        <v>5031</v>
      </c>
      <c r="AA137" s="0" t="s">
        <v>4807</v>
      </c>
      <c r="AB137" s="0" t="s">
        <v>5030</v>
      </c>
      <c r="AC137" s="0" t="s">
        <v>62</v>
      </c>
      <c r="AD137" s="0" t="s">
        <v>62</v>
      </c>
      <c r="AE137" s="0" t="s">
        <v>62</v>
      </c>
      <c r="AF137" s="0" t="s">
        <v>4917</v>
      </c>
      <c r="AG137" s="0" t="s">
        <v>5094</v>
      </c>
      <c r="AH137" s="0" t="s">
        <v>4917</v>
      </c>
      <c r="AI137" s="0" t="s">
        <v>5094</v>
      </c>
      <c r="AJ137" s="0" t="s">
        <v>4917</v>
      </c>
      <c r="AK137" s="0" t="s">
        <v>5094</v>
      </c>
      <c r="AL137" s="0" t="s">
        <v>4804</v>
      </c>
    </row>
    <row customHeight="1" ht="11.25">
      <c r="A138" s="0" t="s">
        <v>22</v>
      </c>
      <c r="B138" s="0" t="s">
        <v>48</v>
      </c>
      <c r="C138" s="0" t="s">
        <v>50</v>
      </c>
      <c r="D138" s="0" t="s">
        <v>22</v>
      </c>
      <c r="E138" s="0" t="s">
        <v>5095</v>
      </c>
      <c r="F138" s="0" t="s">
        <v>5058</v>
      </c>
      <c r="G138" s="0" t="s">
        <v>127</v>
      </c>
      <c r="H138" s="0" t="s">
        <v>4079</v>
      </c>
      <c r="I138" s="0" t="s">
        <v>4080</v>
      </c>
      <c r="J138" s="0" t="s">
        <v>5091</v>
      </c>
      <c r="K138" s="0" t="s">
        <v>5092</v>
      </c>
      <c r="L138" s="0" t="s">
        <v>5096</v>
      </c>
      <c r="M138" s="0" t="s">
        <v>4087</v>
      </c>
      <c r="N138" s="0" t="s">
        <v>210</v>
      </c>
      <c r="O138" s="0" t="s">
        <v>127</v>
      </c>
      <c r="P138" s="0" t="s">
        <v>4079</v>
      </c>
      <c r="Q138" s="0" t="s">
        <v>4080</v>
      </c>
      <c r="R138" s="0" t="s">
        <v>5091</v>
      </c>
      <c r="S138" s="0" t="s">
        <v>5092</v>
      </c>
      <c r="T138" s="0" t="s">
        <v>4795</v>
      </c>
      <c r="U138" s="0" t="s">
        <v>4796</v>
      </c>
      <c r="V138" s="0" t="s">
        <v>5030</v>
      </c>
      <c r="W138" s="0" t="s">
        <v>4798</v>
      </c>
      <c r="X138" s="0" t="s">
        <v>4799</v>
      </c>
      <c r="Y138" s="0" t="s">
        <v>4796</v>
      </c>
      <c r="Z138" s="0" t="s">
        <v>5031</v>
      </c>
      <c r="AA138" s="0" t="s">
        <v>4807</v>
      </c>
      <c r="AB138" s="0" t="s">
        <v>5030</v>
      </c>
      <c r="AC138" s="0" t="s">
        <v>62</v>
      </c>
      <c r="AD138" s="0" t="s">
        <v>19</v>
      </c>
      <c r="AE138" s="0" t="s">
        <v>19</v>
      </c>
      <c r="AF138" s="0" t="s">
        <v>5097</v>
      </c>
      <c r="AG138" s="0" t="s">
        <v>5098</v>
      </c>
      <c r="AH138" s="0" t="s">
        <v>22</v>
      </c>
      <c r="AI138" s="0" t="s">
        <v>22</v>
      </c>
      <c r="AJ138" s="0" t="s">
        <v>22</v>
      </c>
      <c r="AK138" s="0" t="s">
        <v>22</v>
      </c>
      <c r="AL138" s="0" t="s">
        <v>4804</v>
      </c>
    </row>
    <row customHeight="1" ht="11.25">
      <c r="A139" s="0" t="s">
        <v>22</v>
      </c>
      <c r="B139" s="0" t="s">
        <v>48</v>
      </c>
      <c r="C139" s="0" t="s">
        <v>50</v>
      </c>
      <c r="D139" s="0" t="s">
        <v>22</v>
      </c>
      <c r="E139" s="0" t="s">
        <v>5095</v>
      </c>
      <c r="F139" s="0" t="s">
        <v>5058</v>
      </c>
      <c r="G139" s="0" t="s">
        <v>127</v>
      </c>
      <c r="H139" s="0" t="s">
        <v>4079</v>
      </c>
      <c r="I139" s="0" t="s">
        <v>4080</v>
      </c>
      <c r="J139" s="0" t="s">
        <v>5091</v>
      </c>
      <c r="K139" s="0" t="s">
        <v>5092</v>
      </c>
      <c r="L139" s="0" t="s">
        <v>5096</v>
      </c>
      <c r="M139" s="0" t="s">
        <v>4087</v>
      </c>
      <c r="N139" s="0" t="s">
        <v>210</v>
      </c>
      <c r="O139" s="0" t="s">
        <v>127</v>
      </c>
      <c r="P139" s="0" t="s">
        <v>4079</v>
      </c>
      <c r="Q139" s="0" t="s">
        <v>4080</v>
      </c>
      <c r="R139" s="0" t="s">
        <v>5091</v>
      </c>
      <c r="S139" s="0" t="s">
        <v>5092</v>
      </c>
      <c r="T139" s="0" t="s">
        <v>4795</v>
      </c>
      <c r="U139" s="0" t="s">
        <v>4796</v>
      </c>
      <c r="V139" s="0" t="s">
        <v>5033</v>
      </c>
      <c r="W139" s="0" t="s">
        <v>4798</v>
      </c>
      <c r="X139" s="0" t="s">
        <v>4799</v>
      </c>
      <c r="Y139" s="0" t="s">
        <v>4796</v>
      </c>
      <c r="Z139" s="0" t="s">
        <v>5034</v>
      </c>
      <c r="AA139" s="0" t="s">
        <v>4801</v>
      </c>
      <c r="AB139" s="0" t="s">
        <v>5033</v>
      </c>
      <c r="AC139" s="0" t="s">
        <v>62</v>
      </c>
      <c r="AD139" s="0" t="s">
        <v>19</v>
      </c>
      <c r="AE139" s="0" t="s">
        <v>19</v>
      </c>
      <c r="AF139" s="0" t="s">
        <v>5097</v>
      </c>
      <c r="AG139" s="0" t="s">
        <v>5098</v>
      </c>
      <c r="AH139" s="0" t="s">
        <v>22</v>
      </c>
      <c r="AI139" s="0" t="s">
        <v>22</v>
      </c>
      <c r="AJ139" s="0" t="s">
        <v>22</v>
      </c>
      <c r="AK139" s="0" t="s">
        <v>22</v>
      </c>
      <c r="AL139" s="0" t="s">
        <v>4804</v>
      </c>
    </row>
    <row customHeight="1" ht="11.25">
      <c r="A140" s="0" t="s">
        <v>22</v>
      </c>
      <c r="B140" s="0" t="s">
        <v>48</v>
      </c>
      <c r="C140" s="0" t="s">
        <v>50</v>
      </c>
      <c r="D140" s="0" t="s">
        <v>22</v>
      </c>
      <c r="E140" s="0" t="s">
        <v>5099</v>
      </c>
      <c r="F140" s="0" t="s">
        <v>1299</v>
      </c>
      <c r="G140" s="0" t="s">
        <v>127</v>
      </c>
      <c r="H140" s="0" t="s">
        <v>4079</v>
      </c>
      <c r="I140" s="0" t="s">
        <v>4080</v>
      </c>
      <c r="J140" s="0" t="s">
        <v>5091</v>
      </c>
      <c r="K140" s="0" t="s">
        <v>5092</v>
      </c>
      <c r="L140" s="0" t="s">
        <v>5100</v>
      </c>
      <c r="M140" s="0" t="s">
        <v>4887</v>
      </c>
      <c r="N140" s="0" t="s">
        <v>210</v>
      </c>
      <c r="O140" s="0" t="s">
        <v>127</v>
      </c>
      <c r="P140" s="0" t="s">
        <v>4079</v>
      </c>
      <c r="Q140" s="0" t="s">
        <v>4080</v>
      </c>
      <c r="R140" s="0" t="s">
        <v>5091</v>
      </c>
      <c r="S140" s="0" t="s">
        <v>5092</v>
      </c>
      <c r="T140" s="0" t="s">
        <v>4795</v>
      </c>
      <c r="U140" s="0" t="s">
        <v>4796</v>
      </c>
      <c r="V140" s="0" t="s">
        <v>5033</v>
      </c>
      <c r="W140" s="0" t="s">
        <v>4798</v>
      </c>
      <c r="X140" s="0" t="s">
        <v>4799</v>
      </c>
      <c r="Y140" s="0" t="s">
        <v>4796</v>
      </c>
      <c r="Z140" s="0" t="s">
        <v>5034</v>
      </c>
      <c r="AA140" s="0" t="s">
        <v>4801</v>
      </c>
      <c r="AB140" s="0" t="s">
        <v>5033</v>
      </c>
      <c r="AC140" s="0" t="s">
        <v>62</v>
      </c>
      <c r="AD140" s="0" t="s">
        <v>62</v>
      </c>
      <c r="AE140" s="0" t="s">
        <v>62</v>
      </c>
      <c r="AF140" s="0" t="s">
        <v>5039</v>
      </c>
      <c r="AG140" s="0" t="s">
        <v>5101</v>
      </c>
      <c r="AH140" s="0" t="s">
        <v>5039</v>
      </c>
      <c r="AI140" s="0" t="s">
        <v>5101</v>
      </c>
      <c r="AJ140" s="0" t="s">
        <v>5039</v>
      </c>
      <c r="AK140" s="0" t="s">
        <v>5101</v>
      </c>
      <c r="AL140" s="0" t="s">
        <v>4804</v>
      </c>
    </row>
    <row customHeight="1" ht="11.25">
      <c r="A141" s="0" t="s">
        <v>22</v>
      </c>
      <c r="B141" s="0" t="s">
        <v>48</v>
      </c>
      <c r="C141" s="0" t="s">
        <v>50</v>
      </c>
      <c r="D141" s="0" t="s">
        <v>22</v>
      </c>
      <c r="E141" s="0" t="s">
        <v>5099</v>
      </c>
      <c r="F141" s="0" t="s">
        <v>1299</v>
      </c>
      <c r="G141" s="0" t="s">
        <v>127</v>
      </c>
      <c r="H141" s="0" t="s">
        <v>4079</v>
      </c>
      <c r="I141" s="0" t="s">
        <v>4080</v>
      </c>
      <c r="J141" s="0" t="s">
        <v>5091</v>
      </c>
      <c r="K141" s="0" t="s">
        <v>5092</v>
      </c>
      <c r="L141" s="0" t="s">
        <v>5100</v>
      </c>
      <c r="M141" s="0" t="s">
        <v>4887</v>
      </c>
      <c r="N141" s="0" t="s">
        <v>210</v>
      </c>
      <c r="O141" s="0" t="s">
        <v>127</v>
      </c>
      <c r="P141" s="0" t="s">
        <v>4079</v>
      </c>
      <c r="Q141" s="0" t="s">
        <v>4080</v>
      </c>
      <c r="R141" s="0" t="s">
        <v>5091</v>
      </c>
      <c r="S141" s="0" t="s">
        <v>5092</v>
      </c>
      <c r="T141" s="0" t="s">
        <v>4795</v>
      </c>
      <c r="U141" s="0" t="s">
        <v>4796</v>
      </c>
      <c r="V141" s="0" t="s">
        <v>5030</v>
      </c>
      <c r="W141" s="0" t="s">
        <v>4798</v>
      </c>
      <c r="X141" s="0" t="s">
        <v>4799</v>
      </c>
      <c r="Y141" s="0" t="s">
        <v>4796</v>
      </c>
      <c r="Z141" s="0" t="s">
        <v>5031</v>
      </c>
      <c r="AA141" s="0" t="s">
        <v>4807</v>
      </c>
      <c r="AB141" s="0" t="s">
        <v>5030</v>
      </c>
      <c r="AC141" s="0" t="s">
        <v>62</v>
      </c>
      <c r="AD141" s="0" t="s">
        <v>62</v>
      </c>
      <c r="AE141" s="0" t="s">
        <v>62</v>
      </c>
      <c r="AF141" s="0" t="s">
        <v>5039</v>
      </c>
      <c r="AG141" s="0" t="s">
        <v>5101</v>
      </c>
      <c r="AH141" s="0" t="s">
        <v>5039</v>
      </c>
      <c r="AI141" s="0" t="s">
        <v>5101</v>
      </c>
      <c r="AJ141" s="0" t="s">
        <v>5039</v>
      </c>
      <c r="AK141" s="0" t="s">
        <v>5101</v>
      </c>
      <c r="AL141" s="0" t="s">
        <v>4804</v>
      </c>
    </row>
    <row customHeight="1" ht="11.25">
      <c r="A142" s="0" t="s">
        <v>22</v>
      </c>
      <c r="B142" s="0" t="s">
        <v>48</v>
      </c>
      <c r="C142" s="0" t="s">
        <v>50</v>
      </c>
      <c r="D142" s="0" t="s">
        <v>22</v>
      </c>
      <c r="E142" s="0" t="s">
        <v>5102</v>
      </c>
      <c r="F142" s="0" t="s">
        <v>1299</v>
      </c>
      <c r="G142" s="0" t="s">
        <v>127</v>
      </c>
      <c r="H142" s="0" t="s">
        <v>4079</v>
      </c>
      <c r="I142" s="0" t="s">
        <v>4080</v>
      </c>
      <c r="J142" s="0" t="s">
        <v>5091</v>
      </c>
      <c r="K142" s="0" t="s">
        <v>5092</v>
      </c>
      <c r="L142" s="0" t="s">
        <v>5103</v>
      </c>
      <c r="M142" s="0" t="s">
        <v>5104</v>
      </c>
      <c r="N142" s="0" t="s">
        <v>210</v>
      </c>
      <c r="O142" s="0" t="s">
        <v>127</v>
      </c>
      <c r="P142" s="0" t="s">
        <v>4079</v>
      </c>
      <c r="Q142" s="0" t="s">
        <v>4080</v>
      </c>
      <c r="R142" s="0" t="s">
        <v>5091</v>
      </c>
      <c r="S142" s="0" t="s">
        <v>5092</v>
      </c>
      <c r="T142" s="0" t="s">
        <v>4795</v>
      </c>
      <c r="U142" s="0" t="s">
        <v>4796</v>
      </c>
      <c r="V142" s="0" t="s">
        <v>5030</v>
      </c>
      <c r="W142" s="0" t="s">
        <v>4798</v>
      </c>
      <c r="X142" s="0" t="s">
        <v>4799</v>
      </c>
      <c r="Y142" s="0" t="s">
        <v>4796</v>
      </c>
      <c r="Z142" s="0" t="s">
        <v>5031</v>
      </c>
      <c r="AA142" s="0" t="s">
        <v>4807</v>
      </c>
      <c r="AB142" s="0" t="s">
        <v>5030</v>
      </c>
      <c r="AC142" s="0" t="s">
        <v>62</v>
      </c>
      <c r="AD142" s="0" t="s">
        <v>62</v>
      </c>
      <c r="AE142" s="0" t="s">
        <v>62</v>
      </c>
      <c r="AF142" s="0" t="s">
        <v>4862</v>
      </c>
      <c r="AG142" s="0" t="s">
        <v>5105</v>
      </c>
      <c r="AH142" s="0" t="s">
        <v>4862</v>
      </c>
      <c r="AI142" s="0" t="s">
        <v>5105</v>
      </c>
      <c r="AJ142" s="0" t="s">
        <v>4862</v>
      </c>
      <c r="AK142" s="0" t="s">
        <v>5105</v>
      </c>
      <c r="AL142" s="0" t="s">
        <v>4804</v>
      </c>
    </row>
    <row customHeight="1" ht="11.25">
      <c r="A143" s="0" t="s">
        <v>22</v>
      </c>
      <c r="B143" s="0" t="s">
        <v>48</v>
      </c>
      <c r="C143" s="0" t="s">
        <v>50</v>
      </c>
      <c r="D143" s="0" t="s">
        <v>22</v>
      </c>
      <c r="E143" s="0" t="s">
        <v>5102</v>
      </c>
      <c r="F143" s="0" t="s">
        <v>1299</v>
      </c>
      <c r="G143" s="0" t="s">
        <v>127</v>
      </c>
      <c r="H143" s="0" t="s">
        <v>4079</v>
      </c>
      <c r="I143" s="0" t="s">
        <v>4080</v>
      </c>
      <c r="J143" s="0" t="s">
        <v>5091</v>
      </c>
      <c r="K143" s="0" t="s">
        <v>5092</v>
      </c>
      <c r="L143" s="0" t="s">
        <v>5103</v>
      </c>
      <c r="M143" s="0" t="s">
        <v>5104</v>
      </c>
      <c r="N143" s="0" t="s">
        <v>210</v>
      </c>
      <c r="O143" s="0" t="s">
        <v>127</v>
      </c>
      <c r="P143" s="0" t="s">
        <v>4079</v>
      </c>
      <c r="Q143" s="0" t="s">
        <v>4080</v>
      </c>
      <c r="R143" s="0" t="s">
        <v>5091</v>
      </c>
      <c r="S143" s="0" t="s">
        <v>5092</v>
      </c>
      <c r="T143" s="0" t="s">
        <v>4795</v>
      </c>
      <c r="U143" s="0" t="s">
        <v>4796</v>
      </c>
      <c r="V143" s="0" t="s">
        <v>5033</v>
      </c>
      <c r="W143" s="0" t="s">
        <v>4798</v>
      </c>
      <c r="X143" s="0" t="s">
        <v>4799</v>
      </c>
      <c r="Y143" s="0" t="s">
        <v>4796</v>
      </c>
      <c r="Z143" s="0" t="s">
        <v>5034</v>
      </c>
      <c r="AA143" s="0" t="s">
        <v>4801</v>
      </c>
      <c r="AB143" s="0" t="s">
        <v>5033</v>
      </c>
      <c r="AC143" s="0" t="s">
        <v>62</v>
      </c>
      <c r="AD143" s="0" t="s">
        <v>62</v>
      </c>
      <c r="AE143" s="0" t="s">
        <v>62</v>
      </c>
      <c r="AF143" s="0" t="s">
        <v>4862</v>
      </c>
      <c r="AG143" s="0" t="s">
        <v>5105</v>
      </c>
      <c r="AH143" s="0" t="s">
        <v>4862</v>
      </c>
      <c r="AI143" s="0" t="s">
        <v>5105</v>
      </c>
      <c r="AJ143" s="0" t="s">
        <v>4862</v>
      </c>
      <c r="AK143" s="0" t="s">
        <v>5105</v>
      </c>
      <c r="AL143" s="0" t="s">
        <v>4804</v>
      </c>
    </row>
    <row customHeight="1" ht="11.25">
      <c r="A144" s="0" t="s">
        <v>22</v>
      </c>
      <c r="B144" s="0" t="s">
        <v>48</v>
      </c>
      <c r="C144" s="0" t="s">
        <v>50</v>
      </c>
      <c r="D144" s="0" t="s">
        <v>22</v>
      </c>
      <c r="E144" s="0" t="s">
        <v>5106</v>
      </c>
      <c r="F144" s="0" t="s">
        <v>1299</v>
      </c>
      <c r="G144" s="0" t="s">
        <v>127</v>
      </c>
      <c r="H144" s="0" t="s">
        <v>4079</v>
      </c>
      <c r="I144" s="0" t="s">
        <v>4080</v>
      </c>
      <c r="J144" s="0" t="s">
        <v>5091</v>
      </c>
      <c r="K144" s="0" t="s">
        <v>5092</v>
      </c>
      <c r="L144" s="0" t="s">
        <v>5107</v>
      </c>
      <c r="M144" s="0" t="s">
        <v>4829</v>
      </c>
      <c r="N144" s="0" t="s">
        <v>210</v>
      </c>
      <c r="O144" s="0" t="s">
        <v>127</v>
      </c>
      <c r="P144" s="0" t="s">
        <v>4079</v>
      </c>
      <c r="Q144" s="0" t="s">
        <v>4080</v>
      </c>
      <c r="R144" s="0" t="s">
        <v>5091</v>
      </c>
      <c r="S144" s="0" t="s">
        <v>5092</v>
      </c>
      <c r="T144" s="0" t="s">
        <v>4795</v>
      </c>
      <c r="U144" s="0" t="s">
        <v>4796</v>
      </c>
      <c r="V144" s="0" t="s">
        <v>5033</v>
      </c>
      <c r="W144" s="0" t="s">
        <v>4798</v>
      </c>
      <c r="X144" s="0" t="s">
        <v>4799</v>
      </c>
      <c r="Y144" s="0" t="s">
        <v>4796</v>
      </c>
      <c r="Z144" s="0" t="s">
        <v>5034</v>
      </c>
      <c r="AA144" s="0" t="s">
        <v>4801</v>
      </c>
      <c r="AB144" s="0" t="s">
        <v>5033</v>
      </c>
      <c r="AC144" s="0" t="s">
        <v>62</v>
      </c>
      <c r="AD144" s="0" t="s">
        <v>62</v>
      </c>
      <c r="AE144" s="0" t="s">
        <v>62</v>
      </c>
      <c r="AF144" s="0" t="s">
        <v>4862</v>
      </c>
      <c r="AG144" s="0" t="s">
        <v>5108</v>
      </c>
      <c r="AH144" s="0" t="s">
        <v>4862</v>
      </c>
      <c r="AI144" s="0" t="s">
        <v>5108</v>
      </c>
      <c r="AJ144" s="0" t="s">
        <v>4862</v>
      </c>
      <c r="AK144" s="0" t="s">
        <v>5108</v>
      </c>
      <c r="AL144" s="0" t="s">
        <v>4804</v>
      </c>
    </row>
    <row customHeight="1" ht="11.25">
      <c r="A145" s="0" t="s">
        <v>22</v>
      </c>
      <c r="B145" s="0" t="s">
        <v>48</v>
      </c>
      <c r="C145" s="0" t="s">
        <v>50</v>
      </c>
      <c r="D145" s="0" t="s">
        <v>22</v>
      </c>
      <c r="E145" s="0" t="s">
        <v>5106</v>
      </c>
      <c r="F145" s="0" t="s">
        <v>1299</v>
      </c>
      <c r="G145" s="0" t="s">
        <v>127</v>
      </c>
      <c r="H145" s="0" t="s">
        <v>4079</v>
      </c>
      <c r="I145" s="0" t="s">
        <v>4080</v>
      </c>
      <c r="J145" s="0" t="s">
        <v>5091</v>
      </c>
      <c r="K145" s="0" t="s">
        <v>5092</v>
      </c>
      <c r="L145" s="0" t="s">
        <v>5107</v>
      </c>
      <c r="M145" s="0" t="s">
        <v>4829</v>
      </c>
      <c r="N145" s="0" t="s">
        <v>210</v>
      </c>
      <c r="O145" s="0" t="s">
        <v>127</v>
      </c>
      <c r="P145" s="0" t="s">
        <v>4079</v>
      </c>
      <c r="Q145" s="0" t="s">
        <v>4080</v>
      </c>
      <c r="R145" s="0" t="s">
        <v>5091</v>
      </c>
      <c r="S145" s="0" t="s">
        <v>5092</v>
      </c>
      <c r="T145" s="0" t="s">
        <v>4795</v>
      </c>
      <c r="U145" s="0" t="s">
        <v>4796</v>
      </c>
      <c r="V145" s="0" t="s">
        <v>5030</v>
      </c>
      <c r="W145" s="0" t="s">
        <v>4798</v>
      </c>
      <c r="X145" s="0" t="s">
        <v>4799</v>
      </c>
      <c r="Y145" s="0" t="s">
        <v>4796</v>
      </c>
      <c r="Z145" s="0" t="s">
        <v>5031</v>
      </c>
      <c r="AA145" s="0" t="s">
        <v>4807</v>
      </c>
      <c r="AB145" s="0" t="s">
        <v>5030</v>
      </c>
      <c r="AC145" s="0" t="s">
        <v>62</v>
      </c>
      <c r="AD145" s="0" t="s">
        <v>62</v>
      </c>
      <c r="AE145" s="0" t="s">
        <v>62</v>
      </c>
      <c r="AF145" s="0" t="s">
        <v>4862</v>
      </c>
      <c r="AG145" s="0" t="s">
        <v>5108</v>
      </c>
      <c r="AH145" s="0" t="s">
        <v>4862</v>
      </c>
      <c r="AI145" s="0" t="s">
        <v>5108</v>
      </c>
      <c r="AJ145" s="0" t="s">
        <v>4862</v>
      </c>
      <c r="AK145" s="0" t="s">
        <v>5108</v>
      </c>
      <c r="AL145" s="0" t="s">
        <v>4804</v>
      </c>
    </row>
    <row customHeight="1" ht="11.25">
      <c r="A146" s="0" t="s">
        <v>22</v>
      </c>
      <c r="B146" s="0" t="s">
        <v>48</v>
      </c>
      <c r="C146" s="0" t="s">
        <v>50</v>
      </c>
      <c r="D146" s="0" t="s">
        <v>22</v>
      </c>
      <c r="E146" s="0" t="s">
        <v>5109</v>
      </c>
      <c r="F146" s="0" t="s">
        <v>5058</v>
      </c>
      <c r="G146" s="0" t="s">
        <v>127</v>
      </c>
      <c r="H146" s="0" t="s">
        <v>4079</v>
      </c>
      <c r="I146" s="0" t="s">
        <v>4080</v>
      </c>
      <c r="J146" s="0" t="s">
        <v>5091</v>
      </c>
      <c r="K146" s="0" t="s">
        <v>5092</v>
      </c>
      <c r="L146" s="0" t="s">
        <v>5107</v>
      </c>
      <c r="M146" s="0" t="s">
        <v>210</v>
      </c>
      <c r="N146" s="0" t="s">
        <v>210</v>
      </c>
      <c r="O146" s="0" t="s">
        <v>127</v>
      </c>
      <c r="P146" s="0" t="s">
        <v>4079</v>
      </c>
      <c r="Q146" s="0" t="s">
        <v>4080</v>
      </c>
      <c r="R146" s="0" t="s">
        <v>5091</v>
      </c>
      <c r="S146" s="0" t="s">
        <v>5092</v>
      </c>
      <c r="T146" s="0" t="s">
        <v>4795</v>
      </c>
      <c r="U146" s="0" t="s">
        <v>4796</v>
      </c>
      <c r="V146" s="0" t="s">
        <v>5033</v>
      </c>
      <c r="W146" s="0" t="s">
        <v>4798</v>
      </c>
      <c r="X146" s="0" t="s">
        <v>4799</v>
      </c>
      <c r="Y146" s="0" t="s">
        <v>4796</v>
      </c>
      <c r="Z146" s="0" t="s">
        <v>5034</v>
      </c>
      <c r="AA146" s="0" t="s">
        <v>4801</v>
      </c>
      <c r="AB146" s="0" t="s">
        <v>5033</v>
      </c>
      <c r="AC146" s="0" t="s">
        <v>62</v>
      </c>
      <c r="AD146" s="0" t="s">
        <v>19</v>
      </c>
      <c r="AE146" s="0" t="s">
        <v>19</v>
      </c>
      <c r="AF146" s="0" t="s">
        <v>5110</v>
      </c>
      <c r="AG146" s="0" t="s">
        <v>5111</v>
      </c>
      <c r="AH146" s="0" t="s">
        <v>22</v>
      </c>
      <c r="AI146" s="0" t="s">
        <v>22</v>
      </c>
      <c r="AJ146" s="0" t="s">
        <v>22</v>
      </c>
      <c r="AK146" s="0" t="s">
        <v>22</v>
      </c>
      <c r="AL146" s="0" t="s">
        <v>4804</v>
      </c>
    </row>
    <row customHeight="1" ht="11.25">
      <c r="A147" s="0" t="s">
        <v>22</v>
      </c>
      <c r="B147" s="0" t="s">
        <v>48</v>
      </c>
      <c r="C147" s="0" t="s">
        <v>50</v>
      </c>
      <c r="D147" s="0" t="s">
        <v>22</v>
      </c>
      <c r="E147" s="0" t="s">
        <v>5109</v>
      </c>
      <c r="F147" s="0" t="s">
        <v>5058</v>
      </c>
      <c r="G147" s="0" t="s">
        <v>127</v>
      </c>
      <c r="H147" s="0" t="s">
        <v>4079</v>
      </c>
      <c r="I147" s="0" t="s">
        <v>4080</v>
      </c>
      <c r="J147" s="0" t="s">
        <v>5091</v>
      </c>
      <c r="K147" s="0" t="s">
        <v>5092</v>
      </c>
      <c r="L147" s="0" t="s">
        <v>5107</v>
      </c>
      <c r="M147" s="0" t="s">
        <v>210</v>
      </c>
      <c r="N147" s="0" t="s">
        <v>210</v>
      </c>
      <c r="O147" s="0" t="s">
        <v>127</v>
      </c>
      <c r="P147" s="0" t="s">
        <v>4079</v>
      </c>
      <c r="Q147" s="0" t="s">
        <v>4080</v>
      </c>
      <c r="R147" s="0" t="s">
        <v>5091</v>
      </c>
      <c r="S147" s="0" t="s">
        <v>5092</v>
      </c>
      <c r="T147" s="0" t="s">
        <v>4795</v>
      </c>
      <c r="U147" s="0" t="s">
        <v>4796</v>
      </c>
      <c r="V147" s="0" t="s">
        <v>5030</v>
      </c>
      <c r="W147" s="0" t="s">
        <v>4798</v>
      </c>
      <c r="X147" s="0" t="s">
        <v>4799</v>
      </c>
      <c r="Y147" s="0" t="s">
        <v>4796</v>
      </c>
      <c r="Z147" s="0" t="s">
        <v>5031</v>
      </c>
      <c r="AA147" s="0" t="s">
        <v>4807</v>
      </c>
      <c r="AB147" s="0" t="s">
        <v>5030</v>
      </c>
      <c r="AC147" s="0" t="s">
        <v>62</v>
      </c>
      <c r="AD147" s="0" t="s">
        <v>19</v>
      </c>
      <c r="AE147" s="0" t="s">
        <v>19</v>
      </c>
      <c r="AF147" s="0" t="s">
        <v>5110</v>
      </c>
      <c r="AG147" s="0" t="s">
        <v>5111</v>
      </c>
      <c r="AH147" s="0" t="s">
        <v>22</v>
      </c>
      <c r="AI147" s="0" t="s">
        <v>22</v>
      </c>
      <c r="AJ147" s="0" t="s">
        <v>22</v>
      </c>
      <c r="AK147" s="0" t="s">
        <v>22</v>
      </c>
      <c r="AL147" s="0" t="s">
        <v>4804</v>
      </c>
    </row>
    <row customHeight="1" ht="11.25">
      <c r="A148" s="0" t="s">
        <v>22</v>
      </c>
      <c r="B148" s="0" t="s">
        <v>48</v>
      </c>
      <c r="C148" s="0" t="s">
        <v>50</v>
      </c>
      <c r="D148" s="0" t="s">
        <v>22</v>
      </c>
      <c r="E148" s="0" t="s">
        <v>5112</v>
      </c>
      <c r="F148" s="0" t="s">
        <v>1299</v>
      </c>
      <c r="G148" s="0" t="s">
        <v>127</v>
      </c>
      <c r="H148" s="0" t="s">
        <v>4079</v>
      </c>
      <c r="I148" s="0" t="s">
        <v>4080</v>
      </c>
      <c r="J148" s="0" t="s">
        <v>5091</v>
      </c>
      <c r="K148" s="0" t="s">
        <v>5092</v>
      </c>
      <c r="L148" s="0" t="s">
        <v>5096</v>
      </c>
      <c r="M148" s="0" t="s">
        <v>5113</v>
      </c>
      <c r="N148" s="0" t="s">
        <v>210</v>
      </c>
      <c r="O148" s="0" t="s">
        <v>127</v>
      </c>
      <c r="P148" s="0" t="s">
        <v>4079</v>
      </c>
      <c r="Q148" s="0" t="s">
        <v>4080</v>
      </c>
      <c r="R148" s="0" t="s">
        <v>5091</v>
      </c>
      <c r="S148" s="0" t="s">
        <v>5092</v>
      </c>
      <c r="T148" s="0" t="s">
        <v>4795</v>
      </c>
      <c r="U148" s="0" t="s">
        <v>4796</v>
      </c>
      <c r="V148" s="0" t="s">
        <v>5030</v>
      </c>
      <c r="W148" s="0" t="s">
        <v>4798</v>
      </c>
      <c r="X148" s="0" t="s">
        <v>4799</v>
      </c>
      <c r="Y148" s="0" t="s">
        <v>4796</v>
      </c>
      <c r="Z148" s="0" t="s">
        <v>5031</v>
      </c>
      <c r="AA148" s="0" t="s">
        <v>4807</v>
      </c>
      <c r="AB148" s="0" t="s">
        <v>5030</v>
      </c>
      <c r="AC148" s="0" t="s">
        <v>62</v>
      </c>
      <c r="AD148" s="0" t="s">
        <v>62</v>
      </c>
      <c r="AE148" s="0" t="s">
        <v>62</v>
      </c>
      <c r="AF148" s="0" t="s">
        <v>5067</v>
      </c>
      <c r="AG148" s="0" t="s">
        <v>5067</v>
      </c>
      <c r="AH148" s="0" t="s">
        <v>5067</v>
      </c>
      <c r="AI148" s="0" t="s">
        <v>5067</v>
      </c>
      <c r="AJ148" s="0" t="s">
        <v>5067</v>
      </c>
      <c r="AK148" s="0" t="s">
        <v>5067</v>
      </c>
      <c r="AL148" s="0" t="s">
        <v>4804</v>
      </c>
    </row>
    <row customHeight="1" ht="11.25">
      <c r="A149" s="0" t="s">
        <v>22</v>
      </c>
      <c r="B149" s="0" t="s">
        <v>48</v>
      </c>
      <c r="C149" s="0" t="s">
        <v>50</v>
      </c>
      <c r="D149" s="0" t="s">
        <v>22</v>
      </c>
      <c r="E149" s="0" t="s">
        <v>5112</v>
      </c>
      <c r="F149" s="0" t="s">
        <v>1299</v>
      </c>
      <c r="G149" s="0" t="s">
        <v>127</v>
      </c>
      <c r="H149" s="0" t="s">
        <v>4079</v>
      </c>
      <c r="I149" s="0" t="s">
        <v>4080</v>
      </c>
      <c r="J149" s="0" t="s">
        <v>5091</v>
      </c>
      <c r="K149" s="0" t="s">
        <v>5092</v>
      </c>
      <c r="L149" s="0" t="s">
        <v>5096</v>
      </c>
      <c r="M149" s="0" t="s">
        <v>5113</v>
      </c>
      <c r="N149" s="0" t="s">
        <v>210</v>
      </c>
      <c r="O149" s="0" t="s">
        <v>127</v>
      </c>
      <c r="P149" s="0" t="s">
        <v>4079</v>
      </c>
      <c r="Q149" s="0" t="s">
        <v>4080</v>
      </c>
      <c r="R149" s="0" t="s">
        <v>5091</v>
      </c>
      <c r="S149" s="0" t="s">
        <v>5092</v>
      </c>
      <c r="T149" s="0" t="s">
        <v>4795</v>
      </c>
      <c r="U149" s="0" t="s">
        <v>4796</v>
      </c>
      <c r="V149" s="0" t="s">
        <v>5033</v>
      </c>
      <c r="W149" s="0" t="s">
        <v>4798</v>
      </c>
      <c r="X149" s="0" t="s">
        <v>4799</v>
      </c>
      <c r="Y149" s="0" t="s">
        <v>4796</v>
      </c>
      <c r="Z149" s="0" t="s">
        <v>5034</v>
      </c>
      <c r="AA149" s="0" t="s">
        <v>4801</v>
      </c>
      <c r="AB149" s="0" t="s">
        <v>5033</v>
      </c>
      <c r="AC149" s="0" t="s">
        <v>62</v>
      </c>
      <c r="AD149" s="0" t="s">
        <v>62</v>
      </c>
      <c r="AE149" s="0" t="s">
        <v>62</v>
      </c>
      <c r="AF149" s="0" t="s">
        <v>5067</v>
      </c>
      <c r="AG149" s="0" t="s">
        <v>5067</v>
      </c>
      <c r="AH149" s="0" t="s">
        <v>5067</v>
      </c>
      <c r="AI149" s="0" t="s">
        <v>5067</v>
      </c>
      <c r="AJ149" s="0" t="s">
        <v>5067</v>
      </c>
      <c r="AK149" s="0" t="s">
        <v>5067</v>
      </c>
      <c r="AL149" s="0" t="s">
        <v>4804</v>
      </c>
    </row>
    <row customHeight="1" ht="11.25">
      <c r="A150" s="0" t="s">
        <v>22</v>
      </c>
      <c r="B150" s="0" t="s">
        <v>48</v>
      </c>
      <c r="C150" s="0" t="s">
        <v>50</v>
      </c>
      <c r="D150" s="0" t="s">
        <v>22</v>
      </c>
      <c r="E150" s="0" t="s">
        <v>5114</v>
      </c>
      <c r="F150" s="0" t="s">
        <v>1299</v>
      </c>
      <c r="G150" s="0" t="s">
        <v>127</v>
      </c>
      <c r="H150" s="0" t="s">
        <v>4082</v>
      </c>
      <c r="I150" s="0" t="s">
        <v>4083</v>
      </c>
      <c r="J150" s="0" t="s">
        <v>5115</v>
      </c>
      <c r="K150" s="0" t="s">
        <v>5116</v>
      </c>
      <c r="L150" s="0" t="s">
        <v>5117</v>
      </c>
      <c r="M150" s="0" t="s">
        <v>3992</v>
      </c>
      <c r="N150" s="0" t="s">
        <v>210</v>
      </c>
      <c r="O150" s="0" t="s">
        <v>127</v>
      </c>
      <c r="P150" s="0" t="s">
        <v>4082</v>
      </c>
      <c r="Q150" s="0" t="s">
        <v>4083</v>
      </c>
      <c r="R150" s="0" t="s">
        <v>5115</v>
      </c>
      <c r="S150" s="0" t="s">
        <v>5116</v>
      </c>
      <c r="T150" s="0" t="s">
        <v>4795</v>
      </c>
      <c r="U150" s="0" t="s">
        <v>4796</v>
      </c>
      <c r="V150" s="0" t="s">
        <v>5033</v>
      </c>
      <c r="W150" s="0" t="s">
        <v>4798</v>
      </c>
      <c r="X150" s="0" t="s">
        <v>4799</v>
      </c>
      <c r="Y150" s="0" t="s">
        <v>4796</v>
      </c>
      <c r="Z150" s="0" t="s">
        <v>5034</v>
      </c>
      <c r="AA150" s="0" t="s">
        <v>4801</v>
      </c>
      <c r="AB150" s="0" t="s">
        <v>5033</v>
      </c>
      <c r="AC150" s="0" t="s">
        <v>62</v>
      </c>
      <c r="AD150" s="0" t="s">
        <v>62</v>
      </c>
      <c r="AE150" s="0" t="s">
        <v>62</v>
      </c>
      <c r="AF150" s="0" t="s">
        <v>5118</v>
      </c>
      <c r="AG150" s="0" t="s">
        <v>4965</v>
      </c>
      <c r="AH150" s="0" t="s">
        <v>5118</v>
      </c>
      <c r="AI150" s="0" t="s">
        <v>4965</v>
      </c>
      <c r="AJ150" s="0" t="s">
        <v>5118</v>
      </c>
      <c r="AK150" s="0" t="s">
        <v>4965</v>
      </c>
      <c r="AL150" s="0" t="s">
        <v>4804</v>
      </c>
    </row>
    <row customHeight="1" ht="11.25">
      <c r="A151" s="0" t="s">
        <v>22</v>
      </c>
      <c r="B151" s="0" t="s">
        <v>48</v>
      </c>
      <c r="C151" s="0" t="s">
        <v>50</v>
      </c>
      <c r="D151" s="0" t="s">
        <v>22</v>
      </c>
      <c r="E151" s="0" t="s">
        <v>5114</v>
      </c>
      <c r="F151" s="0" t="s">
        <v>1299</v>
      </c>
      <c r="G151" s="0" t="s">
        <v>127</v>
      </c>
      <c r="H151" s="0" t="s">
        <v>4082</v>
      </c>
      <c r="I151" s="0" t="s">
        <v>4083</v>
      </c>
      <c r="J151" s="0" t="s">
        <v>5115</v>
      </c>
      <c r="K151" s="0" t="s">
        <v>5116</v>
      </c>
      <c r="L151" s="0" t="s">
        <v>5117</v>
      </c>
      <c r="M151" s="0" t="s">
        <v>3992</v>
      </c>
      <c r="N151" s="0" t="s">
        <v>210</v>
      </c>
      <c r="O151" s="0" t="s">
        <v>127</v>
      </c>
      <c r="P151" s="0" t="s">
        <v>4082</v>
      </c>
      <c r="Q151" s="0" t="s">
        <v>4083</v>
      </c>
      <c r="R151" s="0" t="s">
        <v>5115</v>
      </c>
      <c r="S151" s="0" t="s">
        <v>5116</v>
      </c>
      <c r="T151" s="0" t="s">
        <v>4795</v>
      </c>
      <c r="U151" s="0" t="s">
        <v>4796</v>
      </c>
      <c r="V151" s="0" t="s">
        <v>5030</v>
      </c>
      <c r="W151" s="0" t="s">
        <v>4798</v>
      </c>
      <c r="X151" s="0" t="s">
        <v>4799</v>
      </c>
      <c r="Y151" s="0" t="s">
        <v>4796</v>
      </c>
      <c r="Z151" s="0" t="s">
        <v>5031</v>
      </c>
      <c r="AA151" s="0" t="s">
        <v>4807</v>
      </c>
      <c r="AB151" s="0" t="s">
        <v>5030</v>
      </c>
      <c r="AC151" s="0" t="s">
        <v>62</v>
      </c>
      <c r="AD151" s="0" t="s">
        <v>62</v>
      </c>
      <c r="AE151" s="0" t="s">
        <v>62</v>
      </c>
      <c r="AF151" s="0" t="s">
        <v>5118</v>
      </c>
      <c r="AG151" s="0" t="s">
        <v>4965</v>
      </c>
      <c r="AH151" s="0" t="s">
        <v>5118</v>
      </c>
      <c r="AI151" s="0" t="s">
        <v>4965</v>
      </c>
      <c r="AJ151" s="0" t="s">
        <v>5118</v>
      </c>
      <c r="AK151" s="0" t="s">
        <v>4965</v>
      </c>
      <c r="AL151" s="0" t="s">
        <v>4804</v>
      </c>
    </row>
    <row customHeight="1" ht="11.25">
      <c r="A152" s="0" t="s">
        <v>22</v>
      </c>
      <c r="B152" s="0" t="s">
        <v>48</v>
      </c>
      <c r="C152" s="0" t="s">
        <v>50</v>
      </c>
      <c r="D152" s="0" t="s">
        <v>22</v>
      </c>
      <c r="E152" s="0" t="s">
        <v>5119</v>
      </c>
      <c r="F152" s="0" t="s">
        <v>1299</v>
      </c>
      <c r="G152" s="0" t="s">
        <v>127</v>
      </c>
      <c r="H152" s="0" t="s">
        <v>4082</v>
      </c>
      <c r="I152" s="0" t="s">
        <v>4083</v>
      </c>
      <c r="J152" s="0" t="s">
        <v>5120</v>
      </c>
      <c r="K152" s="0" t="s">
        <v>5121</v>
      </c>
      <c r="L152" s="0" t="s">
        <v>4822</v>
      </c>
      <c r="M152" s="0" t="s">
        <v>5122</v>
      </c>
      <c r="N152" s="0" t="s">
        <v>210</v>
      </c>
      <c r="O152" s="0" t="s">
        <v>127</v>
      </c>
      <c r="P152" s="0" t="s">
        <v>4082</v>
      </c>
      <c r="Q152" s="0" t="s">
        <v>4083</v>
      </c>
      <c r="R152" s="0" t="s">
        <v>5120</v>
      </c>
      <c r="S152" s="0" t="s">
        <v>5121</v>
      </c>
      <c r="T152" s="0" t="s">
        <v>4795</v>
      </c>
      <c r="U152" s="0" t="s">
        <v>4796</v>
      </c>
      <c r="V152" s="0" t="s">
        <v>5030</v>
      </c>
      <c r="W152" s="0" t="s">
        <v>4798</v>
      </c>
      <c r="X152" s="0" t="s">
        <v>4799</v>
      </c>
      <c r="Y152" s="0" t="s">
        <v>4796</v>
      </c>
      <c r="Z152" s="0" t="s">
        <v>5031</v>
      </c>
      <c r="AA152" s="0" t="s">
        <v>4807</v>
      </c>
      <c r="AB152" s="0" t="s">
        <v>5030</v>
      </c>
      <c r="AC152" s="0" t="s">
        <v>62</v>
      </c>
      <c r="AD152" s="0" t="s">
        <v>62</v>
      </c>
      <c r="AE152" s="0" t="s">
        <v>62</v>
      </c>
      <c r="AF152" s="0" t="s">
        <v>4888</v>
      </c>
      <c r="AG152" s="0" t="s">
        <v>5123</v>
      </c>
      <c r="AH152" s="0" t="s">
        <v>4888</v>
      </c>
      <c r="AI152" s="0" t="s">
        <v>5123</v>
      </c>
      <c r="AJ152" s="0" t="s">
        <v>4888</v>
      </c>
      <c r="AK152" s="0" t="s">
        <v>5123</v>
      </c>
      <c r="AL152" s="0" t="s">
        <v>4804</v>
      </c>
    </row>
    <row customHeight="1" ht="11.25">
      <c r="A153" s="0" t="s">
        <v>22</v>
      </c>
      <c r="B153" s="0" t="s">
        <v>48</v>
      </c>
      <c r="C153" s="0" t="s">
        <v>50</v>
      </c>
      <c r="D153" s="0" t="s">
        <v>22</v>
      </c>
      <c r="E153" s="0" t="s">
        <v>5119</v>
      </c>
      <c r="F153" s="0" t="s">
        <v>1299</v>
      </c>
      <c r="G153" s="0" t="s">
        <v>127</v>
      </c>
      <c r="H153" s="0" t="s">
        <v>4082</v>
      </c>
      <c r="I153" s="0" t="s">
        <v>4083</v>
      </c>
      <c r="J153" s="0" t="s">
        <v>5120</v>
      </c>
      <c r="K153" s="0" t="s">
        <v>5121</v>
      </c>
      <c r="L153" s="0" t="s">
        <v>4822</v>
      </c>
      <c r="M153" s="0" t="s">
        <v>5122</v>
      </c>
      <c r="N153" s="0" t="s">
        <v>210</v>
      </c>
      <c r="O153" s="0" t="s">
        <v>127</v>
      </c>
      <c r="P153" s="0" t="s">
        <v>4082</v>
      </c>
      <c r="Q153" s="0" t="s">
        <v>4083</v>
      </c>
      <c r="R153" s="0" t="s">
        <v>5120</v>
      </c>
      <c r="S153" s="0" t="s">
        <v>5121</v>
      </c>
      <c r="T153" s="0" t="s">
        <v>4795</v>
      </c>
      <c r="U153" s="0" t="s">
        <v>4796</v>
      </c>
      <c r="V153" s="0" t="s">
        <v>5033</v>
      </c>
      <c r="W153" s="0" t="s">
        <v>4798</v>
      </c>
      <c r="X153" s="0" t="s">
        <v>4799</v>
      </c>
      <c r="Y153" s="0" t="s">
        <v>4796</v>
      </c>
      <c r="Z153" s="0" t="s">
        <v>5034</v>
      </c>
      <c r="AA153" s="0" t="s">
        <v>4801</v>
      </c>
      <c r="AB153" s="0" t="s">
        <v>5033</v>
      </c>
      <c r="AC153" s="0" t="s">
        <v>62</v>
      </c>
      <c r="AD153" s="0" t="s">
        <v>62</v>
      </c>
      <c r="AE153" s="0" t="s">
        <v>62</v>
      </c>
      <c r="AF153" s="0" t="s">
        <v>4888</v>
      </c>
      <c r="AG153" s="0" t="s">
        <v>5123</v>
      </c>
      <c r="AH153" s="0" t="s">
        <v>4888</v>
      </c>
      <c r="AI153" s="0" t="s">
        <v>5123</v>
      </c>
      <c r="AJ153" s="0" t="s">
        <v>4888</v>
      </c>
      <c r="AK153" s="0" t="s">
        <v>5123</v>
      </c>
      <c r="AL153" s="0" t="s">
        <v>4804</v>
      </c>
    </row>
    <row customHeight="1" ht="11.25">
      <c r="A154" s="0" t="s">
        <v>22</v>
      </c>
      <c r="B154" s="0" t="s">
        <v>48</v>
      </c>
      <c r="C154" s="0" t="s">
        <v>50</v>
      </c>
      <c r="D154" s="0" t="s">
        <v>22</v>
      </c>
      <c r="E154" s="0" t="s">
        <v>5124</v>
      </c>
      <c r="F154" s="0" t="s">
        <v>1299</v>
      </c>
      <c r="G154" s="0" t="s">
        <v>127</v>
      </c>
      <c r="H154" s="0" t="s">
        <v>4085</v>
      </c>
      <c r="I154" s="0" t="s">
        <v>4086</v>
      </c>
      <c r="J154" s="0" t="s">
        <v>5125</v>
      </c>
      <c r="K154" s="0" t="s">
        <v>5126</v>
      </c>
      <c r="L154" s="0" t="s">
        <v>5127</v>
      </c>
      <c r="M154" s="0" t="s">
        <v>1355</v>
      </c>
      <c r="N154" s="0" t="s">
        <v>210</v>
      </c>
      <c r="O154" s="0" t="s">
        <v>127</v>
      </c>
      <c r="P154" s="0" t="s">
        <v>4085</v>
      </c>
      <c r="Q154" s="0" t="s">
        <v>4086</v>
      </c>
      <c r="R154" s="0" t="s">
        <v>5125</v>
      </c>
      <c r="S154" s="0" t="s">
        <v>5126</v>
      </c>
      <c r="T154" s="0" t="s">
        <v>4795</v>
      </c>
      <c r="U154" s="0" t="s">
        <v>4796</v>
      </c>
      <c r="V154" s="0" t="s">
        <v>5030</v>
      </c>
      <c r="W154" s="0" t="s">
        <v>4798</v>
      </c>
      <c r="X154" s="0" t="s">
        <v>4799</v>
      </c>
      <c r="Y154" s="0" t="s">
        <v>4796</v>
      </c>
      <c r="Z154" s="0" t="s">
        <v>5031</v>
      </c>
      <c r="AA154" s="0" t="s">
        <v>4807</v>
      </c>
      <c r="AB154" s="0" t="s">
        <v>5030</v>
      </c>
      <c r="AC154" s="0" t="s">
        <v>62</v>
      </c>
      <c r="AD154" s="0" t="s">
        <v>62</v>
      </c>
      <c r="AE154" s="0" t="s">
        <v>62</v>
      </c>
      <c r="AF154" s="0" t="s">
        <v>5118</v>
      </c>
      <c r="AG154" s="0" t="s">
        <v>5128</v>
      </c>
      <c r="AH154" s="0" t="s">
        <v>5118</v>
      </c>
      <c r="AI154" s="0" t="s">
        <v>5128</v>
      </c>
      <c r="AJ154" s="0" t="s">
        <v>5118</v>
      </c>
      <c r="AK154" s="0" t="s">
        <v>5128</v>
      </c>
      <c r="AL154" s="0" t="s">
        <v>4804</v>
      </c>
    </row>
    <row customHeight="1" ht="11.25">
      <c r="A155" s="0" t="s">
        <v>22</v>
      </c>
      <c r="B155" s="0" t="s">
        <v>48</v>
      </c>
      <c r="C155" s="0" t="s">
        <v>50</v>
      </c>
      <c r="D155" s="0" t="s">
        <v>22</v>
      </c>
      <c r="E155" s="0" t="s">
        <v>5124</v>
      </c>
      <c r="F155" s="0" t="s">
        <v>1299</v>
      </c>
      <c r="G155" s="0" t="s">
        <v>127</v>
      </c>
      <c r="H155" s="0" t="s">
        <v>4085</v>
      </c>
      <c r="I155" s="0" t="s">
        <v>4086</v>
      </c>
      <c r="J155" s="0" t="s">
        <v>5125</v>
      </c>
      <c r="K155" s="0" t="s">
        <v>5126</v>
      </c>
      <c r="L155" s="0" t="s">
        <v>5127</v>
      </c>
      <c r="M155" s="0" t="s">
        <v>1355</v>
      </c>
      <c r="N155" s="0" t="s">
        <v>210</v>
      </c>
      <c r="O155" s="0" t="s">
        <v>127</v>
      </c>
      <c r="P155" s="0" t="s">
        <v>4085</v>
      </c>
      <c r="Q155" s="0" t="s">
        <v>4086</v>
      </c>
      <c r="R155" s="0" t="s">
        <v>5125</v>
      </c>
      <c r="S155" s="0" t="s">
        <v>5126</v>
      </c>
      <c r="T155" s="0" t="s">
        <v>4795</v>
      </c>
      <c r="U155" s="0" t="s">
        <v>4796</v>
      </c>
      <c r="V155" s="0" t="s">
        <v>5033</v>
      </c>
      <c r="W155" s="0" t="s">
        <v>4798</v>
      </c>
      <c r="X155" s="0" t="s">
        <v>4799</v>
      </c>
      <c r="Y155" s="0" t="s">
        <v>4796</v>
      </c>
      <c r="Z155" s="0" t="s">
        <v>5034</v>
      </c>
      <c r="AA155" s="0" t="s">
        <v>4801</v>
      </c>
      <c r="AB155" s="0" t="s">
        <v>5033</v>
      </c>
      <c r="AC155" s="0" t="s">
        <v>62</v>
      </c>
      <c r="AD155" s="0" t="s">
        <v>62</v>
      </c>
      <c r="AE155" s="0" t="s">
        <v>62</v>
      </c>
      <c r="AF155" s="0" t="s">
        <v>5118</v>
      </c>
      <c r="AG155" s="0" t="s">
        <v>5128</v>
      </c>
      <c r="AH155" s="0" t="s">
        <v>5118</v>
      </c>
      <c r="AI155" s="0" t="s">
        <v>5128</v>
      </c>
      <c r="AJ155" s="0" t="s">
        <v>5118</v>
      </c>
      <c r="AK155" s="0" t="s">
        <v>5128</v>
      </c>
      <c r="AL155" s="0" t="s">
        <v>4804</v>
      </c>
    </row>
    <row customHeight="1" ht="11.25">
      <c r="A156" s="0" t="s">
        <v>22</v>
      </c>
      <c r="B156" s="0" t="s">
        <v>48</v>
      </c>
      <c r="C156" s="0" t="s">
        <v>50</v>
      </c>
      <c r="D156" s="0" t="s">
        <v>22</v>
      </c>
      <c r="E156" s="0" t="s">
        <v>5129</v>
      </c>
      <c r="F156" s="0" t="s">
        <v>1299</v>
      </c>
      <c r="G156" s="0" t="s">
        <v>127</v>
      </c>
      <c r="H156" s="0" t="s">
        <v>4085</v>
      </c>
      <c r="I156" s="0" t="s">
        <v>4086</v>
      </c>
      <c r="J156" s="0" t="s">
        <v>5125</v>
      </c>
      <c r="K156" s="0" t="s">
        <v>5126</v>
      </c>
      <c r="L156" s="0" t="s">
        <v>5100</v>
      </c>
      <c r="M156" s="0" t="s">
        <v>93</v>
      </c>
      <c r="N156" s="0" t="s">
        <v>210</v>
      </c>
      <c r="O156" s="0" t="s">
        <v>127</v>
      </c>
      <c r="P156" s="0" t="s">
        <v>4085</v>
      </c>
      <c r="Q156" s="0" t="s">
        <v>4086</v>
      </c>
      <c r="R156" s="0" t="s">
        <v>5125</v>
      </c>
      <c r="S156" s="0" t="s">
        <v>5126</v>
      </c>
      <c r="T156" s="0" t="s">
        <v>4795</v>
      </c>
      <c r="U156" s="0" t="s">
        <v>4796</v>
      </c>
      <c r="V156" s="0" t="s">
        <v>5033</v>
      </c>
      <c r="W156" s="0" t="s">
        <v>4798</v>
      </c>
      <c r="X156" s="0" t="s">
        <v>4799</v>
      </c>
      <c r="Y156" s="0" t="s">
        <v>4796</v>
      </c>
      <c r="Z156" s="0" t="s">
        <v>5034</v>
      </c>
      <c r="AA156" s="0" t="s">
        <v>4801</v>
      </c>
      <c r="AB156" s="0" t="s">
        <v>5033</v>
      </c>
      <c r="AC156" s="0" t="s">
        <v>62</v>
      </c>
      <c r="AD156" s="0" t="s">
        <v>62</v>
      </c>
      <c r="AE156" s="0" t="s">
        <v>62</v>
      </c>
      <c r="AF156" s="0" t="s">
        <v>5130</v>
      </c>
      <c r="AG156" s="0" t="s">
        <v>5131</v>
      </c>
      <c r="AH156" s="0" t="s">
        <v>5130</v>
      </c>
      <c r="AI156" s="0" t="s">
        <v>5131</v>
      </c>
      <c r="AJ156" s="0" t="s">
        <v>5130</v>
      </c>
      <c r="AK156" s="0" t="s">
        <v>5131</v>
      </c>
      <c r="AL156" s="0" t="s">
        <v>4804</v>
      </c>
    </row>
    <row customHeight="1" ht="11.25">
      <c r="A157" s="0" t="s">
        <v>22</v>
      </c>
      <c r="B157" s="0" t="s">
        <v>48</v>
      </c>
      <c r="C157" s="0" t="s">
        <v>50</v>
      </c>
      <c r="D157" s="0" t="s">
        <v>22</v>
      </c>
      <c r="E157" s="0" t="s">
        <v>5129</v>
      </c>
      <c r="F157" s="0" t="s">
        <v>1299</v>
      </c>
      <c r="G157" s="0" t="s">
        <v>127</v>
      </c>
      <c r="H157" s="0" t="s">
        <v>4085</v>
      </c>
      <c r="I157" s="0" t="s">
        <v>4086</v>
      </c>
      <c r="J157" s="0" t="s">
        <v>5125</v>
      </c>
      <c r="K157" s="0" t="s">
        <v>5126</v>
      </c>
      <c r="L157" s="0" t="s">
        <v>5100</v>
      </c>
      <c r="M157" s="0" t="s">
        <v>93</v>
      </c>
      <c r="N157" s="0" t="s">
        <v>210</v>
      </c>
      <c r="O157" s="0" t="s">
        <v>127</v>
      </c>
      <c r="P157" s="0" t="s">
        <v>4085</v>
      </c>
      <c r="Q157" s="0" t="s">
        <v>4086</v>
      </c>
      <c r="R157" s="0" t="s">
        <v>5125</v>
      </c>
      <c r="S157" s="0" t="s">
        <v>5126</v>
      </c>
      <c r="T157" s="0" t="s">
        <v>4795</v>
      </c>
      <c r="U157" s="0" t="s">
        <v>4796</v>
      </c>
      <c r="V157" s="0" t="s">
        <v>5030</v>
      </c>
      <c r="W157" s="0" t="s">
        <v>4798</v>
      </c>
      <c r="X157" s="0" t="s">
        <v>4799</v>
      </c>
      <c r="Y157" s="0" t="s">
        <v>4796</v>
      </c>
      <c r="Z157" s="0" t="s">
        <v>5031</v>
      </c>
      <c r="AA157" s="0" t="s">
        <v>4807</v>
      </c>
      <c r="AB157" s="0" t="s">
        <v>5030</v>
      </c>
      <c r="AC157" s="0" t="s">
        <v>62</v>
      </c>
      <c r="AD157" s="0" t="s">
        <v>62</v>
      </c>
      <c r="AE157" s="0" t="s">
        <v>62</v>
      </c>
      <c r="AF157" s="0" t="s">
        <v>5130</v>
      </c>
      <c r="AG157" s="0" t="s">
        <v>5131</v>
      </c>
      <c r="AH157" s="0" t="s">
        <v>5130</v>
      </c>
      <c r="AI157" s="0" t="s">
        <v>5131</v>
      </c>
      <c r="AJ157" s="0" t="s">
        <v>5130</v>
      </c>
      <c r="AK157" s="0" t="s">
        <v>5131</v>
      </c>
      <c r="AL157" s="0" t="s">
        <v>4804</v>
      </c>
    </row>
    <row customHeight="1" ht="11.25">
      <c r="A158" s="0" t="s">
        <v>22</v>
      </c>
      <c r="B158" s="0" t="s">
        <v>48</v>
      </c>
      <c r="C158" s="0" t="s">
        <v>50</v>
      </c>
      <c r="D158" s="0" t="s">
        <v>22</v>
      </c>
      <c r="E158" s="0" t="s">
        <v>5132</v>
      </c>
      <c r="F158" s="0" t="s">
        <v>1299</v>
      </c>
      <c r="G158" s="0" t="s">
        <v>127</v>
      </c>
      <c r="H158" s="0" t="s">
        <v>4085</v>
      </c>
      <c r="I158" s="0" t="s">
        <v>4086</v>
      </c>
      <c r="J158" s="0" t="s">
        <v>5125</v>
      </c>
      <c r="K158" s="0" t="s">
        <v>5126</v>
      </c>
      <c r="L158" s="0" t="s">
        <v>5133</v>
      </c>
      <c r="M158" s="0" t="s">
        <v>5088</v>
      </c>
      <c r="N158" s="0" t="s">
        <v>210</v>
      </c>
      <c r="O158" s="0" t="s">
        <v>127</v>
      </c>
      <c r="P158" s="0" t="s">
        <v>4085</v>
      </c>
      <c r="Q158" s="0" t="s">
        <v>4086</v>
      </c>
      <c r="R158" s="0" t="s">
        <v>5125</v>
      </c>
      <c r="S158" s="0" t="s">
        <v>5126</v>
      </c>
      <c r="T158" s="0" t="s">
        <v>4795</v>
      </c>
      <c r="U158" s="0" t="s">
        <v>4796</v>
      </c>
      <c r="V158" s="0" t="s">
        <v>5030</v>
      </c>
      <c r="W158" s="0" t="s">
        <v>4798</v>
      </c>
      <c r="X158" s="0" t="s">
        <v>4799</v>
      </c>
      <c r="Y158" s="0" t="s">
        <v>4796</v>
      </c>
      <c r="Z158" s="0" t="s">
        <v>5031</v>
      </c>
      <c r="AA158" s="0" t="s">
        <v>4807</v>
      </c>
      <c r="AB158" s="0" t="s">
        <v>5030</v>
      </c>
      <c r="AC158" s="0" t="s">
        <v>62</v>
      </c>
      <c r="AD158" s="0" t="s">
        <v>62</v>
      </c>
      <c r="AE158" s="0" t="s">
        <v>62</v>
      </c>
      <c r="AF158" s="0" t="s">
        <v>5134</v>
      </c>
      <c r="AG158" s="0" t="s">
        <v>5135</v>
      </c>
      <c r="AH158" s="0" t="s">
        <v>5134</v>
      </c>
      <c r="AI158" s="0" t="s">
        <v>5135</v>
      </c>
      <c r="AJ158" s="0" t="s">
        <v>5134</v>
      </c>
      <c r="AK158" s="0" t="s">
        <v>5135</v>
      </c>
      <c r="AL158" s="0" t="s">
        <v>4804</v>
      </c>
    </row>
    <row customHeight="1" ht="11.25">
      <c r="A159" s="0" t="s">
        <v>22</v>
      </c>
      <c r="B159" s="0" t="s">
        <v>48</v>
      </c>
      <c r="C159" s="0" t="s">
        <v>50</v>
      </c>
      <c r="D159" s="0" t="s">
        <v>22</v>
      </c>
      <c r="E159" s="0" t="s">
        <v>5132</v>
      </c>
      <c r="F159" s="0" t="s">
        <v>1299</v>
      </c>
      <c r="G159" s="0" t="s">
        <v>127</v>
      </c>
      <c r="H159" s="0" t="s">
        <v>4085</v>
      </c>
      <c r="I159" s="0" t="s">
        <v>4086</v>
      </c>
      <c r="J159" s="0" t="s">
        <v>5125</v>
      </c>
      <c r="K159" s="0" t="s">
        <v>5126</v>
      </c>
      <c r="L159" s="0" t="s">
        <v>5133</v>
      </c>
      <c r="M159" s="0" t="s">
        <v>5088</v>
      </c>
      <c r="N159" s="0" t="s">
        <v>210</v>
      </c>
      <c r="O159" s="0" t="s">
        <v>127</v>
      </c>
      <c r="P159" s="0" t="s">
        <v>4085</v>
      </c>
      <c r="Q159" s="0" t="s">
        <v>4086</v>
      </c>
      <c r="R159" s="0" t="s">
        <v>5125</v>
      </c>
      <c r="S159" s="0" t="s">
        <v>5126</v>
      </c>
      <c r="T159" s="0" t="s">
        <v>4795</v>
      </c>
      <c r="U159" s="0" t="s">
        <v>4796</v>
      </c>
      <c r="V159" s="0" t="s">
        <v>5033</v>
      </c>
      <c r="W159" s="0" t="s">
        <v>4798</v>
      </c>
      <c r="X159" s="0" t="s">
        <v>4799</v>
      </c>
      <c r="Y159" s="0" t="s">
        <v>4796</v>
      </c>
      <c r="Z159" s="0" t="s">
        <v>5034</v>
      </c>
      <c r="AA159" s="0" t="s">
        <v>4801</v>
      </c>
      <c r="AB159" s="0" t="s">
        <v>5033</v>
      </c>
      <c r="AC159" s="0" t="s">
        <v>62</v>
      </c>
      <c r="AD159" s="0" t="s">
        <v>62</v>
      </c>
      <c r="AE159" s="0" t="s">
        <v>62</v>
      </c>
      <c r="AF159" s="0" t="s">
        <v>5134</v>
      </c>
      <c r="AG159" s="0" t="s">
        <v>5135</v>
      </c>
      <c r="AH159" s="0" t="s">
        <v>5134</v>
      </c>
      <c r="AI159" s="0" t="s">
        <v>5135</v>
      </c>
      <c r="AJ159" s="0" t="s">
        <v>5134</v>
      </c>
      <c r="AK159" s="0" t="s">
        <v>5135</v>
      </c>
      <c r="AL159" s="0" t="s">
        <v>4804</v>
      </c>
    </row>
    <row customHeight="1" ht="11.25">
      <c r="A160" s="0" t="s">
        <v>22</v>
      </c>
      <c r="B160" s="0" t="s">
        <v>48</v>
      </c>
      <c r="C160" s="0" t="s">
        <v>50</v>
      </c>
      <c r="D160" s="0" t="s">
        <v>22</v>
      </c>
      <c r="E160" s="0" t="s">
        <v>5136</v>
      </c>
      <c r="F160" s="0" t="s">
        <v>1299</v>
      </c>
      <c r="G160" s="0" t="s">
        <v>127</v>
      </c>
      <c r="H160" s="0" t="s">
        <v>4088</v>
      </c>
      <c r="I160" s="0" t="s">
        <v>4089</v>
      </c>
      <c r="J160" s="0" t="s">
        <v>5137</v>
      </c>
      <c r="K160" s="0" t="s">
        <v>5138</v>
      </c>
      <c r="L160" s="0" t="s">
        <v>5139</v>
      </c>
      <c r="M160" s="0" t="s">
        <v>1969</v>
      </c>
      <c r="N160" s="0" t="s">
        <v>210</v>
      </c>
      <c r="O160" s="0" t="s">
        <v>127</v>
      </c>
      <c r="P160" s="0" t="s">
        <v>4088</v>
      </c>
      <c r="Q160" s="0" t="s">
        <v>4089</v>
      </c>
      <c r="R160" s="0" t="s">
        <v>5137</v>
      </c>
      <c r="S160" s="0" t="s">
        <v>5138</v>
      </c>
      <c r="T160" s="0" t="s">
        <v>4795</v>
      </c>
      <c r="U160" s="0" t="s">
        <v>4796</v>
      </c>
      <c r="V160" s="0" t="s">
        <v>5030</v>
      </c>
      <c r="W160" s="0" t="s">
        <v>4798</v>
      </c>
      <c r="X160" s="0" t="s">
        <v>4799</v>
      </c>
      <c r="Y160" s="0" t="s">
        <v>4796</v>
      </c>
      <c r="Z160" s="0" t="s">
        <v>5031</v>
      </c>
      <c r="AA160" s="0" t="s">
        <v>4807</v>
      </c>
      <c r="AB160" s="0" t="s">
        <v>5030</v>
      </c>
      <c r="AC160" s="0" t="s">
        <v>62</v>
      </c>
      <c r="AD160" s="0" t="s">
        <v>62</v>
      </c>
      <c r="AE160" s="0" t="s">
        <v>62</v>
      </c>
      <c r="AF160" s="0" t="s">
        <v>5140</v>
      </c>
      <c r="AG160" s="0" t="s">
        <v>5141</v>
      </c>
      <c r="AH160" s="0" t="s">
        <v>5140</v>
      </c>
      <c r="AI160" s="0" t="s">
        <v>5141</v>
      </c>
      <c r="AJ160" s="0" t="s">
        <v>5140</v>
      </c>
      <c r="AK160" s="0" t="s">
        <v>5141</v>
      </c>
      <c r="AL160" s="0" t="s">
        <v>4804</v>
      </c>
    </row>
    <row customHeight="1" ht="11.25">
      <c r="A161" s="0" t="s">
        <v>22</v>
      </c>
      <c r="B161" s="0" t="s">
        <v>48</v>
      </c>
      <c r="C161" s="0" t="s">
        <v>50</v>
      </c>
      <c r="D161" s="0" t="s">
        <v>22</v>
      </c>
      <c r="E161" s="0" t="s">
        <v>5136</v>
      </c>
      <c r="F161" s="0" t="s">
        <v>1299</v>
      </c>
      <c r="G161" s="0" t="s">
        <v>127</v>
      </c>
      <c r="H161" s="0" t="s">
        <v>4088</v>
      </c>
      <c r="I161" s="0" t="s">
        <v>4089</v>
      </c>
      <c r="J161" s="0" t="s">
        <v>5137</v>
      </c>
      <c r="K161" s="0" t="s">
        <v>5138</v>
      </c>
      <c r="L161" s="0" t="s">
        <v>5139</v>
      </c>
      <c r="M161" s="0" t="s">
        <v>1969</v>
      </c>
      <c r="N161" s="0" t="s">
        <v>210</v>
      </c>
      <c r="O161" s="0" t="s">
        <v>127</v>
      </c>
      <c r="P161" s="0" t="s">
        <v>4088</v>
      </c>
      <c r="Q161" s="0" t="s">
        <v>4089</v>
      </c>
      <c r="R161" s="0" t="s">
        <v>5137</v>
      </c>
      <c r="S161" s="0" t="s">
        <v>5138</v>
      </c>
      <c r="T161" s="0" t="s">
        <v>4795</v>
      </c>
      <c r="U161" s="0" t="s">
        <v>4796</v>
      </c>
      <c r="V161" s="0" t="s">
        <v>5033</v>
      </c>
      <c r="W161" s="0" t="s">
        <v>4798</v>
      </c>
      <c r="X161" s="0" t="s">
        <v>4799</v>
      </c>
      <c r="Y161" s="0" t="s">
        <v>4796</v>
      </c>
      <c r="Z161" s="0" t="s">
        <v>5034</v>
      </c>
      <c r="AA161" s="0" t="s">
        <v>4801</v>
      </c>
      <c r="AB161" s="0" t="s">
        <v>5033</v>
      </c>
      <c r="AC161" s="0" t="s">
        <v>62</v>
      </c>
      <c r="AD161" s="0" t="s">
        <v>62</v>
      </c>
      <c r="AE161" s="0" t="s">
        <v>62</v>
      </c>
      <c r="AF161" s="0" t="s">
        <v>5140</v>
      </c>
      <c r="AG161" s="0" t="s">
        <v>5141</v>
      </c>
      <c r="AH161" s="0" t="s">
        <v>5140</v>
      </c>
      <c r="AI161" s="0" t="s">
        <v>5141</v>
      </c>
      <c r="AJ161" s="0" t="s">
        <v>5140</v>
      </c>
      <c r="AK161" s="0" t="s">
        <v>5141</v>
      </c>
      <c r="AL161" s="0" t="s">
        <v>4804</v>
      </c>
    </row>
    <row customHeight="1" ht="11.25">
      <c r="A162" s="0" t="s">
        <v>22</v>
      </c>
      <c r="B162" s="0" t="s">
        <v>48</v>
      </c>
      <c r="C162" s="0" t="s">
        <v>50</v>
      </c>
      <c r="D162" s="0" t="s">
        <v>22</v>
      </c>
      <c r="E162" s="0" t="s">
        <v>5142</v>
      </c>
      <c r="F162" s="0" t="s">
        <v>1299</v>
      </c>
      <c r="G162" s="0" t="s">
        <v>127</v>
      </c>
      <c r="H162" s="0" t="s">
        <v>4088</v>
      </c>
      <c r="I162" s="0" t="s">
        <v>4089</v>
      </c>
      <c r="J162" s="0" t="s">
        <v>5137</v>
      </c>
      <c r="K162" s="0" t="s">
        <v>5138</v>
      </c>
      <c r="L162" s="0" t="s">
        <v>1338</v>
      </c>
      <c r="M162" s="0" t="s">
        <v>5143</v>
      </c>
      <c r="N162" s="0" t="s">
        <v>210</v>
      </c>
      <c r="O162" s="0" t="s">
        <v>127</v>
      </c>
      <c r="P162" s="0" t="s">
        <v>4088</v>
      </c>
      <c r="Q162" s="0" t="s">
        <v>4089</v>
      </c>
      <c r="R162" s="0" t="s">
        <v>5137</v>
      </c>
      <c r="S162" s="0" t="s">
        <v>5138</v>
      </c>
      <c r="T162" s="0" t="s">
        <v>4795</v>
      </c>
      <c r="U162" s="0" t="s">
        <v>4796</v>
      </c>
      <c r="V162" s="0" t="s">
        <v>5033</v>
      </c>
      <c r="W162" s="0" t="s">
        <v>4798</v>
      </c>
      <c r="X162" s="0" t="s">
        <v>4799</v>
      </c>
      <c r="Y162" s="0" t="s">
        <v>4796</v>
      </c>
      <c r="Z162" s="0" t="s">
        <v>5034</v>
      </c>
      <c r="AA162" s="0" t="s">
        <v>4801</v>
      </c>
      <c r="AB162" s="0" t="s">
        <v>5033</v>
      </c>
      <c r="AC162" s="0" t="s">
        <v>62</v>
      </c>
      <c r="AD162" s="0" t="s">
        <v>62</v>
      </c>
      <c r="AE162" s="0" t="s">
        <v>62</v>
      </c>
      <c r="AF162" s="0" t="s">
        <v>4862</v>
      </c>
      <c r="AG162" s="0" t="s">
        <v>5144</v>
      </c>
      <c r="AH162" s="0" t="s">
        <v>4862</v>
      </c>
      <c r="AI162" s="0" t="s">
        <v>5144</v>
      </c>
      <c r="AJ162" s="0" t="s">
        <v>4862</v>
      </c>
      <c r="AK162" s="0" t="s">
        <v>5144</v>
      </c>
      <c r="AL162" s="0" t="s">
        <v>4804</v>
      </c>
    </row>
    <row customHeight="1" ht="11.25">
      <c r="A163" s="0" t="s">
        <v>22</v>
      </c>
      <c r="B163" s="0" t="s">
        <v>48</v>
      </c>
      <c r="C163" s="0" t="s">
        <v>50</v>
      </c>
      <c r="D163" s="0" t="s">
        <v>22</v>
      </c>
      <c r="E163" s="0" t="s">
        <v>5142</v>
      </c>
      <c r="F163" s="0" t="s">
        <v>1299</v>
      </c>
      <c r="G163" s="0" t="s">
        <v>127</v>
      </c>
      <c r="H163" s="0" t="s">
        <v>4088</v>
      </c>
      <c r="I163" s="0" t="s">
        <v>4089</v>
      </c>
      <c r="J163" s="0" t="s">
        <v>5137</v>
      </c>
      <c r="K163" s="0" t="s">
        <v>5138</v>
      </c>
      <c r="L163" s="0" t="s">
        <v>1338</v>
      </c>
      <c r="M163" s="0" t="s">
        <v>5143</v>
      </c>
      <c r="N163" s="0" t="s">
        <v>210</v>
      </c>
      <c r="O163" s="0" t="s">
        <v>127</v>
      </c>
      <c r="P163" s="0" t="s">
        <v>4088</v>
      </c>
      <c r="Q163" s="0" t="s">
        <v>4089</v>
      </c>
      <c r="R163" s="0" t="s">
        <v>5137</v>
      </c>
      <c r="S163" s="0" t="s">
        <v>5138</v>
      </c>
      <c r="T163" s="0" t="s">
        <v>4795</v>
      </c>
      <c r="U163" s="0" t="s">
        <v>4796</v>
      </c>
      <c r="V163" s="0" t="s">
        <v>5030</v>
      </c>
      <c r="W163" s="0" t="s">
        <v>4798</v>
      </c>
      <c r="X163" s="0" t="s">
        <v>4799</v>
      </c>
      <c r="Y163" s="0" t="s">
        <v>4796</v>
      </c>
      <c r="Z163" s="0" t="s">
        <v>5031</v>
      </c>
      <c r="AA163" s="0" t="s">
        <v>4807</v>
      </c>
      <c r="AB163" s="0" t="s">
        <v>5030</v>
      </c>
      <c r="AC163" s="0" t="s">
        <v>62</v>
      </c>
      <c r="AD163" s="0" t="s">
        <v>62</v>
      </c>
      <c r="AE163" s="0" t="s">
        <v>62</v>
      </c>
      <c r="AF163" s="0" t="s">
        <v>4862</v>
      </c>
      <c r="AG163" s="0" t="s">
        <v>5144</v>
      </c>
      <c r="AH163" s="0" t="s">
        <v>4862</v>
      </c>
      <c r="AI163" s="0" t="s">
        <v>5144</v>
      </c>
      <c r="AJ163" s="0" t="s">
        <v>4862</v>
      </c>
      <c r="AK163" s="0" t="s">
        <v>5144</v>
      </c>
      <c r="AL163" s="0" t="s">
        <v>4804</v>
      </c>
    </row>
    <row customHeight="1" ht="11.25">
      <c r="A164" s="0" t="s">
        <v>22</v>
      </c>
      <c r="B164" s="0" t="s">
        <v>48</v>
      </c>
      <c r="C164" s="0" t="s">
        <v>50</v>
      </c>
      <c r="D164" s="0" t="s">
        <v>22</v>
      </c>
      <c r="E164" s="0" t="s">
        <v>5145</v>
      </c>
      <c r="F164" s="0" t="s">
        <v>1299</v>
      </c>
      <c r="G164" s="0" t="s">
        <v>127</v>
      </c>
      <c r="H164" s="0" t="s">
        <v>4088</v>
      </c>
      <c r="I164" s="0" t="s">
        <v>4089</v>
      </c>
      <c r="J164" s="0" t="s">
        <v>5137</v>
      </c>
      <c r="K164" s="0" t="s">
        <v>5138</v>
      </c>
      <c r="L164" s="0" t="s">
        <v>1338</v>
      </c>
      <c r="M164" s="0" t="s">
        <v>5146</v>
      </c>
      <c r="N164" s="0" t="s">
        <v>210</v>
      </c>
      <c r="O164" s="0" t="s">
        <v>127</v>
      </c>
      <c r="P164" s="0" t="s">
        <v>4088</v>
      </c>
      <c r="Q164" s="0" t="s">
        <v>4089</v>
      </c>
      <c r="R164" s="0" t="s">
        <v>5137</v>
      </c>
      <c r="S164" s="0" t="s">
        <v>5138</v>
      </c>
      <c r="T164" s="0" t="s">
        <v>4795</v>
      </c>
      <c r="U164" s="0" t="s">
        <v>4796</v>
      </c>
      <c r="V164" s="0" t="s">
        <v>5030</v>
      </c>
      <c r="W164" s="0" t="s">
        <v>4798</v>
      </c>
      <c r="X164" s="0" t="s">
        <v>4799</v>
      </c>
      <c r="Y164" s="0" t="s">
        <v>4796</v>
      </c>
      <c r="Z164" s="0" t="s">
        <v>5031</v>
      </c>
      <c r="AA164" s="0" t="s">
        <v>4807</v>
      </c>
      <c r="AB164" s="0" t="s">
        <v>5030</v>
      </c>
      <c r="AC164" s="0" t="s">
        <v>62</v>
      </c>
      <c r="AD164" s="0" t="s">
        <v>62</v>
      </c>
      <c r="AE164" s="0" t="s">
        <v>62</v>
      </c>
      <c r="AF164" s="0" t="s">
        <v>5067</v>
      </c>
      <c r="AG164" s="0" t="s">
        <v>5147</v>
      </c>
      <c r="AH164" s="0" t="s">
        <v>5067</v>
      </c>
      <c r="AI164" s="0" t="s">
        <v>5147</v>
      </c>
      <c r="AJ164" s="0" t="s">
        <v>5067</v>
      </c>
      <c r="AK164" s="0" t="s">
        <v>5147</v>
      </c>
      <c r="AL164" s="0" t="s">
        <v>4804</v>
      </c>
    </row>
    <row customHeight="1" ht="11.25">
      <c r="A165" s="0" t="s">
        <v>22</v>
      </c>
      <c r="B165" s="0" t="s">
        <v>48</v>
      </c>
      <c r="C165" s="0" t="s">
        <v>50</v>
      </c>
      <c r="D165" s="0" t="s">
        <v>22</v>
      </c>
      <c r="E165" s="0" t="s">
        <v>5145</v>
      </c>
      <c r="F165" s="0" t="s">
        <v>1299</v>
      </c>
      <c r="G165" s="0" t="s">
        <v>127</v>
      </c>
      <c r="H165" s="0" t="s">
        <v>4088</v>
      </c>
      <c r="I165" s="0" t="s">
        <v>4089</v>
      </c>
      <c r="J165" s="0" t="s">
        <v>5137</v>
      </c>
      <c r="K165" s="0" t="s">
        <v>5138</v>
      </c>
      <c r="L165" s="0" t="s">
        <v>1338</v>
      </c>
      <c r="M165" s="0" t="s">
        <v>5146</v>
      </c>
      <c r="N165" s="0" t="s">
        <v>210</v>
      </c>
      <c r="O165" s="0" t="s">
        <v>127</v>
      </c>
      <c r="P165" s="0" t="s">
        <v>4088</v>
      </c>
      <c r="Q165" s="0" t="s">
        <v>4089</v>
      </c>
      <c r="R165" s="0" t="s">
        <v>5137</v>
      </c>
      <c r="S165" s="0" t="s">
        <v>5138</v>
      </c>
      <c r="T165" s="0" t="s">
        <v>4795</v>
      </c>
      <c r="U165" s="0" t="s">
        <v>4796</v>
      </c>
      <c r="V165" s="0" t="s">
        <v>5033</v>
      </c>
      <c r="W165" s="0" t="s">
        <v>4798</v>
      </c>
      <c r="X165" s="0" t="s">
        <v>4799</v>
      </c>
      <c r="Y165" s="0" t="s">
        <v>4796</v>
      </c>
      <c r="Z165" s="0" t="s">
        <v>5034</v>
      </c>
      <c r="AA165" s="0" t="s">
        <v>4801</v>
      </c>
      <c r="AB165" s="0" t="s">
        <v>5033</v>
      </c>
      <c r="AC165" s="0" t="s">
        <v>62</v>
      </c>
      <c r="AD165" s="0" t="s">
        <v>62</v>
      </c>
      <c r="AE165" s="0" t="s">
        <v>62</v>
      </c>
      <c r="AF165" s="0" t="s">
        <v>5067</v>
      </c>
      <c r="AG165" s="0" t="s">
        <v>5147</v>
      </c>
      <c r="AH165" s="0" t="s">
        <v>5067</v>
      </c>
      <c r="AI165" s="0" t="s">
        <v>5147</v>
      </c>
      <c r="AJ165" s="0" t="s">
        <v>5067</v>
      </c>
      <c r="AK165" s="0" t="s">
        <v>5147</v>
      </c>
      <c r="AL165" s="0" t="s">
        <v>4804</v>
      </c>
    </row>
    <row customHeight="1" ht="11.25">
      <c r="A166" s="0" t="s">
        <v>22</v>
      </c>
      <c r="B166" s="0" t="s">
        <v>48</v>
      </c>
      <c r="C166" s="0" t="s">
        <v>50</v>
      </c>
      <c r="D166" s="0" t="s">
        <v>22</v>
      </c>
      <c r="E166" s="0" t="s">
        <v>5148</v>
      </c>
      <c r="F166" s="0" t="s">
        <v>1299</v>
      </c>
      <c r="G166" s="0" t="s">
        <v>127</v>
      </c>
      <c r="H166" s="0" t="s">
        <v>4088</v>
      </c>
      <c r="I166" s="0" t="s">
        <v>4089</v>
      </c>
      <c r="J166" s="0" t="s">
        <v>5137</v>
      </c>
      <c r="K166" s="0" t="s">
        <v>5138</v>
      </c>
      <c r="L166" s="0" t="s">
        <v>1338</v>
      </c>
      <c r="M166" s="0" t="s">
        <v>5149</v>
      </c>
      <c r="N166" s="0" t="s">
        <v>210</v>
      </c>
      <c r="O166" s="0" t="s">
        <v>127</v>
      </c>
      <c r="P166" s="0" t="s">
        <v>4088</v>
      </c>
      <c r="Q166" s="0" t="s">
        <v>4089</v>
      </c>
      <c r="R166" s="0" t="s">
        <v>5137</v>
      </c>
      <c r="S166" s="0" t="s">
        <v>5138</v>
      </c>
      <c r="T166" s="0" t="s">
        <v>4795</v>
      </c>
      <c r="U166" s="0" t="s">
        <v>4796</v>
      </c>
      <c r="V166" s="0" t="s">
        <v>5030</v>
      </c>
      <c r="W166" s="0" t="s">
        <v>4798</v>
      </c>
      <c r="X166" s="0" t="s">
        <v>4799</v>
      </c>
      <c r="Y166" s="0" t="s">
        <v>4796</v>
      </c>
      <c r="Z166" s="0" t="s">
        <v>5031</v>
      </c>
      <c r="AA166" s="0" t="s">
        <v>4807</v>
      </c>
      <c r="AB166" s="0" t="s">
        <v>5030</v>
      </c>
      <c r="AC166" s="0" t="s">
        <v>62</v>
      </c>
      <c r="AD166" s="0" t="s">
        <v>62</v>
      </c>
      <c r="AE166" s="0" t="s">
        <v>62</v>
      </c>
      <c r="AF166" s="0" t="s">
        <v>4862</v>
      </c>
      <c r="AG166" s="0" t="s">
        <v>5150</v>
      </c>
      <c r="AH166" s="0" t="s">
        <v>4862</v>
      </c>
      <c r="AI166" s="0" t="s">
        <v>5150</v>
      </c>
      <c r="AJ166" s="0" t="s">
        <v>4862</v>
      </c>
      <c r="AK166" s="0" t="s">
        <v>5150</v>
      </c>
      <c r="AL166" s="0" t="s">
        <v>4804</v>
      </c>
    </row>
    <row customHeight="1" ht="11.25">
      <c r="A167" s="0" t="s">
        <v>22</v>
      </c>
      <c r="B167" s="0" t="s">
        <v>48</v>
      </c>
      <c r="C167" s="0" t="s">
        <v>50</v>
      </c>
      <c r="D167" s="0" t="s">
        <v>22</v>
      </c>
      <c r="E167" s="0" t="s">
        <v>5148</v>
      </c>
      <c r="F167" s="0" t="s">
        <v>1299</v>
      </c>
      <c r="G167" s="0" t="s">
        <v>127</v>
      </c>
      <c r="H167" s="0" t="s">
        <v>4088</v>
      </c>
      <c r="I167" s="0" t="s">
        <v>4089</v>
      </c>
      <c r="J167" s="0" t="s">
        <v>5137</v>
      </c>
      <c r="K167" s="0" t="s">
        <v>5138</v>
      </c>
      <c r="L167" s="0" t="s">
        <v>1338</v>
      </c>
      <c r="M167" s="0" t="s">
        <v>5149</v>
      </c>
      <c r="N167" s="0" t="s">
        <v>210</v>
      </c>
      <c r="O167" s="0" t="s">
        <v>127</v>
      </c>
      <c r="P167" s="0" t="s">
        <v>4088</v>
      </c>
      <c r="Q167" s="0" t="s">
        <v>4089</v>
      </c>
      <c r="R167" s="0" t="s">
        <v>5137</v>
      </c>
      <c r="S167" s="0" t="s">
        <v>5138</v>
      </c>
      <c r="T167" s="0" t="s">
        <v>4795</v>
      </c>
      <c r="U167" s="0" t="s">
        <v>4796</v>
      </c>
      <c r="V167" s="0" t="s">
        <v>5033</v>
      </c>
      <c r="W167" s="0" t="s">
        <v>4798</v>
      </c>
      <c r="X167" s="0" t="s">
        <v>4799</v>
      </c>
      <c r="Y167" s="0" t="s">
        <v>4796</v>
      </c>
      <c r="Z167" s="0" t="s">
        <v>5034</v>
      </c>
      <c r="AA167" s="0" t="s">
        <v>4801</v>
      </c>
      <c r="AB167" s="0" t="s">
        <v>5033</v>
      </c>
      <c r="AC167" s="0" t="s">
        <v>62</v>
      </c>
      <c r="AD167" s="0" t="s">
        <v>62</v>
      </c>
      <c r="AE167" s="0" t="s">
        <v>62</v>
      </c>
      <c r="AF167" s="0" t="s">
        <v>4862</v>
      </c>
      <c r="AG167" s="0" t="s">
        <v>5150</v>
      </c>
      <c r="AH167" s="0" t="s">
        <v>4862</v>
      </c>
      <c r="AI167" s="0" t="s">
        <v>5150</v>
      </c>
      <c r="AJ167" s="0" t="s">
        <v>4862</v>
      </c>
      <c r="AK167" s="0" t="s">
        <v>5150</v>
      </c>
      <c r="AL167" s="0" t="s">
        <v>4804</v>
      </c>
    </row>
    <row customHeight="1" ht="11.25">
      <c r="A168" s="0" t="s">
        <v>22</v>
      </c>
      <c r="B168" s="0" t="s">
        <v>48</v>
      </c>
      <c r="C168" s="0" t="s">
        <v>50</v>
      </c>
      <c r="D168" s="0" t="s">
        <v>22</v>
      </c>
      <c r="E168" s="0" t="s">
        <v>5151</v>
      </c>
      <c r="F168" s="0" t="s">
        <v>1299</v>
      </c>
      <c r="G168" s="0" t="s">
        <v>127</v>
      </c>
      <c r="H168" s="0" t="s">
        <v>4091</v>
      </c>
      <c r="I168" s="0" t="s">
        <v>4092</v>
      </c>
      <c r="J168" s="0" t="s">
        <v>5152</v>
      </c>
      <c r="K168" s="0" t="s">
        <v>5153</v>
      </c>
      <c r="L168" s="0" t="s">
        <v>1378</v>
      </c>
      <c r="M168" s="0" t="s">
        <v>5154</v>
      </c>
      <c r="N168" s="0" t="s">
        <v>210</v>
      </c>
      <c r="O168" s="0" t="s">
        <v>127</v>
      </c>
      <c r="P168" s="0" t="s">
        <v>4091</v>
      </c>
      <c r="Q168" s="0" t="s">
        <v>4092</v>
      </c>
      <c r="R168" s="0" t="s">
        <v>5152</v>
      </c>
      <c r="S168" s="0" t="s">
        <v>5153</v>
      </c>
      <c r="T168" s="0" t="s">
        <v>4795</v>
      </c>
      <c r="U168" s="0" t="s">
        <v>4796</v>
      </c>
      <c r="V168" s="0" t="s">
        <v>5030</v>
      </c>
      <c r="W168" s="0" t="s">
        <v>4798</v>
      </c>
      <c r="X168" s="0" t="s">
        <v>4799</v>
      </c>
      <c r="Y168" s="0" t="s">
        <v>4796</v>
      </c>
      <c r="Z168" s="0" t="s">
        <v>5031</v>
      </c>
      <c r="AA168" s="0" t="s">
        <v>4807</v>
      </c>
      <c r="AB168" s="0" t="s">
        <v>5030</v>
      </c>
      <c r="AC168" s="0" t="s">
        <v>62</v>
      </c>
      <c r="AD168" s="0" t="s">
        <v>62</v>
      </c>
      <c r="AE168" s="0" t="s">
        <v>62</v>
      </c>
      <c r="AF168" s="0" t="s">
        <v>4862</v>
      </c>
      <c r="AG168" s="0" t="s">
        <v>5155</v>
      </c>
      <c r="AH168" s="0" t="s">
        <v>4862</v>
      </c>
      <c r="AI168" s="0" t="s">
        <v>5155</v>
      </c>
      <c r="AJ168" s="0" t="s">
        <v>4862</v>
      </c>
      <c r="AK168" s="0" t="s">
        <v>5155</v>
      </c>
      <c r="AL168" s="0" t="s">
        <v>4804</v>
      </c>
    </row>
    <row customHeight="1" ht="11.25">
      <c r="A169" s="0" t="s">
        <v>22</v>
      </c>
      <c r="B169" s="0" t="s">
        <v>48</v>
      </c>
      <c r="C169" s="0" t="s">
        <v>50</v>
      </c>
      <c r="D169" s="0" t="s">
        <v>22</v>
      </c>
      <c r="E169" s="0" t="s">
        <v>5151</v>
      </c>
      <c r="F169" s="0" t="s">
        <v>1299</v>
      </c>
      <c r="G169" s="0" t="s">
        <v>127</v>
      </c>
      <c r="H169" s="0" t="s">
        <v>4091</v>
      </c>
      <c r="I169" s="0" t="s">
        <v>4092</v>
      </c>
      <c r="J169" s="0" t="s">
        <v>5152</v>
      </c>
      <c r="K169" s="0" t="s">
        <v>5153</v>
      </c>
      <c r="L169" s="0" t="s">
        <v>1378</v>
      </c>
      <c r="M169" s="0" t="s">
        <v>5154</v>
      </c>
      <c r="N169" s="0" t="s">
        <v>210</v>
      </c>
      <c r="O169" s="0" t="s">
        <v>127</v>
      </c>
      <c r="P169" s="0" t="s">
        <v>4091</v>
      </c>
      <c r="Q169" s="0" t="s">
        <v>4092</v>
      </c>
      <c r="R169" s="0" t="s">
        <v>5152</v>
      </c>
      <c r="S169" s="0" t="s">
        <v>5153</v>
      </c>
      <c r="T169" s="0" t="s">
        <v>4795</v>
      </c>
      <c r="U169" s="0" t="s">
        <v>4796</v>
      </c>
      <c r="V169" s="0" t="s">
        <v>5033</v>
      </c>
      <c r="W169" s="0" t="s">
        <v>4798</v>
      </c>
      <c r="X169" s="0" t="s">
        <v>4799</v>
      </c>
      <c r="Y169" s="0" t="s">
        <v>4796</v>
      </c>
      <c r="Z169" s="0" t="s">
        <v>5034</v>
      </c>
      <c r="AA169" s="0" t="s">
        <v>4801</v>
      </c>
      <c r="AB169" s="0" t="s">
        <v>5033</v>
      </c>
      <c r="AC169" s="0" t="s">
        <v>62</v>
      </c>
      <c r="AD169" s="0" t="s">
        <v>62</v>
      </c>
      <c r="AE169" s="0" t="s">
        <v>62</v>
      </c>
      <c r="AF169" s="0" t="s">
        <v>4862</v>
      </c>
      <c r="AG169" s="0" t="s">
        <v>5155</v>
      </c>
      <c r="AH169" s="0" t="s">
        <v>4862</v>
      </c>
      <c r="AI169" s="0" t="s">
        <v>5155</v>
      </c>
      <c r="AJ169" s="0" t="s">
        <v>4862</v>
      </c>
      <c r="AK169" s="0" t="s">
        <v>5155</v>
      </c>
      <c r="AL169" s="0" t="s">
        <v>4804</v>
      </c>
    </row>
    <row customHeight="1" ht="11.25">
      <c r="A170" s="0" t="s">
        <v>22</v>
      </c>
      <c r="B170" s="0" t="s">
        <v>48</v>
      </c>
      <c r="C170" s="0" t="s">
        <v>50</v>
      </c>
      <c r="D170" s="0" t="s">
        <v>22</v>
      </c>
      <c r="E170" s="0" t="s">
        <v>5156</v>
      </c>
      <c r="F170" s="0" t="s">
        <v>1299</v>
      </c>
      <c r="G170" s="0" t="s">
        <v>127</v>
      </c>
      <c r="H170" s="0" t="s">
        <v>4091</v>
      </c>
      <c r="I170" s="0" t="s">
        <v>4092</v>
      </c>
      <c r="J170" s="0" t="s">
        <v>5152</v>
      </c>
      <c r="K170" s="0" t="s">
        <v>5153</v>
      </c>
      <c r="L170" s="0" t="s">
        <v>1378</v>
      </c>
      <c r="M170" s="0" t="s">
        <v>1305</v>
      </c>
      <c r="N170" s="0" t="s">
        <v>210</v>
      </c>
      <c r="O170" s="0" t="s">
        <v>127</v>
      </c>
      <c r="P170" s="0" t="s">
        <v>4091</v>
      </c>
      <c r="Q170" s="0" t="s">
        <v>4092</v>
      </c>
      <c r="R170" s="0" t="s">
        <v>5152</v>
      </c>
      <c r="S170" s="0" t="s">
        <v>5153</v>
      </c>
      <c r="T170" s="0" t="s">
        <v>4795</v>
      </c>
      <c r="U170" s="0" t="s">
        <v>4796</v>
      </c>
      <c r="V170" s="0" t="s">
        <v>5033</v>
      </c>
      <c r="W170" s="0" t="s">
        <v>4798</v>
      </c>
      <c r="X170" s="0" t="s">
        <v>4799</v>
      </c>
      <c r="Y170" s="0" t="s">
        <v>4796</v>
      </c>
      <c r="Z170" s="0" t="s">
        <v>5034</v>
      </c>
      <c r="AA170" s="0" t="s">
        <v>4801</v>
      </c>
      <c r="AB170" s="0" t="s">
        <v>5033</v>
      </c>
      <c r="AC170" s="0" t="s">
        <v>62</v>
      </c>
      <c r="AD170" s="0" t="s">
        <v>62</v>
      </c>
      <c r="AE170" s="0" t="s">
        <v>62</v>
      </c>
      <c r="AF170" s="0" t="s">
        <v>4862</v>
      </c>
      <c r="AG170" s="0" t="s">
        <v>5157</v>
      </c>
      <c r="AH170" s="0" t="s">
        <v>4862</v>
      </c>
      <c r="AI170" s="0" t="s">
        <v>5157</v>
      </c>
      <c r="AJ170" s="0" t="s">
        <v>4862</v>
      </c>
      <c r="AK170" s="0" t="s">
        <v>5157</v>
      </c>
      <c r="AL170" s="0" t="s">
        <v>4804</v>
      </c>
    </row>
    <row customHeight="1" ht="11.25">
      <c r="A171" s="0" t="s">
        <v>22</v>
      </c>
      <c r="B171" s="0" t="s">
        <v>48</v>
      </c>
      <c r="C171" s="0" t="s">
        <v>50</v>
      </c>
      <c r="D171" s="0" t="s">
        <v>22</v>
      </c>
      <c r="E171" s="0" t="s">
        <v>5156</v>
      </c>
      <c r="F171" s="0" t="s">
        <v>1299</v>
      </c>
      <c r="G171" s="0" t="s">
        <v>127</v>
      </c>
      <c r="H171" s="0" t="s">
        <v>4091</v>
      </c>
      <c r="I171" s="0" t="s">
        <v>4092</v>
      </c>
      <c r="J171" s="0" t="s">
        <v>5152</v>
      </c>
      <c r="K171" s="0" t="s">
        <v>5153</v>
      </c>
      <c r="L171" s="0" t="s">
        <v>1378</v>
      </c>
      <c r="M171" s="0" t="s">
        <v>1305</v>
      </c>
      <c r="N171" s="0" t="s">
        <v>210</v>
      </c>
      <c r="O171" s="0" t="s">
        <v>127</v>
      </c>
      <c r="P171" s="0" t="s">
        <v>4091</v>
      </c>
      <c r="Q171" s="0" t="s">
        <v>4092</v>
      </c>
      <c r="R171" s="0" t="s">
        <v>5152</v>
      </c>
      <c r="S171" s="0" t="s">
        <v>5153</v>
      </c>
      <c r="T171" s="0" t="s">
        <v>4795</v>
      </c>
      <c r="U171" s="0" t="s">
        <v>4796</v>
      </c>
      <c r="V171" s="0" t="s">
        <v>5030</v>
      </c>
      <c r="W171" s="0" t="s">
        <v>4798</v>
      </c>
      <c r="X171" s="0" t="s">
        <v>4799</v>
      </c>
      <c r="Y171" s="0" t="s">
        <v>4796</v>
      </c>
      <c r="Z171" s="0" t="s">
        <v>5031</v>
      </c>
      <c r="AA171" s="0" t="s">
        <v>4807</v>
      </c>
      <c r="AB171" s="0" t="s">
        <v>5030</v>
      </c>
      <c r="AC171" s="0" t="s">
        <v>62</v>
      </c>
      <c r="AD171" s="0" t="s">
        <v>62</v>
      </c>
      <c r="AE171" s="0" t="s">
        <v>62</v>
      </c>
      <c r="AF171" s="0" t="s">
        <v>4862</v>
      </c>
      <c r="AG171" s="0" t="s">
        <v>5157</v>
      </c>
      <c r="AH171" s="0" t="s">
        <v>4862</v>
      </c>
      <c r="AI171" s="0" t="s">
        <v>5157</v>
      </c>
      <c r="AJ171" s="0" t="s">
        <v>4862</v>
      </c>
      <c r="AK171" s="0" t="s">
        <v>5157</v>
      </c>
      <c r="AL171" s="0" t="s">
        <v>4804</v>
      </c>
    </row>
    <row customHeight="1" ht="11.25">
      <c r="A172" s="0" t="s">
        <v>22</v>
      </c>
      <c r="B172" s="0" t="s">
        <v>48</v>
      </c>
      <c r="C172" s="0" t="s">
        <v>50</v>
      </c>
      <c r="D172" s="0" t="s">
        <v>22</v>
      </c>
      <c r="E172" s="0" t="s">
        <v>5158</v>
      </c>
      <c r="F172" s="0" t="s">
        <v>1299</v>
      </c>
      <c r="G172" s="0" t="s">
        <v>127</v>
      </c>
      <c r="H172" s="0" t="s">
        <v>4091</v>
      </c>
      <c r="I172" s="0" t="s">
        <v>4092</v>
      </c>
      <c r="J172" s="0" t="s">
        <v>5159</v>
      </c>
      <c r="K172" s="0" t="s">
        <v>5160</v>
      </c>
      <c r="L172" s="0" t="s">
        <v>4822</v>
      </c>
      <c r="M172" s="0" t="s">
        <v>5161</v>
      </c>
      <c r="N172" s="0" t="s">
        <v>210</v>
      </c>
      <c r="O172" s="0" t="s">
        <v>127</v>
      </c>
      <c r="P172" s="0" t="s">
        <v>4091</v>
      </c>
      <c r="Q172" s="0" t="s">
        <v>4092</v>
      </c>
      <c r="R172" s="0" t="s">
        <v>5159</v>
      </c>
      <c r="S172" s="0" t="s">
        <v>5160</v>
      </c>
      <c r="T172" s="0" t="s">
        <v>4795</v>
      </c>
      <c r="U172" s="0" t="s">
        <v>4796</v>
      </c>
      <c r="V172" s="0" t="s">
        <v>5030</v>
      </c>
      <c r="W172" s="0" t="s">
        <v>4798</v>
      </c>
      <c r="X172" s="0" t="s">
        <v>4799</v>
      </c>
      <c r="Y172" s="0" t="s">
        <v>4796</v>
      </c>
      <c r="Z172" s="0" t="s">
        <v>5031</v>
      </c>
      <c r="AA172" s="0" t="s">
        <v>4807</v>
      </c>
      <c r="AB172" s="0" t="s">
        <v>5030</v>
      </c>
      <c r="AC172" s="0" t="s">
        <v>62</v>
      </c>
      <c r="AD172" s="0" t="s">
        <v>62</v>
      </c>
      <c r="AE172" s="0" t="s">
        <v>62</v>
      </c>
      <c r="AF172" s="0" t="s">
        <v>5067</v>
      </c>
      <c r="AG172" s="0" t="s">
        <v>5162</v>
      </c>
      <c r="AH172" s="0" t="s">
        <v>5067</v>
      </c>
      <c r="AI172" s="0" t="s">
        <v>5162</v>
      </c>
      <c r="AJ172" s="0" t="s">
        <v>5067</v>
      </c>
      <c r="AK172" s="0" t="s">
        <v>5162</v>
      </c>
      <c r="AL172" s="0" t="s">
        <v>4804</v>
      </c>
    </row>
    <row customHeight="1" ht="11.25">
      <c r="A173" s="0" t="s">
        <v>22</v>
      </c>
      <c r="B173" s="0" t="s">
        <v>48</v>
      </c>
      <c r="C173" s="0" t="s">
        <v>50</v>
      </c>
      <c r="D173" s="0" t="s">
        <v>22</v>
      </c>
      <c r="E173" s="0" t="s">
        <v>5158</v>
      </c>
      <c r="F173" s="0" t="s">
        <v>1299</v>
      </c>
      <c r="G173" s="0" t="s">
        <v>127</v>
      </c>
      <c r="H173" s="0" t="s">
        <v>4091</v>
      </c>
      <c r="I173" s="0" t="s">
        <v>4092</v>
      </c>
      <c r="J173" s="0" t="s">
        <v>5159</v>
      </c>
      <c r="K173" s="0" t="s">
        <v>5160</v>
      </c>
      <c r="L173" s="0" t="s">
        <v>4822</v>
      </c>
      <c r="M173" s="0" t="s">
        <v>5161</v>
      </c>
      <c r="N173" s="0" t="s">
        <v>210</v>
      </c>
      <c r="O173" s="0" t="s">
        <v>127</v>
      </c>
      <c r="P173" s="0" t="s">
        <v>4091</v>
      </c>
      <c r="Q173" s="0" t="s">
        <v>4092</v>
      </c>
      <c r="R173" s="0" t="s">
        <v>5159</v>
      </c>
      <c r="S173" s="0" t="s">
        <v>5160</v>
      </c>
      <c r="T173" s="0" t="s">
        <v>4795</v>
      </c>
      <c r="U173" s="0" t="s">
        <v>4796</v>
      </c>
      <c r="V173" s="0" t="s">
        <v>5033</v>
      </c>
      <c r="W173" s="0" t="s">
        <v>4798</v>
      </c>
      <c r="X173" s="0" t="s">
        <v>4799</v>
      </c>
      <c r="Y173" s="0" t="s">
        <v>4796</v>
      </c>
      <c r="Z173" s="0" t="s">
        <v>5034</v>
      </c>
      <c r="AA173" s="0" t="s">
        <v>4801</v>
      </c>
      <c r="AB173" s="0" t="s">
        <v>5033</v>
      </c>
      <c r="AC173" s="0" t="s">
        <v>62</v>
      </c>
      <c r="AD173" s="0" t="s">
        <v>62</v>
      </c>
      <c r="AE173" s="0" t="s">
        <v>62</v>
      </c>
      <c r="AF173" s="0" t="s">
        <v>5067</v>
      </c>
      <c r="AG173" s="0" t="s">
        <v>5162</v>
      </c>
      <c r="AH173" s="0" t="s">
        <v>5067</v>
      </c>
      <c r="AI173" s="0" t="s">
        <v>5162</v>
      </c>
      <c r="AJ173" s="0" t="s">
        <v>5067</v>
      </c>
      <c r="AK173" s="0" t="s">
        <v>5162</v>
      </c>
      <c r="AL173" s="0" t="s">
        <v>4804</v>
      </c>
    </row>
    <row customHeight="1" ht="11.25">
      <c r="A174" s="0" t="s">
        <v>22</v>
      </c>
      <c r="B174" s="0" t="s">
        <v>48</v>
      </c>
      <c r="C174" s="0" t="s">
        <v>50</v>
      </c>
      <c r="D174" s="0" t="s">
        <v>22</v>
      </c>
      <c r="E174" s="0" t="s">
        <v>5163</v>
      </c>
      <c r="F174" s="0" t="s">
        <v>1299</v>
      </c>
      <c r="G174" s="0" t="s">
        <v>127</v>
      </c>
      <c r="H174" s="0" t="s">
        <v>4091</v>
      </c>
      <c r="I174" s="0" t="s">
        <v>4092</v>
      </c>
      <c r="J174" s="0" t="s">
        <v>5159</v>
      </c>
      <c r="K174" s="0" t="s">
        <v>5160</v>
      </c>
      <c r="L174" s="0" t="s">
        <v>4822</v>
      </c>
      <c r="M174" s="0" t="s">
        <v>5061</v>
      </c>
      <c r="N174" s="0" t="s">
        <v>210</v>
      </c>
      <c r="O174" s="0" t="s">
        <v>127</v>
      </c>
      <c r="P174" s="0" t="s">
        <v>4091</v>
      </c>
      <c r="Q174" s="0" t="s">
        <v>4092</v>
      </c>
      <c r="R174" s="0" t="s">
        <v>5159</v>
      </c>
      <c r="S174" s="0" t="s">
        <v>5160</v>
      </c>
      <c r="T174" s="0" t="s">
        <v>4795</v>
      </c>
      <c r="U174" s="0" t="s">
        <v>4796</v>
      </c>
      <c r="V174" s="0" t="s">
        <v>5033</v>
      </c>
      <c r="W174" s="0" t="s">
        <v>4798</v>
      </c>
      <c r="X174" s="0" t="s">
        <v>4799</v>
      </c>
      <c r="Y174" s="0" t="s">
        <v>4796</v>
      </c>
      <c r="Z174" s="0" t="s">
        <v>5034</v>
      </c>
      <c r="AA174" s="0" t="s">
        <v>4801</v>
      </c>
      <c r="AB174" s="0" t="s">
        <v>5033</v>
      </c>
      <c r="AC174" s="0" t="s">
        <v>62</v>
      </c>
      <c r="AD174" s="0" t="s">
        <v>62</v>
      </c>
      <c r="AE174" s="0" t="s">
        <v>62</v>
      </c>
      <c r="AF174" s="0" t="s">
        <v>4862</v>
      </c>
      <c r="AG174" s="0" t="s">
        <v>5164</v>
      </c>
      <c r="AH174" s="0" t="s">
        <v>4862</v>
      </c>
      <c r="AI174" s="0" t="s">
        <v>5164</v>
      </c>
      <c r="AJ174" s="0" t="s">
        <v>4862</v>
      </c>
      <c r="AK174" s="0" t="s">
        <v>5164</v>
      </c>
      <c r="AL174" s="0" t="s">
        <v>4804</v>
      </c>
    </row>
    <row customHeight="1" ht="11.25">
      <c r="A175" s="0" t="s">
        <v>22</v>
      </c>
      <c r="B175" s="0" t="s">
        <v>48</v>
      </c>
      <c r="C175" s="0" t="s">
        <v>50</v>
      </c>
      <c r="D175" s="0" t="s">
        <v>22</v>
      </c>
      <c r="E175" s="0" t="s">
        <v>5163</v>
      </c>
      <c r="F175" s="0" t="s">
        <v>1299</v>
      </c>
      <c r="G175" s="0" t="s">
        <v>127</v>
      </c>
      <c r="H175" s="0" t="s">
        <v>4091</v>
      </c>
      <c r="I175" s="0" t="s">
        <v>4092</v>
      </c>
      <c r="J175" s="0" t="s">
        <v>5159</v>
      </c>
      <c r="K175" s="0" t="s">
        <v>5160</v>
      </c>
      <c r="L175" s="0" t="s">
        <v>4822</v>
      </c>
      <c r="M175" s="0" t="s">
        <v>5061</v>
      </c>
      <c r="N175" s="0" t="s">
        <v>210</v>
      </c>
      <c r="O175" s="0" t="s">
        <v>127</v>
      </c>
      <c r="P175" s="0" t="s">
        <v>4091</v>
      </c>
      <c r="Q175" s="0" t="s">
        <v>4092</v>
      </c>
      <c r="R175" s="0" t="s">
        <v>5159</v>
      </c>
      <c r="S175" s="0" t="s">
        <v>5160</v>
      </c>
      <c r="T175" s="0" t="s">
        <v>4795</v>
      </c>
      <c r="U175" s="0" t="s">
        <v>4796</v>
      </c>
      <c r="V175" s="0" t="s">
        <v>5030</v>
      </c>
      <c r="W175" s="0" t="s">
        <v>4798</v>
      </c>
      <c r="X175" s="0" t="s">
        <v>4799</v>
      </c>
      <c r="Y175" s="0" t="s">
        <v>4796</v>
      </c>
      <c r="Z175" s="0" t="s">
        <v>5031</v>
      </c>
      <c r="AA175" s="0" t="s">
        <v>4807</v>
      </c>
      <c r="AB175" s="0" t="s">
        <v>5030</v>
      </c>
      <c r="AC175" s="0" t="s">
        <v>62</v>
      </c>
      <c r="AD175" s="0" t="s">
        <v>62</v>
      </c>
      <c r="AE175" s="0" t="s">
        <v>62</v>
      </c>
      <c r="AF175" s="0" t="s">
        <v>4862</v>
      </c>
      <c r="AG175" s="0" t="s">
        <v>5164</v>
      </c>
      <c r="AH175" s="0" t="s">
        <v>4862</v>
      </c>
      <c r="AI175" s="0" t="s">
        <v>5164</v>
      </c>
      <c r="AJ175" s="0" t="s">
        <v>4862</v>
      </c>
      <c r="AK175" s="0" t="s">
        <v>5164</v>
      </c>
      <c r="AL175" s="0" t="s">
        <v>4804</v>
      </c>
    </row>
    <row customHeight="1" ht="11.25">
      <c r="A176" s="0" t="s">
        <v>22</v>
      </c>
      <c r="B176" s="0" t="s">
        <v>48</v>
      </c>
      <c r="C176" s="0" t="s">
        <v>50</v>
      </c>
      <c r="D176" s="0" t="s">
        <v>22</v>
      </c>
      <c r="E176" s="0" t="s">
        <v>5165</v>
      </c>
      <c r="F176" s="0" t="s">
        <v>1299</v>
      </c>
      <c r="G176" s="0" t="s">
        <v>127</v>
      </c>
      <c r="H176" s="0" t="s">
        <v>4096</v>
      </c>
      <c r="I176" s="0" t="s">
        <v>4097</v>
      </c>
      <c r="J176" s="0" t="s">
        <v>5166</v>
      </c>
      <c r="K176" s="0" t="s">
        <v>5167</v>
      </c>
      <c r="L176" s="0" t="s">
        <v>5168</v>
      </c>
      <c r="M176" s="0" t="s">
        <v>2058</v>
      </c>
      <c r="N176" s="0" t="s">
        <v>210</v>
      </c>
      <c r="O176" s="0" t="s">
        <v>127</v>
      </c>
      <c r="P176" s="0" t="s">
        <v>4096</v>
      </c>
      <c r="Q176" s="0" t="s">
        <v>4097</v>
      </c>
      <c r="R176" s="0" t="s">
        <v>5166</v>
      </c>
      <c r="S176" s="0" t="s">
        <v>5167</v>
      </c>
      <c r="T176" s="0" t="s">
        <v>4795</v>
      </c>
      <c r="U176" s="0" t="s">
        <v>4796</v>
      </c>
      <c r="V176" s="0" t="s">
        <v>5030</v>
      </c>
      <c r="W176" s="0" t="s">
        <v>4798</v>
      </c>
      <c r="X176" s="0" t="s">
        <v>4799</v>
      </c>
      <c r="Y176" s="0" t="s">
        <v>4796</v>
      </c>
      <c r="Z176" s="0" t="s">
        <v>5031</v>
      </c>
      <c r="AA176" s="0" t="s">
        <v>4807</v>
      </c>
      <c r="AB176" s="0" t="s">
        <v>5030</v>
      </c>
      <c r="AC176" s="0" t="s">
        <v>62</v>
      </c>
      <c r="AD176" s="0" t="s">
        <v>62</v>
      </c>
      <c r="AE176" s="0" t="s">
        <v>62</v>
      </c>
      <c r="AF176" s="0" t="s">
        <v>5169</v>
      </c>
      <c r="AG176" s="0" t="s">
        <v>5170</v>
      </c>
      <c r="AH176" s="0" t="s">
        <v>5169</v>
      </c>
      <c r="AI176" s="0" t="s">
        <v>5170</v>
      </c>
      <c r="AJ176" s="0" t="s">
        <v>5169</v>
      </c>
      <c r="AK176" s="0" t="s">
        <v>5170</v>
      </c>
      <c r="AL176" s="0" t="s">
        <v>4804</v>
      </c>
    </row>
    <row customHeight="1" ht="11.25">
      <c r="A177" s="0" t="s">
        <v>22</v>
      </c>
      <c r="B177" s="0" t="s">
        <v>48</v>
      </c>
      <c r="C177" s="0" t="s">
        <v>50</v>
      </c>
      <c r="D177" s="0" t="s">
        <v>22</v>
      </c>
      <c r="E177" s="0" t="s">
        <v>5165</v>
      </c>
      <c r="F177" s="0" t="s">
        <v>1299</v>
      </c>
      <c r="G177" s="0" t="s">
        <v>127</v>
      </c>
      <c r="H177" s="0" t="s">
        <v>4096</v>
      </c>
      <c r="I177" s="0" t="s">
        <v>4097</v>
      </c>
      <c r="J177" s="0" t="s">
        <v>5166</v>
      </c>
      <c r="K177" s="0" t="s">
        <v>5167</v>
      </c>
      <c r="L177" s="0" t="s">
        <v>5168</v>
      </c>
      <c r="M177" s="0" t="s">
        <v>2058</v>
      </c>
      <c r="N177" s="0" t="s">
        <v>210</v>
      </c>
      <c r="O177" s="0" t="s">
        <v>127</v>
      </c>
      <c r="P177" s="0" t="s">
        <v>4096</v>
      </c>
      <c r="Q177" s="0" t="s">
        <v>4097</v>
      </c>
      <c r="R177" s="0" t="s">
        <v>5166</v>
      </c>
      <c r="S177" s="0" t="s">
        <v>5167</v>
      </c>
      <c r="T177" s="0" t="s">
        <v>4795</v>
      </c>
      <c r="U177" s="0" t="s">
        <v>4796</v>
      </c>
      <c r="V177" s="0" t="s">
        <v>5033</v>
      </c>
      <c r="W177" s="0" t="s">
        <v>4798</v>
      </c>
      <c r="X177" s="0" t="s">
        <v>4799</v>
      </c>
      <c r="Y177" s="0" t="s">
        <v>4796</v>
      </c>
      <c r="Z177" s="0" t="s">
        <v>5034</v>
      </c>
      <c r="AA177" s="0" t="s">
        <v>4801</v>
      </c>
      <c r="AB177" s="0" t="s">
        <v>5033</v>
      </c>
      <c r="AC177" s="0" t="s">
        <v>62</v>
      </c>
      <c r="AD177" s="0" t="s">
        <v>62</v>
      </c>
      <c r="AE177" s="0" t="s">
        <v>62</v>
      </c>
      <c r="AF177" s="0" t="s">
        <v>5169</v>
      </c>
      <c r="AG177" s="0" t="s">
        <v>5170</v>
      </c>
      <c r="AH177" s="0" t="s">
        <v>5169</v>
      </c>
      <c r="AI177" s="0" t="s">
        <v>5170</v>
      </c>
      <c r="AJ177" s="0" t="s">
        <v>5169</v>
      </c>
      <c r="AK177" s="0" t="s">
        <v>5170</v>
      </c>
      <c r="AL177" s="0" t="s">
        <v>4804</v>
      </c>
    </row>
    <row customHeight="1" ht="11.25">
      <c r="A178" s="0" t="s">
        <v>22</v>
      </c>
      <c r="B178" s="0" t="s">
        <v>48</v>
      </c>
      <c r="C178" s="0" t="s">
        <v>50</v>
      </c>
      <c r="D178" s="0" t="s">
        <v>22</v>
      </c>
      <c r="E178" s="0" t="s">
        <v>5171</v>
      </c>
      <c r="F178" s="0" t="s">
        <v>1299</v>
      </c>
      <c r="G178" s="0" t="s">
        <v>127</v>
      </c>
      <c r="H178" s="0" t="s">
        <v>4096</v>
      </c>
      <c r="I178" s="0" t="s">
        <v>4097</v>
      </c>
      <c r="J178" s="0" t="s">
        <v>5172</v>
      </c>
      <c r="K178" s="0" t="s">
        <v>5173</v>
      </c>
      <c r="L178" s="0" t="s">
        <v>5174</v>
      </c>
      <c r="M178" s="0" t="s">
        <v>91</v>
      </c>
      <c r="N178" s="0" t="s">
        <v>210</v>
      </c>
      <c r="O178" s="0" t="s">
        <v>127</v>
      </c>
      <c r="P178" s="0" t="s">
        <v>4096</v>
      </c>
      <c r="Q178" s="0" t="s">
        <v>4097</v>
      </c>
      <c r="R178" s="0" t="s">
        <v>5172</v>
      </c>
      <c r="S178" s="0" t="s">
        <v>5173</v>
      </c>
      <c r="T178" s="0" t="s">
        <v>4795</v>
      </c>
      <c r="U178" s="0" t="s">
        <v>4796</v>
      </c>
      <c r="V178" s="0" t="s">
        <v>5033</v>
      </c>
      <c r="W178" s="0" t="s">
        <v>4798</v>
      </c>
      <c r="X178" s="0" t="s">
        <v>4799</v>
      </c>
      <c r="Y178" s="0" t="s">
        <v>4796</v>
      </c>
      <c r="Z178" s="0" t="s">
        <v>5034</v>
      </c>
      <c r="AA178" s="0" t="s">
        <v>4801</v>
      </c>
      <c r="AB178" s="0" t="s">
        <v>5033</v>
      </c>
      <c r="AC178" s="0" t="s">
        <v>62</v>
      </c>
      <c r="AD178" s="0" t="s">
        <v>62</v>
      </c>
      <c r="AE178" s="0" t="s">
        <v>62</v>
      </c>
      <c r="AF178" s="0" t="s">
        <v>4888</v>
      </c>
      <c r="AG178" s="0" t="s">
        <v>5175</v>
      </c>
      <c r="AH178" s="0" t="s">
        <v>4888</v>
      </c>
      <c r="AI178" s="0" t="s">
        <v>5175</v>
      </c>
      <c r="AJ178" s="0" t="s">
        <v>4888</v>
      </c>
      <c r="AK178" s="0" t="s">
        <v>5175</v>
      </c>
      <c r="AL178" s="0" t="s">
        <v>4804</v>
      </c>
    </row>
    <row customHeight="1" ht="11.25">
      <c r="A179" s="0" t="s">
        <v>22</v>
      </c>
      <c r="B179" s="0" t="s">
        <v>48</v>
      </c>
      <c r="C179" s="0" t="s">
        <v>50</v>
      </c>
      <c r="D179" s="0" t="s">
        <v>22</v>
      </c>
      <c r="E179" s="0" t="s">
        <v>5171</v>
      </c>
      <c r="F179" s="0" t="s">
        <v>1299</v>
      </c>
      <c r="G179" s="0" t="s">
        <v>127</v>
      </c>
      <c r="H179" s="0" t="s">
        <v>4096</v>
      </c>
      <c r="I179" s="0" t="s">
        <v>4097</v>
      </c>
      <c r="J179" s="0" t="s">
        <v>5172</v>
      </c>
      <c r="K179" s="0" t="s">
        <v>5173</v>
      </c>
      <c r="L179" s="0" t="s">
        <v>5174</v>
      </c>
      <c r="M179" s="0" t="s">
        <v>91</v>
      </c>
      <c r="N179" s="0" t="s">
        <v>210</v>
      </c>
      <c r="O179" s="0" t="s">
        <v>127</v>
      </c>
      <c r="P179" s="0" t="s">
        <v>4096</v>
      </c>
      <c r="Q179" s="0" t="s">
        <v>4097</v>
      </c>
      <c r="R179" s="0" t="s">
        <v>5172</v>
      </c>
      <c r="S179" s="0" t="s">
        <v>5173</v>
      </c>
      <c r="T179" s="0" t="s">
        <v>4795</v>
      </c>
      <c r="U179" s="0" t="s">
        <v>4796</v>
      </c>
      <c r="V179" s="0" t="s">
        <v>5030</v>
      </c>
      <c r="W179" s="0" t="s">
        <v>4798</v>
      </c>
      <c r="X179" s="0" t="s">
        <v>4799</v>
      </c>
      <c r="Y179" s="0" t="s">
        <v>4796</v>
      </c>
      <c r="Z179" s="0" t="s">
        <v>5031</v>
      </c>
      <c r="AA179" s="0" t="s">
        <v>4807</v>
      </c>
      <c r="AB179" s="0" t="s">
        <v>5030</v>
      </c>
      <c r="AC179" s="0" t="s">
        <v>62</v>
      </c>
      <c r="AD179" s="0" t="s">
        <v>62</v>
      </c>
      <c r="AE179" s="0" t="s">
        <v>62</v>
      </c>
      <c r="AF179" s="0" t="s">
        <v>4888</v>
      </c>
      <c r="AG179" s="0" t="s">
        <v>5175</v>
      </c>
      <c r="AH179" s="0" t="s">
        <v>4888</v>
      </c>
      <c r="AI179" s="0" t="s">
        <v>5175</v>
      </c>
      <c r="AJ179" s="0" t="s">
        <v>4888</v>
      </c>
      <c r="AK179" s="0" t="s">
        <v>5175</v>
      </c>
      <c r="AL179" s="0" t="s">
        <v>4804</v>
      </c>
    </row>
    <row customHeight="1" ht="11.25">
      <c r="A180" s="0" t="s">
        <v>22</v>
      </c>
      <c r="B180" s="0" t="s">
        <v>48</v>
      </c>
      <c r="C180" s="0" t="s">
        <v>50</v>
      </c>
      <c r="D180" s="0" t="s">
        <v>22</v>
      </c>
      <c r="E180" s="0" t="s">
        <v>5176</v>
      </c>
      <c r="F180" s="0" t="s">
        <v>1299</v>
      </c>
      <c r="G180" s="0" t="s">
        <v>127</v>
      </c>
      <c r="H180" s="0" t="s">
        <v>4098</v>
      </c>
      <c r="I180" s="0" t="s">
        <v>4099</v>
      </c>
      <c r="J180" s="0" t="s">
        <v>5177</v>
      </c>
      <c r="K180" s="0" t="s">
        <v>5178</v>
      </c>
      <c r="L180" s="0" t="s">
        <v>1317</v>
      </c>
      <c r="M180" s="0" t="s">
        <v>5179</v>
      </c>
      <c r="N180" s="0" t="s">
        <v>210</v>
      </c>
      <c r="O180" s="0" t="s">
        <v>127</v>
      </c>
      <c r="P180" s="0" t="s">
        <v>4098</v>
      </c>
      <c r="Q180" s="0" t="s">
        <v>4099</v>
      </c>
      <c r="R180" s="0" t="s">
        <v>5177</v>
      </c>
      <c r="S180" s="0" t="s">
        <v>5178</v>
      </c>
      <c r="T180" s="0" t="s">
        <v>4795</v>
      </c>
      <c r="U180" s="0" t="s">
        <v>4796</v>
      </c>
      <c r="V180" s="0" t="s">
        <v>5030</v>
      </c>
      <c r="W180" s="0" t="s">
        <v>4798</v>
      </c>
      <c r="X180" s="0" t="s">
        <v>4799</v>
      </c>
      <c r="Y180" s="0" t="s">
        <v>4796</v>
      </c>
      <c r="Z180" s="0" t="s">
        <v>5031</v>
      </c>
      <c r="AA180" s="0" t="s">
        <v>4807</v>
      </c>
      <c r="AB180" s="0" t="s">
        <v>5030</v>
      </c>
      <c r="AC180" s="0" t="s">
        <v>62</v>
      </c>
      <c r="AD180" s="0" t="s">
        <v>62</v>
      </c>
      <c r="AE180" s="0" t="s">
        <v>62</v>
      </c>
      <c r="AF180" s="0" t="s">
        <v>5004</v>
      </c>
      <c r="AG180" s="0" t="s">
        <v>5180</v>
      </c>
      <c r="AH180" s="0" t="s">
        <v>5004</v>
      </c>
      <c r="AI180" s="0" t="s">
        <v>5180</v>
      </c>
      <c r="AJ180" s="0" t="s">
        <v>5004</v>
      </c>
      <c r="AK180" s="0" t="s">
        <v>5180</v>
      </c>
      <c r="AL180" s="0" t="s">
        <v>4804</v>
      </c>
    </row>
    <row customHeight="1" ht="11.25">
      <c r="A181" s="0" t="s">
        <v>22</v>
      </c>
      <c r="B181" s="0" t="s">
        <v>48</v>
      </c>
      <c r="C181" s="0" t="s">
        <v>50</v>
      </c>
      <c r="D181" s="0" t="s">
        <v>22</v>
      </c>
      <c r="E181" s="0" t="s">
        <v>5176</v>
      </c>
      <c r="F181" s="0" t="s">
        <v>1299</v>
      </c>
      <c r="G181" s="0" t="s">
        <v>127</v>
      </c>
      <c r="H181" s="0" t="s">
        <v>4098</v>
      </c>
      <c r="I181" s="0" t="s">
        <v>4099</v>
      </c>
      <c r="J181" s="0" t="s">
        <v>5177</v>
      </c>
      <c r="K181" s="0" t="s">
        <v>5178</v>
      </c>
      <c r="L181" s="0" t="s">
        <v>1317</v>
      </c>
      <c r="M181" s="0" t="s">
        <v>5179</v>
      </c>
      <c r="N181" s="0" t="s">
        <v>210</v>
      </c>
      <c r="O181" s="0" t="s">
        <v>127</v>
      </c>
      <c r="P181" s="0" t="s">
        <v>4098</v>
      </c>
      <c r="Q181" s="0" t="s">
        <v>4099</v>
      </c>
      <c r="R181" s="0" t="s">
        <v>5177</v>
      </c>
      <c r="S181" s="0" t="s">
        <v>5178</v>
      </c>
      <c r="T181" s="0" t="s">
        <v>4795</v>
      </c>
      <c r="U181" s="0" t="s">
        <v>4796</v>
      </c>
      <c r="V181" s="0" t="s">
        <v>5033</v>
      </c>
      <c r="W181" s="0" t="s">
        <v>4798</v>
      </c>
      <c r="X181" s="0" t="s">
        <v>4799</v>
      </c>
      <c r="Y181" s="0" t="s">
        <v>4796</v>
      </c>
      <c r="Z181" s="0" t="s">
        <v>5034</v>
      </c>
      <c r="AA181" s="0" t="s">
        <v>4801</v>
      </c>
      <c r="AB181" s="0" t="s">
        <v>5033</v>
      </c>
      <c r="AC181" s="0" t="s">
        <v>62</v>
      </c>
      <c r="AD181" s="0" t="s">
        <v>62</v>
      </c>
      <c r="AE181" s="0" t="s">
        <v>62</v>
      </c>
      <c r="AF181" s="0" t="s">
        <v>5004</v>
      </c>
      <c r="AG181" s="0" t="s">
        <v>5180</v>
      </c>
      <c r="AH181" s="0" t="s">
        <v>5004</v>
      </c>
      <c r="AI181" s="0" t="s">
        <v>5180</v>
      </c>
      <c r="AJ181" s="0" t="s">
        <v>5004</v>
      </c>
      <c r="AK181" s="0" t="s">
        <v>5180</v>
      </c>
      <c r="AL181" s="0" t="s">
        <v>4804</v>
      </c>
    </row>
    <row customHeight="1" ht="11.25">
      <c r="A182" s="0" t="s">
        <v>22</v>
      </c>
      <c r="B182" s="0" t="s">
        <v>48</v>
      </c>
      <c r="C182" s="0" t="s">
        <v>50</v>
      </c>
      <c r="D182" s="0" t="s">
        <v>22</v>
      </c>
      <c r="E182" s="0" t="s">
        <v>5181</v>
      </c>
      <c r="F182" s="0" t="s">
        <v>1299</v>
      </c>
      <c r="G182" s="0" t="s">
        <v>127</v>
      </c>
      <c r="H182" s="0" t="s">
        <v>4098</v>
      </c>
      <c r="I182" s="0" t="s">
        <v>4099</v>
      </c>
      <c r="J182" s="0" t="s">
        <v>5177</v>
      </c>
      <c r="K182" s="0" t="s">
        <v>5178</v>
      </c>
      <c r="L182" s="0" t="s">
        <v>1363</v>
      </c>
      <c r="M182" s="0" t="s">
        <v>5182</v>
      </c>
      <c r="N182" s="0" t="s">
        <v>210</v>
      </c>
      <c r="O182" s="0" t="s">
        <v>127</v>
      </c>
      <c r="P182" s="0" t="s">
        <v>4098</v>
      </c>
      <c r="Q182" s="0" t="s">
        <v>4099</v>
      </c>
      <c r="R182" s="0" t="s">
        <v>5177</v>
      </c>
      <c r="S182" s="0" t="s">
        <v>5178</v>
      </c>
      <c r="T182" s="0" t="s">
        <v>4795</v>
      </c>
      <c r="U182" s="0" t="s">
        <v>4796</v>
      </c>
      <c r="V182" s="0" t="s">
        <v>5033</v>
      </c>
      <c r="W182" s="0" t="s">
        <v>4798</v>
      </c>
      <c r="X182" s="0" t="s">
        <v>4799</v>
      </c>
      <c r="Y182" s="0" t="s">
        <v>4796</v>
      </c>
      <c r="Z182" s="0" t="s">
        <v>5034</v>
      </c>
      <c r="AA182" s="0" t="s">
        <v>4801</v>
      </c>
      <c r="AB182" s="0" t="s">
        <v>5033</v>
      </c>
      <c r="AC182" s="0" t="s">
        <v>62</v>
      </c>
      <c r="AD182" s="0" t="s">
        <v>62</v>
      </c>
      <c r="AE182" s="0" t="s">
        <v>62</v>
      </c>
      <c r="AF182" s="0" t="s">
        <v>4838</v>
      </c>
      <c r="AG182" s="0" t="s">
        <v>5183</v>
      </c>
      <c r="AH182" s="0" t="s">
        <v>4838</v>
      </c>
      <c r="AI182" s="0" t="s">
        <v>5183</v>
      </c>
      <c r="AJ182" s="0" t="s">
        <v>4838</v>
      </c>
      <c r="AK182" s="0" t="s">
        <v>5183</v>
      </c>
      <c r="AL182" s="0" t="s">
        <v>4804</v>
      </c>
    </row>
    <row customHeight="1" ht="11.25">
      <c r="A183" s="0" t="s">
        <v>22</v>
      </c>
      <c r="B183" s="0" t="s">
        <v>48</v>
      </c>
      <c r="C183" s="0" t="s">
        <v>50</v>
      </c>
      <c r="D183" s="0" t="s">
        <v>22</v>
      </c>
      <c r="E183" s="0" t="s">
        <v>5181</v>
      </c>
      <c r="F183" s="0" t="s">
        <v>1299</v>
      </c>
      <c r="G183" s="0" t="s">
        <v>127</v>
      </c>
      <c r="H183" s="0" t="s">
        <v>4098</v>
      </c>
      <c r="I183" s="0" t="s">
        <v>4099</v>
      </c>
      <c r="J183" s="0" t="s">
        <v>5177</v>
      </c>
      <c r="K183" s="0" t="s">
        <v>5178</v>
      </c>
      <c r="L183" s="0" t="s">
        <v>1363</v>
      </c>
      <c r="M183" s="0" t="s">
        <v>5182</v>
      </c>
      <c r="N183" s="0" t="s">
        <v>210</v>
      </c>
      <c r="O183" s="0" t="s">
        <v>127</v>
      </c>
      <c r="P183" s="0" t="s">
        <v>4098</v>
      </c>
      <c r="Q183" s="0" t="s">
        <v>4099</v>
      </c>
      <c r="R183" s="0" t="s">
        <v>5177</v>
      </c>
      <c r="S183" s="0" t="s">
        <v>5178</v>
      </c>
      <c r="T183" s="0" t="s">
        <v>4795</v>
      </c>
      <c r="U183" s="0" t="s">
        <v>4796</v>
      </c>
      <c r="V183" s="0" t="s">
        <v>5030</v>
      </c>
      <c r="W183" s="0" t="s">
        <v>4798</v>
      </c>
      <c r="X183" s="0" t="s">
        <v>4799</v>
      </c>
      <c r="Y183" s="0" t="s">
        <v>4796</v>
      </c>
      <c r="Z183" s="0" t="s">
        <v>5031</v>
      </c>
      <c r="AA183" s="0" t="s">
        <v>4807</v>
      </c>
      <c r="AB183" s="0" t="s">
        <v>5030</v>
      </c>
      <c r="AC183" s="0" t="s">
        <v>62</v>
      </c>
      <c r="AD183" s="0" t="s">
        <v>62</v>
      </c>
      <c r="AE183" s="0" t="s">
        <v>62</v>
      </c>
      <c r="AF183" s="0" t="s">
        <v>4838</v>
      </c>
      <c r="AG183" s="0" t="s">
        <v>5183</v>
      </c>
      <c r="AH183" s="0" t="s">
        <v>4838</v>
      </c>
      <c r="AI183" s="0" t="s">
        <v>5183</v>
      </c>
      <c r="AJ183" s="0" t="s">
        <v>4838</v>
      </c>
      <c r="AK183" s="0" t="s">
        <v>5183</v>
      </c>
      <c r="AL183" s="0" t="s">
        <v>4804</v>
      </c>
    </row>
    <row customHeight="1" ht="11.25">
      <c r="A184" s="0" t="s">
        <v>22</v>
      </c>
      <c r="B184" s="0" t="s">
        <v>48</v>
      </c>
      <c r="C184" s="0" t="s">
        <v>50</v>
      </c>
      <c r="D184" s="0" t="s">
        <v>22</v>
      </c>
      <c r="E184" s="0" t="s">
        <v>5184</v>
      </c>
      <c r="F184" s="0" t="s">
        <v>1299</v>
      </c>
      <c r="G184" s="0" t="s">
        <v>127</v>
      </c>
      <c r="H184" s="0" t="s">
        <v>4101</v>
      </c>
      <c r="I184" s="0" t="s">
        <v>4102</v>
      </c>
      <c r="J184" s="0" t="s">
        <v>5185</v>
      </c>
      <c r="K184" s="0" t="s">
        <v>5186</v>
      </c>
      <c r="L184" s="0" t="s">
        <v>1304</v>
      </c>
      <c r="M184" s="0" t="s">
        <v>1983</v>
      </c>
      <c r="N184" s="0" t="s">
        <v>210</v>
      </c>
      <c r="O184" s="0" t="s">
        <v>127</v>
      </c>
      <c r="P184" s="0" t="s">
        <v>4101</v>
      </c>
      <c r="Q184" s="0" t="s">
        <v>4102</v>
      </c>
      <c r="R184" s="0" t="s">
        <v>5185</v>
      </c>
      <c r="S184" s="0" t="s">
        <v>5186</v>
      </c>
      <c r="T184" s="0" t="s">
        <v>4795</v>
      </c>
      <c r="U184" s="0" t="s">
        <v>4796</v>
      </c>
      <c r="V184" s="0" t="s">
        <v>5033</v>
      </c>
      <c r="W184" s="0" t="s">
        <v>4798</v>
      </c>
      <c r="X184" s="0" t="s">
        <v>4799</v>
      </c>
      <c r="Y184" s="0" t="s">
        <v>4796</v>
      </c>
      <c r="Z184" s="0" t="s">
        <v>5034</v>
      </c>
      <c r="AA184" s="0" t="s">
        <v>4801</v>
      </c>
      <c r="AB184" s="0" t="s">
        <v>5033</v>
      </c>
      <c r="AC184" s="0" t="s">
        <v>62</v>
      </c>
      <c r="AD184" s="0" t="s">
        <v>62</v>
      </c>
      <c r="AE184" s="0" t="s">
        <v>62</v>
      </c>
      <c r="AF184" s="0" t="s">
        <v>5118</v>
      </c>
      <c r="AG184" s="0" t="s">
        <v>4965</v>
      </c>
      <c r="AH184" s="0" t="s">
        <v>5118</v>
      </c>
      <c r="AI184" s="0" t="s">
        <v>4965</v>
      </c>
      <c r="AJ184" s="0" t="s">
        <v>5118</v>
      </c>
      <c r="AK184" s="0" t="s">
        <v>4965</v>
      </c>
      <c r="AL184" s="0" t="s">
        <v>4804</v>
      </c>
    </row>
    <row customHeight="1" ht="11.25">
      <c r="A185" s="0" t="s">
        <v>22</v>
      </c>
      <c r="B185" s="0" t="s">
        <v>48</v>
      </c>
      <c r="C185" s="0" t="s">
        <v>50</v>
      </c>
      <c r="D185" s="0" t="s">
        <v>22</v>
      </c>
      <c r="E185" s="0" t="s">
        <v>5184</v>
      </c>
      <c r="F185" s="0" t="s">
        <v>1299</v>
      </c>
      <c r="G185" s="0" t="s">
        <v>127</v>
      </c>
      <c r="H185" s="0" t="s">
        <v>4101</v>
      </c>
      <c r="I185" s="0" t="s">
        <v>4102</v>
      </c>
      <c r="J185" s="0" t="s">
        <v>5185</v>
      </c>
      <c r="K185" s="0" t="s">
        <v>5186</v>
      </c>
      <c r="L185" s="0" t="s">
        <v>1304</v>
      </c>
      <c r="M185" s="0" t="s">
        <v>1983</v>
      </c>
      <c r="N185" s="0" t="s">
        <v>210</v>
      </c>
      <c r="O185" s="0" t="s">
        <v>127</v>
      </c>
      <c r="P185" s="0" t="s">
        <v>4101</v>
      </c>
      <c r="Q185" s="0" t="s">
        <v>4102</v>
      </c>
      <c r="R185" s="0" t="s">
        <v>5185</v>
      </c>
      <c r="S185" s="0" t="s">
        <v>5186</v>
      </c>
      <c r="T185" s="0" t="s">
        <v>4795</v>
      </c>
      <c r="U185" s="0" t="s">
        <v>4796</v>
      </c>
      <c r="V185" s="0" t="s">
        <v>5030</v>
      </c>
      <c r="W185" s="0" t="s">
        <v>4798</v>
      </c>
      <c r="X185" s="0" t="s">
        <v>4799</v>
      </c>
      <c r="Y185" s="0" t="s">
        <v>4796</v>
      </c>
      <c r="Z185" s="0" t="s">
        <v>5031</v>
      </c>
      <c r="AA185" s="0" t="s">
        <v>4807</v>
      </c>
      <c r="AB185" s="0" t="s">
        <v>5030</v>
      </c>
      <c r="AC185" s="0" t="s">
        <v>62</v>
      </c>
      <c r="AD185" s="0" t="s">
        <v>62</v>
      </c>
      <c r="AE185" s="0" t="s">
        <v>62</v>
      </c>
      <c r="AF185" s="0" t="s">
        <v>5118</v>
      </c>
      <c r="AG185" s="0" t="s">
        <v>4965</v>
      </c>
      <c r="AH185" s="0" t="s">
        <v>5118</v>
      </c>
      <c r="AI185" s="0" t="s">
        <v>4965</v>
      </c>
      <c r="AJ185" s="0" t="s">
        <v>5118</v>
      </c>
      <c r="AK185" s="0" t="s">
        <v>4965</v>
      </c>
      <c r="AL185" s="0" t="s">
        <v>4804</v>
      </c>
    </row>
    <row customHeight="1" ht="11.25">
      <c r="A186" s="0" t="s">
        <v>22</v>
      </c>
      <c r="B186" s="0" t="s">
        <v>48</v>
      </c>
      <c r="C186" s="0" t="s">
        <v>50</v>
      </c>
      <c r="D186" s="0" t="s">
        <v>22</v>
      </c>
      <c r="E186" s="0" t="s">
        <v>5187</v>
      </c>
      <c r="F186" s="0" t="s">
        <v>1299</v>
      </c>
      <c r="G186" s="0" t="s">
        <v>127</v>
      </c>
      <c r="H186" s="0" t="s">
        <v>4101</v>
      </c>
      <c r="I186" s="0" t="s">
        <v>4102</v>
      </c>
      <c r="J186" s="0" t="s">
        <v>5188</v>
      </c>
      <c r="K186" s="0" t="s">
        <v>5189</v>
      </c>
      <c r="L186" s="0" t="s">
        <v>1338</v>
      </c>
      <c r="M186" s="0" t="s">
        <v>1998</v>
      </c>
      <c r="N186" s="0" t="s">
        <v>210</v>
      </c>
      <c r="O186" s="0" t="s">
        <v>127</v>
      </c>
      <c r="P186" s="0" t="s">
        <v>4101</v>
      </c>
      <c r="Q186" s="0" t="s">
        <v>4102</v>
      </c>
      <c r="R186" s="0" t="s">
        <v>5188</v>
      </c>
      <c r="S186" s="0" t="s">
        <v>5189</v>
      </c>
      <c r="T186" s="0" t="s">
        <v>4795</v>
      </c>
      <c r="U186" s="0" t="s">
        <v>4796</v>
      </c>
      <c r="V186" s="0" t="s">
        <v>5030</v>
      </c>
      <c r="W186" s="0" t="s">
        <v>4798</v>
      </c>
      <c r="X186" s="0" t="s">
        <v>4799</v>
      </c>
      <c r="Y186" s="0" t="s">
        <v>4796</v>
      </c>
      <c r="Z186" s="0" t="s">
        <v>5031</v>
      </c>
      <c r="AA186" s="0" t="s">
        <v>4807</v>
      </c>
      <c r="AB186" s="0" t="s">
        <v>5030</v>
      </c>
      <c r="AC186" s="0" t="s">
        <v>62</v>
      </c>
      <c r="AD186" s="0" t="s">
        <v>62</v>
      </c>
      <c r="AE186" s="0" t="s">
        <v>62</v>
      </c>
      <c r="AF186" s="0" t="s">
        <v>5190</v>
      </c>
      <c r="AG186" s="0" t="s">
        <v>5191</v>
      </c>
      <c r="AH186" s="0" t="s">
        <v>5190</v>
      </c>
      <c r="AI186" s="0" t="s">
        <v>5191</v>
      </c>
      <c r="AJ186" s="0" t="s">
        <v>5190</v>
      </c>
      <c r="AK186" s="0" t="s">
        <v>5191</v>
      </c>
      <c r="AL186" s="0" t="s">
        <v>4804</v>
      </c>
    </row>
    <row customHeight="1" ht="11.25">
      <c r="A187" s="0" t="s">
        <v>22</v>
      </c>
      <c r="B187" s="0" t="s">
        <v>48</v>
      </c>
      <c r="C187" s="0" t="s">
        <v>50</v>
      </c>
      <c r="D187" s="0" t="s">
        <v>22</v>
      </c>
      <c r="E187" s="0" t="s">
        <v>5187</v>
      </c>
      <c r="F187" s="0" t="s">
        <v>1299</v>
      </c>
      <c r="G187" s="0" t="s">
        <v>127</v>
      </c>
      <c r="H187" s="0" t="s">
        <v>4101</v>
      </c>
      <c r="I187" s="0" t="s">
        <v>4102</v>
      </c>
      <c r="J187" s="0" t="s">
        <v>5188</v>
      </c>
      <c r="K187" s="0" t="s">
        <v>5189</v>
      </c>
      <c r="L187" s="0" t="s">
        <v>1338</v>
      </c>
      <c r="M187" s="0" t="s">
        <v>1998</v>
      </c>
      <c r="N187" s="0" t="s">
        <v>210</v>
      </c>
      <c r="O187" s="0" t="s">
        <v>127</v>
      </c>
      <c r="P187" s="0" t="s">
        <v>4101</v>
      </c>
      <c r="Q187" s="0" t="s">
        <v>4102</v>
      </c>
      <c r="R187" s="0" t="s">
        <v>5188</v>
      </c>
      <c r="S187" s="0" t="s">
        <v>5189</v>
      </c>
      <c r="T187" s="0" t="s">
        <v>4795</v>
      </c>
      <c r="U187" s="0" t="s">
        <v>4796</v>
      </c>
      <c r="V187" s="0" t="s">
        <v>5033</v>
      </c>
      <c r="W187" s="0" t="s">
        <v>4798</v>
      </c>
      <c r="X187" s="0" t="s">
        <v>4799</v>
      </c>
      <c r="Y187" s="0" t="s">
        <v>4796</v>
      </c>
      <c r="Z187" s="0" t="s">
        <v>5034</v>
      </c>
      <c r="AA187" s="0" t="s">
        <v>4801</v>
      </c>
      <c r="AB187" s="0" t="s">
        <v>5033</v>
      </c>
      <c r="AC187" s="0" t="s">
        <v>62</v>
      </c>
      <c r="AD187" s="0" t="s">
        <v>62</v>
      </c>
      <c r="AE187" s="0" t="s">
        <v>62</v>
      </c>
      <c r="AF187" s="0" t="s">
        <v>5190</v>
      </c>
      <c r="AG187" s="0" t="s">
        <v>5191</v>
      </c>
      <c r="AH187" s="0" t="s">
        <v>5190</v>
      </c>
      <c r="AI187" s="0" t="s">
        <v>5191</v>
      </c>
      <c r="AJ187" s="0" t="s">
        <v>5190</v>
      </c>
      <c r="AK187" s="0" t="s">
        <v>5191</v>
      </c>
      <c r="AL187" s="0" t="s">
        <v>4804</v>
      </c>
    </row>
    <row customHeight="1" ht="11.25">
      <c r="A188" s="0" t="s">
        <v>22</v>
      </c>
      <c r="B188" s="0" t="s">
        <v>48</v>
      </c>
      <c r="C188" s="0" t="s">
        <v>50</v>
      </c>
      <c r="D188" s="0" t="s">
        <v>22</v>
      </c>
      <c r="E188" s="0" t="s">
        <v>1358</v>
      </c>
      <c r="F188" s="0" t="s">
        <v>1299</v>
      </c>
      <c r="G188" s="0" t="s">
        <v>132</v>
      </c>
      <c r="H188" s="0" t="s">
        <v>1359</v>
      </c>
      <c r="I188" s="0" t="s">
        <v>1360</v>
      </c>
      <c r="J188" s="0" t="s">
        <v>1361</v>
      </c>
      <c r="K188" s="0" t="s">
        <v>1362</v>
      </c>
      <c r="L188" s="0" t="s">
        <v>1363</v>
      </c>
      <c r="M188" s="0" t="s">
        <v>1364</v>
      </c>
      <c r="N188" s="0" t="s">
        <v>210</v>
      </c>
      <c r="O188" s="0" t="s">
        <v>132</v>
      </c>
      <c r="P188" s="0" t="s">
        <v>1359</v>
      </c>
      <c r="Q188" s="0" t="s">
        <v>1360</v>
      </c>
      <c r="R188" s="0" t="s">
        <v>1361</v>
      </c>
      <c r="S188" s="0" t="s">
        <v>1362</v>
      </c>
      <c r="T188" s="0" t="s">
        <v>4795</v>
      </c>
      <c r="U188" s="0" t="s">
        <v>4796</v>
      </c>
      <c r="V188" s="0" t="s">
        <v>5192</v>
      </c>
      <c r="W188" s="0" t="s">
        <v>4798</v>
      </c>
      <c r="X188" s="0" t="s">
        <v>4799</v>
      </c>
      <c r="Y188" s="0" t="s">
        <v>4796</v>
      </c>
      <c r="Z188" s="0" t="s">
        <v>5193</v>
      </c>
      <c r="AA188" s="0" t="s">
        <v>4807</v>
      </c>
      <c r="AB188" s="0" t="s">
        <v>5192</v>
      </c>
      <c r="AC188" s="0" t="s">
        <v>62</v>
      </c>
      <c r="AD188" s="0" t="s">
        <v>62</v>
      </c>
      <c r="AE188" s="0" t="s">
        <v>62</v>
      </c>
      <c r="AF188" s="0" t="s">
        <v>5194</v>
      </c>
      <c r="AG188" s="0" t="s">
        <v>5195</v>
      </c>
      <c r="AH188" s="0" t="s">
        <v>5194</v>
      </c>
      <c r="AI188" s="0" t="s">
        <v>5195</v>
      </c>
      <c r="AJ188" s="0" t="s">
        <v>5194</v>
      </c>
      <c r="AK188" s="0" t="s">
        <v>5195</v>
      </c>
      <c r="AL188" s="0" t="s">
        <v>4804</v>
      </c>
    </row>
    <row customHeight="1" ht="11.25">
      <c r="A189" s="0" t="s">
        <v>22</v>
      </c>
      <c r="B189" s="0" t="s">
        <v>48</v>
      </c>
      <c r="C189" s="0" t="s">
        <v>50</v>
      </c>
      <c r="D189" s="0" t="s">
        <v>22</v>
      </c>
      <c r="E189" s="0" t="s">
        <v>1358</v>
      </c>
      <c r="F189" s="0" t="s">
        <v>1299</v>
      </c>
      <c r="G189" s="0" t="s">
        <v>132</v>
      </c>
      <c r="H189" s="0" t="s">
        <v>1359</v>
      </c>
      <c r="I189" s="0" t="s">
        <v>1360</v>
      </c>
      <c r="J189" s="0" t="s">
        <v>1361</v>
      </c>
      <c r="K189" s="0" t="s">
        <v>1362</v>
      </c>
      <c r="L189" s="0" t="s">
        <v>1363</v>
      </c>
      <c r="M189" s="0" t="s">
        <v>1364</v>
      </c>
      <c r="N189" s="0" t="s">
        <v>210</v>
      </c>
      <c r="O189" s="0" t="s">
        <v>132</v>
      </c>
      <c r="P189" s="0" t="s">
        <v>1359</v>
      </c>
      <c r="Q189" s="0" t="s">
        <v>1360</v>
      </c>
      <c r="R189" s="0" t="s">
        <v>1361</v>
      </c>
      <c r="S189" s="0" t="s">
        <v>1362</v>
      </c>
      <c r="T189" s="0" t="s">
        <v>4795</v>
      </c>
      <c r="U189" s="0" t="s">
        <v>4796</v>
      </c>
      <c r="V189" s="0" t="s">
        <v>5196</v>
      </c>
      <c r="W189" s="0" t="s">
        <v>4798</v>
      </c>
      <c r="X189" s="0" t="s">
        <v>4799</v>
      </c>
      <c r="Y189" s="0" t="s">
        <v>4796</v>
      </c>
      <c r="Z189" s="0" t="s">
        <v>5197</v>
      </c>
      <c r="AA189" s="0" t="s">
        <v>4971</v>
      </c>
      <c r="AB189" s="0" t="s">
        <v>5196</v>
      </c>
      <c r="AC189" s="0" t="s">
        <v>62</v>
      </c>
      <c r="AD189" s="0" t="s">
        <v>62</v>
      </c>
      <c r="AE189" s="0" t="s">
        <v>62</v>
      </c>
      <c r="AF189" s="0" t="s">
        <v>5194</v>
      </c>
      <c r="AG189" s="0" t="s">
        <v>5195</v>
      </c>
      <c r="AH189" s="0" t="s">
        <v>5194</v>
      </c>
      <c r="AI189" s="0" t="s">
        <v>5195</v>
      </c>
      <c r="AJ189" s="0" t="s">
        <v>5194</v>
      </c>
      <c r="AK189" s="0" t="s">
        <v>5195</v>
      </c>
      <c r="AL189" s="0" t="s">
        <v>4804</v>
      </c>
    </row>
    <row customHeight="1" ht="11.25">
      <c r="A190" s="0" t="s">
        <v>22</v>
      </c>
      <c r="B190" s="0" t="s">
        <v>48</v>
      </c>
      <c r="C190" s="0" t="s">
        <v>50</v>
      </c>
      <c r="D190" s="0" t="s">
        <v>22</v>
      </c>
      <c r="E190" s="0" t="s">
        <v>5198</v>
      </c>
      <c r="F190" s="0" t="s">
        <v>1299</v>
      </c>
      <c r="G190" s="0" t="s">
        <v>123</v>
      </c>
      <c r="H190" s="0" t="s">
        <v>4159</v>
      </c>
      <c r="I190" s="0" t="s">
        <v>4160</v>
      </c>
      <c r="J190" s="0" t="s">
        <v>5199</v>
      </c>
      <c r="K190" s="0" t="s">
        <v>5200</v>
      </c>
      <c r="L190" s="0" t="s">
        <v>1378</v>
      </c>
      <c r="M190" s="0" t="s">
        <v>5201</v>
      </c>
      <c r="N190" s="0" t="s">
        <v>210</v>
      </c>
      <c r="O190" s="0" t="s">
        <v>123</v>
      </c>
      <c r="P190" s="0" t="s">
        <v>4159</v>
      </c>
      <c r="Q190" s="0" t="s">
        <v>4160</v>
      </c>
      <c r="R190" s="0" t="s">
        <v>5199</v>
      </c>
      <c r="S190" s="0" t="s">
        <v>5200</v>
      </c>
      <c r="T190" s="0" t="s">
        <v>4795</v>
      </c>
      <c r="U190" s="0" t="s">
        <v>4796</v>
      </c>
      <c r="V190" s="0" t="s">
        <v>5202</v>
      </c>
      <c r="W190" s="0" t="s">
        <v>4798</v>
      </c>
      <c r="X190" s="0" t="s">
        <v>4799</v>
      </c>
      <c r="Y190" s="0" t="s">
        <v>4796</v>
      </c>
      <c r="Z190" s="0" t="s">
        <v>5203</v>
      </c>
      <c r="AA190" s="0" t="s">
        <v>4801</v>
      </c>
      <c r="AB190" s="0" t="s">
        <v>5202</v>
      </c>
      <c r="AC190" s="0" t="s">
        <v>62</v>
      </c>
      <c r="AD190" s="0" t="s">
        <v>62</v>
      </c>
      <c r="AE190" s="0" t="s">
        <v>62</v>
      </c>
      <c r="AF190" s="0" t="s">
        <v>4862</v>
      </c>
      <c r="AG190" s="0" t="s">
        <v>5204</v>
      </c>
      <c r="AH190" s="0" t="s">
        <v>4862</v>
      </c>
      <c r="AI190" s="0" t="s">
        <v>5204</v>
      </c>
      <c r="AJ190" s="0" t="s">
        <v>4862</v>
      </c>
      <c r="AK190" s="0" t="s">
        <v>5204</v>
      </c>
      <c r="AL190" s="0" t="s">
        <v>4804</v>
      </c>
    </row>
    <row customHeight="1" ht="11.25">
      <c r="A191" s="0" t="s">
        <v>22</v>
      </c>
      <c r="B191" s="0" t="s">
        <v>48</v>
      </c>
      <c r="C191" s="0" t="s">
        <v>50</v>
      </c>
      <c r="D191" s="0" t="s">
        <v>22</v>
      </c>
      <c r="E191" s="0" t="s">
        <v>5198</v>
      </c>
      <c r="F191" s="0" t="s">
        <v>1299</v>
      </c>
      <c r="G191" s="0" t="s">
        <v>123</v>
      </c>
      <c r="H191" s="0" t="s">
        <v>4159</v>
      </c>
      <c r="I191" s="0" t="s">
        <v>4160</v>
      </c>
      <c r="J191" s="0" t="s">
        <v>5199</v>
      </c>
      <c r="K191" s="0" t="s">
        <v>5200</v>
      </c>
      <c r="L191" s="0" t="s">
        <v>1378</v>
      </c>
      <c r="M191" s="0" t="s">
        <v>5201</v>
      </c>
      <c r="N191" s="0" t="s">
        <v>210</v>
      </c>
      <c r="O191" s="0" t="s">
        <v>123</v>
      </c>
      <c r="P191" s="0" t="s">
        <v>4159</v>
      </c>
      <c r="Q191" s="0" t="s">
        <v>4160</v>
      </c>
      <c r="R191" s="0" t="s">
        <v>5199</v>
      </c>
      <c r="S191" s="0" t="s">
        <v>5200</v>
      </c>
      <c r="T191" s="0" t="s">
        <v>4795</v>
      </c>
      <c r="U191" s="0" t="s">
        <v>4796</v>
      </c>
      <c r="V191" s="0" t="s">
        <v>5205</v>
      </c>
      <c r="W191" s="0" t="s">
        <v>4798</v>
      </c>
      <c r="X191" s="0" t="s">
        <v>4799</v>
      </c>
      <c r="Y191" s="0" t="s">
        <v>4796</v>
      </c>
      <c r="Z191" s="0" t="s">
        <v>5206</v>
      </c>
      <c r="AA191" s="0" t="s">
        <v>4807</v>
      </c>
      <c r="AB191" s="0" t="s">
        <v>5205</v>
      </c>
      <c r="AC191" s="0" t="s">
        <v>62</v>
      </c>
      <c r="AD191" s="0" t="s">
        <v>62</v>
      </c>
      <c r="AE191" s="0" t="s">
        <v>62</v>
      </c>
      <c r="AF191" s="0" t="s">
        <v>4862</v>
      </c>
      <c r="AG191" s="0" t="s">
        <v>5204</v>
      </c>
      <c r="AH191" s="0" t="s">
        <v>4862</v>
      </c>
      <c r="AI191" s="0" t="s">
        <v>5204</v>
      </c>
      <c r="AJ191" s="0" t="s">
        <v>4862</v>
      </c>
      <c r="AK191" s="0" t="s">
        <v>5204</v>
      </c>
      <c r="AL191" s="0" t="s">
        <v>4804</v>
      </c>
    </row>
    <row customHeight="1" ht="11.25">
      <c r="A192" s="0" t="s">
        <v>22</v>
      </c>
      <c r="B192" s="0" t="s">
        <v>48</v>
      </c>
      <c r="C192" s="0" t="s">
        <v>50</v>
      </c>
      <c r="D192" s="0" t="s">
        <v>22</v>
      </c>
      <c r="E192" s="0" t="s">
        <v>5207</v>
      </c>
      <c r="F192" s="0" t="s">
        <v>1299</v>
      </c>
      <c r="G192" s="0" t="s">
        <v>123</v>
      </c>
      <c r="H192" s="0" t="s">
        <v>4159</v>
      </c>
      <c r="I192" s="0" t="s">
        <v>4160</v>
      </c>
      <c r="J192" s="0" t="s">
        <v>5199</v>
      </c>
      <c r="K192" s="0" t="s">
        <v>5200</v>
      </c>
      <c r="L192" s="0" t="s">
        <v>1378</v>
      </c>
      <c r="M192" s="0" t="s">
        <v>5208</v>
      </c>
      <c r="N192" s="0" t="s">
        <v>210</v>
      </c>
      <c r="O192" s="0" t="s">
        <v>123</v>
      </c>
      <c r="P192" s="0" t="s">
        <v>4159</v>
      </c>
      <c r="Q192" s="0" t="s">
        <v>4160</v>
      </c>
      <c r="R192" s="0" t="s">
        <v>5199</v>
      </c>
      <c r="S192" s="0" t="s">
        <v>5200</v>
      </c>
      <c r="T192" s="0" t="s">
        <v>4795</v>
      </c>
      <c r="U192" s="0" t="s">
        <v>4796</v>
      </c>
      <c r="V192" s="0" t="s">
        <v>5205</v>
      </c>
      <c r="W192" s="0" t="s">
        <v>4798</v>
      </c>
      <c r="X192" s="0" t="s">
        <v>4799</v>
      </c>
      <c r="Y192" s="0" t="s">
        <v>4796</v>
      </c>
      <c r="Z192" s="0" t="s">
        <v>5206</v>
      </c>
      <c r="AA192" s="0" t="s">
        <v>4807</v>
      </c>
      <c r="AB192" s="0" t="s">
        <v>5205</v>
      </c>
      <c r="AC192" s="0" t="s">
        <v>62</v>
      </c>
      <c r="AD192" s="0" t="s">
        <v>62</v>
      </c>
      <c r="AE192" s="0" t="s">
        <v>62</v>
      </c>
      <c r="AF192" s="0" t="s">
        <v>4973</v>
      </c>
      <c r="AG192" s="0" t="s">
        <v>5209</v>
      </c>
      <c r="AH192" s="0" t="s">
        <v>4973</v>
      </c>
      <c r="AI192" s="0" t="s">
        <v>5209</v>
      </c>
      <c r="AJ192" s="0" t="s">
        <v>4973</v>
      </c>
      <c r="AK192" s="0" t="s">
        <v>5209</v>
      </c>
      <c r="AL192" s="0" t="s">
        <v>4804</v>
      </c>
    </row>
    <row customHeight="1" ht="11.25">
      <c r="A193" s="0" t="s">
        <v>22</v>
      </c>
      <c r="B193" s="0" t="s">
        <v>48</v>
      </c>
      <c r="C193" s="0" t="s">
        <v>50</v>
      </c>
      <c r="D193" s="0" t="s">
        <v>22</v>
      </c>
      <c r="E193" s="0" t="s">
        <v>5207</v>
      </c>
      <c r="F193" s="0" t="s">
        <v>1299</v>
      </c>
      <c r="G193" s="0" t="s">
        <v>123</v>
      </c>
      <c r="H193" s="0" t="s">
        <v>4159</v>
      </c>
      <c r="I193" s="0" t="s">
        <v>4160</v>
      </c>
      <c r="J193" s="0" t="s">
        <v>5199</v>
      </c>
      <c r="K193" s="0" t="s">
        <v>5200</v>
      </c>
      <c r="L193" s="0" t="s">
        <v>1378</v>
      </c>
      <c r="M193" s="0" t="s">
        <v>5208</v>
      </c>
      <c r="N193" s="0" t="s">
        <v>210</v>
      </c>
      <c r="O193" s="0" t="s">
        <v>123</v>
      </c>
      <c r="P193" s="0" t="s">
        <v>4159</v>
      </c>
      <c r="Q193" s="0" t="s">
        <v>4160</v>
      </c>
      <c r="R193" s="0" t="s">
        <v>5199</v>
      </c>
      <c r="S193" s="0" t="s">
        <v>5200</v>
      </c>
      <c r="T193" s="0" t="s">
        <v>4795</v>
      </c>
      <c r="U193" s="0" t="s">
        <v>4796</v>
      </c>
      <c r="V193" s="0" t="s">
        <v>5202</v>
      </c>
      <c r="W193" s="0" t="s">
        <v>4798</v>
      </c>
      <c r="X193" s="0" t="s">
        <v>4799</v>
      </c>
      <c r="Y193" s="0" t="s">
        <v>4796</v>
      </c>
      <c r="Z193" s="0" t="s">
        <v>5203</v>
      </c>
      <c r="AA193" s="0" t="s">
        <v>4801</v>
      </c>
      <c r="AB193" s="0" t="s">
        <v>5202</v>
      </c>
      <c r="AC193" s="0" t="s">
        <v>62</v>
      </c>
      <c r="AD193" s="0" t="s">
        <v>62</v>
      </c>
      <c r="AE193" s="0" t="s">
        <v>62</v>
      </c>
      <c r="AF193" s="0" t="s">
        <v>4973</v>
      </c>
      <c r="AG193" s="0" t="s">
        <v>5209</v>
      </c>
      <c r="AH193" s="0" t="s">
        <v>4973</v>
      </c>
      <c r="AI193" s="0" t="s">
        <v>5209</v>
      </c>
      <c r="AJ193" s="0" t="s">
        <v>4973</v>
      </c>
      <c r="AK193" s="0" t="s">
        <v>5209</v>
      </c>
      <c r="AL193" s="0" t="s">
        <v>4804</v>
      </c>
    </row>
    <row customHeight="1" ht="11.25">
      <c r="A194" s="0" t="s">
        <v>22</v>
      </c>
      <c r="B194" s="0" t="s">
        <v>48</v>
      </c>
      <c r="C194" s="0" t="s">
        <v>50</v>
      </c>
      <c r="D194" s="0" t="s">
        <v>22</v>
      </c>
      <c r="E194" s="0" t="s">
        <v>5210</v>
      </c>
      <c r="F194" s="0" t="s">
        <v>1299</v>
      </c>
      <c r="G194" s="0" t="s">
        <v>123</v>
      </c>
      <c r="H194" s="0" t="s">
        <v>4168</v>
      </c>
      <c r="I194" s="0" t="s">
        <v>4169</v>
      </c>
      <c r="J194" s="0" t="s">
        <v>5211</v>
      </c>
      <c r="K194" s="0" t="s">
        <v>5212</v>
      </c>
      <c r="L194" s="0" t="s">
        <v>5213</v>
      </c>
      <c r="M194" s="0" t="s">
        <v>1355</v>
      </c>
      <c r="N194" s="0" t="s">
        <v>210</v>
      </c>
      <c r="O194" s="0" t="s">
        <v>123</v>
      </c>
      <c r="P194" s="0" t="s">
        <v>4168</v>
      </c>
      <c r="Q194" s="0" t="s">
        <v>4169</v>
      </c>
      <c r="R194" s="0" t="s">
        <v>5211</v>
      </c>
      <c r="S194" s="0" t="s">
        <v>5212</v>
      </c>
      <c r="T194" s="0" t="s">
        <v>4795</v>
      </c>
      <c r="U194" s="0" t="s">
        <v>4796</v>
      </c>
      <c r="V194" s="0" t="s">
        <v>5202</v>
      </c>
      <c r="W194" s="0" t="s">
        <v>4798</v>
      </c>
      <c r="X194" s="0" t="s">
        <v>4799</v>
      </c>
      <c r="Y194" s="0" t="s">
        <v>4796</v>
      </c>
      <c r="Z194" s="0" t="s">
        <v>5203</v>
      </c>
      <c r="AA194" s="0" t="s">
        <v>4801</v>
      </c>
      <c r="AB194" s="0" t="s">
        <v>5202</v>
      </c>
      <c r="AC194" s="0" t="s">
        <v>62</v>
      </c>
      <c r="AD194" s="0" t="s">
        <v>62</v>
      </c>
      <c r="AE194" s="0" t="s">
        <v>62</v>
      </c>
      <c r="AF194" s="0" t="s">
        <v>4862</v>
      </c>
      <c r="AG194" s="0" t="s">
        <v>5214</v>
      </c>
      <c r="AH194" s="0" t="s">
        <v>4862</v>
      </c>
      <c r="AI194" s="0" t="s">
        <v>5214</v>
      </c>
      <c r="AJ194" s="0" t="s">
        <v>4862</v>
      </c>
      <c r="AK194" s="0" t="s">
        <v>5214</v>
      </c>
      <c r="AL194" s="0" t="s">
        <v>4804</v>
      </c>
    </row>
    <row customHeight="1" ht="11.25">
      <c r="A195" s="0" t="s">
        <v>22</v>
      </c>
      <c r="B195" s="0" t="s">
        <v>48</v>
      </c>
      <c r="C195" s="0" t="s">
        <v>50</v>
      </c>
      <c r="D195" s="0" t="s">
        <v>22</v>
      </c>
      <c r="E195" s="0" t="s">
        <v>5210</v>
      </c>
      <c r="F195" s="0" t="s">
        <v>1299</v>
      </c>
      <c r="G195" s="0" t="s">
        <v>123</v>
      </c>
      <c r="H195" s="0" t="s">
        <v>4168</v>
      </c>
      <c r="I195" s="0" t="s">
        <v>4169</v>
      </c>
      <c r="J195" s="0" t="s">
        <v>5211</v>
      </c>
      <c r="K195" s="0" t="s">
        <v>5212</v>
      </c>
      <c r="L195" s="0" t="s">
        <v>5213</v>
      </c>
      <c r="M195" s="0" t="s">
        <v>1355</v>
      </c>
      <c r="N195" s="0" t="s">
        <v>210</v>
      </c>
      <c r="O195" s="0" t="s">
        <v>123</v>
      </c>
      <c r="P195" s="0" t="s">
        <v>4168</v>
      </c>
      <c r="Q195" s="0" t="s">
        <v>4169</v>
      </c>
      <c r="R195" s="0" t="s">
        <v>5211</v>
      </c>
      <c r="S195" s="0" t="s">
        <v>5212</v>
      </c>
      <c r="T195" s="0" t="s">
        <v>4795</v>
      </c>
      <c r="U195" s="0" t="s">
        <v>4796</v>
      </c>
      <c r="V195" s="0" t="s">
        <v>5205</v>
      </c>
      <c r="W195" s="0" t="s">
        <v>4798</v>
      </c>
      <c r="X195" s="0" t="s">
        <v>4799</v>
      </c>
      <c r="Y195" s="0" t="s">
        <v>4796</v>
      </c>
      <c r="Z195" s="0" t="s">
        <v>5206</v>
      </c>
      <c r="AA195" s="0" t="s">
        <v>4807</v>
      </c>
      <c r="AB195" s="0" t="s">
        <v>5205</v>
      </c>
      <c r="AC195" s="0" t="s">
        <v>62</v>
      </c>
      <c r="AD195" s="0" t="s">
        <v>62</v>
      </c>
      <c r="AE195" s="0" t="s">
        <v>62</v>
      </c>
      <c r="AF195" s="0" t="s">
        <v>4862</v>
      </c>
      <c r="AG195" s="0" t="s">
        <v>5214</v>
      </c>
      <c r="AH195" s="0" t="s">
        <v>4862</v>
      </c>
      <c r="AI195" s="0" t="s">
        <v>5214</v>
      </c>
      <c r="AJ195" s="0" t="s">
        <v>4862</v>
      </c>
      <c r="AK195" s="0" t="s">
        <v>5214</v>
      </c>
      <c r="AL195" s="0" t="s">
        <v>4804</v>
      </c>
    </row>
    <row customHeight="1" ht="11.25">
      <c r="A196" s="0" t="s">
        <v>22</v>
      </c>
      <c r="B196" s="0" t="s">
        <v>48</v>
      </c>
      <c r="C196" s="0" t="s">
        <v>50</v>
      </c>
      <c r="D196" s="0" t="s">
        <v>22</v>
      </c>
      <c r="E196" s="0" t="s">
        <v>5215</v>
      </c>
      <c r="F196" s="0" t="s">
        <v>1299</v>
      </c>
      <c r="G196" s="0" t="s">
        <v>123</v>
      </c>
      <c r="H196" s="0" t="s">
        <v>4168</v>
      </c>
      <c r="I196" s="0" t="s">
        <v>4169</v>
      </c>
      <c r="J196" s="0" t="s">
        <v>5211</v>
      </c>
      <c r="K196" s="0" t="s">
        <v>5212</v>
      </c>
      <c r="L196" s="0" t="s">
        <v>5213</v>
      </c>
      <c r="M196" s="0" t="s">
        <v>1355</v>
      </c>
      <c r="N196" s="0" t="s">
        <v>210</v>
      </c>
      <c r="O196" s="0" t="s">
        <v>123</v>
      </c>
      <c r="P196" s="0" t="s">
        <v>4168</v>
      </c>
      <c r="Q196" s="0" t="s">
        <v>4169</v>
      </c>
      <c r="R196" s="0" t="s">
        <v>5211</v>
      </c>
      <c r="S196" s="0" t="s">
        <v>5212</v>
      </c>
      <c r="T196" s="0" t="s">
        <v>4795</v>
      </c>
      <c r="U196" s="0" t="s">
        <v>4796</v>
      </c>
      <c r="V196" s="0" t="s">
        <v>5202</v>
      </c>
      <c r="W196" s="0" t="s">
        <v>4798</v>
      </c>
      <c r="X196" s="0" t="s">
        <v>4799</v>
      </c>
      <c r="Y196" s="0" t="s">
        <v>4796</v>
      </c>
      <c r="Z196" s="0" t="s">
        <v>5203</v>
      </c>
      <c r="AA196" s="0" t="s">
        <v>4801</v>
      </c>
      <c r="AB196" s="0" t="s">
        <v>5202</v>
      </c>
      <c r="AC196" s="0" t="s">
        <v>62</v>
      </c>
      <c r="AD196" s="0" t="s">
        <v>62</v>
      </c>
      <c r="AE196" s="0" t="s">
        <v>62</v>
      </c>
      <c r="AF196" s="0" t="s">
        <v>4862</v>
      </c>
      <c r="AG196" s="0" t="s">
        <v>5216</v>
      </c>
      <c r="AH196" s="0" t="s">
        <v>4862</v>
      </c>
      <c r="AI196" s="0" t="s">
        <v>5216</v>
      </c>
      <c r="AJ196" s="0" t="s">
        <v>4862</v>
      </c>
      <c r="AK196" s="0" t="s">
        <v>5216</v>
      </c>
      <c r="AL196" s="0" t="s">
        <v>4804</v>
      </c>
    </row>
    <row customHeight="1" ht="11.25">
      <c r="A197" s="0" t="s">
        <v>22</v>
      </c>
      <c r="B197" s="0" t="s">
        <v>48</v>
      </c>
      <c r="C197" s="0" t="s">
        <v>50</v>
      </c>
      <c r="D197" s="0" t="s">
        <v>22</v>
      </c>
      <c r="E197" s="0" t="s">
        <v>5215</v>
      </c>
      <c r="F197" s="0" t="s">
        <v>1299</v>
      </c>
      <c r="G197" s="0" t="s">
        <v>123</v>
      </c>
      <c r="H197" s="0" t="s">
        <v>4168</v>
      </c>
      <c r="I197" s="0" t="s">
        <v>4169</v>
      </c>
      <c r="J197" s="0" t="s">
        <v>5211</v>
      </c>
      <c r="K197" s="0" t="s">
        <v>5212</v>
      </c>
      <c r="L197" s="0" t="s">
        <v>5213</v>
      </c>
      <c r="M197" s="0" t="s">
        <v>1355</v>
      </c>
      <c r="N197" s="0" t="s">
        <v>210</v>
      </c>
      <c r="O197" s="0" t="s">
        <v>123</v>
      </c>
      <c r="P197" s="0" t="s">
        <v>4168</v>
      </c>
      <c r="Q197" s="0" t="s">
        <v>4169</v>
      </c>
      <c r="R197" s="0" t="s">
        <v>5211</v>
      </c>
      <c r="S197" s="0" t="s">
        <v>5212</v>
      </c>
      <c r="T197" s="0" t="s">
        <v>4795</v>
      </c>
      <c r="U197" s="0" t="s">
        <v>4796</v>
      </c>
      <c r="V197" s="0" t="s">
        <v>5205</v>
      </c>
      <c r="W197" s="0" t="s">
        <v>4798</v>
      </c>
      <c r="X197" s="0" t="s">
        <v>4799</v>
      </c>
      <c r="Y197" s="0" t="s">
        <v>4796</v>
      </c>
      <c r="Z197" s="0" t="s">
        <v>5206</v>
      </c>
      <c r="AA197" s="0" t="s">
        <v>4807</v>
      </c>
      <c r="AB197" s="0" t="s">
        <v>5205</v>
      </c>
      <c r="AC197" s="0" t="s">
        <v>62</v>
      </c>
      <c r="AD197" s="0" t="s">
        <v>62</v>
      </c>
      <c r="AE197" s="0" t="s">
        <v>62</v>
      </c>
      <c r="AF197" s="0" t="s">
        <v>4862</v>
      </c>
      <c r="AG197" s="0" t="s">
        <v>5216</v>
      </c>
      <c r="AH197" s="0" t="s">
        <v>4862</v>
      </c>
      <c r="AI197" s="0" t="s">
        <v>5216</v>
      </c>
      <c r="AJ197" s="0" t="s">
        <v>4862</v>
      </c>
      <c r="AK197" s="0" t="s">
        <v>5216</v>
      </c>
      <c r="AL197" s="0" t="s">
        <v>4804</v>
      </c>
    </row>
    <row customHeight="1" ht="11.25">
      <c r="A198" s="0" t="s">
        <v>22</v>
      </c>
      <c r="B198" s="0" t="s">
        <v>48</v>
      </c>
      <c r="C198" s="0" t="s">
        <v>50</v>
      </c>
      <c r="D198" s="0" t="s">
        <v>22</v>
      </c>
      <c r="E198" s="0" t="s">
        <v>5217</v>
      </c>
      <c r="F198" s="0" t="s">
        <v>1299</v>
      </c>
      <c r="G198" s="0" t="s">
        <v>123</v>
      </c>
      <c r="H198" s="0" t="s">
        <v>4168</v>
      </c>
      <c r="I198" s="0" t="s">
        <v>4169</v>
      </c>
      <c r="J198" s="0" t="s">
        <v>5218</v>
      </c>
      <c r="K198" s="0" t="s">
        <v>5219</v>
      </c>
      <c r="L198" s="0" t="s">
        <v>5220</v>
      </c>
      <c r="M198" s="0" t="s">
        <v>1355</v>
      </c>
      <c r="N198" s="0" t="s">
        <v>210</v>
      </c>
      <c r="O198" s="0" t="s">
        <v>123</v>
      </c>
      <c r="P198" s="0" t="s">
        <v>4168</v>
      </c>
      <c r="Q198" s="0" t="s">
        <v>4169</v>
      </c>
      <c r="R198" s="0" t="s">
        <v>5218</v>
      </c>
      <c r="S198" s="0" t="s">
        <v>5219</v>
      </c>
      <c r="T198" s="0" t="s">
        <v>4795</v>
      </c>
      <c r="U198" s="0" t="s">
        <v>4796</v>
      </c>
      <c r="V198" s="0" t="s">
        <v>5202</v>
      </c>
      <c r="W198" s="0" t="s">
        <v>4798</v>
      </c>
      <c r="X198" s="0" t="s">
        <v>4799</v>
      </c>
      <c r="Y198" s="0" t="s">
        <v>4796</v>
      </c>
      <c r="Z198" s="0" t="s">
        <v>5203</v>
      </c>
      <c r="AA198" s="0" t="s">
        <v>4801</v>
      </c>
      <c r="AB198" s="0" t="s">
        <v>5202</v>
      </c>
      <c r="AC198" s="0" t="s">
        <v>62</v>
      </c>
      <c r="AD198" s="0" t="s">
        <v>62</v>
      </c>
      <c r="AE198" s="0" t="s">
        <v>62</v>
      </c>
      <c r="AF198" s="0" t="s">
        <v>4862</v>
      </c>
      <c r="AG198" s="0" t="s">
        <v>5221</v>
      </c>
      <c r="AH198" s="0" t="s">
        <v>4862</v>
      </c>
      <c r="AI198" s="0" t="s">
        <v>5221</v>
      </c>
      <c r="AJ198" s="0" t="s">
        <v>4862</v>
      </c>
      <c r="AK198" s="0" t="s">
        <v>5221</v>
      </c>
      <c r="AL198" s="0" t="s">
        <v>4804</v>
      </c>
    </row>
    <row customHeight="1" ht="11.25">
      <c r="A199" s="0" t="s">
        <v>22</v>
      </c>
      <c r="B199" s="0" t="s">
        <v>48</v>
      </c>
      <c r="C199" s="0" t="s">
        <v>50</v>
      </c>
      <c r="D199" s="0" t="s">
        <v>22</v>
      </c>
      <c r="E199" s="0" t="s">
        <v>5217</v>
      </c>
      <c r="F199" s="0" t="s">
        <v>1299</v>
      </c>
      <c r="G199" s="0" t="s">
        <v>123</v>
      </c>
      <c r="H199" s="0" t="s">
        <v>4168</v>
      </c>
      <c r="I199" s="0" t="s">
        <v>4169</v>
      </c>
      <c r="J199" s="0" t="s">
        <v>5218</v>
      </c>
      <c r="K199" s="0" t="s">
        <v>5219</v>
      </c>
      <c r="L199" s="0" t="s">
        <v>5220</v>
      </c>
      <c r="M199" s="0" t="s">
        <v>1355</v>
      </c>
      <c r="N199" s="0" t="s">
        <v>210</v>
      </c>
      <c r="O199" s="0" t="s">
        <v>123</v>
      </c>
      <c r="P199" s="0" t="s">
        <v>4168</v>
      </c>
      <c r="Q199" s="0" t="s">
        <v>4169</v>
      </c>
      <c r="R199" s="0" t="s">
        <v>5218</v>
      </c>
      <c r="S199" s="0" t="s">
        <v>5219</v>
      </c>
      <c r="T199" s="0" t="s">
        <v>4795</v>
      </c>
      <c r="U199" s="0" t="s">
        <v>4796</v>
      </c>
      <c r="V199" s="0" t="s">
        <v>5205</v>
      </c>
      <c r="W199" s="0" t="s">
        <v>4798</v>
      </c>
      <c r="X199" s="0" t="s">
        <v>4799</v>
      </c>
      <c r="Y199" s="0" t="s">
        <v>4796</v>
      </c>
      <c r="Z199" s="0" t="s">
        <v>5206</v>
      </c>
      <c r="AA199" s="0" t="s">
        <v>4807</v>
      </c>
      <c r="AB199" s="0" t="s">
        <v>5205</v>
      </c>
      <c r="AC199" s="0" t="s">
        <v>62</v>
      </c>
      <c r="AD199" s="0" t="s">
        <v>62</v>
      </c>
      <c r="AE199" s="0" t="s">
        <v>62</v>
      </c>
      <c r="AF199" s="0" t="s">
        <v>4862</v>
      </c>
      <c r="AG199" s="0" t="s">
        <v>5221</v>
      </c>
      <c r="AH199" s="0" t="s">
        <v>4862</v>
      </c>
      <c r="AI199" s="0" t="s">
        <v>5221</v>
      </c>
      <c r="AJ199" s="0" t="s">
        <v>4862</v>
      </c>
      <c r="AK199" s="0" t="s">
        <v>5221</v>
      </c>
      <c r="AL199" s="0" t="s">
        <v>4804</v>
      </c>
    </row>
    <row customHeight="1" ht="11.25">
      <c r="A200" s="0" t="s">
        <v>22</v>
      </c>
      <c r="B200" s="0" t="s">
        <v>48</v>
      </c>
      <c r="C200" s="0" t="s">
        <v>50</v>
      </c>
      <c r="D200" s="0" t="s">
        <v>22</v>
      </c>
      <c r="E200" s="0" t="s">
        <v>5222</v>
      </c>
      <c r="F200" s="0" t="s">
        <v>1299</v>
      </c>
      <c r="G200" s="0" t="s">
        <v>123</v>
      </c>
      <c r="H200" s="0" t="s">
        <v>4168</v>
      </c>
      <c r="I200" s="0" t="s">
        <v>4169</v>
      </c>
      <c r="J200" s="0" t="s">
        <v>5218</v>
      </c>
      <c r="K200" s="0" t="s">
        <v>5219</v>
      </c>
      <c r="L200" s="0" t="s">
        <v>5220</v>
      </c>
      <c r="M200" s="0" t="s">
        <v>1355</v>
      </c>
      <c r="N200" s="0" t="s">
        <v>210</v>
      </c>
      <c r="O200" s="0" t="s">
        <v>123</v>
      </c>
      <c r="P200" s="0" t="s">
        <v>4168</v>
      </c>
      <c r="Q200" s="0" t="s">
        <v>4169</v>
      </c>
      <c r="R200" s="0" t="s">
        <v>5218</v>
      </c>
      <c r="S200" s="0" t="s">
        <v>5219</v>
      </c>
      <c r="T200" s="0" t="s">
        <v>4795</v>
      </c>
      <c r="U200" s="0" t="s">
        <v>4796</v>
      </c>
      <c r="V200" s="0" t="s">
        <v>5202</v>
      </c>
      <c r="W200" s="0" t="s">
        <v>4798</v>
      </c>
      <c r="X200" s="0" t="s">
        <v>4799</v>
      </c>
      <c r="Y200" s="0" t="s">
        <v>4796</v>
      </c>
      <c r="Z200" s="0" t="s">
        <v>5203</v>
      </c>
      <c r="AA200" s="0" t="s">
        <v>4801</v>
      </c>
      <c r="AB200" s="0" t="s">
        <v>5202</v>
      </c>
      <c r="AC200" s="0" t="s">
        <v>62</v>
      </c>
      <c r="AD200" s="0" t="s">
        <v>62</v>
      </c>
      <c r="AE200" s="0" t="s">
        <v>62</v>
      </c>
      <c r="AF200" s="0" t="s">
        <v>4862</v>
      </c>
      <c r="AG200" s="0" t="s">
        <v>4973</v>
      </c>
      <c r="AH200" s="0" t="s">
        <v>4862</v>
      </c>
      <c r="AI200" s="0" t="s">
        <v>4973</v>
      </c>
      <c r="AJ200" s="0" t="s">
        <v>4862</v>
      </c>
      <c r="AK200" s="0" t="s">
        <v>4973</v>
      </c>
      <c r="AL200" s="0" t="s">
        <v>4804</v>
      </c>
    </row>
    <row customHeight="1" ht="11.25">
      <c r="A201" s="0" t="s">
        <v>22</v>
      </c>
      <c r="B201" s="0" t="s">
        <v>48</v>
      </c>
      <c r="C201" s="0" t="s">
        <v>50</v>
      </c>
      <c r="D201" s="0" t="s">
        <v>22</v>
      </c>
      <c r="E201" s="0" t="s">
        <v>5222</v>
      </c>
      <c r="F201" s="0" t="s">
        <v>1299</v>
      </c>
      <c r="G201" s="0" t="s">
        <v>123</v>
      </c>
      <c r="H201" s="0" t="s">
        <v>4168</v>
      </c>
      <c r="I201" s="0" t="s">
        <v>4169</v>
      </c>
      <c r="J201" s="0" t="s">
        <v>5218</v>
      </c>
      <c r="K201" s="0" t="s">
        <v>5219</v>
      </c>
      <c r="L201" s="0" t="s">
        <v>5220</v>
      </c>
      <c r="M201" s="0" t="s">
        <v>1355</v>
      </c>
      <c r="N201" s="0" t="s">
        <v>210</v>
      </c>
      <c r="O201" s="0" t="s">
        <v>123</v>
      </c>
      <c r="P201" s="0" t="s">
        <v>4168</v>
      </c>
      <c r="Q201" s="0" t="s">
        <v>4169</v>
      </c>
      <c r="R201" s="0" t="s">
        <v>5218</v>
      </c>
      <c r="S201" s="0" t="s">
        <v>5219</v>
      </c>
      <c r="T201" s="0" t="s">
        <v>4795</v>
      </c>
      <c r="U201" s="0" t="s">
        <v>4796</v>
      </c>
      <c r="V201" s="0" t="s">
        <v>5205</v>
      </c>
      <c r="W201" s="0" t="s">
        <v>4798</v>
      </c>
      <c r="X201" s="0" t="s">
        <v>4799</v>
      </c>
      <c r="Y201" s="0" t="s">
        <v>4796</v>
      </c>
      <c r="Z201" s="0" t="s">
        <v>5206</v>
      </c>
      <c r="AA201" s="0" t="s">
        <v>4807</v>
      </c>
      <c r="AB201" s="0" t="s">
        <v>5205</v>
      </c>
      <c r="AC201" s="0" t="s">
        <v>62</v>
      </c>
      <c r="AD201" s="0" t="s">
        <v>62</v>
      </c>
      <c r="AE201" s="0" t="s">
        <v>62</v>
      </c>
      <c r="AF201" s="0" t="s">
        <v>4862</v>
      </c>
      <c r="AG201" s="0" t="s">
        <v>4973</v>
      </c>
      <c r="AH201" s="0" t="s">
        <v>4862</v>
      </c>
      <c r="AI201" s="0" t="s">
        <v>4973</v>
      </c>
      <c r="AJ201" s="0" t="s">
        <v>4862</v>
      </c>
      <c r="AK201" s="0" t="s">
        <v>4973</v>
      </c>
      <c r="AL201" s="0" t="s">
        <v>4804</v>
      </c>
    </row>
    <row customHeight="1" ht="11.25">
      <c r="A202" s="0" t="s">
        <v>22</v>
      </c>
      <c r="B202" s="0" t="s">
        <v>48</v>
      </c>
      <c r="C202" s="0" t="s">
        <v>50</v>
      </c>
      <c r="D202" s="0" t="s">
        <v>22</v>
      </c>
      <c r="E202" s="0" t="s">
        <v>5223</v>
      </c>
      <c r="F202" s="0" t="s">
        <v>1299</v>
      </c>
      <c r="G202" s="0" t="s">
        <v>123</v>
      </c>
      <c r="H202" s="0" t="s">
        <v>4168</v>
      </c>
      <c r="I202" s="0" t="s">
        <v>4169</v>
      </c>
      <c r="J202" s="0" t="s">
        <v>5218</v>
      </c>
      <c r="K202" s="0" t="s">
        <v>5219</v>
      </c>
      <c r="L202" s="0" t="s">
        <v>5044</v>
      </c>
      <c r="M202" s="0" t="s">
        <v>1355</v>
      </c>
      <c r="N202" s="0" t="s">
        <v>210</v>
      </c>
      <c r="O202" s="0" t="s">
        <v>123</v>
      </c>
      <c r="P202" s="0" t="s">
        <v>4168</v>
      </c>
      <c r="Q202" s="0" t="s">
        <v>4169</v>
      </c>
      <c r="R202" s="0" t="s">
        <v>5218</v>
      </c>
      <c r="S202" s="0" t="s">
        <v>5219</v>
      </c>
      <c r="T202" s="0" t="s">
        <v>4795</v>
      </c>
      <c r="U202" s="0" t="s">
        <v>4796</v>
      </c>
      <c r="V202" s="0" t="s">
        <v>5202</v>
      </c>
      <c r="W202" s="0" t="s">
        <v>4798</v>
      </c>
      <c r="X202" s="0" t="s">
        <v>4799</v>
      </c>
      <c r="Y202" s="0" t="s">
        <v>4796</v>
      </c>
      <c r="Z202" s="0" t="s">
        <v>5203</v>
      </c>
      <c r="AA202" s="0" t="s">
        <v>4801</v>
      </c>
      <c r="AB202" s="0" t="s">
        <v>5202</v>
      </c>
      <c r="AC202" s="0" t="s">
        <v>62</v>
      </c>
      <c r="AD202" s="0" t="s">
        <v>62</v>
      </c>
      <c r="AE202" s="0" t="s">
        <v>62</v>
      </c>
      <c r="AF202" s="0" t="s">
        <v>4862</v>
      </c>
      <c r="AG202" s="0" t="s">
        <v>5224</v>
      </c>
      <c r="AH202" s="0" t="s">
        <v>4862</v>
      </c>
      <c r="AI202" s="0" t="s">
        <v>5224</v>
      </c>
      <c r="AJ202" s="0" t="s">
        <v>4862</v>
      </c>
      <c r="AK202" s="0" t="s">
        <v>5224</v>
      </c>
      <c r="AL202" s="0" t="s">
        <v>4804</v>
      </c>
    </row>
    <row customHeight="1" ht="11.25">
      <c r="A203" s="0" t="s">
        <v>22</v>
      </c>
      <c r="B203" s="0" t="s">
        <v>48</v>
      </c>
      <c r="C203" s="0" t="s">
        <v>50</v>
      </c>
      <c r="D203" s="0" t="s">
        <v>22</v>
      </c>
      <c r="E203" s="0" t="s">
        <v>5223</v>
      </c>
      <c r="F203" s="0" t="s">
        <v>1299</v>
      </c>
      <c r="G203" s="0" t="s">
        <v>123</v>
      </c>
      <c r="H203" s="0" t="s">
        <v>4168</v>
      </c>
      <c r="I203" s="0" t="s">
        <v>4169</v>
      </c>
      <c r="J203" s="0" t="s">
        <v>5218</v>
      </c>
      <c r="K203" s="0" t="s">
        <v>5219</v>
      </c>
      <c r="L203" s="0" t="s">
        <v>5044</v>
      </c>
      <c r="M203" s="0" t="s">
        <v>1355</v>
      </c>
      <c r="N203" s="0" t="s">
        <v>210</v>
      </c>
      <c r="O203" s="0" t="s">
        <v>123</v>
      </c>
      <c r="P203" s="0" t="s">
        <v>4168</v>
      </c>
      <c r="Q203" s="0" t="s">
        <v>4169</v>
      </c>
      <c r="R203" s="0" t="s">
        <v>5218</v>
      </c>
      <c r="S203" s="0" t="s">
        <v>5219</v>
      </c>
      <c r="T203" s="0" t="s">
        <v>4795</v>
      </c>
      <c r="U203" s="0" t="s">
        <v>4796</v>
      </c>
      <c r="V203" s="0" t="s">
        <v>5205</v>
      </c>
      <c r="W203" s="0" t="s">
        <v>4798</v>
      </c>
      <c r="X203" s="0" t="s">
        <v>4799</v>
      </c>
      <c r="Y203" s="0" t="s">
        <v>4796</v>
      </c>
      <c r="Z203" s="0" t="s">
        <v>5206</v>
      </c>
      <c r="AA203" s="0" t="s">
        <v>4807</v>
      </c>
      <c r="AB203" s="0" t="s">
        <v>5205</v>
      </c>
      <c r="AC203" s="0" t="s">
        <v>62</v>
      </c>
      <c r="AD203" s="0" t="s">
        <v>62</v>
      </c>
      <c r="AE203" s="0" t="s">
        <v>62</v>
      </c>
      <c r="AF203" s="0" t="s">
        <v>4862</v>
      </c>
      <c r="AG203" s="0" t="s">
        <v>5224</v>
      </c>
      <c r="AH203" s="0" t="s">
        <v>4862</v>
      </c>
      <c r="AI203" s="0" t="s">
        <v>5224</v>
      </c>
      <c r="AJ203" s="0" t="s">
        <v>4862</v>
      </c>
      <c r="AK203" s="0" t="s">
        <v>5224</v>
      </c>
      <c r="AL203" s="0" t="s">
        <v>4804</v>
      </c>
    </row>
    <row customHeight="1" ht="11.25">
      <c r="A204" s="0" t="s">
        <v>22</v>
      </c>
      <c r="B204" s="0" t="s">
        <v>48</v>
      </c>
      <c r="C204" s="0" t="s">
        <v>50</v>
      </c>
      <c r="D204" s="0" t="s">
        <v>22</v>
      </c>
      <c r="E204" s="0" t="s">
        <v>5225</v>
      </c>
      <c r="F204" s="0" t="s">
        <v>1299</v>
      </c>
      <c r="G204" s="0" t="s">
        <v>123</v>
      </c>
      <c r="H204" s="0" t="s">
        <v>4174</v>
      </c>
      <c r="I204" s="0" t="s">
        <v>4175</v>
      </c>
      <c r="J204" s="0" t="s">
        <v>5226</v>
      </c>
      <c r="K204" s="0" t="s">
        <v>5227</v>
      </c>
      <c r="L204" s="0" t="s">
        <v>1338</v>
      </c>
      <c r="M204" s="0" t="s">
        <v>5228</v>
      </c>
      <c r="N204" s="0" t="s">
        <v>210</v>
      </c>
      <c r="O204" s="0" t="s">
        <v>123</v>
      </c>
      <c r="P204" s="0" t="s">
        <v>4174</v>
      </c>
      <c r="Q204" s="0" t="s">
        <v>4175</v>
      </c>
      <c r="R204" s="0" t="s">
        <v>5226</v>
      </c>
      <c r="S204" s="0" t="s">
        <v>5227</v>
      </c>
      <c r="T204" s="0" t="s">
        <v>4795</v>
      </c>
      <c r="U204" s="0" t="s">
        <v>4796</v>
      </c>
      <c r="V204" s="0" t="s">
        <v>5202</v>
      </c>
      <c r="W204" s="0" t="s">
        <v>4798</v>
      </c>
      <c r="X204" s="0" t="s">
        <v>4799</v>
      </c>
      <c r="Y204" s="0" t="s">
        <v>4796</v>
      </c>
      <c r="Z204" s="0" t="s">
        <v>5203</v>
      </c>
      <c r="AA204" s="0" t="s">
        <v>4801</v>
      </c>
      <c r="AB204" s="0" t="s">
        <v>5202</v>
      </c>
      <c r="AC204" s="0" t="s">
        <v>62</v>
      </c>
      <c r="AD204" s="0" t="s">
        <v>62</v>
      </c>
      <c r="AE204" s="0" t="s">
        <v>62</v>
      </c>
      <c r="AF204" s="0" t="s">
        <v>5039</v>
      </c>
      <c r="AG204" s="0" t="s">
        <v>5229</v>
      </c>
      <c r="AH204" s="0" t="s">
        <v>5039</v>
      </c>
      <c r="AI204" s="0" t="s">
        <v>5229</v>
      </c>
      <c r="AJ204" s="0" t="s">
        <v>5039</v>
      </c>
      <c r="AK204" s="0" t="s">
        <v>5229</v>
      </c>
      <c r="AL204" s="0" t="s">
        <v>4804</v>
      </c>
    </row>
    <row customHeight="1" ht="11.25">
      <c r="A205" s="0" t="s">
        <v>22</v>
      </c>
      <c r="B205" s="0" t="s">
        <v>48</v>
      </c>
      <c r="C205" s="0" t="s">
        <v>50</v>
      </c>
      <c r="D205" s="0" t="s">
        <v>22</v>
      </c>
      <c r="E205" s="0" t="s">
        <v>5225</v>
      </c>
      <c r="F205" s="0" t="s">
        <v>1299</v>
      </c>
      <c r="G205" s="0" t="s">
        <v>123</v>
      </c>
      <c r="H205" s="0" t="s">
        <v>4174</v>
      </c>
      <c r="I205" s="0" t="s">
        <v>4175</v>
      </c>
      <c r="J205" s="0" t="s">
        <v>5226</v>
      </c>
      <c r="K205" s="0" t="s">
        <v>5227</v>
      </c>
      <c r="L205" s="0" t="s">
        <v>1338</v>
      </c>
      <c r="M205" s="0" t="s">
        <v>5228</v>
      </c>
      <c r="N205" s="0" t="s">
        <v>210</v>
      </c>
      <c r="O205" s="0" t="s">
        <v>123</v>
      </c>
      <c r="P205" s="0" t="s">
        <v>4174</v>
      </c>
      <c r="Q205" s="0" t="s">
        <v>4175</v>
      </c>
      <c r="R205" s="0" t="s">
        <v>5226</v>
      </c>
      <c r="S205" s="0" t="s">
        <v>5227</v>
      </c>
      <c r="T205" s="0" t="s">
        <v>4795</v>
      </c>
      <c r="U205" s="0" t="s">
        <v>4796</v>
      </c>
      <c r="V205" s="0" t="s">
        <v>5205</v>
      </c>
      <c r="W205" s="0" t="s">
        <v>4798</v>
      </c>
      <c r="X205" s="0" t="s">
        <v>4799</v>
      </c>
      <c r="Y205" s="0" t="s">
        <v>4796</v>
      </c>
      <c r="Z205" s="0" t="s">
        <v>5206</v>
      </c>
      <c r="AA205" s="0" t="s">
        <v>4807</v>
      </c>
      <c r="AB205" s="0" t="s">
        <v>5205</v>
      </c>
      <c r="AC205" s="0" t="s">
        <v>62</v>
      </c>
      <c r="AD205" s="0" t="s">
        <v>62</v>
      </c>
      <c r="AE205" s="0" t="s">
        <v>62</v>
      </c>
      <c r="AF205" s="0" t="s">
        <v>5039</v>
      </c>
      <c r="AG205" s="0" t="s">
        <v>5229</v>
      </c>
      <c r="AH205" s="0" t="s">
        <v>5039</v>
      </c>
      <c r="AI205" s="0" t="s">
        <v>5229</v>
      </c>
      <c r="AJ205" s="0" t="s">
        <v>5039</v>
      </c>
      <c r="AK205" s="0" t="s">
        <v>5229</v>
      </c>
      <c r="AL205" s="0" t="s">
        <v>4804</v>
      </c>
    </row>
    <row customHeight="1" ht="11.25">
      <c r="A206" s="0" t="s">
        <v>22</v>
      </c>
      <c r="B206" s="0" t="s">
        <v>48</v>
      </c>
      <c r="C206" s="0" t="s">
        <v>50</v>
      </c>
      <c r="D206" s="0" t="s">
        <v>22</v>
      </c>
      <c r="E206" s="0" t="s">
        <v>5230</v>
      </c>
      <c r="F206" s="0" t="s">
        <v>1299</v>
      </c>
      <c r="G206" s="0" t="s">
        <v>123</v>
      </c>
      <c r="H206" s="0" t="s">
        <v>4183</v>
      </c>
      <c r="I206" s="0" t="s">
        <v>4184</v>
      </c>
      <c r="J206" s="0" t="s">
        <v>5231</v>
      </c>
      <c r="K206" s="0" t="s">
        <v>5232</v>
      </c>
      <c r="L206" s="0" t="s">
        <v>5233</v>
      </c>
      <c r="M206" s="0" t="s">
        <v>2062</v>
      </c>
      <c r="N206" s="0" t="s">
        <v>210</v>
      </c>
      <c r="O206" s="0" t="s">
        <v>123</v>
      </c>
      <c r="P206" s="0" t="s">
        <v>4183</v>
      </c>
      <c r="Q206" s="0" t="s">
        <v>4184</v>
      </c>
      <c r="R206" s="0" t="s">
        <v>5231</v>
      </c>
      <c r="S206" s="0" t="s">
        <v>5232</v>
      </c>
      <c r="T206" s="0" t="s">
        <v>4795</v>
      </c>
      <c r="U206" s="0" t="s">
        <v>4796</v>
      </c>
      <c r="V206" s="0" t="s">
        <v>5202</v>
      </c>
      <c r="W206" s="0" t="s">
        <v>4798</v>
      </c>
      <c r="X206" s="0" t="s">
        <v>4799</v>
      </c>
      <c r="Y206" s="0" t="s">
        <v>4796</v>
      </c>
      <c r="Z206" s="0" t="s">
        <v>5203</v>
      </c>
      <c r="AA206" s="0" t="s">
        <v>4801</v>
      </c>
      <c r="AB206" s="0" t="s">
        <v>5202</v>
      </c>
      <c r="AC206" s="0" t="s">
        <v>62</v>
      </c>
      <c r="AD206" s="0" t="s">
        <v>62</v>
      </c>
      <c r="AE206" s="0" t="s">
        <v>62</v>
      </c>
      <c r="AF206" s="0" t="s">
        <v>5039</v>
      </c>
      <c r="AG206" s="0" t="s">
        <v>5040</v>
      </c>
      <c r="AH206" s="0" t="s">
        <v>5039</v>
      </c>
      <c r="AI206" s="0" t="s">
        <v>5040</v>
      </c>
      <c r="AJ206" s="0" t="s">
        <v>5039</v>
      </c>
      <c r="AK206" s="0" t="s">
        <v>5040</v>
      </c>
      <c r="AL206" s="0" t="s">
        <v>4804</v>
      </c>
    </row>
    <row customHeight="1" ht="11.25">
      <c r="A207" s="0" t="s">
        <v>22</v>
      </c>
      <c r="B207" s="0" t="s">
        <v>48</v>
      </c>
      <c r="C207" s="0" t="s">
        <v>50</v>
      </c>
      <c r="D207" s="0" t="s">
        <v>22</v>
      </c>
      <c r="E207" s="0" t="s">
        <v>5230</v>
      </c>
      <c r="F207" s="0" t="s">
        <v>1299</v>
      </c>
      <c r="G207" s="0" t="s">
        <v>123</v>
      </c>
      <c r="H207" s="0" t="s">
        <v>4183</v>
      </c>
      <c r="I207" s="0" t="s">
        <v>4184</v>
      </c>
      <c r="J207" s="0" t="s">
        <v>5231</v>
      </c>
      <c r="K207" s="0" t="s">
        <v>5232</v>
      </c>
      <c r="L207" s="0" t="s">
        <v>5233</v>
      </c>
      <c r="M207" s="0" t="s">
        <v>2062</v>
      </c>
      <c r="N207" s="0" t="s">
        <v>210</v>
      </c>
      <c r="O207" s="0" t="s">
        <v>123</v>
      </c>
      <c r="P207" s="0" t="s">
        <v>4183</v>
      </c>
      <c r="Q207" s="0" t="s">
        <v>4184</v>
      </c>
      <c r="R207" s="0" t="s">
        <v>5231</v>
      </c>
      <c r="S207" s="0" t="s">
        <v>5232</v>
      </c>
      <c r="T207" s="0" t="s">
        <v>4795</v>
      </c>
      <c r="U207" s="0" t="s">
        <v>4796</v>
      </c>
      <c r="V207" s="0" t="s">
        <v>5205</v>
      </c>
      <c r="W207" s="0" t="s">
        <v>4798</v>
      </c>
      <c r="X207" s="0" t="s">
        <v>4799</v>
      </c>
      <c r="Y207" s="0" t="s">
        <v>4796</v>
      </c>
      <c r="Z207" s="0" t="s">
        <v>5206</v>
      </c>
      <c r="AA207" s="0" t="s">
        <v>4807</v>
      </c>
      <c r="AB207" s="0" t="s">
        <v>5205</v>
      </c>
      <c r="AC207" s="0" t="s">
        <v>62</v>
      </c>
      <c r="AD207" s="0" t="s">
        <v>62</v>
      </c>
      <c r="AE207" s="0" t="s">
        <v>62</v>
      </c>
      <c r="AF207" s="0" t="s">
        <v>5039</v>
      </c>
      <c r="AG207" s="0" t="s">
        <v>5040</v>
      </c>
      <c r="AH207" s="0" t="s">
        <v>5039</v>
      </c>
      <c r="AI207" s="0" t="s">
        <v>5040</v>
      </c>
      <c r="AJ207" s="0" t="s">
        <v>5039</v>
      </c>
      <c r="AK207" s="0" t="s">
        <v>5040</v>
      </c>
      <c r="AL207" s="0" t="s">
        <v>4804</v>
      </c>
    </row>
    <row customHeight="1" ht="11.25">
      <c r="A208" s="0" t="s">
        <v>22</v>
      </c>
      <c r="B208" s="0" t="s">
        <v>48</v>
      </c>
      <c r="C208" s="0" t="s">
        <v>50</v>
      </c>
      <c r="D208" s="0" t="s">
        <v>22</v>
      </c>
      <c r="E208" s="0" t="s">
        <v>5234</v>
      </c>
      <c r="F208" s="0" t="s">
        <v>1299</v>
      </c>
      <c r="G208" s="0" t="s">
        <v>123</v>
      </c>
      <c r="H208" s="0" t="s">
        <v>4183</v>
      </c>
      <c r="I208" s="0" t="s">
        <v>4184</v>
      </c>
      <c r="J208" s="0" t="s">
        <v>5235</v>
      </c>
      <c r="K208" s="0" t="s">
        <v>5236</v>
      </c>
      <c r="L208" s="0" t="s">
        <v>1378</v>
      </c>
      <c r="M208" s="0" t="s">
        <v>1965</v>
      </c>
      <c r="N208" s="0" t="s">
        <v>210</v>
      </c>
      <c r="O208" s="0" t="s">
        <v>123</v>
      </c>
      <c r="P208" s="0" t="s">
        <v>4183</v>
      </c>
      <c r="Q208" s="0" t="s">
        <v>4184</v>
      </c>
      <c r="R208" s="0" t="s">
        <v>5235</v>
      </c>
      <c r="S208" s="0" t="s">
        <v>5236</v>
      </c>
      <c r="T208" s="0" t="s">
        <v>4795</v>
      </c>
      <c r="U208" s="0" t="s">
        <v>4796</v>
      </c>
      <c r="V208" s="0" t="s">
        <v>5202</v>
      </c>
      <c r="W208" s="0" t="s">
        <v>4798</v>
      </c>
      <c r="X208" s="0" t="s">
        <v>4799</v>
      </c>
      <c r="Y208" s="0" t="s">
        <v>4796</v>
      </c>
      <c r="Z208" s="0" t="s">
        <v>5203</v>
      </c>
      <c r="AA208" s="0" t="s">
        <v>4801</v>
      </c>
      <c r="AB208" s="0" t="s">
        <v>5202</v>
      </c>
      <c r="AC208" s="0" t="s">
        <v>62</v>
      </c>
      <c r="AD208" s="0" t="s">
        <v>62</v>
      </c>
      <c r="AE208" s="0" t="s">
        <v>62</v>
      </c>
      <c r="AF208" s="0" t="s">
        <v>5039</v>
      </c>
      <c r="AG208" s="0" t="s">
        <v>4896</v>
      </c>
      <c r="AH208" s="0" t="s">
        <v>5039</v>
      </c>
      <c r="AI208" s="0" t="s">
        <v>4896</v>
      </c>
      <c r="AJ208" s="0" t="s">
        <v>5039</v>
      </c>
      <c r="AK208" s="0" t="s">
        <v>4896</v>
      </c>
      <c r="AL208" s="0" t="s">
        <v>4804</v>
      </c>
    </row>
    <row customHeight="1" ht="11.25">
      <c r="A209" s="0" t="s">
        <v>22</v>
      </c>
      <c r="B209" s="0" t="s">
        <v>48</v>
      </c>
      <c r="C209" s="0" t="s">
        <v>50</v>
      </c>
      <c r="D209" s="0" t="s">
        <v>22</v>
      </c>
      <c r="E209" s="0" t="s">
        <v>5234</v>
      </c>
      <c r="F209" s="0" t="s">
        <v>1299</v>
      </c>
      <c r="G209" s="0" t="s">
        <v>123</v>
      </c>
      <c r="H209" s="0" t="s">
        <v>4183</v>
      </c>
      <c r="I209" s="0" t="s">
        <v>4184</v>
      </c>
      <c r="J209" s="0" t="s">
        <v>5235</v>
      </c>
      <c r="K209" s="0" t="s">
        <v>5236</v>
      </c>
      <c r="L209" s="0" t="s">
        <v>1378</v>
      </c>
      <c r="M209" s="0" t="s">
        <v>1965</v>
      </c>
      <c r="N209" s="0" t="s">
        <v>210</v>
      </c>
      <c r="O209" s="0" t="s">
        <v>123</v>
      </c>
      <c r="P209" s="0" t="s">
        <v>4183</v>
      </c>
      <c r="Q209" s="0" t="s">
        <v>4184</v>
      </c>
      <c r="R209" s="0" t="s">
        <v>5235</v>
      </c>
      <c r="S209" s="0" t="s">
        <v>5236</v>
      </c>
      <c r="T209" s="0" t="s">
        <v>4795</v>
      </c>
      <c r="U209" s="0" t="s">
        <v>4796</v>
      </c>
      <c r="V209" s="0" t="s">
        <v>5205</v>
      </c>
      <c r="W209" s="0" t="s">
        <v>4798</v>
      </c>
      <c r="X209" s="0" t="s">
        <v>4799</v>
      </c>
      <c r="Y209" s="0" t="s">
        <v>4796</v>
      </c>
      <c r="Z209" s="0" t="s">
        <v>5206</v>
      </c>
      <c r="AA209" s="0" t="s">
        <v>4807</v>
      </c>
      <c r="AB209" s="0" t="s">
        <v>5205</v>
      </c>
      <c r="AC209" s="0" t="s">
        <v>62</v>
      </c>
      <c r="AD209" s="0" t="s">
        <v>62</v>
      </c>
      <c r="AE209" s="0" t="s">
        <v>62</v>
      </c>
      <c r="AF209" s="0" t="s">
        <v>5039</v>
      </c>
      <c r="AG209" s="0" t="s">
        <v>4896</v>
      </c>
      <c r="AH209" s="0" t="s">
        <v>5039</v>
      </c>
      <c r="AI209" s="0" t="s">
        <v>4896</v>
      </c>
      <c r="AJ209" s="0" t="s">
        <v>5039</v>
      </c>
      <c r="AK209" s="0" t="s">
        <v>4896</v>
      </c>
      <c r="AL209" s="0" t="s">
        <v>4804</v>
      </c>
    </row>
    <row customHeight="1" ht="11.25">
      <c r="A210" s="0" t="s">
        <v>22</v>
      </c>
      <c r="B210" s="0" t="s">
        <v>48</v>
      </c>
      <c r="C210" s="0" t="s">
        <v>50</v>
      </c>
      <c r="D210" s="0" t="s">
        <v>22</v>
      </c>
      <c r="E210" s="0" t="s">
        <v>5237</v>
      </c>
      <c r="F210" s="0" t="s">
        <v>1299</v>
      </c>
      <c r="G210" s="0" t="s">
        <v>123</v>
      </c>
      <c r="H210" s="0" t="s">
        <v>4183</v>
      </c>
      <c r="I210" s="0" t="s">
        <v>4184</v>
      </c>
      <c r="J210" s="0" t="s">
        <v>5238</v>
      </c>
      <c r="K210" s="0" t="s">
        <v>5239</v>
      </c>
      <c r="L210" s="0" t="s">
        <v>1346</v>
      </c>
      <c r="M210" s="0" t="s">
        <v>210</v>
      </c>
      <c r="N210" s="0" t="s">
        <v>210</v>
      </c>
      <c r="O210" s="0" t="s">
        <v>123</v>
      </c>
      <c r="P210" s="0" t="s">
        <v>4183</v>
      </c>
      <c r="Q210" s="0" t="s">
        <v>4184</v>
      </c>
      <c r="R210" s="0" t="s">
        <v>5238</v>
      </c>
      <c r="S210" s="0" t="s">
        <v>5239</v>
      </c>
      <c r="T210" s="0" t="s">
        <v>4795</v>
      </c>
      <c r="U210" s="0" t="s">
        <v>4796</v>
      </c>
      <c r="V210" s="0" t="s">
        <v>5202</v>
      </c>
      <c r="W210" s="0" t="s">
        <v>4798</v>
      </c>
      <c r="X210" s="0" t="s">
        <v>4799</v>
      </c>
      <c r="Y210" s="0" t="s">
        <v>4796</v>
      </c>
      <c r="Z210" s="0" t="s">
        <v>5203</v>
      </c>
      <c r="AA210" s="0" t="s">
        <v>4801</v>
      </c>
      <c r="AB210" s="0" t="s">
        <v>5202</v>
      </c>
      <c r="AC210" s="0" t="s">
        <v>62</v>
      </c>
      <c r="AD210" s="0" t="s">
        <v>62</v>
      </c>
      <c r="AE210" s="0" t="s">
        <v>62</v>
      </c>
      <c r="AF210" s="0" t="s">
        <v>4862</v>
      </c>
      <c r="AG210" s="0" t="s">
        <v>5240</v>
      </c>
      <c r="AH210" s="0" t="s">
        <v>4862</v>
      </c>
      <c r="AI210" s="0" t="s">
        <v>5240</v>
      </c>
      <c r="AJ210" s="0" t="s">
        <v>4862</v>
      </c>
      <c r="AK210" s="0" t="s">
        <v>5240</v>
      </c>
      <c r="AL210" s="0" t="s">
        <v>4804</v>
      </c>
    </row>
    <row customHeight="1" ht="11.25">
      <c r="A211" s="0" t="s">
        <v>22</v>
      </c>
      <c r="B211" s="0" t="s">
        <v>48</v>
      </c>
      <c r="C211" s="0" t="s">
        <v>50</v>
      </c>
      <c r="D211" s="0" t="s">
        <v>22</v>
      </c>
      <c r="E211" s="0" t="s">
        <v>5237</v>
      </c>
      <c r="F211" s="0" t="s">
        <v>1299</v>
      </c>
      <c r="G211" s="0" t="s">
        <v>123</v>
      </c>
      <c r="H211" s="0" t="s">
        <v>4183</v>
      </c>
      <c r="I211" s="0" t="s">
        <v>4184</v>
      </c>
      <c r="J211" s="0" t="s">
        <v>5238</v>
      </c>
      <c r="K211" s="0" t="s">
        <v>5239</v>
      </c>
      <c r="L211" s="0" t="s">
        <v>1346</v>
      </c>
      <c r="M211" s="0" t="s">
        <v>210</v>
      </c>
      <c r="N211" s="0" t="s">
        <v>210</v>
      </c>
      <c r="O211" s="0" t="s">
        <v>123</v>
      </c>
      <c r="P211" s="0" t="s">
        <v>4183</v>
      </c>
      <c r="Q211" s="0" t="s">
        <v>4184</v>
      </c>
      <c r="R211" s="0" t="s">
        <v>5238</v>
      </c>
      <c r="S211" s="0" t="s">
        <v>5239</v>
      </c>
      <c r="T211" s="0" t="s">
        <v>4795</v>
      </c>
      <c r="U211" s="0" t="s">
        <v>4796</v>
      </c>
      <c r="V211" s="0" t="s">
        <v>5205</v>
      </c>
      <c r="W211" s="0" t="s">
        <v>4798</v>
      </c>
      <c r="X211" s="0" t="s">
        <v>4799</v>
      </c>
      <c r="Y211" s="0" t="s">
        <v>4796</v>
      </c>
      <c r="Z211" s="0" t="s">
        <v>5206</v>
      </c>
      <c r="AA211" s="0" t="s">
        <v>4807</v>
      </c>
      <c r="AB211" s="0" t="s">
        <v>5205</v>
      </c>
      <c r="AC211" s="0" t="s">
        <v>62</v>
      </c>
      <c r="AD211" s="0" t="s">
        <v>62</v>
      </c>
      <c r="AE211" s="0" t="s">
        <v>62</v>
      </c>
      <c r="AF211" s="0" t="s">
        <v>4862</v>
      </c>
      <c r="AG211" s="0" t="s">
        <v>5240</v>
      </c>
      <c r="AH211" s="0" t="s">
        <v>4862</v>
      </c>
      <c r="AI211" s="0" t="s">
        <v>5240</v>
      </c>
      <c r="AJ211" s="0" t="s">
        <v>4862</v>
      </c>
      <c r="AK211" s="0" t="s">
        <v>5240</v>
      </c>
      <c r="AL211" s="0" t="s">
        <v>4804</v>
      </c>
    </row>
    <row customHeight="1" ht="11.25">
      <c r="A212" s="0" t="s">
        <v>22</v>
      </c>
      <c r="B212" s="0" t="s">
        <v>48</v>
      </c>
      <c r="C212" s="0" t="s">
        <v>50</v>
      </c>
      <c r="D212" s="0" t="s">
        <v>22</v>
      </c>
      <c r="E212" s="0" t="s">
        <v>5241</v>
      </c>
      <c r="F212" s="0" t="s">
        <v>1299</v>
      </c>
      <c r="G212" s="0" t="s">
        <v>123</v>
      </c>
      <c r="H212" s="0" t="s">
        <v>4183</v>
      </c>
      <c r="I212" s="0" t="s">
        <v>4184</v>
      </c>
      <c r="J212" s="0" t="s">
        <v>5238</v>
      </c>
      <c r="K212" s="0" t="s">
        <v>5239</v>
      </c>
      <c r="L212" s="0" t="s">
        <v>5242</v>
      </c>
      <c r="M212" s="0" t="s">
        <v>210</v>
      </c>
      <c r="N212" s="0" t="s">
        <v>210</v>
      </c>
      <c r="O212" s="0" t="s">
        <v>123</v>
      </c>
      <c r="P212" s="0" t="s">
        <v>4183</v>
      </c>
      <c r="Q212" s="0" t="s">
        <v>4184</v>
      </c>
      <c r="R212" s="0" t="s">
        <v>5238</v>
      </c>
      <c r="S212" s="0" t="s">
        <v>5239</v>
      </c>
      <c r="T212" s="0" t="s">
        <v>4795</v>
      </c>
      <c r="U212" s="0" t="s">
        <v>4796</v>
      </c>
      <c r="V212" s="0" t="s">
        <v>5205</v>
      </c>
      <c r="W212" s="0" t="s">
        <v>4798</v>
      </c>
      <c r="X212" s="0" t="s">
        <v>4799</v>
      </c>
      <c r="Y212" s="0" t="s">
        <v>4796</v>
      </c>
      <c r="Z212" s="0" t="s">
        <v>5206</v>
      </c>
      <c r="AA212" s="0" t="s">
        <v>4807</v>
      </c>
      <c r="AB212" s="0" t="s">
        <v>5205</v>
      </c>
      <c r="AC212" s="0" t="s">
        <v>62</v>
      </c>
      <c r="AD212" s="0" t="s">
        <v>62</v>
      </c>
      <c r="AE212" s="0" t="s">
        <v>62</v>
      </c>
      <c r="AF212" s="0" t="s">
        <v>5243</v>
      </c>
      <c r="AG212" s="0" t="s">
        <v>5244</v>
      </c>
      <c r="AH212" s="0" t="s">
        <v>5243</v>
      </c>
      <c r="AI212" s="0" t="s">
        <v>5244</v>
      </c>
      <c r="AJ212" s="0" t="s">
        <v>5243</v>
      </c>
      <c r="AK212" s="0" t="s">
        <v>5244</v>
      </c>
      <c r="AL212" s="0" t="s">
        <v>4804</v>
      </c>
    </row>
    <row customHeight="1" ht="11.25">
      <c r="A213" s="0" t="s">
        <v>22</v>
      </c>
      <c r="B213" s="0" t="s">
        <v>48</v>
      </c>
      <c r="C213" s="0" t="s">
        <v>50</v>
      </c>
      <c r="D213" s="0" t="s">
        <v>22</v>
      </c>
      <c r="E213" s="0" t="s">
        <v>5241</v>
      </c>
      <c r="F213" s="0" t="s">
        <v>1299</v>
      </c>
      <c r="G213" s="0" t="s">
        <v>123</v>
      </c>
      <c r="H213" s="0" t="s">
        <v>4183</v>
      </c>
      <c r="I213" s="0" t="s">
        <v>4184</v>
      </c>
      <c r="J213" s="0" t="s">
        <v>5238</v>
      </c>
      <c r="K213" s="0" t="s">
        <v>5239</v>
      </c>
      <c r="L213" s="0" t="s">
        <v>5242</v>
      </c>
      <c r="M213" s="0" t="s">
        <v>210</v>
      </c>
      <c r="N213" s="0" t="s">
        <v>210</v>
      </c>
      <c r="O213" s="0" t="s">
        <v>123</v>
      </c>
      <c r="P213" s="0" t="s">
        <v>4183</v>
      </c>
      <c r="Q213" s="0" t="s">
        <v>4184</v>
      </c>
      <c r="R213" s="0" t="s">
        <v>5238</v>
      </c>
      <c r="S213" s="0" t="s">
        <v>5239</v>
      </c>
      <c r="T213" s="0" t="s">
        <v>4795</v>
      </c>
      <c r="U213" s="0" t="s">
        <v>4796</v>
      </c>
      <c r="V213" s="0" t="s">
        <v>5202</v>
      </c>
      <c r="W213" s="0" t="s">
        <v>4798</v>
      </c>
      <c r="X213" s="0" t="s">
        <v>4799</v>
      </c>
      <c r="Y213" s="0" t="s">
        <v>4796</v>
      </c>
      <c r="Z213" s="0" t="s">
        <v>5203</v>
      </c>
      <c r="AA213" s="0" t="s">
        <v>4801</v>
      </c>
      <c r="AB213" s="0" t="s">
        <v>5202</v>
      </c>
      <c r="AC213" s="0" t="s">
        <v>62</v>
      </c>
      <c r="AD213" s="0" t="s">
        <v>62</v>
      </c>
      <c r="AE213" s="0" t="s">
        <v>62</v>
      </c>
      <c r="AF213" s="0" t="s">
        <v>5243</v>
      </c>
      <c r="AG213" s="0" t="s">
        <v>5244</v>
      </c>
      <c r="AH213" s="0" t="s">
        <v>5243</v>
      </c>
      <c r="AI213" s="0" t="s">
        <v>5244</v>
      </c>
      <c r="AJ213" s="0" t="s">
        <v>5243</v>
      </c>
      <c r="AK213" s="0" t="s">
        <v>5244</v>
      </c>
      <c r="AL213" s="0" t="s">
        <v>4804</v>
      </c>
    </row>
    <row customHeight="1" ht="11.25">
      <c r="A214" s="0" t="s">
        <v>22</v>
      </c>
      <c r="B214" s="0" t="s">
        <v>48</v>
      </c>
      <c r="C214" s="0" t="s">
        <v>50</v>
      </c>
      <c r="D214" s="0" t="s">
        <v>22</v>
      </c>
      <c r="E214" s="0" t="s">
        <v>5245</v>
      </c>
      <c r="F214" s="0" t="s">
        <v>1299</v>
      </c>
      <c r="G214" s="0" t="s">
        <v>123</v>
      </c>
      <c r="H214" s="0" t="s">
        <v>4183</v>
      </c>
      <c r="I214" s="0" t="s">
        <v>4184</v>
      </c>
      <c r="J214" s="0" t="s">
        <v>5246</v>
      </c>
      <c r="K214" s="0" t="s">
        <v>5247</v>
      </c>
      <c r="L214" s="0" t="s">
        <v>1378</v>
      </c>
      <c r="M214" s="0" t="s">
        <v>1994</v>
      </c>
      <c r="N214" s="0" t="s">
        <v>210</v>
      </c>
      <c r="O214" s="0" t="s">
        <v>123</v>
      </c>
      <c r="P214" s="0" t="s">
        <v>4183</v>
      </c>
      <c r="Q214" s="0" t="s">
        <v>4184</v>
      </c>
      <c r="R214" s="0" t="s">
        <v>5246</v>
      </c>
      <c r="S214" s="0" t="s">
        <v>5247</v>
      </c>
      <c r="T214" s="0" t="s">
        <v>4795</v>
      </c>
      <c r="U214" s="0" t="s">
        <v>4796</v>
      </c>
      <c r="V214" s="0" t="s">
        <v>5205</v>
      </c>
      <c r="W214" s="0" t="s">
        <v>4798</v>
      </c>
      <c r="X214" s="0" t="s">
        <v>4799</v>
      </c>
      <c r="Y214" s="0" t="s">
        <v>4796</v>
      </c>
      <c r="Z214" s="0" t="s">
        <v>5206</v>
      </c>
      <c r="AA214" s="0" t="s">
        <v>4807</v>
      </c>
      <c r="AB214" s="0" t="s">
        <v>5205</v>
      </c>
      <c r="AC214" s="0" t="s">
        <v>62</v>
      </c>
      <c r="AD214" s="0" t="s">
        <v>62</v>
      </c>
      <c r="AE214" s="0" t="s">
        <v>62</v>
      </c>
      <c r="AF214" s="0" t="s">
        <v>4862</v>
      </c>
      <c r="AG214" s="0" t="s">
        <v>5240</v>
      </c>
      <c r="AH214" s="0" t="s">
        <v>4862</v>
      </c>
      <c r="AI214" s="0" t="s">
        <v>5240</v>
      </c>
      <c r="AJ214" s="0" t="s">
        <v>4862</v>
      </c>
      <c r="AK214" s="0" t="s">
        <v>5240</v>
      </c>
      <c r="AL214" s="0" t="s">
        <v>4804</v>
      </c>
    </row>
    <row customHeight="1" ht="11.25">
      <c r="A215" s="0" t="s">
        <v>22</v>
      </c>
      <c r="B215" s="0" t="s">
        <v>48</v>
      </c>
      <c r="C215" s="0" t="s">
        <v>50</v>
      </c>
      <c r="D215" s="0" t="s">
        <v>22</v>
      </c>
      <c r="E215" s="0" t="s">
        <v>5245</v>
      </c>
      <c r="F215" s="0" t="s">
        <v>1299</v>
      </c>
      <c r="G215" s="0" t="s">
        <v>123</v>
      </c>
      <c r="H215" s="0" t="s">
        <v>4183</v>
      </c>
      <c r="I215" s="0" t="s">
        <v>4184</v>
      </c>
      <c r="J215" s="0" t="s">
        <v>5246</v>
      </c>
      <c r="K215" s="0" t="s">
        <v>5247</v>
      </c>
      <c r="L215" s="0" t="s">
        <v>1378</v>
      </c>
      <c r="M215" s="0" t="s">
        <v>1994</v>
      </c>
      <c r="N215" s="0" t="s">
        <v>210</v>
      </c>
      <c r="O215" s="0" t="s">
        <v>123</v>
      </c>
      <c r="P215" s="0" t="s">
        <v>4183</v>
      </c>
      <c r="Q215" s="0" t="s">
        <v>4184</v>
      </c>
      <c r="R215" s="0" t="s">
        <v>5246</v>
      </c>
      <c r="S215" s="0" t="s">
        <v>5247</v>
      </c>
      <c r="T215" s="0" t="s">
        <v>4795</v>
      </c>
      <c r="U215" s="0" t="s">
        <v>4796</v>
      </c>
      <c r="V215" s="0" t="s">
        <v>5202</v>
      </c>
      <c r="W215" s="0" t="s">
        <v>4798</v>
      </c>
      <c r="X215" s="0" t="s">
        <v>4799</v>
      </c>
      <c r="Y215" s="0" t="s">
        <v>4796</v>
      </c>
      <c r="Z215" s="0" t="s">
        <v>5203</v>
      </c>
      <c r="AA215" s="0" t="s">
        <v>4801</v>
      </c>
      <c r="AB215" s="0" t="s">
        <v>5202</v>
      </c>
      <c r="AC215" s="0" t="s">
        <v>62</v>
      </c>
      <c r="AD215" s="0" t="s">
        <v>62</v>
      </c>
      <c r="AE215" s="0" t="s">
        <v>62</v>
      </c>
      <c r="AF215" s="0" t="s">
        <v>4862</v>
      </c>
      <c r="AG215" s="0" t="s">
        <v>5240</v>
      </c>
      <c r="AH215" s="0" t="s">
        <v>4862</v>
      </c>
      <c r="AI215" s="0" t="s">
        <v>5240</v>
      </c>
      <c r="AJ215" s="0" t="s">
        <v>4862</v>
      </c>
      <c r="AK215" s="0" t="s">
        <v>5240</v>
      </c>
      <c r="AL215" s="0" t="s">
        <v>4804</v>
      </c>
    </row>
    <row customHeight="1" ht="11.25">
      <c r="A216" s="0" t="s">
        <v>22</v>
      </c>
      <c r="B216" s="0" t="s">
        <v>48</v>
      </c>
      <c r="C216" s="0" t="s">
        <v>50</v>
      </c>
      <c r="D216" s="0" t="s">
        <v>22</v>
      </c>
      <c r="E216" s="0" t="s">
        <v>5248</v>
      </c>
      <c r="F216" s="0" t="s">
        <v>1299</v>
      </c>
      <c r="G216" s="0" t="s">
        <v>123</v>
      </c>
      <c r="H216" s="0" t="s">
        <v>4183</v>
      </c>
      <c r="I216" s="0" t="s">
        <v>4184</v>
      </c>
      <c r="J216" s="0" t="s">
        <v>5246</v>
      </c>
      <c r="K216" s="0" t="s">
        <v>5247</v>
      </c>
      <c r="L216" s="0" t="s">
        <v>1378</v>
      </c>
      <c r="M216" s="0" t="s">
        <v>2025</v>
      </c>
      <c r="N216" s="0" t="s">
        <v>210</v>
      </c>
      <c r="O216" s="0" t="s">
        <v>123</v>
      </c>
      <c r="P216" s="0" t="s">
        <v>4183</v>
      </c>
      <c r="Q216" s="0" t="s">
        <v>4184</v>
      </c>
      <c r="R216" s="0" t="s">
        <v>5246</v>
      </c>
      <c r="S216" s="0" t="s">
        <v>5247</v>
      </c>
      <c r="T216" s="0" t="s">
        <v>4795</v>
      </c>
      <c r="U216" s="0" t="s">
        <v>4796</v>
      </c>
      <c r="V216" s="0" t="s">
        <v>5205</v>
      </c>
      <c r="W216" s="0" t="s">
        <v>4798</v>
      </c>
      <c r="X216" s="0" t="s">
        <v>4799</v>
      </c>
      <c r="Y216" s="0" t="s">
        <v>4796</v>
      </c>
      <c r="Z216" s="0" t="s">
        <v>5206</v>
      </c>
      <c r="AA216" s="0" t="s">
        <v>4807</v>
      </c>
      <c r="AB216" s="0" t="s">
        <v>5205</v>
      </c>
      <c r="AC216" s="0" t="s">
        <v>62</v>
      </c>
      <c r="AD216" s="0" t="s">
        <v>62</v>
      </c>
      <c r="AE216" s="0" t="s">
        <v>62</v>
      </c>
      <c r="AF216" s="0" t="s">
        <v>5039</v>
      </c>
      <c r="AG216" s="0" t="s">
        <v>5249</v>
      </c>
      <c r="AH216" s="0" t="s">
        <v>5039</v>
      </c>
      <c r="AI216" s="0" t="s">
        <v>5249</v>
      </c>
      <c r="AJ216" s="0" t="s">
        <v>5039</v>
      </c>
      <c r="AK216" s="0" t="s">
        <v>5249</v>
      </c>
      <c r="AL216" s="0" t="s">
        <v>4804</v>
      </c>
    </row>
    <row customHeight="1" ht="11.25">
      <c r="A217" s="0" t="s">
        <v>22</v>
      </c>
      <c r="B217" s="0" t="s">
        <v>48</v>
      </c>
      <c r="C217" s="0" t="s">
        <v>50</v>
      </c>
      <c r="D217" s="0" t="s">
        <v>22</v>
      </c>
      <c r="E217" s="0" t="s">
        <v>5248</v>
      </c>
      <c r="F217" s="0" t="s">
        <v>1299</v>
      </c>
      <c r="G217" s="0" t="s">
        <v>123</v>
      </c>
      <c r="H217" s="0" t="s">
        <v>4183</v>
      </c>
      <c r="I217" s="0" t="s">
        <v>4184</v>
      </c>
      <c r="J217" s="0" t="s">
        <v>5246</v>
      </c>
      <c r="K217" s="0" t="s">
        <v>5247</v>
      </c>
      <c r="L217" s="0" t="s">
        <v>1378</v>
      </c>
      <c r="M217" s="0" t="s">
        <v>2025</v>
      </c>
      <c r="N217" s="0" t="s">
        <v>210</v>
      </c>
      <c r="O217" s="0" t="s">
        <v>123</v>
      </c>
      <c r="P217" s="0" t="s">
        <v>4183</v>
      </c>
      <c r="Q217" s="0" t="s">
        <v>4184</v>
      </c>
      <c r="R217" s="0" t="s">
        <v>5246</v>
      </c>
      <c r="S217" s="0" t="s">
        <v>5247</v>
      </c>
      <c r="T217" s="0" t="s">
        <v>4795</v>
      </c>
      <c r="U217" s="0" t="s">
        <v>4796</v>
      </c>
      <c r="V217" s="0" t="s">
        <v>5202</v>
      </c>
      <c r="W217" s="0" t="s">
        <v>4798</v>
      </c>
      <c r="X217" s="0" t="s">
        <v>4799</v>
      </c>
      <c r="Y217" s="0" t="s">
        <v>4796</v>
      </c>
      <c r="Z217" s="0" t="s">
        <v>5203</v>
      </c>
      <c r="AA217" s="0" t="s">
        <v>4801</v>
      </c>
      <c r="AB217" s="0" t="s">
        <v>5202</v>
      </c>
      <c r="AC217" s="0" t="s">
        <v>62</v>
      </c>
      <c r="AD217" s="0" t="s">
        <v>62</v>
      </c>
      <c r="AE217" s="0" t="s">
        <v>62</v>
      </c>
      <c r="AF217" s="0" t="s">
        <v>5039</v>
      </c>
      <c r="AG217" s="0" t="s">
        <v>5249</v>
      </c>
      <c r="AH217" s="0" t="s">
        <v>5039</v>
      </c>
      <c r="AI217" s="0" t="s">
        <v>5249</v>
      </c>
      <c r="AJ217" s="0" t="s">
        <v>5039</v>
      </c>
      <c r="AK217" s="0" t="s">
        <v>5249</v>
      </c>
      <c r="AL217" s="0" t="s">
        <v>4804</v>
      </c>
    </row>
    <row customHeight="1" ht="11.25">
      <c r="A218" s="0" t="s">
        <v>22</v>
      </c>
      <c r="B218" s="0" t="s">
        <v>48</v>
      </c>
      <c r="C218" s="0" t="s">
        <v>50</v>
      </c>
      <c r="D218" s="0" t="s">
        <v>22</v>
      </c>
      <c r="E218" s="0" t="s">
        <v>5250</v>
      </c>
      <c r="F218" s="0" t="s">
        <v>1299</v>
      </c>
      <c r="G218" s="0" t="s">
        <v>123</v>
      </c>
      <c r="H218" s="0" t="s">
        <v>4195</v>
      </c>
      <c r="I218" s="0" t="s">
        <v>4196</v>
      </c>
      <c r="J218" s="0" t="s">
        <v>5251</v>
      </c>
      <c r="K218" s="0" t="s">
        <v>5252</v>
      </c>
      <c r="L218" s="0" t="s">
        <v>1378</v>
      </c>
      <c r="M218" s="0" t="s">
        <v>5253</v>
      </c>
      <c r="N218" s="0" t="s">
        <v>210</v>
      </c>
      <c r="O218" s="0" t="s">
        <v>123</v>
      </c>
      <c r="P218" s="0" t="s">
        <v>4195</v>
      </c>
      <c r="Q218" s="0" t="s">
        <v>4196</v>
      </c>
      <c r="R218" s="0" t="s">
        <v>5251</v>
      </c>
      <c r="S218" s="0" t="s">
        <v>5252</v>
      </c>
      <c r="T218" s="0" t="s">
        <v>4795</v>
      </c>
      <c r="U218" s="0" t="s">
        <v>4796</v>
      </c>
      <c r="V218" s="0" t="s">
        <v>5205</v>
      </c>
      <c r="W218" s="0" t="s">
        <v>4798</v>
      </c>
      <c r="X218" s="0" t="s">
        <v>4799</v>
      </c>
      <c r="Y218" s="0" t="s">
        <v>4796</v>
      </c>
      <c r="Z218" s="0" t="s">
        <v>5206</v>
      </c>
      <c r="AA218" s="0" t="s">
        <v>4807</v>
      </c>
      <c r="AB218" s="0" t="s">
        <v>5205</v>
      </c>
      <c r="AC218" s="0" t="s">
        <v>62</v>
      </c>
      <c r="AD218" s="0" t="s">
        <v>62</v>
      </c>
      <c r="AE218" s="0" t="s">
        <v>62</v>
      </c>
      <c r="AF218" s="0" t="s">
        <v>4973</v>
      </c>
      <c r="AG218" s="0" t="s">
        <v>5254</v>
      </c>
      <c r="AH218" s="0" t="s">
        <v>4973</v>
      </c>
      <c r="AI218" s="0" t="s">
        <v>5254</v>
      </c>
      <c r="AJ218" s="0" t="s">
        <v>4973</v>
      </c>
      <c r="AK218" s="0" t="s">
        <v>5254</v>
      </c>
      <c r="AL218" s="0" t="s">
        <v>4804</v>
      </c>
    </row>
    <row customHeight="1" ht="11.25">
      <c r="A219" s="0" t="s">
        <v>22</v>
      </c>
      <c r="B219" s="0" t="s">
        <v>48</v>
      </c>
      <c r="C219" s="0" t="s">
        <v>50</v>
      </c>
      <c r="D219" s="0" t="s">
        <v>22</v>
      </c>
      <c r="E219" s="0" t="s">
        <v>5250</v>
      </c>
      <c r="F219" s="0" t="s">
        <v>1299</v>
      </c>
      <c r="G219" s="0" t="s">
        <v>123</v>
      </c>
      <c r="H219" s="0" t="s">
        <v>4195</v>
      </c>
      <c r="I219" s="0" t="s">
        <v>4196</v>
      </c>
      <c r="J219" s="0" t="s">
        <v>5251</v>
      </c>
      <c r="K219" s="0" t="s">
        <v>5252</v>
      </c>
      <c r="L219" s="0" t="s">
        <v>1378</v>
      </c>
      <c r="M219" s="0" t="s">
        <v>5253</v>
      </c>
      <c r="N219" s="0" t="s">
        <v>210</v>
      </c>
      <c r="O219" s="0" t="s">
        <v>123</v>
      </c>
      <c r="P219" s="0" t="s">
        <v>4195</v>
      </c>
      <c r="Q219" s="0" t="s">
        <v>4196</v>
      </c>
      <c r="R219" s="0" t="s">
        <v>5251</v>
      </c>
      <c r="S219" s="0" t="s">
        <v>5252</v>
      </c>
      <c r="T219" s="0" t="s">
        <v>4795</v>
      </c>
      <c r="U219" s="0" t="s">
        <v>4796</v>
      </c>
      <c r="V219" s="0" t="s">
        <v>5202</v>
      </c>
      <c r="W219" s="0" t="s">
        <v>4798</v>
      </c>
      <c r="X219" s="0" t="s">
        <v>4799</v>
      </c>
      <c r="Y219" s="0" t="s">
        <v>4796</v>
      </c>
      <c r="Z219" s="0" t="s">
        <v>5203</v>
      </c>
      <c r="AA219" s="0" t="s">
        <v>4801</v>
      </c>
      <c r="AB219" s="0" t="s">
        <v>5202</v>
      </c>
      <c r="AC219" s="0" t="s">
        <v>62</v>
      </c>
      <c r="AD219" s="0" t="s">
        <v>62</v>
      </c>
      <c r="AE219" s="0" t="s">
        <v>62</v>
      </c>
      <c r="AF219" s="0" t="s">
        <v>4973</v>
      </c>
      <c r="AG219" s="0" t="s">
        <v>5254</v>
      </c>
      <c r="AH219" s="0" t="s">
        <v>4973</v>
      </c>
      <c r="AI219" s="0" t="s">
        <v>5254</v>
      </c>
      <c r="AJ219" s="0" t="s">
        <v>4973</v>
      </c>
      <c r="AK219" s="0" t="s">
        <v>5254</v>
      </c>
      <c r="AL219" s="0" t="s">
        <v>4804</v>
      </c>
    </row>
    <row customHeight="1" ht="11.25">
      <c r="A220" s="0" t="s">
        <v>22</v>
      </c>
      <c r="B220" s="0" t="s">
        <v>48</v>
      </c>
      <c r="C220" s="0" t="s">
        <v>50</v>
      </c>
      <c r="D220" s="0" t="s">
        <v>22</v>
      </c>
      <c r="E220" s="0" t="s">
        <v>5255</v>
      </c>
      <c r="F220" s="0" t="s">
        <v>1299</v>
      </c>
      <c r="G220" s="0" t="s">
        <v>123</v>
      </c>
      <c r="H220" s="0" t="s">
        <v>4195</v>
      </c>
      <c r="I220" s="0" t="s">
        <v>4196</v>
      </c>
      <c r="J220" s="0" t="s">
        <v>5251</v>
      </c>
      <c r="K220" s="0" t="s">
        <v>5252</v>
      </c>
      <c r="L220" s="0" t="s">
        <v>1378</v>
      </c>
      <c r="M220" s="0" t="s">
        <v>5256</v>
      </c>
      <c r="N220" s="0" t="s">
        <v>210</v>
      </c>
      <c r="O220" s="0" t="s">
        <v>123</v>
      </c>
      <c r="P220" s="0" t="s">
        <v>4195</v>
      </c>
      <c r="Q220" s="0" t="s">
        <v>4196</v>
      </c>
      <c r="R220" s="0" t="s">
        <v>5251</v>
      </c>
      <c r="S220" s="0" t="s">
        <v>5252</v>
      </c>
      <c r="T220" s="0" t="s">
        <v>4795</v>
      </c>
      <c r="U220" s="0" t="s">
        <v>4796</v>
      </c>
      <c r="V220" s="0" t="s">
        <v>5202</v>
      </c>
      <c r="W220" s="0" t="s">
        <v>4798</v>
      </c>
      <c r="X220" s="0" t="s">
        <v>4799</v>
      </c>
      <c r="Y220" s="0" t="s">
        <v>4796</v>
      </c>
      <c r="Z220" s="0" t="s">
        <v>5203</v>
      </c>
      <c r="AA220" s="0" t="s">
        <v>4801</v>
      </c>
      <c r="AB220" s="0" t="s">
        <v>5202</v>
      </c>
      <c r="AC220" s="0" t="s">
        <v>62</v>
      </c>
      <c r="AD220" s="0" t="s">
        <v>62</v>
      </c>
      <c r="AE220" s="0" t="s">
        <v>62</v>
      </c>
      <c r="AF220" s="0" t="s">
        <v>4973</v>
      </c>
      <c r="AG220" s="0" t="s">
        <v>5209</v>
      </c>
      <c r="AH220" s="0" t="s">
        <v>4973</v>
      </c>
      <c r="AI220" s="0" t="s">
        <v>5209</v>
      </c>
      <c r="AJ220" s="0" t="s">
        <v>4973</v>
      </c>
      <c r="AK220" s="0" t="s">
        <v>5209</v>
      </c>
      <c r="AL220" s="0" t="s">
        <v>4804</v>
      </c>
    </row>
    <row customHeight="1" ht="11.25">
      <c r="A221" s="0" t="s">
        <v>22</v>
      </c>
      <c r="B221" s="0" t="s">
        <v>48</v>
      </c>
      <c r="C221" s="0" t="s">
        <v>50</v>
      </c>
      <c r="D221" s="0" t="s">
        <v>22</v>
      </c>
      <c r="E221" s="0" t="s">
        <v>5255</v>
      </c>
      <c r="F221" s="0" t="s">
        <v>1299</v>
      </c>
      <c r="G221" s="0" t="s">
        <v>123</v>
      </c>
      <c r="H221" s="0" t="s">
        <v>4195</v>
      </c>
      <c r="I221" s="0" t="s">
        <v>4196</v>
      </c>
      <c r="J221" s="0" t="s">
        <v>5251</v>
      </c>
      <c r="K221" s="0" t="s">
        <v>5252</v>
      </c>
      <c r="L221" s="0" t="s">
        <v>1378</v>
      </c>
      <c r="M221" s="0" t="s">
        <v>5256</v>
      </c>
      <c r="N221" s="0" t="s">
        <v>210</v>
      </c>
      <c r="O221" s="0" t="s">
        <v>123</v>
      </c>
      <c r="P221" s="0" t="s">
        <v>4195</v>
      </c>
      <c r="Q221" s="0" t="s">
        <v>4196</v>
      </c>
      <c r="R221" s="0" t="s">
        <v>5251</v>
      </c>
      <c r="S221" s="0" t="s">
        <v>5252</v>
      </c>
      <c r="T221" s="0" t="s">
        <v>4795</v>
      </c>
      <c r="U221" s="0" t="s">
        <v>4796</v>
      </c>
      <c r="V221" s="0" t="s">
        <v>5205</v>
      </c>
      <c r="W221" s="0" t="s">
        <v>4798</v>
      </c>
      <c r="X221" s="0" t="s">
        <v>4799</v>
      </c>
      <c r="Y221" s="0" t="s">
        <v>4796</v>
      </c>
      <c r="Z221" s="0" t="s">
        <v>5206</v>
      </c>
      <c r="AA221" s="0" t="s">
        <v>4807</v>
      </c>
      <c r="AB221" s="0" t="s">
        <v>5205</v>
      </c>
      <c r="AC221" s="0" t="s">
        <v>62</v>
      </c>
      <c r="AD221" s="0" t="s">
        <v>62</v>
      </c>
      <c r="AE221" s="0" t="s">
        <v>62</v>
      </c>
      <c r="AF221" s="0" t="s">
        <v>4973</v>
      </c>
      <c r="AG221" s="0" t="s">
        <v>5209</v>
      </c>
      <c r="AH221" s="0" t="s">
        <v>4973</v>
      </c>
      <c r="AI221" s="0" t="s">
        <v>5209</v>
      </c>
      <c r="AJ221" s="0" t="s">
        <v>4973</v>
      </c>
      <c r="AK221" s="0" t="s">
        <v>5209</v>
      </c>
      <c r="AL221" s="0" t="s">
        <v>4804</v>
      </c>
    </row>
    <row customHeight="1" ht="11.25">
      <c r="A222" s="0" t="s">
        <v>22</v>
      </c>
      <c r="B222" s="0" t="s">
        <v>48</v>
      </c>
      <c r="C222" s="0" t="s">
        <v>50</v>
      </c>
      <c r="D222" s="0" t="s">
        <v>22</v>
      </c>
      <c r="E222" s="0" t="s">
        <v>5257</v>
      </c>
      <c r="F222" s="0" t="s">
        <v>1299</v>
      </c>
      <c r="G222" s="0" t="s">
        <v>123</v>
      </c>
      <c r="H222" s="0" t="s">
        <v>4195</v>
      </c>
      <c r="I222" s="0" t="s">
        <v>4196</v>
      </c>
      <c r="J222" s="0" t="s">
        <v>5251</v>
      </c>
      <c r="K222" s="0" t="s">
        <v>5252</v>
      </c>
      <c r="L222" s="0" t="s">
        <v>1378</v>
      </c>
      <c r="M222" s="0" t="s">
        <v>5258</v>
      </c>
      <c r="N222" s="0" t="s">
        <v>210</v>
      </c>
      <c r="O222" s="0" t="s">
        <v>123</v>
      </c>
      <c r="P222" s="0" t="s">
        <v>4195</v>
      </c>
      <c r="Q222" s="0" t="s">
        <v>4196</v>
      </c>
      <c r="R222" s="0" t="s">
        <v>5251</v>
      </c>
      <c r="S222" s="0" t="s">
        <v>5252</v>
      </c>
      <c r="T222" s="0" t="s">
        <v>4795</v>
      </c>
      <c r="U222" s="0" t="s">
        <v>4796</v>
      </c>
      <c r="V222" s="0" t="s">
        <v>5205</v>
      </c>
      <c r="W222" s="0" t="s">
        <v>4798</v>
      </c>
      <c r="X222" s="0" t="s">
        <v>4799</v>
      </c>
      <c r="Y222" s="0" t="s">
        <v>4796</v>
      </c>
      <c r="Z222" s="0" t="s">
        <v>5206</v>
      </c>
      <c r="AA222" s="0" t="s">
        <v>4807</v>
      </c>
      <c r="AB222" s="0" t="s">
        <v>5205</v>
      </c>
      <c r="AC222" s="0" t="s">
        <v>62</v>
      </c>
      <c r="AD222" s="0" t="s">
        <v>62</v>
      </c>
      <c r="AE222" s="0" t="s">
        <v>62</v>
      </c>
      <c r="AF222" s="0" t="s">
        <v>4973</v>
      </c>
      <c r="AG222" s="0" t="s">
        <v>5209</v>
      </c>
      <c r="AH222" s="0" t="s">
        <v>4973</v>
      </c>
      <c r="AI222" s="0" t="s">
        <v>5209</v>
      </c>
      <c r="AJ222" s="0" t="s">
        <v>4973</v>
      </c>
      <c r="AK222" s="0" t="s">
        <v>5209</v>
      </c>
      <c r="AL222" s="0" t="s">
        <v>4804</v>
      </c>
    </row>
    <row customHeight="1" ht="11.25">
      <c r="A223" s="0" t="s">
        <v>22</v>
      </c>
      <c r="B223" s="0" t="s">
        <v>48</v>
      </c>
      <c r="C223" s="0" t="s">
        <v>50</v>
      </c>
      <c r="D223" s="0" t="s">
        <v>22</v>
      </c>
      <c r="E223" s="0" t="s">
        <v>5257</v>
      </c>
      <c r="F223" s="0" t="s">
        <v>1299</v>
      </c>
      <c r="G223" s="0" t="s">
        <v>123</v>
      </c>
      <c r="H223" s="0" t="s">
        <v>4195</v>
      </c>
      <c r="I223" s="0" t="s">
        <v>4196</v>
      </c>
      <c r="J223" s="0" t="s">
        <v>5251</v>
      </c>
      <c r="K223" s="0" t="s">
        <v>5252</v>
      </c>
      <c r="L223" s="0" t="s">
        <v>1378</v>
      </c>
      <c r="M223" s="0" t="s">
        <v>5258</v>
      </c>
      <c r="N223" s="0" t="s">
        <v>210</v>
      </c>
      <c r="O223" s="0" t="s">
        <v>123</v>
      </c>
      <c r="P223" s="0" t="s">
        <v>4195</v>
      </c>
      <c r="Q223" s="0" t="s">
        <v>4196</v>
      </c>
      <c r="R223" s="0" t="s">
        <v>5251</v>
      </c>
      <c r="S223" s="0" t="s">
        <v>5252</v>
      </c>
      <c r="T223" s="0" t="s">
        <v>4795</v>
      </c>
      <c r="U223" s="0" t="s">
        <v>4796</v>
      </c>
      <c r="V223" s="0" t="s">
        <v>5202</v>
      </c>
      <c r="W223" s="0" t="s">
        <v>4798</v>
      </c>
      <c r="X223" s="0" t="s">
        <v>4799</v>
      </c>
      <c r="Y223" s="0" t="s">
        <v>4796</v>
      </c>
      <c r="Z223" s="0" t="s">
        <v>5203</v>
      </c>
      <c r="AA223" s="0" t="s">
        <v>4801</v>
      </c>
      <c r="AB223" s="0" t="s">
        <v>5202</v>
      </c>
      <c r="AC223" s="0" t="s">
        <v>62</v>
      </c>
      <c r="AD223" s="0" t="s">
        <v>62</v>
      </c>
      <c r="AE223" s="0" t="s">
        <v>62</v>
      </c>
      <c r="AF223" s="0" t="s">
        <v>4973</v>
      </c>
      <c r="AG223" s="0" t="s">
        <v>5209</v>
      </c>
      <c r="AH223" s="0" t="s">
        <v>4973</v>
      </c>
      <c r="AI223" s="0" t="s">
        <v>5209</v>
      </c>
      <c r="AJ223" s="0" t="s">
        <v>4973</v>
      </c>
      <c r="AK223" s="0" t="s">
        <v>5209</v>
      </c>
      <c r="AL223" s="0" t="s">
        <v>4804</v>
      </c>
    </row>
    <row customHeight="1" ht="11.25">
      <c r="A224" s="0" t="s">
        <v>22</v>
      </c>
      <c r="B224" s="0" t="s">
        <v>48</v>
      </c>
      <c r="C224" s="0" t="s">
        <v>50</v>
      </c>
      <c r="D224" s="0" t="s">
        <v>22</v>
      </c>
      <c r="E224" s="0" t="s">
        <v>1349</v>
      </c>
      <c r="F224" s="0" t="s">
        <v>1299</v>
      </c>
      <c r="G224" s="0" t="s">
        <v>137</v>
      </c>
      <c r="H224" s="0" t="s">
        <v>1350</v>
      </c>
      <c r="I224" s="0" t="s">
        <v>1351</v>
      </c>
      <c r="J224" s="0" t="s">
        <v>1352</v>
      </c>
      <c r="K224" s="0" t="s">
        <v>1353</v>
      </c>
      <c r="L224" s="0" t="s">
        <v>1354</v>
      </c>
      <c r="M224" s="0" t="s">
        <v>1355</v>
      </c>
      <c r="N224" s="0" t="s">
        <v>210</v>
      </c>
      <c r="O224" s="0" t="s">
        <v>137</v>
      </c>
      <c r="P224" s="0" t="s">
        <v>1350</v>
      </c>
      <c r="Q224" s="0" t="s">
        <v>1351</v>
      </c>
      <c r="R224" s="0" t="s">
        <v>1352</v>
      </c>
      <c r="S224" s="0" t="s">
        <v>1353</v>
      </c>
      <c r="T224" s="0" t="s">
        <v>4795</v>
      </c>
      <c r="U224" s="0" t="s">
        <v>4796</v>
      </c>
      <c r="V224" s="0" t="s">
        <v>5259</v>
      </c>
      <c r="W224" s="0" t="s">
        <v>4798</v>
      </c>
      <c r="X224" s="0" t="s">
        <v>4799</v>
      </c>
      <c r="Y224" s="0" t="s">
        <v>4796</v>
      </c>
      <c r="Z224" s="0" t="s">
        <v>5260</v>
      </c>
      <c r="AA224" s="0" t="s">
        <v>4807</v>
      </c>
      <c r="AB224" s="0" t="s">
        <v>5259</v>
      </c>
      <c r="AC224" s="0" t="s">
        <v>62</v>
      </c>
      <c r="AD224" s="0" t="s">
        <v>62</v>
      </c>
      <c r="AE224" s="0" t="s">
        <v>62</v>
      </c>
      <c r="AF224" s="0" t="s">
        <v>4986</v>
      </c>
      <c r="AG224" s="0" t="s">
        <v>5261</v>
      </c>
      <c r="AH224" s="0" t="s">
        <v>4986</v>
      </c>
      <c r="AI224" s="0" t="s">
        <v>5261</v>
      </c>
      <c r="AJ224" s="0" t="s">
        <v>4986</v>
      </c>
      <c r="AK224" s="0" t="s">
        <v>5261</v>
      </c>
      <c r="AL224" s="0" t="s">
        <v>4804</v>
      </c>
    </row>
    <row customHeight="1" ht="11.25">
      <c r="A225" s="0" t="s">
        <v>22</v>
      </c>
      <c r="B225" s="0" t="s">
        <v>48</v>
      </c>
      <c r="C225" s="0" t="s">
        <v>50</v>
      </c>
      <c r="D225" s="0" t="s">
        <v>22</v>
      </c>
      <c r="E225" s="0" t="s">
        <v>1349</v>
      </c>
      <c r="F225" s="0" t="s">
        <v>1299</v>
      </c>
      <c r="G225" s="0" t="s">
        <v>137</v>
      </c>
      <c r="H225" s="0" t="s">
        <v>1350</v>
      </c>
      <c r="I225" s="0" t="s">
        <v>1351</v>
      </c>
      <c r="J225" s="0" t="s">
        <v>1352</v>
      </c>
      <c r="K225" s="0" t="s">
        <v>1353</v>
      </c>
      <c r="L225" s="0" t="s">
        <v>1354</v>
      </c>
      <c r="M225" s="0" t="s">
        <v>1355</v>
      </c>
      <c r="N225" s="0" t="s">
        <v>210</v>
      </c>
      <c r="O225" s="0" t="s">
        <v>137</v>
      </c>
      <c r="P225" s="0" t="s">
        <v>1350</v>
      </c>
      <c r="Q225" s="0" t="s">
        <v>1351</v>
      </c>
      <c r="R225" s="0" t="s">
        <v>1352</v>
      </c>
      <c r="S225" s="0" t="s">
        <v>1353</v>
      </c>
      <c r="T225" s="0" t="s">
        <v>4795</v>
      </c>
      <c r="U225" s="0" t="s">
        <v>4796</v>
      </c>
      <c r="V225" s="0" t="s">
        <v>5262</v>
      </c>
      <c r="W225" s="0" t="s">
        <v>4798</v>
      </c>
      <c r="X225" s="0" t="s">
        <v>4799</v>
      </c>
      <c r="Y225" s="0" t="s">
        <v>4796</v>
      </c>
      <c r="Z225" s="0" t="s">
        <v>5263</v>
      </c>
      <c r="AA225" s="0" t="s">
        <v>5264</v>
      </c>
      <c r="AB225" s="0" t="s">
        <v>5262</v>
      </c>
      <c r="AC225" s="0" t="s">
        <v>62</v>
      </c>
      <c r="AD225" s="0" t="s">
        <v>62</v>
      </c>
      <c r="AE225" s="0" t="s">
        <v>62</v>
      </c>
      <c r="AF225" s="0" t="s">
        <v>4986</v>
      </c>
      <c r="AG225" s="0" t="s">
        <v>5261</v>
      </c>
      <c r="AH225" s="0" t="s">
        <v>4986</v>
      </c>
      <c r="AI225" s="0" t="s">
        <v>5261</v>
      </c>
      <c r="AJ225" s="0" t="s">
        <v>4986</v>
      </c>
      <c r="AK225" s="0" t="s">
        <v>5261</v>
      </c>
      <c r="AL225" s="0" t="s">
        <v>4804</v>
      </c>
    </row>
    <row customHeight="1" ht="11.25">
      <c r="A226" s="0" t="s">
        <v>22</v>
      </c>
      <c r="B226" s="0" t="s">
        <v>48</v>
      </c>
      <c r="C226" s="0" t="s">
        <v>50</v>
      </c>
      <c r="D226" s="0" t="s">
        <v>22</v>
      </c>
      <c r="E226" s="0" t="s">
        <v>5265</v>
      </c>
      <c r="F226" s="0" t="s">
        <v>1299</v>
      </c>
      <c r="G226" s="0" t="s">
        <v>137</v>
      </c>
      <c r="H226" s="0" t="s">
        <v>1350</v>
      </c>
      <c r="I226" s="0" t="s">
        <v>1351</v>
      </c>
      <c r="J226" s="0" t="s">
        <v>1352</v>
      </c>
      <c r="K226" s="0" t="s">
        <v>1353</v>
      </c>
      <c r="L226" s="0" t="s">
        <v>1354</v>
      </c>
      <c r="M226" s="0" t="s">
        <v>1355</v>
      </c>
      <c r="N226" s="0" t="s">
        <v>210</v>
      </c>
      <c r="O226" s="0" t="s">
        <v>137</v>
      </c>
      <c r="P226" s="0" t="s">
        <v>1350</v>
      </c>
      <c r="Q226" s="0" t="s">
        <v>1351</v>
      </c>
      <c r="R226" s="0" t="s">
        <v>1352</v>
      </c>
      <c r="S226" s="0" t="s">
        <v>1353</v>
      </c>
      <c r="T226" s="0" t="s">
        <v>4795</v>
      </c>
      <c r="U226" s="0" t="s">
        <v>4796</v>
      </c>
      <c r="V226" s="0" t="s">
        <v>5259</v>
      </c>
      <c r="W226" s="0" t="s">
        <v>4798</v>
      </c>
      <c r="X226" s="0" t="s">
        <v>4799</v>
      </c>
      <c r="Y226" s="0" t="s">
        <v>4796</v>
      </c>
      <c r="Z226" s="0" t="s">
        <v>5260</v>
      </c>
      <c r="AA226" s="0" t="s">
        <v>4807</v>
      </c>
      <c r="AB226" s="0" t="s">
        <v>5259</v>
      </c>
      <c r="AC226" s="0" t="s">
        <v>62</v>
      </c>
      <c r="AD226" s="0" t="s">
        <v>62</v>
      </c>
      <c r="AE226" s="0" t="s">
        <v>62</v>
      </c>
      <c r="AF226" s="0" t="s">
        <v>4862</v>
      </c>
      <c r="AG226" s="0" t="s">
        <v>5266</v>
      </c>
      <c r="AH226" s="0" t="s">
        <v>4862</v>
      </c>
      <c r="AI226" s="0" t="s">
        <v>5266</v>
      </c>
      <c r="AJ226" s="0" t="s">
        <v>4862</v>
      </c>
      <c r="AK226" s="0" t="s">
        <v>5266</v>
      </c>
      <c r="AL226" s="0" t="s">
        <v>4804</v>
      </c>
    </row>
    <row customHeight="1" ht="11.25">
      <c r="A227" s="0" t="s">
        <v>22</v>
      </c>
      <c r="B227" s="0" t="s">
        <v>48</v>
      </c>
      <c r="C227" s="0" t="s">
        <v>50</v>
      </c>
      <c r="D227" s="0" t="s">
        <v>22</v>
      </c>
      <c r="E227" s="0" t="s">
        <v>5265</v>
      </c>
      <c r="F227" s="0" t="s">
        <v>1299</v>
      </c>
      <c r="G227" s="0" t="s">
        <v>137</v>
      </c>
      <c r="H227" s="0" t="s">
        <v>1350</v>
      </c>
      <c r="I227" s="0" t="s">
        <v>1351</v>
      </c>
      <c r="J227" s="0" t="s">
        <v>1352</v>
      </c>
      <c r="K227" s="0" t="s">
        <v>1353</v>
      </c>
      <c r="L227" s="0" t="s">
        <v>1354</v>
      </c>
      <c r="M227" s="0" t="s">
        <v>1355</v>
      </c>
      <c r="N227" s="0" t="s">
        <v>210</v>
      </c>
      <c r="O227" s="0" t="s">
        <v>137</v>
      </c>
      <c r="P227" s="0" t="s">
        <v>1350</v>
      </c>
      <c r="Q227" s="0" t="s">
        <v>1351</v>
      </c>
      <c r="R227" s="0" t="s">
        <v>1352</v>
      </c>
      <c r="S227" s="0" t="s">
        <v>1353</v>
      </c>
      <c r="T227" s="0" t="s">
        <v>4795</v>
      </c>
      <c r="U227" s="0" t="s">
        <v>4796</v>
      </c>
      <c r="V227" s="0" t="s">
        <v>5262</v>
      </c>
      <c r="W227" s="0" t="s">
        <v>4798</v>
      </c>
      <c r="X227" s="0" t="s">
        <v>4799</v>
      </c>
      <c r="Y227" s="0" t="s">
        <v>4796</v>
      </c>
      <c r="Z227" s="0" t="s">
        <v>5263</v>
      </c>
      <c r="AA227" s="0" t="s">
        <v>5264</v>
      </c>
      <c r="AB227" s="0" t="s">
        <v>5262</v>
      </c>
      <c r="AC227" s="0" t="s">
        <v>62</v>
      </c>
      <c r="AD227" s="0" t="s">
        <v>62</v>
      </c>
      <c r="AE227" s="0" t="s">
        <v>62</v>
      </c>
      <c r="AF227" s="0" t="s">
        <v>4862</v>
      </c>
      <c r="AG227" s="0" t="s">
        <v>5266</v>
      </c>
      <c r="AH227" s="0" t="s">
        <v>4862</v>
      </c>
      <c r="AI227" s="0" t="s">
        <v>5266</v>
      </c>
      <c r="AJ227" s="0" t="s">
        <v>4862</v>
      </c>
      <c r="AK227" s="0" t="s">
        <v>5266</v>
      </c>
      <c r="AL227" s="0" t="s">
        <v>4804</v>
      </c>
    </row>
    <row customHeight="1" ht="11.25">
      <c r="A228" s="0" t="s">
        <v>22</v>
      </c>
      <c r="B228" s="0" t="s">
        <v>48</v>
      </c>
      <c r="C228" s="0" t="s">
        <v>50</v>
      </c>
      <c r="D228" s="0" t="s">
        <v>22</v>
      </c>
      <c r="E228" s="0" t="s">
        <v>1341</v>
      </c>
      <c r="F228" s="0" t="s">
        <v>1299</v>
      </c>
      <c r="G228" s="0" t="s">
        <v>142</v>
      </c>
      <c r="H228" s="0" t="s">
        <v>1342</v>
      </c>
      <c r="I228" s="0" t="s">
        <v>1343</v>
      </c>
      <c r="J228" s="0" t="s">
        <v>1344</v>
      </c>
      <c r="K228" s="0" t="s">
        <v>1345</v>
      </c>
      <c r="L228" s="0" t="s">
        <v>1346</v>
      </c>
      <c r="M228" s="0" t="s">
        <v>1347</v>
      </c>
      <c r="N228" s="0" t="s">
        <v>210</v>
      </c>
      <c r="O228" s="0" t="s">
        <v>142</v>
      </c>
      <c r="P228" s="0" t="s">
        <v>1342</v>
      </c>
      <c r="Q228" s="0" t="s">
        <v>1343</v>
      </c>
      <c r="R228" s="0" t="s">
        <v>1344</v>
      </c>
      <c r="S228" s="0" t="s">
        <v>1345</v>
      </c>
      <c r="T228" s="0" t="s">
        <v>4795</v>
      </c>
      <c r="U228" s="0" t="s">
        <v>4796</v>
      </c>
      <c r="V228" s="0" t="s">
        <v>5267</v>
      </c>
      <c r="W228" s="0" t="s">
        <v>4798</v>
      </c>
      <c r="X228" s="0" t="s">
        <v>4799</v>
      </c>
      <c r="Y228" s="0" t="s">
        <v>4796</v>
      </c>
      <c r="Z228" s="0" t="s">
        <v>5268</v>
      </c>
      <c r="AA228" s="0" t="s">
        <v>4807</v>
      </c>
      <c r="AB228" s="0" t="s">
        <v>5267</v>
      </c>
      <c r="AC228" s="0" t="s">
        <v>62</v>
      </c>
      <c r="AD228" s="0" t="s">
        <v>62</v>
      </c>
      <c r="AE228" s="0" t="s">
        <v>62</v>
      </c>
      <c r="AF228" s="0" t="s">
        <v>4964</v>
      </c>
      <c r="AG228" s="0" t="s">
        <v>5269</v>
      </c>
      <c r="AH228" s="0" t="s">
        <v>4964</v>
      </c>
      <c r="AI228" s="0" t="s">
        <v>5269</v>
      </c>
      <c r="AJ228" s="0" t="s">
        <v>4964</v>
      </c>
      <c r="AK228" s="0" t="s">
        <v>5269</v>
      </c>
      <c r="AL228" s="0" t="s">
        <v>4804</v>
      </c>
    </row>
    <row customHeight="1" ht="11.25">
      <c r="A229" s="0" t="s">
        <v>22</v>
      </c>
      <c r="B229" s="0" t="s">
        <v>48</v>
      </c>
      <c r="C229" s="0" t="s">
        <v>50</v>
      </c>
      <c r="D229" s="0" t="s">
        <v>22</v>
      </c>
      <c r="E229" s="0" t="s">
        <v>1341</v>
      </c>
      <c r="F229" s="0" t="s">
        <v>1299</v>
      </c>
      <c r="G229" s="0" t="s">
        <v>142</v>
      </c>
      <c r="H229" s="0" t="s">
        <v>1342</v>
      </c>
      <c r="I229" s="0" t="s">
        <v>1343</v>
      </c>
      <c r="J229" s="0" t="s">
        <v>1344</v>
      </c>
      <c r="K229" s="0" t="s">
        <v>1345</v>
      </c>
      <c r="L229" s="0" t="s">
        <v>1346</v>
      </c>
      <c r="M229" s="0" t="s">
        <v>1347</v>
      </c>
      <c r="N229" s="0" t="s">
        <v>210</v>
      </c>
      <c r="O229" s="0" t="s">
        <v>142</v>
      </c>
      <c r="P229" s="0" t="s">
        <v>1342</v>
      </c>
      <c r="Q229" s="0" t="s">
        <v>1343</v>
      </c>
      <c r="R229" s="0" t="s">
        <v>1344</v>
      </c>
      <c r="S229" s="0" t="s">
        <v>1345</v>
      </c>
      <c r="T229" s="0" t="s">
        <v>4795</v>
      </c>
      <c r="U229" s="0" t="s">
        <v>4796</v>
      </c>
      <c r="V229" s="0" t="s">
        <v>5270</v>
      </c>
      <c r="W229" s="0" t="s">
        <v>4798</v>
      </c>
      <c r="X229" s="0" t="s">
        <v>4799</v>
      </c>
      <c r="Y229" s="0" t="s">
        <v>4796</v>
      </c>
      <c r="Z229" s="0" t="s">
        <v>5271</v>
      </c>
      <c r="AA229" s="0" t="s">
        <v>4971</v>
      </c>
      <c r="AB229" s="0" t="s">
        <v>5270</v>
      </c>
      <c r="AC229" s="0" t="s">
        <v>62</v>
      </c>
      <c r="AD229" s="0" t="s">
        <v>62</v>
      </c>
      <c r="AE229" s="0" t="s">
        <v>62</v>
      </c>
      <c r="AF229" s="0" t="s">
        <v>4964</v>
      </c>
      <c r="AG229" s="0" t="s">
        <v>5269</v>
      </c>
      <c r="AH229" s="0" t="s">
        <v>4964</v>
      </c>
      <c r="AI229" s="0" t="s">
        <v>5269</v>
      </c>
      <c r="AJ229" s="0" t="s">
        <v>4964</v>
      </c>
      <c r="AK229" s="0" t="s">
        <v>5269</v>
      </c>
      <c r="AL229" s="0" t="s">
        <v>4804</v>
      </c>
    </row>
    <row customHeight="1" ht="11.25">
      <c r="A230" s="0" t="s">
        <v>22</v>
      </c>
      <c r="B230" s="0" t="s">
        <v>48</v>
      </c>
      <c r="C230" s="0" t="s">
        <v>50</v>
      </c>
      <c r="D230" s="0" t="s">
        <v>22</v>
      </c>
      <c r="E230" s="0" t="s">
        <v>5272</v>
      </c>
      <c r="F230" s="0" t="s">
        <v>1299</v>
      </c>
      <c r="G230" s="0" t="s">
        <v>147</v>
      </c>
      <c r="H230" s="0" t="s">
        <v>4332</v>
      </c>
      <c r="I230" s="0" t="s">
        <v>4333</v>
      </c>
      <c r="J230" s="0" t="s">
        <v>5273</v>
      </c>
      <c r="K230" s="0" t="s">
        <v>5274</v>
      </c>
      <c r="L230" s="0" t="s">
        <v>1338</v>
      </c>
      <c r="M230" s="0" t="s">
        <v>5275</v>
      </c>
      <c r="N230" s="0" t="s">
        <v>210</v>
      </c>
      <c r="O230" s="0" t="s">
        <v>147</v>
      </c>
      <c r="P230" s="0" t="s">
        <v>4332</v>
      </c>
      <c r="Q230" s="0" t="s">
        <v>4333</v>
      </c>
      <c r="R230" s="0" t="s">
        <v>5273</v>
      </c>
      <c r="S230" s="0" t="s">
        <v>5274</v>
      </c>
      <c r="T230" s="0" t="s">
        <v>4795</v>
      </c>
      <c r="U230" s="0" t="s">
        <v>4796</v>
      </c>
      <c r="V230" s="0" t="s">
        <v>5276</v>
      </c>
      <c r="W230" s="0" t="s">
        <v>4798</v>
      </c>
      <c r="X230" s="0" t="s">
        <v>4799</v>
      </c>
      <c r="Y230" s="0" t="s">
        <v>4796</v>
      </c>
      <c r="Z230" s="0" t="s">
        <v>5277</v>
      </c>
      <c r="AA230" s="0" t="s">
        <v>4807</v>
      </c>
      <c r="AB230" s="0" t="s">
        <v>5276</v>
      </c>
      <c r="AC230" s="0" t="s">
        <v>62</v>
      </c>
      <c r="AD230" s="0" t="s">
        <v>62</v>
      </c>
      <c r="AE230" s="0" t="s">
        <v>62</v>
      </c>
      <c r="AF230" s="0" t="s">
        <v>4917</v>
      </c>
      <c r="AG230" s="0" t="s">
        <v>5278</v>
      </c>
      <c r="AH230" s="0" t="s">
        <v>4917</v>
      </c>
      <c r="AI230" s="0" t="s">
        <v>5278</v>
      </c>
      <c r="AJ230" s="0" t="s">
        <v>4917</v>
      </c>
      <c r="AK230" s="0" t="s">
        <v>5278</v>
      </c>
      <c r="AL230" s="0" t="s">
        <v>4804</v>
      </c>
    </row>
    <row customHeight="1" ht="11.25">
      <c r="A231" s="0" t="s">
        <v>22</v>
      </c>
      <c r="B231" s="0" t="s">
        <v>48</v>
      </c>
      <c r="C231" s="0" t="s">
        <v>50</v>
      </c>
      <c r="D231" s="0" t="s">
        <v>22</v>
      </c>
      <c r="E231" s="0" t="s">
        <v>5272</v>
      </c>
      <c r="F231" s="0" t="s">
        <v>1299</v>
      </c>
      <c r="G231" s="0" t="s">
        <v>147</v>
      </c>
      <c r="H231" s="0" t="s">
        <v>4332</v>
      </c>
      <c r="I231" s="0" t="s">
        <v>4333</v>
      </c>
      <c r="J231" s="0" t="s">
        <v>5273</v>
      </c>
      <c r="K231" s="0" t="s">
        <v>5274</v>
      </c>
      <c r="L231" s="0" t="s">
        <v>1338</v>
      </c>
      <c r="M231" s="0" t="s">
        <v>5275</v>
      </c>
      <c r="N231" s="0" t="s">
        <v>210</v>
      </c>
      <c r="O231" s="0" t="s">
        <v>147</v>
      </c>
      <c r="P231" s="0" t="s">
        <v>4332</v>
      </c>
      <c r="Q231" s="0" t="s">
        <v>4333</v>
      </c>
      <c r="R231" s="0" t="s">
        <v>5273</v>
      </c>
      <c r="S231" s="0" t="s">
        <v>5274</v>
      </c>
      <c r="T231" s="0" t="s">
        <v>4795</v>
      </c>
      <c r="U231" s="0" t="s">
        <v>4796</v>
      </c>
      <c r="V231" s="0" t="s">
        <v>5279</v>
      </c>
      <c r="W231" s="0" t="s">
        <v>4798</v>
      </c>
      <c r="X231" s="0" t="s">
        <v>4799</v>
      </c>
      <c r="Y231" s="0" t="s">
        <v>4796</v>
      </c>
      <c r="Z231" s="0" t="s">
        <v>5280</v>
      </c>
      <c r="AA231" s="0" t="s">
        <v>4971</v>
      </c>
      <c r="AB231" s="0" t="s">
        <v>5279</v>
      </c>
      <c r="AC231" s="0" t="s">
        <v>62</v>
      </c>
      <c r="AD231" s="0" t="s">
        <v>62</v>
      </c>
      <c r="AE231" s="0" t="s">
        <v>62</v>
      </c>
      <c r="AF231" s="0" t="s">
        <v>4917</v>
      </c>
      <c r="AG231" s="0" t="s">
        <v>5278</v>
      </c>
      <c r="AH231" s="0" t="s">
        <v>4917</v>
      </c>
      <c r="AI231" s="0" t="s">
        <v>5278</v>
      </c>
      <c r="AJ231" s="0" t="s">
        <v>4917</v>
      </c>
      <c r="AK231" s="0" t="s">
        <v>5278</v>
      </c>
      <c r="AL231" s="0" t="s">
        <v>4804</v>
      </c>
    </row>
    <row customHeight="1" ht="11.25">
      <c r="A232" s="0" t="s">
        <v>22</v>
      </c>
      <c r="B232" s="0" t="s">
        <v>48</v>
      </c>
      <c r="C232" s="0" t="s">
        <v>50</v>
      </c>
      <c r="D232" s="0" t="s">
        <v>22</v>
      </c>
      <c r="E232" s="0" t="s">
        <v>5281</v>
      </c>
      <c r="F232" s="0" t="s">
        <v>1299</v>
      </c>
      <c r="G232" s="0" t="s">
        <v>147</v>
      </c>
      <c r="H232" s="0" t="s">
        <v>4335</v>
      </c>
      <c r="I232" s="0" t="s">
        <v>4336</v>
      </c>
      <c r="J232" s="0" t="s">
        <v>5282</v>
      </c>
      <c r="K232" s="0" t="s">
        <v>5283</v>
      </c>
      <c r="L232" s="0" t="s">
        <v>5284</v>
      </c>
      <c r="M232" s="0" t="s">
        <v>1355</v>
      </c>
      <c r="N232" s="0" t="s">
        <v>210</v>
      </c>
      <c r="O232" s="0" t="s">
        <v>147</v>
      </c>
      <c r="P232" s="0" t="s">
        <v>4335</v>
      </c>
      <c r="Q232" s="0" t="s">
        <v>4336</v>
      </c>
      <c r="R232" s="0" t="s">
        <v>5282</v>
      </c>
      <c r="S232" s="0" t="s">
        <v>5283</v>
      </c>
      <c r="T232" s="0" t="s">
        <v>4795</v>
      </c>
      <c r="U232" s="0" t="s">
        <v>4796</v>
      </c>
      <c r="V232" s="0" t="s">
        <v>5279</v>
      </c>
      <c r="W232" s="0" t="s">
        <v>4798</v>
      </c>
      <c r="X232" s="0" t="s">
        <v>4799</v>
      </c>
      <c r="Y232" s="0" t="s">
        <v>4796</v>
      </c>
      <c r="Z232" s="0" t="s">
        <v>5280</v>
      </c>
      <c r="AA232" s="0" t="s">
        <v>4971</v>
      </c>
      <c r="AB232" s="0" t="s">
        <v>5279</v>
      </c>
      <c r="AC232" s="0" t="s">
        <v>62</v>
      </c>
      <c r="AD232" s="0" t="s">
        <v>62</v>
      </c>
      <c r="AE232" s="0" t="s">
        <v>62</v>
      </c>
      <c r="AF232" s="0" t="s">
        <v>5285</v>
      </c>
      <c r="AG232" s="0" t="s">
        <v>5286</v>
      </c>
      <c r="AH232" s="0" t="s">
        <v>5285</v>
      </c>
      <c r="AI232" s="0" t="s">
        <v>5286</v>
      </c>
      <c r="AJ232" s="0" t="s">
        <v>5285</v>
      </c>
      <c r="AK232" s="0" t="s">
        <v>5286</v>
      </c>
      <c r="AL232" s="0" t="s">
        <v>4804</v>
      </c>
    </row>
    <row customHeight="1" ht="11.25">
      <c r="A233" s="0" t="s">
        <v>22</v>
      </c>
      <c r="B233" s="0" t="s">
        <v>48</v>
      </c>
      <c r="C233" s="0" t="s">
        <v>50</v>
      </c>
      <c r="D233" s="0" t="s">
        <v>22</v>
      </c>
      <c r="E233" s="0" t="s">
        <v>5281</v>
      </c>
      <c r="F233" s="0" t="s">
        <v>1299</v>
      </c>
      <c r="G233" s="0" t="s">
        <v>147</v>
      </c>
      <c r="H233" s="0" t="s">
        <v>4335</v>
      </c>
      <c r="I233" s="0" t="s">
        <v>4336</v>
      </c>
      <c r="J233" s="0" t="s">
        <v>5282</v>
      </c>
      <c r="K233" s="0" t="s">
        <v>5283</v>
      </c>
      <c r="L233" s="0" t="s">
        <v>5284</v>
      </c>
      <c r="M233" s="0" t="s">
        <v>1355</v>
      </c>
      <c r="N233" s="0" t="s">
        <v>210</v>
      </c>
      <c r="O233" s="0" t="s">
        <v>147</v>
      </c>
      <c r="P233" s="0" t="s">
        <v>4335</v>
      </c>
      <c r="Q233" s="0" t="s">
        <v>4336</v>
      </c>
      <c r="R233" s="0" t="s">
        <v>5282</v>
      </c>
      <c r="S233" s="0" t="s">
        <v>5283</v>
      </c>
      <c r="T233" s="0" t="s">
        <v>4795</v>
      </c>
      <c r="U233" s="0" t="s">
        <v>4796</v>
      </c>
      <c r="V233" s="0" t="s">
        <v>5276</v>
      </c>
      <c r="W233" s="0" t="s">
        <v>4798</v>
      </c>
      <c r="X233" s="0" t="s">
        <v>4799</v>
      </c>
      <c r="Y233" s="0" t="s">
        <v>4796</v>
      </c>
      <c r="Z233" s="0" t="s">
        <v>5277</v>
      </c>
      <c r="AA233" s="0" t="s">
        <v>4807</v>
      </c>
      <c r="AB233" s="0" t="s">
        <v>5276</v>
      </c>
      <c r="AC233" s="0" t="s">
        <v>62</v>
      </c>
      <c r="AD233" s="0" t="s">
        <v>62</v>
      </c>
      <c r="AE233" s="0" t="s">
        <v>62</v>
      </c>
      <c r="AF233" s="0" t="s">
        <v>5285</v>
      </c>
      <c r="AG233" s="0" t="s">
        <v>5286</v>
      </c>
      <c r="AH233" s="0" t="s">
        <v>5285</v>
      </c>
      <c r="AI233" s="0" t="s">
        <v>5286</v>
      </c>
      <c r="AJ233" s="0" t="s">
        <v>5285</v>
      </c>
      <c r="AK233" s="0" t="s">
        <v>5286</v>
      </c>
      <c r="AL233" s="0" t="s">
        <v>4804</v>
      </c>
    </row>
    <row customHeight="1" ht="11.25">
      <c r="A234" s="0" t="s">
        <v>22</v>
      </c>
      <c r="B234" s="0" t="s">
        <v>48</v>
      </c>
      <c r="C234" s="0" t="s">
        <v>50</v>
      </c>
      <c r="D234" s="0" t="s">
        <v>22</v>
      </c>
      <c r="E234" s="0" t="s">
        <v>5287</v>
      </c>
      <c r="F234" s="0" t="s">
        <v>1299</v>
      </c>
      <c r="G234" s="0" t="s">
        <v>147</v>
      </c>
      <c r="H234" s="0" t="s">
        <v>4344</v>
      </c>
      <c r="I234" s="0" t="s">
        <v>4345</v>
      </c>
      <c r="J234" s="0" t="s">
        <v>5288</v>
      </c>
      <c r="K234" s="0" t="s">
        <v>5289</v>
      </c>
      <c r="L234" s="0" t="s">
        <v>5044</v>
      </c>
      <c r="M234" s="0" t="s">
        <v>1355</v>
      </c>
      <c r="N234" s="0" t="s">
        <v>210</v>
      </c>
      <c r="O234" s="0" t="s">
        <v>147</v>
      </c>
      <c r="P234" s="0" t="s">
        <v>4344</v>
      </c>
      <c r="Q234" s="0" t="s">
        <v>4345</v>
      </c>
      <c r="R234" s="0" t="s">
        <v>5288</v>
      </c>
      <c r="S234" s="0" t="s">
        <v>5289</v>
      </c>
      <c r="T234" s="0" t="s">
        <v>4795</v>
      </c>
      <c r="U234" s="0" t="s">
        <v>4796</v>
      </c>
      <c r="V234" s="0" t="s">
        <v>5279</v>
      </c>
      <c r="W234" s="0" t="s">
        <v>4798</v>
      </c>
      <c r="X234" s="0" t="s">
        <v>4799</v>
      </c>
      <c r="Y234" s="0" t="s">
        <v>4796</v>
      </c>
      <c r="Z234" s="0" t="s">
        <v>5280</v>
      </c>
      <c r="AA234" s="0" t="s">
        <v>4971</v>
      </c>
      <c r="AB234" s="0" t="s">
        <v>5279</v>
      </c>
      <c r="AC234" s="0" t="s">
        <v>62</v>
      </c>
      <c r="AD234" s="0" t="s">
        <v>62</v>
      </c>
      <c r="AE234" s="0" t="s">
        <v>62</v>
      </c>
      <c r="AF234" s="0" t="s">
        <v>4917</v>
      </c>
      <c r="AG234" s="0" t="s">
        <v>5290</v>
      </c>
      <c r="AH234" s="0" t="s">
        <v>4917</v>
      </c>
      <c r="AI234" s="0" t="s">
        <v>5290</v>
      </c>
      <c r="AJ234" s="0" t="s">
        <v>4917</v>
      </c>
      <c r="AK234" s="0" t="s">
        <v>5290</v>
      </c>
      <c r="AL234" s="0" t="s">
        <v>4804</v>
      </c>
    </row>
    <row customHeight="1" ht="11.25">
      <c r="A235" s="0" t="s">
        <v>22</v>
      </c>
      <c r="B235" s="0" t="s">
        <v>48</v>
      </c>
      <c r="C235" s="0" t="s">
        <v>50</v>
      </c>
      <c r="D235" s="0" t="s">
        <v>22</v>
      </c>
      <c r="E235" s="0" t="s">
        <v>5287</v>
      </c>
      <c r="F235" s="0" t="s">
        <v>1299</v>
      </c>
      <c r="G235" s="0" t="s">
        <v>147</v>
      </c>
      <c r="H235" s="0" t="s">
        <v>4344</v>
      </c>
      <c r="I235" s="0" t="s">
        <v>4345</v>
      </c>
      <c r="J235" s="0" t="s">
        <v>5288</v>
      </c>
      <c r="K235" s="0" t="s">
        <v>5289</v>
      </c>
      <c r="L235" s="0" t="s">
        <v>5044</v>
      </c>
      <c r="M235" s="0" t="s">
        <v>1355</v>
      </c>
      <c r="N235" s="0" t="s">
        <v>210</v>
      </c>
      <c r="O235" s="0" t="s">
        <v>147</v>
      </c>
      <c r="P235" s="0" t="s">
        <v>4344</v>
      </c>
      <c r="Q235" s="0" t="s">
        <v>4345</v>
      </c>
      <c r="R235" s="0" t="s">
        <v>5288</v>
      </c>
      <c r="S235" s="0" t="s">
        <v>5289</v>
      </c>
      <c r="T235" s="0" t="s">
        <v>4795</v>
      </c>
      <c r="U235" s="0" t="s">
        <v>4796</v>
      </c>
      <c r="V235" s="0" t="s">
        <v>5276</v>
      </c>
      <c r="W235" s="0" t="s">
        <v>4798</v>
      </c>
      <c r="X235" s="0" t="s">
        <v>4799</v>
      </c>
      <c r="Y235" s="0" t="s">
        <v>4796</v>
      </c>
      <c r="Z235" s="0" t="s">
        <v>5277</v>
      </c>
      <c r="AA235" s="0" t="s">
        <v>4807</v>
      </c>
      <c r="AB235" s="0" t="s">
        <v>5276</v>
      </c>
      <c r="AC235" s="0" t="s">
        <v>62</v>
      </c>
      <c r="AD235" s="0" t="s">
        <v>62</v>
      </c>
      <c r="AE235" s="0" t="s">
        <v>62</v>
      </c>
      <c r="AF235" s="0" t="s">
        <v>4917</v>
      </c>
      <c r="AG235" s="0" t="s">
        <v>5290</v>
      </c>
      <c r="AH235" s="0" t="s">
        <v>4917</v>
      </c>
      <c r="AI235" s="0" t="s">
        <v>5290</v>
      </c>
      <c r="AJ235" s="0" t="s">
        <v>4917</v>
      </c>
      <c r="AK235" s="0" t="s">
        <v>5290</v>
      </c>
      <c r="AL235" s="0" t="s">
        <v>4804</v>
      </c>
    </row>
    <row customHeight="1" ht="11.25">
      <c r="A236" s="0" t="s">
        <v>22</v>
      </c>
      <c r="B236" s="0" t="s">
        <v>48</v>
      </c>
      <c r="C236" s="0" t="s">
        <v>50</v>
      </c>
      <c r="D236" s="0" t="s">
        <v>22</v>
      </c>
      <c r="E236" s="0" t="s">
        <v>1333</v>
      </c>
      <c r="F236" s="0" t="s">
        <v>1299</v>
      </c>
      <c r="G236" s="0" t="s">
        <v>147</v>
      </c>
      <c r="H236" s="0" t="s">
        <v>1334</v>
      </c>
      <c r="I236" s="0" t="s">
        <v>1335</v>
      </c>
      <c r="J236" s="0" t="s">
        <v>1336</v>
      </c>
      <c r="K236" s="0" t="s">
        <v>1337</v>
      </c>
      <c r="L236" s="0" t="s">
        <v>1338</v>
      </c>
      <c r="M236" s="0" t="s">
        <v>1339</v>
      </c>
      <c r="N236" s="0" t="s">
        <v>210</v>
      </c>
      <c r="O236" s="0" t="s">
        <v>147</v>
      </c>
      <c r="P236" s="0" t="s">
        <v>1334</v>
      </c>
      <c r="Q236" s="0" t="s">
        <v>1335</v>
      </c>
      <c r="R236" s="0" t="s">
        <v>1336</v>
      </c>
      <c r="S236" s="0" t="s">
        <v>1337</v>
      </c>
      <c r="T236" s="0" t="s">
        <v>4795</v>
      </c>
      <c r="U236" s="0" t="s">
        <v>4796</v>
      </c>
      <c r="V236" s="0" t="s">
        <v>5276</v>
      </c>
      <c r="W236" s="0" t="s">
        <v>4798</v>
      </c>
      <c r="X236" s="0" t="s">
        <v>4799</v>
      </c>
      <c r="Y236" s="0" t="s">
        <v>4796</v>
      </c>
      <c r="Z236" s="0" t="s">
        <v>5277</v>
      </c>
      <c r="AA236" s="0" t="s">
        <v>4807</v>
      </c>
      <c r="AB236" s="0" t="s">
        <v>5276</v>
      </c>
      <c r="AC236" s="0" t="s">
        <v>62</v>
      </c>
      <c r="AD236" s="0" t="s">
        <v>62</v>
      </c>
      <c r="AE236" s="0" t="s">
        <v>62</v>
      </c>
      <c r="AF236" s="0" t="s">
        <v>4838</v>
      </c>
      <c r="AG236" s="0" t="s">
        <v>4968</v>
      </c>
      <c r="AH236" s="0" t="s">
        <v>4838</v>
      </c>
      <c r="AI236" s="0" t="s">
        <v>4968</v>
      </c>
      <c r="AJ236" s="0" t="s">
        <v>4838</v>
      </c>
      <c r="AK236" s="0" t="s">
        <v>4968</v>
      </c>
      <c r="AL236" s="0" t="s">
        <v>4804</v>
      </c>
    </row>
    <row customHeight="1" ht="11.25">
      <c r="A237" s="0" t="s">
        <v>22</v>
      </c>
      <c r="B237" s="0" t="s">
        <v>48</v>
      </c>
      <c r="C237" s="0" t="s">
        <v>50</v>
      </c>
      <c r="D237" s="0" t="s">
        <v>22</v>
      </c>
      <c r="E237" s="0" t="s">
        <v>1333</v>
      </c>
      <c r="F237" s="0" t="s">
        <v>1299</v>
      </c>
      <c r="G237" s="0" t="s">
        <v>147</v>
      </c>
      <c r="H237" s="0" t="s">
        <v>1334</v>
      </c>
      <c r="I237" s="0" t="s">
        <v>1335</v>
      </c>
      <c r="J237" s="0" t="s">
        <v>1336</v>
      </c>
      <c r="K237" s="0" t="s">
        <v>1337</v>
      </c>
      <c r="L237" s="0" t="s">
        <v>1338</v>
      </c>
      <c r="M237" s="0" t="s">
        <v>1339</v>
      </c>
      <c r="N237" s="0" t="s">
        <v>210</v>
      </c>
      <c r="O237" s="0" t="s">
        <v>147</v>
      </c>
      <c r="P237" s="0" t="s">
        <v>1334</v>
      </c>
      <c r="Q237" s="0" t="s">
        <v>1335</v>
      </c>
      <c r="R237" s="0" t="s">
        <v>1336</v>
      </c>
      <c r="S237" s="0" t="s">
        <v>1337</v>
      </c>
      <c r="T237" s="0" t="s">
        <v>4795</v>
      </c>
      <c r="U237" s="0" t="s">
        <v>4796</v>
      </c>
      <c r="V237" s="0" t="s">
        <v>5279</v>
      </c>
      <c r="W237" s="0" t="s">
        <v>4798</v>
      </c>
      <c r="X237" s="0" t="s">
        <v>4799</v>
      </c>
      <c r="Y237" s="0" t="s">
        <v>4796</v>
      </c>
      <c r="Z237" s="0" t="s">
        <v>5280</v>
      </c>
      <c r="AA237" s="0" t="s">
        <v>4971</v>
      </c>
      <c r="AB237" s="0" t="s">
        <v>5279</v>
      </c>
      <c r="AC237" s="0" t="s">
        <v>62</v>
      </c>
      <c r="AD237" s="0" t="s">
        <v>62</v>
      </c>
      <c r="AE237" s="0" t="s">
        <v>62</v>
      </c>
      <c r="AF237" s="0" t="s">
        <v>4838</v>
      </c>
      <c r="AG237" s="0" t="s">
        <v>4968</v>
      </c>
      <c r="AH237" s="0" t="s">
        <v>4838</v>
      </c>
      <c r="AI237" s="0" t="s">
        <v>4968</v>
      </c>
      <c r="AJ237" s="0" t="s">
        <v>4838</v>
      </c>
      <c r="AK237" s="0" t="s">
        <v>4968</v>
      </c>
      <c r="AL237" s="0" t="s">
        <v>4804</v>
      </c>
    </row>
    <row customHeight="1" ht="11.25">
      <c r="A238" s="0" t="s">
        <v>22</v>
      </c>
      <c r="B238" s="0" t="s">
        <v>48</v>
      </c>
      <c r="C238" s="0" t="s">
        <v>50</v>
      </c>
      <c r="D238" s="0" t="s">
        <v>22</v>
      </c>
      <c r="E238" s="0" t="s">
        <v>5291</v>
      </c>
      <c r="F238" s="0" t="s">
        <v>1299</v>
      </c>
      <c r="G238" s="0" t="s">
        <v>147</v>
      </c>
      <c r="H238" s="0" t="s">
        <v>1334</v>
      </c>
      <c r="I238" s="0" t="s">
        <v>1335</v>
      </c>
      <c r="J238" s="0" t="s">
        <v>1336</v>
      </c>
      <c r="K238" s="0" t="s">
        <v>1337</v>
      </c>
      <c r="L238" s="0" t="s">
        <v>1378</v>
      </c>
      <c r="M238" s="0" t="s">
        <v>5292</v>
      </c>
      <c r="N238" s="0" t="s">
        <v>210</v>
      </c>
      <c r="O238" s="0" t="s">
        <v>147</v>
      </c>
      <c r="P238" s="0" t="s">
        <v>1334</v>
      </c>
      <c r="Q238" s="0" t="s">
        <v>1335</v>
      </c>
      <c r="R238" s="0" t="s">
        <v>1336</v>
      </c>
      <c r="S238" s="0" t="s">
        <v>1337</v>
      </c>
      <c r="T238" s="0" t="s">
        <v>4795</v>
      </c>
      <c r="U238" s="0" t="s">
        <v>4796</v>
      </c>
      <c r="V238" s="0" t="s">
        <v>5276</v>
      </c>
      <c r="W238" s="0" t="s">
        <v>4798</v>
      </c>
      <c r="X238" s="0" t="s">
        <v>4799</v>
      </c>
      <c r="Y238" s="0" t="s">
        <v>4796</v>
      </c>
      <c r="Z238" s="0" t="s">
        <v>5277</v>
      </c>
      <c r="AA238" s="0" t="s">
        <v>4807</v>
      </c>
      <c r="AB238" s="0" t="s">
        <v>5276</v>
      </c>
      <c r="AC238" s="0" t="s">
        <v>62</v>
      </c>
      <c r="AD238" s="0" t="s">
        <v>62</v>
      </c>
      <c r="AE238" s="0" t="s">
        <v>62</v>
      </c>
      <c r="AF238" s="0" t="s">
        <v>5067</v>
      </c>
      <c r="AG238" s="0" t="s">
        <v>5293</v>
      </c>
      <c r="AH238" s="0" t="s">
        <v>5067</v>
      </c>
      <c r="AI238" s="0" t="s">
        <v>5293</v>
      </c>
      <c r="AJ238" s="0" t="s">
        <v>5067</v>
      </c>
      <c r="AK238" s="0" t="s">
        <v>5293</v>
      </c>
      <c r="AL238" s="0" t="s">
        <v>4804</v>
      </c>
    </row>
    <row customHeight="1" ht="11.25">
      <c r="A239" s="0" t="s">
        <v>22</v>
      </c>
      <c r="B239" s="0" t="s">
        <v>48</v>
      </c>
      <c r="C239" s="0" t="s">
        <v>50</v>
      </c>
      <c r="D239" s="0" t="s">
        <v>22</v>
      </c>
      <c r="E239" s="0" t="s">
        <v>5291</v>
      </c>
      <c r="F239" s="0" t="s">
        <v>1299</v>
      </c>
      <c r="G239" s="0" t="s">
        <v>147</v>
      </c>
      <c r="H239" s="0" t="s">
        <v>1334</v>
      </c>
      <c r="I239" s="0" t="s">
        <v>1335</v>
      </c>
      <c r="J239" s="0" t="s">
        <v>1336</v>
      </c>
      <c r="K239" s="0" t="s">
        <v>1337</v>
      </c>
      <c r="L239" s="0" t="s">
        <v>1378</v>
      </c>
      <c r="M239" s="0" t="s">
        <v>5292</v>
      </c>
      <c r="N239" s="0" t="s">
        <v>210</v>
      </c>
      <c r="O239" s="0" t="s">
        <v>147</v>
      </c>
      <c r="P239" s="0" t="s">
        <v>1334</v>
      </c>
      <c r="Q239" s="0" t="s">
        <v>1335</v>
      </c>
      <c r="R239" s="0" t="s">
        <v>1336</v>
      </c>
      <c r="S239" s="0" t="s">
        <v>1337</v>
      </c>
      <c r="T239" s="0" t="s">
        <v>4795</v>
      </c>
      <c r="U239" s="0" t="s">
        <v>4796</v>
      </c>
      <c r="V239" s="0" t="s">
        <v>5279</v>
      </c>
      <c r="W239" s="0" t="s">
        <v>4798</v>
      </c>
      <c r="X239" s="0" t="s">
        <v>4799</v>
      </c>
      <c r="Y239" s="0" t="s">
        <v>4796</v>
      </c>
      <c r="Z239" s="0" t="s">
        <v>5280</v>
      </c>
      <c r="AA239" s="0" t="s">
        <v>4971</v>
      </c>
      <c r="AB239" s="0" t="s">
        <v>5279</v>
      </c>
      <c r="AC239" s="0" t="s">
        <v>62</v>
      </c>
      <c r="AD239" s="0" t="s">
        <v>62</v>
      </c>
      <c r="AE239" s="0" t="s">
        <v>62</v>
      </c>
      <c r="AF239" s="0" t="s">
        <v>5067</v>
      </c>
      <c r="AG239" s="0" t="s">
        <v>5293</v>
      </c>
      <c r="AH239" s="0" t="s">
        <v>5067</v>
      </c>
      <c r="AI239" s="0" t="s">
        <v>5293</v>
      </c>
      <c r="AJ239" s="0" t="s">
        <v>5067</v>
      </c>
      <c r="AK239" s="0" t="s">
        <v>5293</v>
      </c>
      <c r="AL239" s="0" t="s">
        <v>4804</v>
      </c>
    </row>
    <row customHeight="1" ht="11.25">
      <c r="A240" s="0" t="s">
        <v>22</v>
      </c>
      <c r="B240" s="0" t="s">
        <v>48</v>
      </c>
      <c r="C240" s="0" t="s">
        <v>50</v>
      </c>
      <c r="D240" s="0" t="s">
        <v>22</v>
      </c>
      <c r="E240" s="0" t="s">
        <v>5294</v>
      </c>
      <c r="F240" s="0" t="s">
        <v>1299</v>
      </c>
      <c r="G240" s="0" t="s">
        <v>152</v>
      </c>
      <c r="H240" s="0" t="s">
        <v>4370</v>
      </c>
      <c r="I240" s="0" t="s">
        <v>4371</v>
      </c>
      <c r="J240" s="0" t="s">
        <v>5295</v>
      </c>
      <c r="K240" s="0" t="s">
        <v>5296</v>
      </c>
      <c r="L240" s="0" t="s">
        <v>1363</v>
      </c>
      <c r="M240" s="0" t="s">
        <v>1355</v>
      </c>
      <c r="N240" s="0" t="s">
        <v>210</v>
      </c>
      <c r="O240" s="0" t="s">
        <v>152</v>
      </c>
      <c r="P240" s="0" t="s">
        <v>4370</v>
      </c>
      <c r="Q240" s="0" t="s">
        <v>4371</v>
      </c>
      <c r="R240" s="0" t="s">
        <v>5295</v>
      </c>
      <c r="S240" s="0" t="s">
        <v>5296</v>
      </c>
      <c r="T240" s="0" t="s">
        <v>4795</v>
      </c>
      <c r="U240" s="0" t="s">
        <v>4796</v>
      </c>
      <c r="V240" s="0" t="s">
        <v>5297</v>
      </c>
      <c r="W240" s="0" t="s">
        <v>4798</v>
      </c>
      <c r="X240" s="0" t="s">
        <v>4799</v>
      </c>
      <c r="Y240" s="0" t="s">
        <v>4796</v>
      </c>
      <c r="Z240" s="0" t="s">
        <v>5298</v>
      </c>
      <c r="AA240" s="0" t="s">
        <v>4801</v>
      </c>
      <c r="AB240" s="0" t="s">
        <v>5297</v>
      </c>
      <c r="AC240" s="0" t="s">
        <v>62</v>
      </c>
      <c r="AD240" s="0" t="s">
        <v>62</v>
      </c>
      <c r="AE240" s="0" t="s">
        <v>62</v>
      </c>
      <c r="AF240" s="0" t="s">
        <v>4802</v>
      </c>
      <c r="AG240" s="0" t="s">
        <v>5299</v>
      </c>
      <c r="AH240" s="0" t="s">
        <v>4802</v>
      </c>
      <c r="AI240" s="0" t="s">
        <v>5299</v>
      </c>
      <c r="AJ240" s="0" t="s">
        <v>4802</v>
      </c>
      <c r="AK240" s="0" t="s">
        <v>5299</v>
      </c>
      <c r="AL240" s="0" t="s">
        <v>4804</v>
      </c>
    </row>
    <row customHeight="1" ht="11.25">
      <c r="A241" s="0" t="s">
        <v>22</v>
      </c>
      <c r="B241" s="0" t="s">
        <v>48</v>
      </c>
      <c r="C241" s="0" t="s">
        <v>50</v>
      </c>
      <c r="D241" s="0" t="s">
        <v>22</v>
      </c>
      <c r="E241" s="0" t="s">
        <v>5294</v>
      </c>
      <c r="F241" s="0" t="s">
        <v>1299</v>
      </c>
      <c r="G241" s="0" t="s">
        <v>152</v>
      </c>
      <c r="H241" s="0" t="s">
        <v>4370</v>
      </c>
      <c r="I241" s="0" t="s">
        <v>4371</v>
      </c>
      <c r="J241" s="0" t="s">
        <v>5295</v>
      </c>
      <c r="K241" s="0" t="s">
        <v>5296</v>
      </c>
      <c r="L241" s="0" t="s">
        <v>1363</v>
      </c>
      <c r="M241" s="0" t="s">
        <v>1355</v>
      </c>
      <c r="N241" s="0" t="s">
        <v>210</v>
      </c>
      <c r="O241" s="0" t="s">
        <v>152</v>
      </c>
      <c r="P241" s="0" t="s">
        <v>4370</v>
      </c>
      <c r="Q241" s="0" t="s">
        <v>4371</v>
      </c>
      <c r="R241" s="0" t="s">
        <v>5295</v>
      </c>
      <c r="S241" s="0" t="s">
        <v>5296</v>
      </c>
      <c r="T241" s="0" t="s">
        <v>4795</v>
      </c>
      <c r="U241" s="0" t="s">
        <v>4796</v>
      </c>
      <c r="V241" s="0" t="s">
        <v>5300</v>
      </c>
      <c r="W241" s="0" t="s">
        <v>4798</v>
      </c>
      <c r="X241" s="0" t="s">
        <v>4799</v>
      </c>
      <c r="Y241" s="0" t="s">
        <v>4796</v>
      </c>
      <c r="Z241" s="0" t="s">
        <v>5301</v>
      </c>
      <c r="AA241" s="0" t="s">
        <v>4807</v>
      </c>
      <c r="AB241" s="0" t="s">
        <v>5300</v>
      </c>
      <c r="AC241" s="0" t="s">
        <v>62</v>
      </c>
      <c r="AD241" s="0" t="s">
        <v>62</v>
      </c>
      <c r="AE241" s="0" t="s">
        <v>62</v>
      </c>
      <c r="AF241" s="0" t="s">
        <v>4802</v>
      </c>
      <c r="AG241" s="0" t="s">
        <v>5299</v>
      </c>
      <c r="AH241" s="0" t="s">
        <v>4802</v>
      </c>
      <c r="AI241" s="0" t="s">
        <v>5299</v>
      </c>
      <c r="AJ241" s="0" t="s">
        <v>4802</v>
      </c>
      <c r="AK241" s="0" t="s">
        <v>5299</v>
      </c>
      <c r="AL241" s="0" t="s">
        <v>4804</v>
      </c>
    </row>
    <row customHeight="1" ht="11.25">
      <c r="A242" s="0" t="s">
        <v>22</v>
      </c>
      <c r="B242" s="0" t="s">
        <v>48</v>
      </c>
      <c r="C242" s="0" t="s">
        <v>50</v>
      </c>
      <c r="D242" s="0" t="s">
        <v>22</v>
      </c>
      <c r="E242" s="0" t="s">
        <v>5302</v>
      </c>
      <c r="F242" s="0" t="s">
        <v>1299</v>
      </c>
      <c r="G242" s="0" t="s">
        <v>152</v>
      </c>
      <c r="H242" s="0" t="s">
        <v>4370</v>
      </c>
      <c r="I242" s="0" t="s">
        <v>4371</v>
      </c>
      <c r="J242" s="0" t="s">
        <v>5295</v>
      </c>
      <c r="K242" s="0" t="s">
        <v>5296</v>
      </c>
      <c r="L242" s="0" t="s">
        <v>5303</v>
      </c>
      <c r="M242" s="0" t="s">
        <v>1355</v>
      </c>
      <c r="N242" s="0" t="s">
        <v>210</v>
      </c>
      <c r="O242" s="0" t="s">
        <v>152</v>
      </c>
      <c r="P242" s="0" t="s">
        <v>4370</v>
      </c>
      <c r="Q242" s="0" t="s">
        <v>4371</v>
      </c>
      <c r="R242" s="0" t="s">
        <v>5295</v>
      </c>
      <c r="S242" s="0" t="s">
        <v>5296</v>
      </c>
      <c r="T242" s="0" t="s">
        <v>4795</v>
      </c>
      <c r="U242" s="0" t="s">
        <v>4796</v>
      </c>
      <c r="V242" s="0" t="s">
        <v>5300</v>
      </c>
      <c r="W242" s="0" t="s">
        <v>4798</v>
      </c>
      <c r="X242" s="0" t="s">
        <v>4799</v>
      </c>
      <c r="Y242" s="0" t="s">
        <v>4796</v>
      </c>
      <c r="Z242" s="0" t="s">
        <v>5301</v>
      </c>
      <c r="AA242" s="0" t="s">
        <v>4807</v>
      </c>
      <c r="AB242" s="0" t="s">
        <v>5300</v>
      </c>
      <c r="AC242" s="0" t="s">
        <v>62</v>
      </c>
      <c r="AD242" s="0" t="s">
        <v>62</v>
      </c>
      <c r="AE242" s="0" t="s">
        <v>62</v>
      </c>
      <c r="AF242" s="0" t="s">
        <v>4862</v>
      </c>
      <c r="AG242" s="0" t="s">
        <v>5304</v>
      </c>
      <c r="AH242" s="0" t="s">
        <v>4862</v>
      </c>
      <c r="AI242" s="0" t="s">
        <v>5304</v>
      </c>
      <c r="AJ242" s="0" t="s">
        <v>4862</v>
      </c>
      <c r="AK242" s="0" t="s">
        <v>5304</v>
      </c>
      <c r="AL242" s="0" t="s">
        <v>4804</v>
      </c>
    </row>
    <row customHeight="1" ht="11.25">
      <c r="A243" s="0" t="s">
        <v>22</v>
      </c>
      <c r="B243" s="0" t="s">
        <v>48</v>
      </c>
      <c r="C243" s="0" t="s">
        <v>50</v>
      </c>
      <c r="D243" s="0" t="s">
        <v>22</v>
      </c>
      <c r="E243" s="0" t="s">
        <v>5302</v>
      </c>
      <c r="F243" s="0" t="s">
        <v>1299</v>
      </c>
      <c r="G243" s="0" t="s">
        <v>152</v>
      </c>
      <c r="H243" s="0" t="s">
        <v>4370</v>
      </c>
      <c r="I243" s="0" t="s">
        <v>4371</v>
      </c>
      <c r="J243" s="0" t="s">
        <v>5295</v>
      </c>
      <c r="K243" s="0" t="s">
        <v>5296</v>
      </c>
      <c r="L243" s="0" t="s">
        <v>5303</v>
      </c>
      <c r="M243" s="0" t="s">
        <v>1355</v>
      </c>
      <c r="N243" s="0" t="s">
        <v>210</v>
      </c>
      <c r="O243" s="0" t="s">
        <v>152</v>
      </c>
      <c r="P243" s="0" t="s">
        <v>4370</v>
      </c>
      <c r="Q243" s="0" t="s">
        <v>4371</v>
      </c>
      <c r="R243" s="0" t="s">
        <v>5295</v>
      </c>
      <c r="S243" s="0" t="s">
        <v>5296</v>
      </c>
      <c r="T243" s="0" t="s">
        <v>4795</v>
      </c>
      <c r="U243" s="0" t="s">
        <v>4796</v>
      </c>
      <c r="V243" s="0" t="s">
        <v>5297</v>
      </c>
      <c r="W243" s="0" t="s">
        <v>4798</v>
      </c>
      <c r="X243" s="0" t="s">
        <v>4799</v>
      </c>
      <c r="Y243" s="0" t="s">
        <v>4796</v>
      </c>
      <c r="Z243" s="0" t="s">
        <v>5298</v>
      </c>
      <c r="AA243" s="0" t="s">
        <v>4801</v>
      </c>
      <c r="AB243" s="0" t="s">
        <v>5297</v>
      </c>
      <c r="AC243" s="0" t="s">
        <v>62</v>
      </c>
      <c r="AD243" s="0" t="s">
        <v>62</v>
      </c>
      <c r="AE243" s="0" t="s">
        <v>62</v>
      </c>
      <c r="AF243" s="0" t="s">
        <v>4862</v>
      </c>
      <c r="AG243" s="0" t="s">
        <v>5304</v>
      </c>
      <c r="AH243" s="0" t="s">
        <v>4862</v>
      </c>
      <c r="AI243" s="0" t="s">
        <v>5304</v>
      </c>
      <c r="AJ243" s="0" t="s">
        <v>4862</v>
      </c>
      <c r="AK243" s="0" t="s">
        <v>5304</v>
      </c>
      <c r="AL243" s="0" t="s">
        <v>4804</v>
      </c>
    </row>
    <row customHeight="1" ht="11.25">
      <c r="A244" s="0" t="s">
        <v>22</v>
      </c>
      <c r="B244" s="0" t="s">
        <v>48</v>
      </c>
      <c r="C244" s="0" t="s">
        <v>50</v>
      </c>
      <c r="D244" s="0" t="s">
        <v>22</v>
      </c>
      <c r="E244" s="0" t="s">
        <v>5305</v>
      </c>
      <c r="F244" s="0" t="s">
        <v>1299</v>
      </c>
      <c r="G244" s="0" t="s">
        <v>152</v>
      </c>
      <c r="H244" s="0" t="s">
        <v>4370</v>
      </c>
      <c r="I244" s="0" t="s">
        <v>4371</v>
      </c>
      <c r="J244" s="0" t="s">
        <v>5295</v>
      </c>
      <c r="K244" s="0" t="s">
        <v>5296</v>
      </c>
      <c r="L244" s="0" t="s">
        <v>1338</v>
      </c>
      <c r="M244" s="0" t="s">
        <v>1355</v>
      </c>
      <c r="N244" s="0" t="s">
        <v>210</v>
      </c>
      <c r="O244" s="0" t="s">
        <v>152</v>
      </c>
      <c r="P244" s="0" t="s">
        <v>4370</v>
      </c>
      <c r="Q244" s="0" t="s">
        <v>4371</v>
      </c>
      <c r="R244" s="0" t="s">
        <v>5295</v>
      </c>
      <c r="S244" s="0" t="s">
        <v>5296</v>
      </c>
      <c r="T244" s="0" t="s">
        <v>4795</v>
      </c>
      <c r="U244" s="0" t="s">
        <v>4796</v>
      </c>
      <c r="V244" s="0" t="s">
        <v>5300</v>
      </c>
      <c r="W244" s="0" t="s">
        <v>4798</v>
      </c>
      <c r="X244" s="0" t="s">
        <v>4799</v>
      </c>
      <c r="Y244" s="0" t="s">
        <v>4796</v>
      </c>
      <c r="Z244" s="0" t="s">
        <v>5301</v>
      </c>
      <c r="AA244" s="0" t="s">
        <v>4807</v>
      </c>
      <c r="AB244" s="0" t="s">
        <v>5300</v>
      </c>
      <c r="AC244" s="0" t="s">
        <v>62</v>
      </c>
      <c r="AD244" s="0" t="s">
        <v>62</v>
      </c>
      <c r="AE244" s="0" t="s">
        <v>62</v>
      </c>
      <c r="AF244" s="0" t="s">
        <v>4888</v>
      </c>
      <c r="AG244" s="0" t="s">
        <v>5306</v>
      </c>
      <c r="AH244" s="0" t="s">
        <v>4888</v>
      </c>
      <c r="AI244" s="0" t="s">
        <v>5306</v>
      </c>
      <c r="AJ244" s="0" t="s">
        <v>4888</v>
      </c>
      <c r="AK244" s="0" t="s">
        <v>5306</v>
      </c>
      <c r="AL244" s="0" t="s">
        <v>4804</v>
      </c>
    </row>
    <row customHeight="1" ht="11.25">
      <c r="A245" s="0" t="s">
        <v>22</v>
      </c>
      <c r="B245" s="0" t="s">
        <v>48</v>
      </c>
      <c r="C245" s="0" t="s">
        <v>50</v>
      </c>
      <c r="D245" s="0" t="s">
        <v>22</v>
      </c>
      <c r="E245" s="0" t="s">
        <v>5305</v>
      </c>
      <c r="F245" s="0" t="s">
        <v>1299</v>
      </c>
      <c r="G245" s="0" t="s">
        <v>152</v>
      </c>
      <c r="H245" s="0" t="s">
        <v>4370</v>
      </c>
      <c r="I245" s="0" t="s">
        <v>4371</v>
      </c>
      <c r="J245" s="0" t="s">
        <v>5295</v>
      </c>
      <c r="K245" s="0" t="s">
        <v>5296</v>
      </c>
      <c r="L245" s="0" t="s">
        <v>1338</v>
      </c>
      <c r="M245" s="0" t="s">
        <v>1355</v>
      </c>
      <c r="N245" s="0" t="s">
        <v>210</v>
      </c>
      <c r="O245" s="0" t="s">
        <v>152</v>
      </c>
      <c r="P245" s="0" t="s">
        <v>4370</v>
      </c>
      <c r="Q245" s="0" t="s">
        <v>4371</v>
      </c>
      <c r="R245" s="0" t="s">
        <v>5295</v>
      </c>
      <c r="S245" s="0" t="s">
        <v>5296</v>
      </c>
      <c r="T245" s="0" t="s">
        <v>4795</v>
      </c>
      <c r="U245" s="0" t="s">
        <v>4796</v>
      </c>
      <c r="V245" s="0" t="s">
        <v>5297</v>
      </c>
      <c r="W245" s="0" t="s">
        <v>4798</v>
      </c>
      <c r="X245" s="0" t="s">
        <v>4799</v>
      </c>
      <c r="Y245" s="0" t="s">
        <v>4796</v>
      </c>
      <c r="Z245" s="0" t="s">
        <v>5298</v>
      </c>
      <c r="AA245" s="0" t="s">
        <v>4801</v>
      </c>
      <c r="AB245" s="0" t="s">
        <v>5297</v>
      </c>
      <c r="AC245" s="0" t="s">
        <v>62</v>
      </c>
      <c r="AD245" s="0" t="s">
        <v>62</v>
      </c>
      <c r="AE245" s="0" t="s">
        <v>62</v>
      </c>
      <c r="AF245" s="0" t="s">
        <v>4888</v>
      </c>
      <c r="AG245" s="0" t="s">
        <v>5306</v>
      </c>
      <c r="AH245" s="0" t="s">
        <v>4888</v>
      </c>
      <c r="AI245" s="0" t="s">
        <v>5306</v>
      </c>
      <c r="AJ245" s="0" t="s">
        <v>4888</v>
      </c>
      <c r="AK245" s="0" t="s">
        <v>5306</v>
      </c>
      <c r="AL245" s="0" t="s">
        <v>4804</v>
      </c>
    </row>
    <row customHeight="1" ht="11.25">
      <c r="A246" s="0" t="s">
        <v>22</v>
      </c>
      <c r="B246" s="0" t="s">
        <v>48</v>
      </c>
      <c r="C246" s="0" t="s">
        <v>50</v>
      </c>
      <c r="D246" s="0" t="s">
        <v>22</v>
      </c>
      <c r="E246" s="0" t="s">
        <v>5307</v>
      </c>
      <c r="F246" s="0" t="s">
        <v>1299</v>
      </c>
      <c r="G246" s="0" t="s">
        <v>152</v>
      </c>
      <c r="H246" s="0" t="s">
        <v>4373</v>
      </c>
      <c r="I246" s="0" t="s">
        <v>4374</v>
      </c>
      <c r="J246" s="0" t="s">
        <v>5308</v>
      </c>
      <c r="K246" s="0" t="s">
        <v>5309</v>
      </c>
      <c r="L246" s="0" t="s">
        <v>5310</v>
      </c>
      <c r="M246" s="0" t="s">
        <v>1355</v>
      </c>
      <c r="N246" s="0" t="s">
        <v>210</v>
      </c>
      <c r="O246" s="0" t="s">
        <v>152</v>
      </c>
      <c r="P246" s="0" t="s">
        <v>4373</v>
      </c>
      <c r="Q246" s="0" t="s">
        <v>4374</v>
      </c>
      <c r="R246" s="0" t="s">
        <v>5308</v>
      </c>
      <c r="S246" s="0" t="s">
        <v>5309</v>
      </c>
      <c r="T246" s="0" t="s">
        <v>4795</v>
      </c>
      <c r="U246" s="0" t="s">
        <v>4796</v>
      </c>
      <c r="V246" s="0" t="s">
        <v>5297</v>
      </c>
      <c r="W246" s="0" t="s">
        <v>4798</v>
      </c>
      <c r="X246" s="0" t="s">
        <v>4799</v>
      </c>
      <c r="Y246" s="0" t="s">
        <v>4796</v>
      </c>
      <c r="Z246" s="0" t="s">
        <v>5298</v>
      </c>
      <c r="AA246" s="0" t="s">
        <v>4801</v>
      </c>
      <c r="AB246" s="0" t="s">
        <v>5297</v>
      </c>
      <c r="AC246" s="0" t="s">
        <v>62</v>
      </c>
      <c r="AD246" s="0" t="s">
        <v>62</v>
      </c>
      <c r="AE246" s="0" t="s">
        <v>62</v>
      </c>
      <c r="AF246" s="0" t="s">
        <v>5311</v>
      </c>
      <c r="AG246" s="0" t="s">
        <v>5312</v>
      </c>
      <c r="AH246" s="0" t="s">
        <v>5311</v>
      </c>
      <c r="AI246" s="0" t="s">
        <v>5312</v>
      </c>
      <c r="AJ246" s="0" t="s">
        <v>5311</v>
      </c>
      <c r="AK246" s="0" t="s">
        <v>5312</v>
      </c>
      <c r="AL246" s="0" t="s">
        <v>4804</v>
      </c>
    </row>
    <row customHeight="1" ht="11.25">
      <c r="A247" s="0" t="s">
        <v>22</v>
      </c>
      <c r="B247" s="0" t="s">
        <v>48</v>
      </c>
      <c r="C247" s="0" t="s">
        <v>50</v>
      </c>
      <c r="D247" s="0" t="s">
        <v>22</v>
      </c>
      <c r="E247" s="0" t="s">
        <v>5307</v>
      </c>
      <c r="F247" s="0" t="s">
        <v>1299</v>
      </c>
      <c r="G247" s="0" t="s">
        <v>152</v>
      </c>
      <c r="H247" s="0" t="s">
        <v>4373</v>
      </c>
      <c r="I247" s="0" t="s">
        <v>4374</v>
      </c>
      <c r="J247" s="0" t="s">
        <v>5308</v>
      </c>
      <c r="K247" s="0" t="s">
        <v>5309</v>
      </c>
      <c r="L247" s="0" t="s">
        <v>5310</v>
      </c>
      <c r="M247" s="0" t="s">
        <v>1355</v>
      </c>
      <c r="N247" s="0" t="s">
        <v>210</v>
      </c>
      <c r="O247" s="0" t="s">
        <v>152</v>
      </c>
      <c r="P247" s="0" t="s">
        <v>4373</v>
      </c>
      <c r="Q247" s="0" t="s">
        <v>4374</v>
      </c>
      <c r="R247" s="0" t="s">
        <v>5308</v>
      </c>
      <c r="S247" s="0" t="s">
        <v>5309</v>
      </c>
      <c r="T247" s="0" t="s">
        <v>4795</v>
      </c>
      <c r="U247" s="0" t="s">
        <v>4796</v>
      </c>
      <c r="V247" s="0" t="s">
        <v>5300</v>
      </c>
      <c r="W247" s="0" t="s">
        <v>4798</v>
      </c>
      <c r="X247" s="0" t="s">
        <v>4799</v>
      </c>
      <c r="Y247" s="0" t="s">
        <v>4796</v>
      </c>
      <c r="Z247" s="0" t="s">
        <v>5301</v>
      </c>
      <c r="AA247" s="0" t="s">
        <v>4807</v>
      </c>
      <c r="AB247" s="0" t="s">
        <v>5300</v>
      </c>
      <c r="AC247" s="0" t="s">
        <v>62</v>
      </c>
      <c r="AD247" s="0" t="s">
        <v>62</v>
      </c>
      <c r="AE247" s="0" t="s">
        <v>62</v>
      </c>
      <c r="AF247" s="0" t="s">
        <v>5311</v>
      </c>
      <c r="AG247" s="0" t="s">
        <v>5312</v>
      </c>
      <c r="AH247" s="0" t="s">
        <v>5311</v>
      </c>
      <c r="AI247" s="0" t="s">
        <v>5312</v>
      </c>
      <c r="AJ247" s="0" t="s">
        <v>5311</v>
      </c>
      <c r="AK247" s="0" t="s">
        <v>5312</v>
      </c>
      <c r="AL247" s="0" t="s">
        <v>4804</v>
      </c>
    </row>
    <row customHeight="1" ht="11.25">
      <c r="A248" s="0" t="s">
        <v>22</v>
      </c>
      <c r="B248" s="0" t="s">
        <v>48</v>
      </c>
      <c r="C248" s="0" t="s">
        <v>50</v>
      </c>
      <c r="D248" s="0" t="s">
        <v>22</v>
      </c>
      <c r="E248" s="0" t="s">
        <v>5313</v>
      </c>
      <c r="F248" s="0" t="s">
        <v>5058</v>
      </c>
      <c r="G248" s="0" t="s">
        <v>152</v>
      </c>
      <c r="H248" s="0" t="s">
        <v>4373</v>
      </c>
      <c r="I248" s="0" t="s">
        <v>4374</v>
      </c>
      <c r="J248" s="0" t="s">
        <v>5308</v>
      </c>
      <c r="K248" s="0" t="s">
        <v>5309</v>
      </c>
      <c r="L248" s="0" t="s">
        <v>1338</v>
      </c>
      <c r="M248" s="0" t="s">
        <v>1355</v>
      </c>
      <c r="N248" s="0" t="s">
        <v>210</v>
      </c>
      <c r="O248" s="0" t="s">
        <v>152</v>
      </c>
      <c r="P248" s="0" t="s">
        <v>4373</v>
      </c>
      <c r="Q248" s="0" t="s">
        <v>4374</v>
      </c>
      <c r="R248" s="0" t="s">
        <v>5308</v>
      </c>
      <c r="S248" s="0" t="s">
        <v>5309</v>
      </c>
      <c r="T248" s="0" t="s">
        <v>4795</v>
      </c>
      <c r="U248" s="0" t="s">
        <v>4796</v>
      </c>
      <c r="V248" s="0" t="s">
        <v>5297</v>
      </c>
      <c r="W248" s="0" t="s">
        <v>4798</v>
      </c>
      <c r="X248" s="0" t="s">
        <v>4799</v>
      </c>
      <c r="Y248" s="0" t="s">
        <v>4796</v>
      </c>
      <c r="Z248" s="0" t="s">
        <v>5298</v>
      </c>
      <c r="AA248" s="0" t="s">
        <v>4801</v>
      </c>
      <c r="AB248" s="0" t="s">
        <v>5297</v>
      </c>
      <c r="AC248" s="0" t="s">
        <v>62</v>
      </c>
      <c r="AD248" s="0" t="s">
        <v>19</v>
      </c>
      <c r="AE248" s="0" t="s">
        <v>19</v>
      </c>
      <c r="AF248" s="0" t="s">
        <v>5004</v>
      </c>
      <c r="AG248" s="0" t="s">
        <v>5314</v>
      </c>
      <c r="AH248" s="0" t="s">
        <v>22</v>
      </c>
      <c r="AI248" s="0" t="s">
        <v>22</v>
      </c>
      <c r="AJ248" s="0" t="s">
        <v>22</v>
      </c>
      <c r="AK248" s="0" t="s">
        <v>22</v>
      </c>
      <c r="AL248" s="0" t="s">
        <v>4804</v>
      </c>
    </row>
    <row customHeight="1" ht="11.25">
      <c r="A249" s="0" t="s">
        <v>22</v>
      </c>
      <c r="B249" s="0" t="s">
        <v>48</v>
      </c>
      <c r="C249" s="0" t="s">
        <v>50</v>
      </c>
      <c r="D249" s="0" t="s">
        <v>22</v>
      </c>
      <c r="E249" s="0" t="s">
        <v>5313</v>
      </c>
      <c r="F249" s="0" t="s">
        <v>5058</v>
      </c>
      <c r="G249" s="0" t="s">
        <v>152</v>
      </c>
      <c r="H249" s="0" t="s">
        <v>4373</v>
      </c>
      <c r="I249" s="0" t="s">
        <v>4374</v>
      </c>
      <c r="J249" s="0" t="s">
        <v>5308</v>
      </c>
      <c r="K249" s="0" t="s">
        <v>5309</v>
      </c>
      <c r="L249" s="0" t="s">
        <v>1338</v>
      </c>
      <c r="M249" s="0" t="s">
        <v>1355</v>
      </c>
      <c r="N249" s="0" t="s">
        <v>210</v>
      </c>
      <c r="O249" s="0" t="s">
        <v>152</v>
      </c>
      <c r="P249" s="0" t="s">
        <v>4373</v>
      </c>
      <c r="Q249" s="0" t="s">
        <v>4374</v>
      </c>
      <c r="R249" s="0" t="s">
        <v>5308</v>
      </c>
      <c r="S249" s="0" t="s">
        <v>5309</v>
      </c>
      <c r="T249" s="0" t="s">
        <v>4795</v>
      </c>
      <c r="U249" s="0" t="s">
        <v>4796</v>
      </c>
      <c r="V249" s="0" t="s">
        <v>5300</v>
      </c>
      <c r="W249" s="0" t="s">
        <v>4798</v>
      </c>
      <c r="X249" s="0" t="s">
        <v>4799</v>
      </c>
      <c r="Y249" s="0" t="s">
        <v>4796</v>
      </c>
      <c r="Z249" s="0" t="s">
        <v>5301</v>
      </c>
      <c r="AA249" s="0" t="s">
        <v>4807</v>
      </c>
      <c r="AB249" s="0" t="s">
        <v>5300</v>
      </c>
      <c r="AC249" s="0" t="s">
        <v>62</v>
      </c>
      <c r="AD249" s="0" t="s">
        <v>19</v>
      </c>
      <c r="AE249" s="0" t="s">
        <v>19</v>
      </c>
      <c r="AF249" s="0" t="s">
        <v>5004</v>
      </c>
      <c r="AG249" s="0" t="s">
        <v>5314</v>
      </c>
      <c r="AH249" s="0" t="s">
        <v>22</v>
      </c>
      <c r="AI249" s="0" t="s">
        <v>22</v>
      </c>
      <c r="AJ249" s="0" t="s">
        <v>22</v>
      </c>
      <c r="AK249" s="0" t="s">
        <v>22</v>
      </c>
      <c r="AL249" s="0" t="s">
        <v>4804</v>
      </c>
    </row>
    <row customHeight="1" ht="11.25">
      <c r="A250" s="0" t="s">
        <v>22</v>
      </c>
      <c r="B250" s="0" t="s">
        <v>48</v>
      </c>
      <c r="C250" s="0" t="s">
        <v>50</v>
      </c>
      <c r="D250" s="0" t="s">
        <v>22</v>
      </c>
      <c r="E250" s="0" t="s">
        <v>5315</v>
      </c>
      <c r="F250" s="0" t="s">
        <v>1299</v>
      </c>
      <c r="G250" s="0" t="s">
        <v>152</v>
      </c>
      <c r="H250" s="0" t="s">
        <v>4373</v>
      </c>
      <c r="I250" s="0" t="s">
        <v>4374</v>
      </c>
      <c r="J250" s="0" t="s">
        <v>5308</v>
      </c>
      <c r="K250" s="0" t="s">
        <v>5309</v>
      </c>
      <c r="L250" s="0" t="s">
        <v>5168</v>
      </c>
      <c r="M250" s="0" t="s">
        <v>1355</v>
      </c>
      <c r="N250" s="0" t="s">
        <v>210</v>
      </c>
      <c r="O250" s="0" t="s">
        <v>152</v>
      </c>
      <c r="P250" s="0" t="s">
        <v>4373</v>
      </c>
      <c r="Q250" s="0" t="s">
        <v>4374</v>
      </c>
      <c r="R250" s="0" t="s">
        <v>5308</v>
      </c>
      <c r="S250" s="0" t="s">
        <v>5309</v>
      </c>
      <c r="T250" s="0" t="s">
        <v>4795</v>
      </c>
      <c r="U250" s="0" t="s">
        <v>4796</v>
      </c>
      <c r="V250" s="0" t="s">
        <v>5297</v>
      </c>
      <c r="W250" s="0" t="s">
        <v>4798</v>
      </c>
      <c r="X250" s="0" t="s">
        <v>4799</v>
      </c>
      <c r="Y250" s="0" t="s">
        <v>4796</v>
      </c>
      <c r="Z250" s="0" t="s">
        <v>5298</v>
      </c>
      <c r="AA250" s="0" t="s">
        <v>4801</v>
      </c>
      <c r="AB250" s="0" t="s">
        <v>5297</v>
      </c>
      <c r="AC250" s="0" t="s">
        <v>62</v>
      </c>
      <c r="AD250" s="0" t="s">
        <v>62</v>
      </c>
      <c r="AE250" s="0" t="s">
        <v>62</v>
      </c>
      <c r="AF250" s="0" t="s">
        <v>5316</v>
      </c>
      <c r="AG250" s="0" t="s">
        <v>5317</v>
      </c>
      <c r="AH250" s="0" t="s">
        <v>5316</v>
      </c>
      <c r="AI250" s="0" t="s">
        <v>5317</v>
      </c>
      <c r="AJ250" s="0" t="s">
        <v>5316</v>
      </c>
      <c r="AK250" s="0" t="s">
        <v>5317</v>
      </c>
      <c r="AL250" s="0" t="s">
        <v>4804</v>
      </c>
    </row>
    <row customHeight="1" ht="11.25">
      <c r="A251" s="0" t="s">
        <v>22</v>
      </c>
      <c r="B251" s="0" t="s">
        <v>48</v>
      </c>
      <c r="C251" s="0" t="s">
        <v>50</v>
      </c>
      <c r="D251" s="0" t="s">
        <v>22</v>
      </c>
      <c r="E251" s="0" t="s">
        <v>5315</v>
      </c>
      <c r="F251" s="0" t="s">
        <v>1299</v>
      </c>
      <c r="G251" s="0" t="s">
        <v>152</v>
      </c>
      <c r="H251" s="0" t="s">
        <v>4373</v>
      </c>
      <c r="I251" s="0" t="s">
        <v>4374</v>
      </c>
      <c r="J251" s="0" t="s">
        <v>5308</v>
      </c>
      <c r="K251" s="0" t="s">
        <v>5309</v>
      </c>
      <c r="L251" s="0" t="s">
        <v>5168</v>
      </c>
      <c r="M251" s="0" t="s">
        <v>1355</v>
      </c>
      <c r="N251" s="0" t="s">
        <v>210</v>
      </c>
      <c r="O251" s="0" t="s">
        <v>152</v>
      </c>
      <c r="P251" s="0" t="s">
        <v>4373</v>
      </c>
      <c r="Q251" s="0" t="s">
        <v>4374</v>
      </c>
      <c r="R251" s="0" t="s">
        <v>5308</v>
      </c>
      <c r="S251" s="0" t="s">
        <v>5309</v>
      </c>
      <c r="T251" s="0" t="s">
        <v>4795</v>
      </c>
      <c r="U251" s="0" t="s">
        <v>4796</v>
      </c>
      <c r="V251" s="0" t="s">
        <v>5300</v>
      </c>
      <c r="W251" s="0" t="s">
        <v>4798</v>
      </c>
      <c r="X251" s="0" t="s">
        <v>4799</v>
      </c>
      <c r="Y251" s="0" t="s">
        <v>4796</v>
      </c>
      <c r="Z251" s="0" t="s">
        <v>5301</v>
      </c>
      <c r="AA251" s="0" t="s">
        <v>4807</v>
      </c>
      <c r="AB251" s="0" t="s">
        <v>5300</v>
      </c>
      <c r="AC251" s="0" t="s">
        <v>62</v>
      </c>
      <c r="AD251" s="0" t="s">
        <v>62</v>
      </c>
      <c r="AE251" s="0" t="s">
        <v>62</v>
      </c>
      <c r="AF251" s="0" t="s">
        <v>5316</v>
      </c>
      <c r="AG251" s="0" t="s">
        <v>5317</v>
      </c>
      <c r="AH251" s="0" t="s">
        <v>5316</v>
      </c>
      <c r="AI251" s="0" t="s">
        <v>5317</v>
      </c>
      <c r="AJ251" s="0" t="s">
        <v>5316</v>
      </c>
      <c r="AK251" s="0" t="s">
        <v>5317</v>
      </c>
      <c r="AL251" s="0" t="s">
        <v>4804</v>
      </c>
    </row>
    <row customHeight="1" ht="11.25">
      <c r="A252" s="0" t="s">
        <v>22</v>
      </c>
      <c r="B252" s="0" t="s">
        <v>48</v>
      </c>
      <c r="C252" s="0" t="s">
        <v>50</v>
      </c>
      <c r="D252" s="0" t="s">
        <v>22</v>
      </c>
      <c r="E252" s="0" t="s">
        <v>5318</v>
      </c>
      <c r="F252" s="0" t="s">
        <v>1299</v>
      </c>
      <c r="G252" s="0" t="s">
        <v>152</v>
      </c>
      <c r="H252" s="0" t="s">
        <v>4373</v>
      </c>
      <c r="I252" s="0" t="s">
        <v>4374</v>
      </c>
      <c r="J252" s="0" t="s">
        <v>5308</v>
      </c>
      <c r="K252" s="0" t="s">
        <v>5309</v>
      </c>
      <c r="L252" s="0" t="s">
        <v>1433</v>
      </c>
      <c r="M252" s="0" t="s">
        <v>1355</v>
      </c>
      <c r="N252" s="0" t="s">
        <v>210</v>
      </c>
      <c r="O252" s="0" t="s">
        <v>152</v>
      </c>
      <c r="P252" s="0" t="s">
        <v>4373</v>
      </c>
      <c r="Q252" s="0" t="s">
        <v>4374</v>
      </c>
      <c r="R252" s="0" t="s">
        <v>5308</v>
      </c>
      <c r="S252" s="0" t="s">
        <v>5309</v>
      </c>
      <c r="T252" s="0" t="s">
        <v>4795</v>
      </c>
      <c r="U252" s="0" t="s">
        <v>4796</v>
      </c>
      <c r="V252" s="0" t="s">
        <v>5297</v>
      </c>
      <c r="W252" s="0" t="s">
        <v>4798</v>
      </c>
      <c r="X252" s="0" t="s">
        <v>4799</v>
      </c>
      <c r="Y252" s="0" t="s">
        <v>4796</v>
      </c>
      <c r="Z252" s="0" t="s">
        <v>5298</v>
      </c>
      <c r="AA252" s="0" t="s">
        <v>4801</v>
      </c>
      <c r="AB252" s="0" t="s">
        <v>5297</v>
      </c>
      <c r="AC252" s="0" t="s">
        <v>62</v>
      </c>
      <c r="AD252" s="0" t="s">
        <v>62</v>
      </c>
      <c r="AE252" s="0" t="s">
        <v>62</v>
      </c>
      <c r="AF252" s="0" t="s">
        <v>5319</v>
      </c>
      <c r="AG252" s="0" t="s">
        <v>5320</v>
      </c>
      <c r="AH252" s="0" t="s">
        <v>5319</v>
      </c>
      <c r="AI252" s="0" t="s">
        <v>5320</v>
      </c>
      <c r="AJ252" s="0" t="s">
        <v>5319</v>
      </c>
      <c r="AK252" s="0" t="s">
        <v>5320</v>
      </c>
      <c r="AL252" s="0" t="s">
        <v>4804</v>
      </c>
    </row>
    <row customHeight="1" ht="11.25">
      <c r="A253" s="0" t="s">
        <v>22</v>
      </c>
      <c r="B253" s="0" t="s">
        <v>48</v>
      </c>
      <c r="C253" s="0" t="s">
        <v>50</v>
      </c>
      <c r="D253" s="0" t="s">
        <v>22</v>
      </c>
      <c r="E253" s="0" t="s">
        <v>5318</v>
      </c>
      <c r="F253" s="0" t="s">
        <v>1299</v>
      </c>
      <c r="G253" s="0" t="s">
        <v>152</v>
      </c>
      <c r="H253" s="0" t="s">
        <v>4373</v>
      </c>
      <c r="I253" s="0" t="s">
        <v>4374</v>
      </c>
      <c r="J253" s="0" t="s">
        <v>5308</v>
      </c>
      <c r="K253" s="0" t="s">
        <v>5309</v>
      </c>
      <c r="L253" s="0" t="s">
        <v>1433</v>
      </c>
      <c r="M253" s="0" t="s">
        <v>1355</v>
      </c>
      <c r="N253" s="0" t="s">
        <v>210</v>
      </c>
      <c r="O253" s="0" t="s">
        <v>152</v>
      </c>
      <c r="P253" s="0" t="s">
        <v>4373</v>
      </c>
      <c r="Q253" s="0" t="s">
        <v>4374</v>
      </c>
      <c r="R253" s="0" t="s">
        <v>5308</v>
      </c>
      <c r="S253" s="0" t="s">
        <v>5309</v>
      </c>
      <c r="T253" s="0" t="s">
        <v>4795</v>
      </c>
      <c r="U253" s="0" t="s">
        <v>4796</v>
      </c>
      <c r="V253" s="0" t="s">
        <v>5300</v>
      </c>
      <c r="W253" s="0" t="s">
        <v>4798</v>
      </c>
      <c r="X253" s="0" t="s">
        <v>4799</v>
      </c>
      <c r="Y253" s="0" t="s">
        <v>4796</v>
      </c>
      <c r="Z253" s="0" t="s">
        <v>5301</v>
      </c>
      <c r="AA253" s="0" t="s">
        <v>4807</v>
      </c>
      <c r="AB253" s="0" t="s">
        <v>5300</v>
      </c>
      <c r="AC253" s="0" t="s">
        <v>62</v>
      </c>
      <c r="AD253" s="0" t="s">
        <v>62</v>
      </c>
      <c r="AE253" s="0" t="s">
        <v>62</v>
      </c>
      <c r="AF253" s="0" t="s">
        <v>5319</v>
      </c>
      <c r="AG253" s="0" t="s">
        <v>5320</v>
      </c>
      <c r="AH253" s="0" t="s">
        <v>5319</v>
      </c>
      <c r="AI253" s="0" t="s">
        <v>5320</v>
      </c>
      <c r="AJ253" s="0" t="s">
        <v>5319</v>
      </c>
      <c r="AK253" s="0" t="s">
        <v>5320</v>
      </c>
      <c r="AL253" s="0" t="s">
        <v>4804</v>
      </c>
    </row>
    <row customHeight="1" ht="11.25">
      <c r="A254" s="0" t="s">
        <v>22</v>
      </c>
      <c r="B254" s="0" t="s">
        <v>48</v>
      </c>
      <c r="C254" s="0" t="s">
        <v>50</v>
      </c>
      <c r="D254" s="0" t="s">
        <v>22</v>
      </c>
      <c r="E254" s="0" t="s">
        <v>5321</v>
      </c>
      <c r="F254" s="0" t="s">
        <v>1299</v>
      </c>
      <c r="G254" s="0" t="s">
        <v>152</v>
      </c>
      <c r="H254" s="0" t="s">
        <v>4373</v>
      </c>
      <c r="I254" s="0" t="s">
        <v>4374</v>
      </c>
      <c r="J254" s="0" t="s">
        <v>5308</v>
      </c>
      <c r="K254" s="0" t="s">
        <v>5309</v>
      </c>
      <c r="L254" s="0" t="s">
        <v>5322</v>
      </c>
      <c r="M254" s="0" t="s">
        <v>1355</v>
      </c>
      <c r="N254" s="0" t="s">
        <v>210</v>
      </c>
      <c r="O254" s="0" t="s">
        <v>152</v>
      </c>
      <c r="P254" s="0" t="s">
        <v>4373</v>
      </c>
      <c r="Q254" s="0" t="s">
        <v>4374</v>
      </c>
      <c r="R254" s="0" t="s">
        <v>5308</v>
      </c>
      <c r="S254" s="0" t="s">
        <v>5309</v>
      </c>
      <c r="T254" s="0" t="s">
        <v>4795</v>
      </c>
      <c r="U254" s="0" t="s">
        <v>4796</v>
      </c>
      <c r="V254" s="0" t="s">
        <v>5297</v>
      </c>
      <c r="W254" s="0" t="s">
        <v>4798</v>
      </c>
      <c r="X254" s="0" t="s">
        <v>4799</v>
      </c>
      <c r="Y254" s="0" t="s">
        <v>4796</v>
      </c>
      <c r="Z254" s="0" t="s">
        <v>5298</v>
      </c>
      <c r="AA254" s="0" t="s">
        <v>4801</v>
      </c>
      <c r="AB254" s="0" t="s">
        <v>5297</v>
      </c>
      <c r="AC254" s="0" t="s">
        <v>62</v>
      </c>
      <c r="AD254" s="0" t="s">
        <v>62</v>
      </c>
      <c r="AE254" s="0" t="s">
        <v>62</v>
      </c>
      <c r="AF254" s="0" t="s">
        <v>5319</v>
      </c>
      <c r="AG254" s="0" t="s">
        <v>5323</v>
      </c>
      <c r="AH254" s="0" t="s">
        <v>5319</v>
      </c>
      <c r="AI254" s="0" t="s">
        <v>5323</v>
      </c>
      <c r="AJ254" s="0" t="s">
        <v>5319</v>
      </c>
      <c r="AK254" s="0" t="s">
        <v>5323</v>
      </c>
      <c r="AL254" s="0" t="s">
        <v>4804</v>
      </c>
    </row>
    <row customHeight="1" ht="11.25">
      <c r="A255" s="0" t="s">
        <v>22</v>
      </c>
      <c r="B255" s="0" t="s">
        <v>48</v>
      </c>
      <c r="C255" s="0" t="s">
        <v>50</v>
      </c>
      <c r="D255" s="0" t="s">
        <v>22</v>
      </c>
      <c r="E255" s="0" t="s">
        <v>5321</v>
      </c>
      <c r="F255" s="0" t="s">
        <v>1299</v>
      </c>
      <c r="G255" s="0" t="s">
        <v>152</v>
      </c>
      <c r="H255" s="0" t="s">
        <v>4373</v>
      </c>
      <c r="I255" s="0" t="s">
        <v>4374</v>
      </c>
      <c r="J255" s="0" t="s">
        <v>5308</v>
      </c>
      <c r="K255" s="0" t="s">
        <v>5309</v>
      </c>
      <c r="L255" s="0" t="s">
        <v>5322</v>
      </c>
      <c r="M255" s="0" t="s">
        <v>1355</v>
      </c>
      <c r="N255" s="0" t="s">
        <v>210</v>
      </c>
      <c r="O255" s="0" t="s">
        <v>152</v>
      </c>
      <c r="P255" s="0" t="s">
        <v>4373</v>
      </c>
      <c r="Q255" s="0" t="s">
        <v>4374</v>
      </c>
      <c r="R255" s="0" t="s">
        <v>5308</v>
      </c>
      <c r="S255" s="0" t="s">
        <v>5309</v>
      </c>
      <c r="T255" s="0" t="s">
        <v>4795</v>
      </c>
      <c r="U255" s="0" t="s">
        <v>4796</v>
      </c>
      <c r="V255" s="0" t="s">
        <v>5300</v>
      </c>
      <c r="W255" s="0" t="s">
        <v>4798</v>
      </c>
      <c r="X255" s="0" t="s">
        <v>4799</v>
      </c>
      <c r="Y255" s="0" t="s">
        <v>4796</v>
      </c>
      <c r="Z255" s="0" t="s">
        <v>5301</v>
      </c>
      <c r="AA255" s="0" t="s">
        <v>4807</v>
      </c>
      <c r="AB255" s="0" t="s">
        <v>5300</v>
      </c>
      <c r="AC255" s="0" t="s">
        <v>62</v>
      </c>
      <c r="AD255" s="0" t="s">
        <v>62</v>
      </c>
      <c r="AE255" s="0" t="s">
        <v>62</v>
      </c>
      <c r="AF255" s="0" t="s">
        <v>5319</v>
      </c>
      <c r="AG255" s="0" t="s">
        <v>5323</v>
      </c>
      <c r="AH255" s="0" t="s">
        <v>5319</v>
      </c>
      <c r="AI255" s="0" t="s">
        <v>5323</v>
      </c>
      <c r="AJ255" s="0" t="s">
        <v>5319</v>
      </c>
      <c r="AK255" s="0" t="s">
        <v>5323</v>
      </c>
      <c r="AL255" s="0" t="s">
        <v>4804</v>
      </c>
    </row>
    <row customHeight="1" ht="11.25">
      <c r="A256" s="0" t="s">
        <v>22</v>
      </c>
      <c r="B256" s="0" t="s">
        <v>48</v>
      </c>
      <c r="C256" s="0" t="s">
        <v>50</v>
      </c>
      <c r="D256" s="0" t="s">
        <v>22</v>
      </c>
      <c r="E256" s="0" t="s">
        <v>5324</v>
      </c>
      <c r="F256" s="0" t="s">
        <v>1299</v>
      </c>
      <c r="G256" s="0" t="s">
        <v>152</v>
      </c>
      <c r="H256" s="0" t="s">
        <v>4375</v>
      </c>
      <c r="I256" s="0" t="s">
        <v>4376</v>
      </c>
      <c r="J256" s="0" t="s">
        <v>5325</v>
      </c>
      <c r="K256" s="0" t="s">
        <v>5326</v>
      </c>
      <c r="L256" s="0" t="s">
        <v>5327</v>
      </c>
      <c r="M256" s="0" t="s">
        <v>1355</v>
      </c>
      <c r="N256" s="0" t="s">
        <v>210</v>
      </c>
      <c r="O256" s="0" t="s">
        <v>152</v>
      </c>
      <c r="P256" s="0" t="s">
        <v>4375</v>
      </c>
      <c r="Q256" s="0" t="s">
        <v>4376</v>
      </c>
      <c r="R256" s="0" t="s">
        <v>5325</v>
      </c>
      <c r="S256" s="0" t="s">
        <v>5326</v>
      </c>
      <c r="T256" s="0" t="s">
        <v>4795</v>
      </c>
      <c r="U256" s="0" t="s">
        <v>4796</v>
      </c>
      <c r="V256" s="0" t="s">
        <v>5297</v>
      </c>
      <c r="W256" s="0" t="s">
        <v>4798</v>
      </c>
      <c r="X256" s="0" t="s">
        <v>4799</v>
      </c>
      <c r="Y256" s="0" t="s">
        <v>4796</v>
      </c>
      <c r="Z256" s="0" t="s">
        <v>5298</v>
      </c>
      <c r="AA256" s="0" t="s">
        <v>4801</v>
      </c>
      <c r="AB256" s="0" t="s">
        <v>5297</v>
      </c>
      <c r="AC256" s="0" t="s">
        <v>62</v>
      </c>
      <c r="AD256" s="0" t="s">
        <v>62</v>
      </c>
      <c r="AE256" s="0" t="s">
        <v>62</v>
      </c>
      <c r="AF256" s="0" t="s">
        <v>5328</v>
      </c>
      <c r="AG256" s="0" t="s">
        <v>5329</v>
      </c>
      <c r="AH256" s="0" t="s">
        <v>5328</v>
      </c>
      <c r="AI256" s="0" t="s">
        <v>5329</v>
      </c>
      <c r="AJ256" s="0" t="s">
        <v>5328</v>
      </c>
      <c r="AK256" s="0" t="s">
        <v>5329</v>
      </c>
      <c r="AL256" s="0" t="s">
        <v>4804</v>
      </c>
    </row>
    <row customHeight="1" ht="11.25">
      <c r="A257" s="0" t="s">
        <v>22</v>
      </c>
      <c r="B257" s="0" t="s">
        <v>48</v>
      </c>
      <c r="C257" s="0" t="s">
        <v>50</v>
      </c>
      <c r="D257" s="0" t="s">
        <v>22</v>
      </c>
      <c r="E257" s="0" t="s">
        <v>5324</v>
      </c>
      <c r="F257" s="0" t="s">
        <v>1299</v>
      </c>
      <c r="G257" s="0" t="s">
        <v>152</v>
      </c>
      <c r="H257" s="0" t="s">
        <v>4375</v>
      </c>
      <c r="I257" s="0" t="s">
        <v>4376</v>
      </c>
      <c r="J257" s="0" t="s">
        <v>5325</v>
      </c>
      <c r="K257" s="0" t="s">
        <v>5326</v>
      </c>
      <c r="L257" s="0" t="s">
        <v>5327</v>
      </c>
      <c r="M257" s="0" t="s">
        <v>1355</v>
      </c>
      <c r="N257" s="0" t="s">
        <v>210</v>
      </c>
      <c r="O257" s="0" t="s">
        <v>152</v>
      </c>
      <c r="P257" s="0" t="s">
        <v>4375</v>
      </c>
      <c r="Q257" s="0" t="s">
        <v>4376</v>
      </c>
      <c r="R257" s="0" t="s">
        <v>5325</v>
      </c>
      <c r="S257" s="0" t="s">
        <v>5326</v>
      </c>
      <c r="T257" s="0" t="s">
        <v>4795</v>
      </c>
      <c r="U257" s="0" t="s">
        <v>4796</v>
      </c>
      <c r="V257" s="0" t="s">
        <v>5300</v>
      </c>
      <c r="W257" s="0" t="s">
        <v>4798</v>
      </c>
      <c r="X257" s="0" t="s">
        <v>4799</v>
      </c>
      <c r="Y257" s="0" t="s">
        <v>4796</v>
      </c>
      <c r="Z257" s="0" t="s">
        <v>5301</v>
      </c>
      <c r="AA257" s="0" t="s">
        <v>4807</v>
      </c>
      <c r="AB257" s="0" t="s">
        <v>5300</v>
      </c>
      <c r="AC257" s="0" t="s">
        <v>62</v>
      </c>
      <c r="AD257" s="0" t="s">
        <v>62</v>
      </c>
      <c r="AE257" s="0" t="s">
        <v>62</v>
      </c>
      <c r="AF257" s="0" t="s">
        <v>5328</v>
      </c>
      <c r="AG257" s="0" t="s">
        <v>5329</v>
      </c>
      <c r="AH257" s="0" t="s">
        <v>5328</v>
      </c>
      <c r="AI257" s="0" t="s">
        <v>5329</v>
      </c>
      <c r="AJ257" s="0" t="s">
        <v>5328</v>
      </c>
      <c r="AK257" s="0" t="s">
        <v>5329</v>
      </c>
      <c r="AL257" s="0" t="s">
        <v>4804</v>
      </c>
    </row>
    <row customHeight="1" ht="11.25">
      <c r="A258" s="0" t="s">
        <v>22</v>
      </c>
      <c r="B258" s="0" t="s">
        <v>48</v>
      </c>
      <c r="C258" s="0" t="s">
        <v>50</v>
      </c>
      <c r="D258" s="0" t="s">
        <v>22</v>
      </c>
      <c r="E258" s="0" t="s">
        <v>5330</v>
      </c>
      <c r="F258" s="0" t="s">
        <v>1299</v>
      </c>
      <c r="G258" s="0" t="s">
        <v>152</v>
      </c>
      <c r="H258" s="0" t="s">
        <v>4375</v>
      </c>
      <c r="I258" s="0" t="s">
        <v>4376</v>
      </c>
      <c r="J258" s="0" t="s">
        <v>5325</v>
      </c>
      <c r="K258" s="0" t="s">
        <v>5326</v>
      </c>
      <c r="L258" s="0" t="s">
        <v>5331</v>
      </c>
      <c r="M258" s="0" t="s">
        <v>1355</v>
      </c>
      <c r="N258" s="0" t="s">
        <v>210</v>
      </c>
      <c r="O258" s="0" t="s">
        <v>152</v>
      </c>
      <c r="P258" s="0" t="s">
        <v>4375</v>
      </c>
      <c r="Q258" s="0" t="s">
        <v>4376</v>
      </c>
      <c r="R258" s="0" t="s">
        <v>5325</v>
      </c>
      <c r="S258" s="0" t="s">
        <v>5326</v>
      </c>
      <c r="T258" s="0" t="s">
        <v>4795</v>
      </c>
      <c r="U258" s="0" t="s">
        <v>4796</v>
      </c>
      <c r="V258" s="0" t="s">
        <v>5297</v>
      </c>
      <c r="W258" s="0" t="s">
        <v>4798</v>
      </c>
      <c r="X258" s="0" t="s">
        <v>4799</v>
      </c>
      <c r="Y258" s="0" t="s">
        <v>4796</v>
      </c>
      <c r="Z258" s="0" t="s">
        <v>5298</v>
      </c>
      <c r="AA258" s="0" t="s">
        <v>4801</v>
      </c>
      <c r="AB258" s="0" t="s">
        <v>5297</v>
      </c>
      <c r="AC258" s="0" t="s">
        <v>62</v>
      </c>
      <c r="AD258" s="0" t="s">
        <v>62</v>
      </c>
      <c r="AE258" s="0" t="s">
        <v>62</v>
      </c>
      <c r="AF258" s="0" t="s">
        <v>5332</v>
      </c>
      <c r="AG258" s="0" t="s">
        <v>5333</v>
      </c>
      <c r="AH258" s="0" t="s">
        <v>5332</v>
      </c>
      <c r="AI258" s="0" t="s">
        <v>5333</v>
      </c>
      <c r="AJ258" s="0" t="s">
        <v>5332</v>
      </c>
      <c r="AK258" s="0" t="s">
        <v>5333</v>
      </c>
      <c r="AL258" s="0" t="s">
        <v>4804</v>
      </c>
    </row>
    <row customHeight="1" ht="11.25">
      <c r="A259" s="0" t="s">
        <v>22</v>
      </c>
      <c r="B259" s="0" t="s">
        <v>48</v>
      </c>
      <c r="C259" s="0" t="s">
        <v>50</v>
      </c>
      <c r="D259" s="0" t="s">
        <v>22</v>
      </c>
      <c r="E259" s="0" t="s">
        <v>5330</v>
      </c>
      <c r="F259" s="0" t="s">
        <v>1299</v>
      </c>
      <c r="G259" s="0" t="s">
        <v>152</v>
      </c>
      <c r="H259" s="0" t="s">
        <v>4375</v>
      </c>
      <c r="I259" s="0" t="s">
        <v>4376</v>
      </c>
      <c r="J259" s="0" t="s">
        <v>5325</v>
      </c>
      <c r="K259" s="0" t="s">
        <v>5326</v>
      </c>
      <c r="L259" s="0" t="s">
        <v>5331</v>
      </c>
      <c r="M259" s="0" t="s">
        <v>1355</v>
      </c>
      <c r="N259" s="0" t="s">
        <v>210</v>
      </c>
      <c r="O259" s="0" t="s">
        <v>152</v>
      </c>
      <c r="P259" s="0" t="s">
        <v>4375</v>
      </c>
      <c r="Q259" s="0" t="s">
        <v>4376</v>
      </c>
      <c r="R259" s="0" t="s">
        <v>5325</v>
      </c>
      <c r="S259" s="0" t="s">
        <v>5326</v>
      </c>
      <c r="T259" s="0" t="s">
        <v>4795</v>
      </c>
      <c r="U259" s="0" t="s">
        <v>4796</v>
      </c>
      <c r="V259" s="0" t="s">
        <v>5300</v>
      </c>
      <c r="W259" s="0" t="s">
        <v>4798</v>
      </c>
      <c r="X259" s="0" t="s">
        <v>4799</v>
      </c>
      <c r="Y259" s="0" t="s">
        <v>4796</v>
      </c>
      <c r="Z259" s="0" t="s">
        <v>5301</v>
      </c>
      <c r="AA259" s="0" t="s">
        <v>4807</v>
      </c>
      <c r="AB259" s="0" t="s">
        <v>5300</v>
      </c>
      <c r="AC259" s="0" t="s">
        <v>62</v>
      </c>
      <c r="AD259" s="0" t="s">
        <v>62</v>
      </c>
      <c r="AE259" s="0" t="s">
        <v>62</v>
      </c>
      <c r="AF259" s="0" t="s">
        <v>5332</v>
      </c>
      <c r="AG259" s="0" t="s">
        <v>5333</v>
      </c>
      <c r="AH259" s="0" t="s">
        <v>5332</v>
      </c>
      <c r="AI259" s="0" t="s">
        <v>5333</v>
      </c>
      <c r="AJ259" s="0" t="s">
        <v>5332</v>
      </c>
      <c r="AK259" s="0" t="s">
        <v>5333</v>
      </c>
      <c r="AL259" s="0" t="s">
        <v>4804</v>
      </c>
    </row>
    <row customHeight="1" ht="11.25">
      <c r="A260" s="0" t="s">
        <v>22</v>
      </c>
      <c r="B260" s="0" t="s">
        <v>48</v>
      </c>
      <c r="C260" s="0" t="s">
        <v>50</v>
      </c>
      <c r="D260" s="0" t="s">
        <v>22</v>
      </c>
      <c r="E260" s="0" t="s">
        <v>5334</v>
      </c>
      <c r="F260" s="0" t="s">
        <v>1299</v>
      </c>
      <c r="G260" s="0" t="s">
        <v>152</v>
      </c>
      <c r="H260" s="0" t="s">
        <v>4375</v>
      </c>
      <c r="I260" s="0" t="s">
        <v>4376</v>
      </c>
      <c r="J260" s="0" t="s">
        <v>5325</v>
      </c>
      <c r="K260" s="0" t="s">
        <v>5326</v>
      </c>
      <c r="L260" s="0" t="s">
        <v>5029</v>
      </c>
      <c r="M260" s="0" t="s">
        <v>1355</v>
      </c>
      <c r="N260" s="0" t="s">
        <v>210</v>
      </c>
      <c r="O260" s="0" t="s">
        <v>152</v>
      </c>
      <c r="P260" s="0" t="s">
        <v>4375</v>
      </c>
      <c r="Q260" s="0" t="s">
        <v>4376</v>
      </c>
      <c r="R260" s="0" t="s">
        <v>5325</v>
      </c>
      <c r="S260" s="0" t="s">
        <v>5326</v>
      </c>
      <c r="T260" s="0" t="s">
        <v>4795</v>
      </c>
      <c r="U260" s="0" t="s">
        <v>4796</v>
      </c>
      <c r="V260" s="0" t="s">
        <v>5297</v>
      </c>
      <c r="W260" s="0" t="s">
        <v>4798</v>
      </c>
      <c r="X260" s="0" t="s">
        <v>4799</v>
      </c>
      <c r="Y260" s="0" t="s">
        <v>4796</v>
      </c>
      <c r="Z260" s="0" t="s">
        <v>5298</v>
      </c>
      <c r="AA260" s="0" t="s">
        <v>4801</v>
      </c>
      <c r="AB260" s="0" t="s">
        <v>5297</v>
      </c>
      <c r="AC260" s="0" t="s">
        <v>62</v>
      </c>
      <c r="AD260" s="0" t="s">
        <v>62</v>
      </c>
      <c r="AE260" s="0" t="s">
        <v>62</v>
      </c>
      <c r="AF260" s="0" t="s">
        <v>5335</v>
      </c>
      <c r="AG260" s="0" t="s">
        <v>5336</v>
      </c>
      <c r="AH260" s="0" t="s">
        <v>5335</v>
      </c>
      <c r="AI260" s="0" t="s">
        <v>5336</v>
      </c>
      <c r="AJ260" s="0" t="s">
        <v>5335</v>
      </c>
      <c r="AK260" s="0" t="s">
        <v>5336</v>
      </c>
      <c r="AL260" s="0" t="s">
        <v>4804</v>
      </c>
    </row>
    <row customHeight="1" ht="11.25">
      <c r="A261" s="0" t="s">
        <v>22</v>
      </c>
      <c r="B261" s="0" t="s">
        <v>48</v>
      </c>
      <c r="C261" s="0" t="s">
        <v>50</v>
      </c>
      <c r="D261" s="0" t="s">
        <v>22</v>
      </c>
      <c r="E261" s="0" t="s">
        <v>5334</v>
      </c>
      <c r="F261" s="0" t="s">
        <v>1299</v>
      </c>
      <c r="G261" s="0" t="s">
        <v>152</v>
      </c>
      <c r="H261" s="0" t="s">
        <v>4375</v>
      </c>
      <c r="I261" s="0" t="s">
        <v>4376</v>
      </c>
      <c r="J261" s="0" t="s">
        <v>5325</v>
      </c>
      <c r="K261" s="0" t="s">
        <v>5326</v>
      </c>
      <c r="L261" s="0" t="s">
        <v>5029</v>
      </c>
      <c r="M261" s="0" t="s">
        <v>1355</v>
      </c>
      <c r="N261" s="0" t="s">
        <v>210</v>
      </c>
      <c r="O261" s="0" t="s">
        <v>152</v>
      </c>
      <c r="P261" s="0" t="s">
        <v>4375</v>
      </c>
      <c r="Q261" s="0" t="s">
        <v>4376</v>
      </c>
      <c r="R261" s="0" t="s">
        <v>5325</v>
      </c>
      <c r="S261" s="0" t="s">
        <v>5326</v>
      </c>
      <c r="T261" s="0" t="s">
        <v>4795</v>
      </c>
      <c r="U261" s="0" t="s">
        <v>4796</v>
      </c>
      <c r="V261" s="0" t="s">
        <v>5300</v>
      </c>
      <c r="W261" s="0" t="s">
        <v>4798</v>
      </c>
      <c r="X261" s="0" t="s">
        <v>4799</v>
      </c>
      <c r="Y261" s="0" t="s">
        <v>4796</v>
      </c>
      <c r="Z261" s="0" t="s">
        <v>5301</v>
      </c>
      <c r="AA261" s="0" t="s">
        <v>4807</v>
      </c>
      <c r="AB261" s="0" t="s">
        <v>5300</v>
      </c>
      <c r="AC261" s="0" t="s">
        <v>62</v>
      </c>
      <c r="AD261" s="0" t="s">
        <v>62</v>
      </c>
      <c r="AE261" s="0" t="s">
        <v>62</v>
      </c>
      <c r="AF261" s="0" t="s">
        <v>5335</v>
      </c>
      <c r="AG261" s="0" t="s">
        <v>5336</v>
      </c>
      <c r="AH261" s="0" t="s">
        <v>5335</v>
      </c>
      <c r="AI261" s="0" t="s">
        <v>5336</v>
      </c>
      <c r="AJ261" s="0" t="s">
        <v>5335</v>
      </c>
      <c r="AK261" s="0" t="s">
        <v>5336</v>
      </c>
      <c r="AL261" s="0" t="s">
        <v>4804</v>
      </c>
    </row>
    <row customHeight="1" ht="11.25">
      <c r="A262" s="0" t="s">
        <v>22</v>
      </c>
      <c r="B262" s="0" t="s">
        <v>48</v>
      </c>
      <c r="C262" s="0" t="s">
        <v>50</v>
      </c>
      <c r="D262" s="0" t="s">
        <v>22</v>
      </c>
      <c r="E262" s="0" t="s">
        <v>5337</v>
      </c>
      <c r="F262" s="0" t="s">
        <v>1299</v>
      </c>
      <c r="G262" s="0" t="s">
        <v>152</v>
      </c>
      <c r="H262" s="0" t="s">
        <v>4375</v>
      </c>
      <c r="I262" s="0" t="s">
        <v>4376</v>
      </c>
      <c r="J262" s="0" t="s">
        <v>5325</v>
      </c>
      <c r="K262" s="0" t="s">
        <v>5326</v>
      </c>
      <c r="L262" s="0" t="s">
        <v>5338</v>
      </c>
      <c r="M262" s="0" t="s">
        <v>1355</v>
      </c>
      <c r="N262" s="0" t="s">
        <v>210</v>
      </c>
      <c r="O262" s="0" t="s">
        <v>152</v>
      </c>
      <c r="P262" s="0" t="s">
        <v>4375</v>
      </c>
      <c r="Q262" s="0" t="s">
        <v>4376</v>
      </c>
      <c r="R262" s="0" t="s">
        <v>5325</v>
      </c>
      <c r="S262" s="0" t="s">
        <v>5326</v>
      </c>
      <c r="T262" s="0" t="s">
        <v>4795</v>
      </c>
      <c r="U262" s="0" t="s">
        <v>4796</v>
      </c>
      <c r="V262" s="0" t="s">
        <v>5300</v>
      </c>
      <c r="W262" s="0" t="s">
        <v>4798</v>
      </c>
      <c r="X262" s="0" t="s">
        <v>4799</v>
      </c>
      <c r="Y262" s="0" t="s">
        <v>4796</v>
      </c>
      <c r="Z262" s="0" t="s">
        <v>5301</v>
      </c>
      <c r="AA262" s="0" t="s">
        <v>4807</v>
      </c>
      <c r="AB262" s="0" t="s">
        <v>5300</v>
      </c>
      <c r="AC262" s="0" t="s">
        <v>62</v>
      </c>
      <c r="AD262" s="0" t="s">
        <v>62</v>
      </c>
      <c r="AE262" s="0" t="s">
        <v>62</v>
      </c>
      <c r="AF262" s="0" t="s">
        <v>4862</v>
      </c>
      <c r="AG262" s="0" t="s">
        <v>5339</v>
      </c>
      <c r="AH262" s="0" t="s">
        <v>4862</v>
      </c>
      <c r="AI262" s="0" t="s">
        <v>5339</v>
      </c>
      <c r="AJ262" s="0" t="s">
        <v>4862</v>
      </c>
      <c r="AK262" s="0" t="s">
        <v>5339</v>
      </c>
      <c r="AL262" s="0" t="s">
        <v>4804</v>
      </c>
    </row>
    <row customHeight="1" ht="11.25">
      <c r="A263" s="0" t="s">
        <v>22</v>
      </c>
      <c r="B263" s="0" t="s">
        <v>48</v>
      </c>
      <c r="C263" s="0" t="s">
        <v>50</v>
      </c>
      <c r="D263" s="0" t="s">
        <v>22</v>
      </c>
      <c r="E263" s="0" t="s">
        <v>5337</v>
      </c>
      <c r="F263" s="0" t="s">
        <v>1299</v>
      </c>
      <c r="G263" s="0" t="s">
        <v>152</v>
      </c>
      <c r="H263" s="0" t="s">
        <v>4375</v>
      </c>
      <c r="I263" s="0" t="s">
        <v>4376</v>
      </c>
      <c r="J263" s="0" t="s">
        <v>5325</v>
      </c>
      <c r="K263" s="0" t="s">
        <v>5326</v>
      </c>
      <c r="L263" s="0" t="s">
        <v>5338</v>
      </c>
      <c r="M263" s="0" t="s">
        <v>1355</v>
      </c>
      <c r="N263" s="0" t="s">
        <v>210</v>
      </c>
      <c r="O263" s="0" t="s">
        <v>152</v>
      </c>
      <c r="P263" s="0" t="s">
        <v>4375</v>
      </c>
      <c r="Q263" s="0" t="s">
        <v>4376</v>
      </c>
      <c r="R263" s="0" t="s">
        <v>5325</v>
      </c>
      <c r="S263" s="0" t="s">
        <v>5326</v>
      </c>
      <c r="T263" s="0" t="s">
        <v>4795</v>
      </c>
      <c r="U263" s="0" t="s">
        <v>4796</v>
      </c>
      <c r="V263" s="0" t="s">
        <v>5297</v>
      </c>
      <c r="W263" s="0" t="s">
        <v>4798</v>
      </c>
      <c r="X263" s="0" t="s">
        <v>4799</v>
      </c>
      <c r="Y263" s="0" t="s">
        <v>4796</v>
      </c>
      <c r="Z263" s="0" t="s">
        <v>5298</v>
      </c>
      <c r="AA263" s="0" t="s">
        <v>4801</v>
      </c>
      <c r="AB263" s="0" t="s">
        <v>5297</v>
      </c>
      <c r="AC263" s="0" t="s">
        <v>62</v>
      </c>
      <c r="AD263" s="0" t="s">
        <v>62</v>
      </c>
      <c r="AE263" s="0" t="s">
        <v>62</v>
      </c>
      <c r="AF263" s="0" t="s">
        <v>4862</v>
      </c>
      <c r="AG263" s="0" t="s">
        <v>5339</v>
      </c>
      <c r="AH263" s="0" t="s">
        <v>4862</v>
      </c>
      <c r="AI263" s="0" t="s">
        <v>5339</v>
      </c>
      <c r="AJ263" s="0" t="s">
        <v>4862</v>
      </c>
      <c r="AK263" s="0" t="s">
        <v>5339</v>
      </c>
      <c r="AL263" s="0" t="s">
        <v>4804</v>
      </c>
    </row>
    <row customHeight="1" ht="11.25">
      <c r="A264" s="0" t="s">
        <v>22</v>
      </c>
      <c r="B264" s="0" t="s">
        <v>48</v>
      </c>
      <c r="C264" s="0" t="s">
        <v>50</v>
      </c>
      <c r="D264" s="0" t="s">
        <v>22</v>
      </c>
      <c r="E264" s="0" t="s">
        <v>5340</v>
      </c>
      <c r="F264" s="0" t="s">
        <v>1299</v>
      </c>
      <c r="G264" s="0" t="s">
        <v>152</v>
      </c>
      <c r="H264" s="0" t="s">
        <v>4375</v>
      </c>
      <c r="I264" s="0" t="s">
        <v>4376</v>
      </c>
      <c r="J264" s="0" t="s">
        <v>5325</v>
      </c>
      <c r="K264" s="0" t="s">
        <v>5326</v>
      </c>
      <c r="L264" s="0" t="s">
        <v>4822</v>
      </c>
      <c r="M264" s="0" t="s">
        <v>1355</v>
      </c>
      <c r="N264" s="0" t="s">
        <v>210</v>
      </c>
      <c r="O264" s="0" t="s">
        <v>152</v>
      </c>
      <c r="P264" s="0" t="s">
        <v>4375</v>
      </c>
      <c r="Q264" s="0" t="s">
        <v>4376</v>
      </c>
      <c r="R264" s="0" t="s">
        <v>5325</v>
      </c>
      <c r="S264" s="0" t="s">
        <v>5326</v>
      </c>
      <c r="T264" s="0" t="s">
        <v>4795</v>
      </c>
      <c r="U264" s="0" t="s">
        <v>4796</v>
      </c>
      <c r="V264" s="0" t="s">
        <v>5300</v>
      </c>
      <c r="W264" s="0" t="s">
        <v>4798</v>
      </c>
      <c r="X264" s="0" t="s">
        <v>4799</v>
      </c>
      <c r="Y264" s="0" t="s">
        <v>4796</v>
      </c>
      <c r="Z264" s="0" t="s">
        <v>5301</v>
      </c>
      <c r="AA264" s="0" t="s">
        <v>4807</v>
      </c>
      <c r="AB264" s="0" t="s">
        <v>5300</v>
      </c>
      <c r="AC264" s="0" t="s">
        <v>62</v>
      </c>
      <c r="AD264" s="0" t="s">
        <v>62</v>
      </c>
      <c r="AE264" s="0" t="s">
        <v>62</v>
      </c>
      <c r="AF264" s="0" t="s">
        <v>5118</v>
      </c>
      <c r="AG264" s="0" t="s">
        <v>4965</v>
      </c>
      <c r="AH264" s="0" t="s">
        <v>5118</v>
      </c>
      <c r="AI264" s="0" t="s">
        <v>4965</v>
      </c>
      <c r="AJ264" s="0" t="s">
        <v>5118</v>
      </c>
      <c r="AK264" s="0" t="s">
        <v>4965</v>
      </c>
      <c r="AL264" s="0" t="s">
        <v>4804</v>
      </c>
    </row>
    <row customHeight="1" ht="11.25">
      <c r="A265" s="0" t="s">
        <v>22</v>
      </c>
      <c r="B265" s="0" t="s">
        <v>48</v>
      </c>
      <c r="C265" s="0" t="s">
        <v>50</v>
      </c>
      <c r="D265" s="0" t="s">
        <v>22</v>
      </c>
      <c r="E265" s="0" t="s">
        <v>5340</v>
      </c>
      <c r="F265" s="0" t="s">
        <v>1299</v>
      </c>
      <c r="G265" s="0" t="s">
        <v>152</v>
      </c>
      <c r="H265" s="0" t="s">
        <v>4375</v>
      </c>
      <c r="I265" s="0" t="s">
        <v>4376</v>
      </c>
      <c r="J265" s="0" t="s">
        <v>5325</v>
      </c>
      <c r="K265" s="0" t="s">
        <v>5326</v>
      </c>
      <c r="L265" s="0" t="s">
        <v>4822</v>
      </c>
      <c r="M265" s="0" t="s">
        <v>1355</v>
      </c>
      <c r="N265" s="0" t="s">
        <v>210</v>
      </c>
      <c r="O265" s="0" t="s">
        <v>152</v>
      </c>
      <c r="P265" s="0" t="s">
        <v>4375</v>
      </c>
      <c r="Q265" s="0" t="s">
        <v>4376</v>
      </c>
      <c r="R265" s="0" t="s">
        <v>5325</v>
      </c>
      <c r="S265" s="0" t="s">
        <v>5326</v>
      </c>
      <c r="T265" s="0" t="s">
        <v>4795</v>
      </c>
      <c r="U265" s="0" t="s">
        <v>4796</v>
      </c>
      <c r="V265" s="0" t="s">
        <v>5297</v>
      </c>
      <c r="W265" s="0" t="s">
        <v>4798</v>
      </c>
      <c r="X265" s="0" t="s">
        <v>4799</v>
      </c>
      <c r="Y265" s="0" t="s">
        <v>4796</v>
      </c>
      <c r="Z265" s="0" t="s">
        <v>5298</v>
      </c>
      <c r="AA265" s="0" t="s">
        <v>4801</v>
      </c>
      <c r="AB265" s="0" t="s">
        <v>5297</v>
      </c>
      <c r="AC265" s="0" t="s">
        <v>62</v>
      </c>
      <c r="AD265" s="0" t="s">
        <v>62</v>
      </c>
      <c r="AE265" s="0" t="s">
        <v>62</v>
      </c>
      <c r="AF265" s="0" t="s">
        <v>5118</v>
      </c>
      <c r="AG265" s="0" t="s">
        <v>4965</v>
      </c>
      <c r="AH265" s="0" t="s">
        <v>5118</v>
      </c>
      <c r="AI265" s="0" t="s">
        <v>4965</v>
      </c>
      <c r="AJ265" s="0" t="s">
        <v>5118</v>
      </c>
      <c r="AK265" s="0" t="s">
        <v>4965</v>
      </c>
      <c r="AL265" s="0" t="s">
        <v>4804</v>
      </c>
    </row>
    <row customHeight="1" ht="11.25">
      <c r="A266" s="0" t="s">
        <v>22</v>
      </c>
      <c r="B266" s="0" t="s">
        <v>48</v>
      </c>
      <c r="C266" s="0" t="s">
        <v>50</v>
      </c>
      <c r="D266" s="0" t="s">
        <v>22</v>
      </c>
      <c r="E266" s="0" t="s">
        <v>5341</v>
      </c>
      <c r="F266" s="0" t="s">
        <v>1299</v>
      </c>
      <c r="G266" s="0" t="s">
        <v>152</v>
      </c>
      <c r="H266" s="0" t="s">
        <v>4375</v>
      </c>
      <c r="I266" s="0" t="s">
        <v>4376</v>
      </c>
      <c r="J266" s="0" t="s">
        <v>5325</v>
      </c>
      <c r="K266" s="0" t="s">
        <v>5326</v>
      </c>
      <c r="L266" s="0" t="s">
        <v>5342</v>
      </c>
      <c r="M266" s="0" t="s">
        <v>1355</v>
      </c>
      <c r="N266" s="0" t="s">
        <v>210</v>
      </c>
      <c r="O266" s="0" t="s">
        <v>152</v>
      </c>
      <c r="P266" s="0" t="s">
        <v>4375</v>
      </c>
      <c r="Q266" s="0" t="s">
        <v>4376</v>
      </c>
      <c r="R266" s="0" t="s">
        <v>5325</v>
      </c>
      <c r="S266" s="0" t="s">
        <v>5326</v>
      </c>
      <c r="T266" s="0" t="s">
        <v>4795</v>
      </c>
      <c r="U266" s="0" t="s">
        <v>4796</v>
      </c>
      <c r="V266" s="0" t="s">
        <v>5297</v>
      </c>
      <c r="W266" s="0" t="s">
        <v>4798</v>
      </c>
      <c r="X266" s="0" t="s">
        <v>4799</v>
      </c>
      <c r="Y266" s="0" t="s">
        <v>4796</v>
      </c>
      <c r="Z266" s="0" t="s">
        <v>5298</v>
      </c>
      <c r="AA266" s="0" t="s">
        <v>4801</v>
      </c>
      <c r="AB266" s="0" t="s">
        <v>5297</v>
      </c>
      <c r="AC266" s="0" t="s">
        <v>62</v>
      </c>
      <c r="AD266" s="0" t="s">
        <v>62</v>
      </c>
      <c r="AE266" s="0" t="s">
        <v>62</v>
      </c>
      <c r="AF266" s="0" t="s">
        <v>5343</v>
      </c>
      <c r="AG266" s="0" t="s">
        <v>5344</v>
      </c>
      <c r="AH266" s="0" t="s">
        <v>5343</v>
      </c>
      <c r="AI266" s="0" t="s">
        <v>5344</v>
      </c>
      <c r="AJ266" s="0" t="s">
        <v>5343</v>
      </c>
      <c r="AK266" s="0" t="s">
        <v>5344</v>
      </c>
      <c r="AL266" s="0" t="s">
        <v>4804</v>
      </c>
    </row>
    <row customHeight="1" ht="11.25">
      <c r="A267" s="0" t="s">
        <v>22</v>
      </c>
      <c r="B267" s="0" t="s">
        <v>48</v>
      </c>
      <c r="C267" s="0" t="s">
        <v>50</v>
      </c>
      <c r="D267" s="0" t="s">
        <v>22</v>
      </c>
      <c r="E267" s="0" t="s">
        <v>5341</v>
      </c>
      <c r="F267" s="0" t="s">
        <v>1299</v>
      </c>
      <c r="G267" s="0" t="s">
        <v>152</v>
      </c>
      <c r="H267" s="0" t="s">
        <v>4375</v>
      </c>
      <c r="I267" s="0" t="s">
        <v>4376</v>
      </c>
      <c r="J267" s="0" t="s">
        <v>5325</v>
      </c>
      <c r="K267" s="0" t="s">
        <v>5326</v>
      </c>
      <c r="L267" s="0" t="s">
        <v>5342</v>
      </c>
      <c r="M267" s="0" t="s">
        <v>1355</v>
      </c>
      <c r="N267" s="0" t="s">
        <v>210</v>
      </c>
      <c r="O267" s="0" t="s">
        <v>152</v>
      </c>
      <c r="P267" s="0" t="s">
        <v>4375</v>
      </c>
      <c r="Q267" s="0" t="s">
        <v>4376</v>
      </c>
      <c r="R267" s="0" t="s">
        <v>5325</v>
      </c>
      <c r="S267" s="0" t="s">
        <v>5326</v>
      </c>
      <c r="T267" s="0" t="s">
        <v>4795</v>
      </c>
      <c r="U267" s="0" t="s">
        <v>4796</v>
      </c>
      <c r="V267" s="0" t="s">
        <v>5300</v>
      </c>
      <c r="W267" s="0" t="s">
        <v>4798</v>
      </c>
      <c r="X267" s="0" t="s">
        <v>4799</v>
      </c>
      <c r="Y267" s="0" t="s">
        <v>4796</v>
      </c>
      <c r="Z267" s="0" t="s">
        <v>5301</v>
      </c>
      <c r="AA267" s="0" t="s">
        <v>4807</v>
      </c>
      <c r="AB267" s="0" t="s">
        <v>5300</v>
      </c>
      <c r="AC267" s="0" t="s">
        <v>62</v>
      </c>
      <c r="AD267" s="0" t="s">
        <v>62</v>
      </c>
      <c r="AE267" s="0" t="s">
        <v>62</v>
      </c>
      <c r="AF267" s="0" t="s">
        <v>5343</v>
      </c>
      <c r="AG267" s="0" t="s">
        <v>5344</v>
      </c>
      <c r="AH267" s="0" t="s">
        <v>5343</v>
      </c>
      <c r="AI267" s="0" t="s">
        <v>5344</v>
      </c>
      <c r="AJ267" s="0" t="s">
        <v>5343</v>
      </c>
      <c r="AK267" s="0" t="s">
        <v>5344</v>
      </c>
      <c r="AL267" s="0" t="s">
        <v>4804</v>
      </c>
    </row>
    <row customHeight="1" ht="11.25">
      <c r="A268" s="0" t="s">
        <v>22</v>
      </c>
      <c r="B268" s="0" t="s">
        <v>48</v>
      </c>
      <c r="C268" s="0" t="s">
        <v>50</v>
      </c>
      <c r="D268" s="0" t="s">
        <v>22</v>
      </c>
      <c r="E268" s="0" t="s">
        <v>5345</v>
      </c>
      <c r="F268" s="0" t="s">
        <v>1299</v>
      </c>
      <c r="G268" s="0" t="s">
        <v>152</v>
      </c>
      <c r="H268" s="0" t="s">
        <v>4377</v>
      </c>
      <c r="I268" s="0" t="s">
        <v>4378</v>
      </c>
      <c r="J268" s="0" t="s">
        <v>5346</v>
      </c>
      <c r="K268" s="0" t="s">
        <v>5347</v>
      </c>
      <c r="L268" s="0" t="s">
        <v>5348</v>
      </c>
      <c r="M268" s="0" t="s">
        <v>1355</v>
      </c>
      <c r="N268" s="0" t="s">
        <v>210</v>
      </c>
      <c r="O268" s="0" t="s">
        <v>152</v>
      </c>
      <c r="P268" s="0" t="s">
        <v>4377</v>
      </c>
      <c r="Q268" s="0" t="s">
        <v>4378</v>
      </c>
      <c r="R268" s="0" t="s">
        <v>5346</v>
      </c>
      <c r="S268" s="0" t="s">
        <v>5347</v>
      </c>
      <c r="T268" s="0" t="s">
        <v>4795</v>
      </c>
      <c r="U268" s="0" t="s">
        <v>4796</v>
      </c>
      <c r="V268" s="0" t="s">
        <v>5297</v>
      </c>
      <c r="W268" s="0" t="s">
        <v>4798</v>
      </c>
      <c r="X268" s="0" t="s">
        <v>4799</v>
      </c>
      <c r="Y268" s="0" t="s">
        <v>4796</v>
      </c>
      <c r="Z268" s="0" t="s">
        <v>5298</v>
      </c>
      <c r="AA268" s="0" t="s">
        <v>4801</v>
      </c>
      <c r="AB268" s="0" t="s">
        <v>5297</v>
      </c>
      <c r="AC268" s="0" t="s">
        <v>62</v>
      </c>
      <c r="AD268" s="0" t="s">
        <v>62</v>
      </c>
      <c r="AE268" s="0" t="s">
        <v>62</v>
      </c>
      <c r="AF268" s="0" t="s">
        <v>5349</v>
      </c>
      <c r="AG268" s="0" t="s">
        <v>5350</v>
      </c>
      <c r="AH268" s="0" t="s">
        <v>5349</v>
      </c>
      <c r="AI268" s="0" t="s">
        <v>5350</v>
      </c>
      <c r="AJ268" s="0" t="s">
        <v>5349</v>
      </c>
      <c r="AK268" s="0" t="s">
        <v>5350</v>
      </c>
      <c r="AL268" s="0" t="s">
        <v>4804</v>
      </c>
    </row>
    <row customHeight="1" ht="11.25">
      <c r="A269" s="0" t="s">
        <v>22</v>
      </c>
      <c r="B269" s="0" t="s">
        <v>48</v>
      </c>
      <c r="C269" s="0" t="s">
        <v>50</v>
      </c>
      <c r="D269" s="0" t="s">
        <v>22</v>
      </c>
      <c r="E269" s="0" t="s">
        <v>5345</v>
      </c>
      <c r="F269" s="0" t="s">
        <v>1299</v>
      </c>
      <c r="G269" s="0" t="s">
        <v>152</v>
      </c>
      <c r="H269" s="0" t="s">
        <v>4377</v>
      </c>
      <c r="I269" s="0" t="s">
        <v>4378</v>
      </c>
      <c r="J269" s="0" t="s">
        <v>5346</v>
      </c>
      <c r="K269" s="0" t="s">
        <v>5347</v>
      </c>
      <c r="L269" s="0" t="s">
        <v>5348</v>
      </c>
      <c r="M269" s="0" t="s">
        <v>1355</v>
      </c>
      <c r="N269" s="0" t="s">
        <v>210</v>
      </c>
      <c r="O269" s="0" t="s">
        <v>152</v>
      </c>
      <c r="P269" s="0" t="s">
        <v>4377</v>
      </c>
      <c r="Q269" s="0" t="s">
        <v>4378</v>
      </c>
      <c r="R269" s="0" t="s">
        <v>5346</v>
      </c>
      <c r="S269" s="0" t="s">
        <v>5347</v>
      </c>
      <c r="T269" s="0" t="s">
        <v>4795</v>
      </c>
      <c r="U269" s="0" t="s">
        <v>4796</v>
      </c>
      <c r="V269" s="0" t="s">
        <v>5300</v>
      </c>
      <c r="W269" s="0" t="s">
        <v>4798</v>
      </c>
      <c r="X269" s="0" t="s">
        <v>4799</v>
      </c>
      <c r="Y269" s="0" t="s">
        <v>4796</v>
      </c>
      <c r="Z269" s="0" t="s">
        <v>5301</v>
      </c>
      <c r="AA269" s="0" t="s">
        <v>4807</v>
      </c>
      <c r="AB269" s="0" t="s">
        <v>5300</v>
      </c>
      <c r="AC269" s="0" t="s">
        <v>62</v>
      </c>
      <c r="AD269" s="0" t="s">
        <v>62</v>
      </c>
      <c r="AE269" s="0" t="s">
        <v>62</v>
      </c>
      <c r="AF269" s="0" t="s">
        <v>5349</v>
      </c>
      <c r="AG269" s="0" t="s">
        <v>5350</v>
      </c>
      <c r="AH269" s="0" t="s">
        <v>5349</v>
      </c>
      <c r="AI269" s="0" t="s">
        <v>5350</v>
      </c>
      <c r="AJ269" s="0" t="s">
        <v>5349</v>
      </c>
      <c r="AK269" s="0" t="s">
        <v>5350</v>
      </c>
      <c r="AL269" s="0" t="s">
        <v>4804</v>
      </c>
    </row>
    <row customHeight="1" ht="11.25">
      <c r="A270" s="0" t="s">
        <v>22</v>
      </c>
      <c r="B270" s="0" t="s">
        <v>48</v>
      </c>
      <c r="C270" s="0" t="s">
        <v>50</v>
      </c>
      <c r="D270" s="0" t="s">
        <v>22</v>
      </c>
      <c r="E270" s="0" t="s">
        <v>5351</v>
      </c>
      <c r="F270" s="0" t="s">
        <v>1299</v>
      </c>
      <c r="G270" s="0" t="s">
        <v>152</v>
      </c>
      <c r="H270" s="0" t="s">
        <v>4377</v>
      </c>
      <c r="I270" s="0" t="s">
        <v>4378</v>
      </c>
      <c r="J270" s="0" t="s">
        <v>5346</v>
      </c>
      <c r="K270" s="0" t="s">
        <v>5347</v>
      </c>
      <c r="L270" s="0" t="s">
        <v>5352</v>
      </c>
      <c r="M270" s="0" t="s">
        <v>1355</v>
      </c>
      <c r="N270" s="0" t="s">
        <v>210</v>
      </c>
      <c r="O270" s="0" t="s">
        <v>152</v>
      </c>
      <c r="P270" s="0" t="s">
        <v>4377</v>
      </c>
      <c r="Q270" s="0" t="s">
        <v>4378</v>
      </c>
      <c r="R270" s="0" t="s">
        <v>5346</v>
      </c>
      <c r="S270" s="0" t="s">
        <v>5347</v>
      </c>
      <c r="T270" s="0" t="s">
        <v>4795</v>
      </c>
      <c r="U270" s="0" t="s">
        <v>4796</v>
      </c>
      <c r="V270" s="0" t="s">
        <v>5300</v>
      </c>
      <c r="W270" s="0" t="s">
        <v>4798</v>
      </c>
      <c r="X270" s="0" t="s">
        <v>4799</v>
      </c>
      <c r="Y270" s="0" t="s">
        <v>4796</v>
      </c>
      <c r="Z270" s="0" t="s">
        <v>5301</v>
      </c>
      <c r="AA270" s="0" t="s">
        <v>4807</v>
      </c>
      <c r="AB270" s="0" t="s">
        <v>5300</v>
      </c>
      <c r="AC270" s="0" t="s">
        <v>62</v>
      </c>
      <c r="AD270" s="0" t="s">
        <v>62</v>
      </c>
      <c r="AE270" s="0" t="s">
        <v>62</v>
      </c>
      <c r="AF270" s="0" t="s">
        <v>5353</v>
      </c>
      <c r="AG270" s="0" t="s">
        <v>5354</v>
      </c>
      <c r="AH270" s="0" t="s">
        <v>5353</v>
      </c>
      <c r="AI270" s="0" t="s">
        <v>5354</v>
      </c>
      <c r="AJ270" s="0" t="s">
        <v>5353</v>
      </c>
      <c r="AK270" s="0" t="s">
        <v>5354</v>
      </c>
      <c r="AL270" s="0" t="s">
        <v>4804</v>
      </c>
    </row>
    <row customHeight="1" ht="11.25">
      <c r="A271" s="0" t="s">
        <v>22</v>
      </c>
      <c r="B271" s="0" t="s">
        <v>48</v>
      </c>
      <c r="C271" s="0" t="s">
        <v>50</v>
      </c>
      <c r="D271" s="0" t="s">
        <v>22</v>
      </c>
      <c r="E271" s="0" t="s">
        <v>5351</v>
      </c>
      <c r="F271" s="0" t="s">
        <v>1299</v>
      </c>
      <c r="G271" s="0" t="s">
        <v>152</v>
      </c>
      <c r="H271" s="0" t="s">
        <v>4377</v>
      </c>
      <c r="I271" s="0" t="s">
        <v>4378</v>
      </c>
      <c r="J271" s="0" t="s">
        <v>5346</v>
      </c>
      <c r="K271" s="0" t="s">
        <v>5347</v>
      </c>
      <c r="L271" s="0" t="s">
        <v>5352</v>
      </c>
      <c r="M271" s="0" t="s">
        <v>1355</v>
      </c>
      <c r="N271" s="0" t="s">
        <v>210</v>
      </c>
      <c r="O271" s="0" t="s">
        <v>152</v>
      </c>
      <c r="P271" s="0" t="s">
        <v>4377</v>
      </c>
      <c r="Q271" s="0" t="s">
        <v>4378</v>
      </c>
      <c r="R271" s="0" t="s">
        <v>5346</v>
      </c>
      <c r="S271" s="0" t="s">
        <v>5347</v>
      </c>
      <c r="T271" s="0" t="s">
        <v>4795</v>
      </c>
      <c r="U271" s="0" t="s">
        <v>4796</v>
      </c>
      <c r="V271" s="0" t="s">
        <v>5297</v>
      </c>
      <c r="W271" s="0" t="s">
        <v>4798</v>
      </c>
      <c r="X271" s="0" t="s">
        <v>4799</v>
      </c>
      <c r="Y271" s="0" t="s">
        <v>4796</v>
      </c>
      <c r="Z271" s="0" t="s">
        <v>5298</v>
      </c>
      <c r="AA271" s="0" t="s">
        <v>4801</v>
      </c>
      <c r="AB271" s="0" t="s">
        <v>5297</v>
      </c>
      <c r="AC271" s="0" t="s">
        <v>62</v>
      </c>
      <c r="AD271" s="0" t="s">
        <v>62</v>
      </c>
      <c r="AE271" s="0" t="s">
        <v>62</v>
      </c>
      <c r="AF271" s="0" t="s">
        <v>5353</v>
      </c>
      <c r="AG271" s="0" t="s">
        <v>5354</v>
      </c>
      <c r="AH271" s="0" t="s">
        <v>5353</v>
      </c>
      <c r="AI271" s="0" t="s">
        <v>5354</v>
      </c>
      <c r="AJ271" s="0" t="s">
        <v>5353</v>
      </c>
      <c r="AK271" s="0" t="s">
        <v>5354</v>
      </c>
      <c r="AL271" s="0" t="s">
        <v>4804</v>
      </c>
    </row>
    <row customHeight="1" ht="11.25">
      <c r="A272" s="0" t="s">
        <v>22</v>
      </c>
      <c r="B272" s="0" t="s">
        <v>48</v>
      </c>
      <c r="C272" s="0" t="s">
        <v>50</v>
      </c>
      <c r="D272" s="0" t="s">
        <v>22</v>
      </c>
      <c r="E272" s="0" t="s">
        <v>5355</v>
      </c>
      <c r="F272" s="0" t="s">
        <v>1299</v>
      </c>
      <c r="G272" s="0" t="s">
        <v>152</v>
      </c>
      <c r="H272" s="0" t="s">
        <v>4377</v>
      </c>
      <c r="I272" s="0" t="s">
        <v>4378</v>
      </c>
      <c r="J272" s="0" t="s">
        <v>5346</v>
      </c>
      <c r="K272" s="0" t="s">
        <v>5347</v>
      </c>
      <c r="L272" s="0" t="s">
        <v>1363</v>
      </c>
      <c r="M272" s="0" t="s">
        <v>1355</v>
      </c>
      <c r="N272" s="0" t="s">
        <v>210</v>
      </c>
      <c r="O272" s="0" t="s">
        <v>152</v>
      </c>
      <c r="P272" s="0" t="s">
        <v>4377</v>
      </c>
      <c r="Q272" s="0" t="s">
        <v>4378</v>
      </c>
      <c r="R272" s="0" t="s">
        <v>5346</v>
      </c>
      <c r="S272" s="0" t="s">
        <v>5347</v>
      </c>
      <c r="T272" s="0" t="s">
        <v>4795</v>
      </c>
      <c r="U272" s="0" t="s">
        <v>4796</v>
      </c>
      <c r="V272" s="0" t="s">
        <v>5300</v>
      </c>
      <c r="W272" s="0" t="s">
        <v>4798</v>
      </c>
      <c r="X272" s="0" t="s">
        <v>4799</v>
      </c>
      <c r="Y272" s="0" t="s">
        <v>4796</v>
      </c>
      <c r="Z272" s="0" t="s">
        <v>5301</v>
      </c>
      <c r="AA272" s="0" t="s">
        <v>4807</v>
      </c>
      <c r="AB272" s="0" t="s">
        <v>5300</v>
      </c>
      <c r="AC272" s="0" t="s">
        <v>62</v>
      </c>
      <c r="AD272" s="0" t="s">
        <v>62</v>
      </c>
      <c r="AE272" s="0" t="s">
        <v>62</v>
      </c>
      <c r="AF272" s="0" t="s">
        <v>5353</v>
      </c>
      <c r="AG272" s="0" t="s">
        <v>5354</v>
      </c>
      <c r="AH272" s="0" t="s">
        <v>5353</v>
      </c>
      <c r="AI272" s="0" t="s">
        <v>5354</v>
      </c>
      <c r="AJ272" s="0" t="s">
        <v>5353</v>
      </c>
      <c r="AK272" s="0" t="s">
        <v>5354</v>
      </c>
      <c r="AL272" s="0" t="s">
        <v>4804</v>
      </c>
    </row>
    <row customHeight="1" ht="11.25">
      <c r="A273" s="0" t="s">
        <v>22</v>
      </c>
      <c r="B273" s="0" t="s">
        <v>48</v>
      </c>
      <c r="C273" s="0" t="s">
        <v>50</v>
      </c>
      <c r="D273" s="0" t="s">
        <v>22</v>
      </c>
      <c r="E273" s="0" t="s">
        <v>5355</v>
      </c>
      <c r="F273" s="0" t="s">
        <v>1299</v>
      </c>
      <c r="G273" s="0" t="s">
        <v>152</v>
      </c>
      <c r="H273" s="0" t="s">
        <v>4377</v>
      </c>
      <c r="I273" s="0" t="s">
        <v>4378</v>
      </c>
      <c r="J273" s="0" t="s">
        <v>5346</v>
      </c>
      <c r="K273" s="0" t="s">
        <v>5347</v>
      </c>
      <c r="L273" s="0" t="s">
        <v>1363</v>
      </c>
      <c r="M273" s="0" t="s">
        <v>1355</v>
      </c>
      <c r="N273" s="0" t="s">
        <v>210</v>
      </c>
      <c r="O273" s="0" t="s">
        <v>152</v>
      </c>
      <c r="P273" s="0" t="s">
        <v>4377</v>
      </c>
      <c r="Q273" s="0" t="s">
        <v>4378</v>
      </c>
      <c r="R273" s="0" t="s">
        <v>5346</v>
      </c>
      <c r="S273" s="0" t="s">
        <v>5347</v>
      </c>
      <c r="T273" s="0" t="s">
        <v>4795</v>
      </c>
      <c r="U273" s="0" t="s">
        <v>4796</v>
      </c>
      <c r="V273" s="0" t="s">
        <v>5297</v>
      </c>
      <c r="W273" s="0" t="s">
        <v>4798</v>
      </c>
      <c r="X273" s="0" t="s">
        <v>4799</v>
      </c>
      <c r="Y273" s="0" t="s">
        <v>4796</v>
      </c>
      <c r="Z273" s="0" t="s">
        <v>5298</v>
      </c>
      <c r="AA273" s="0" t="s">
        <v>4801</v>
      </c>
      <c r="AB273" s="0" t="s">
        <v>5297</v>
      </c>
      <c r="AC273" s="0" t="s">
        <v>62</v>
      </c>
      <c r="AD273" s="0" t="s">
        <v>62</v>
      </c>
      <c r="AE273" s="0" t="s">
        <v>62</v>
      </c>
      <c r="AF273" s="0" t="s">
        <v>5353</v>
      </c>
      <c r="AG273" s="0" t="s">
        <v>5354</v>
      </c>
      <c r="AH273" s="0" t="s">
        <v>5353</v>
      </c>
      <c r="AI273" s="0" t="s">
        <v>5354</v>
      </c>
      <c r="AJ273" s="0" t="s">
        <v>5353</v>
      </c>
      <c r="AK273" s="0" t="s">
        <v>5354</v>
      </c>
      <c r="AL273" s="0" t="s">
        <v>4804</v>
      </c>
    </row>
    <row customHeight="1" ht="11.25">
      <c r="A274" s="0" t="s">
        <v>22</v>
      </c>
      <c r="B274" s="0" t="s">
        <v>48</v>
      </c>
      <c r="C274" s="0" t="s">
        <v>50</v>
      </c>
      <c r="D274" s="0" t="s">
        <v>22</v>
      </c>
      <c r="E274" s="0" t="s">
        <v>5356</v>
      </c>
      <c r="F274" s="0" t="s">
        <v>1299</v>
      </c>
      <c r="G274" s="0" t="s">
        <v>152</v>
      </c>
      <c r="H274" s="0" t="s">
        <v>4377</v>
      </c>
      <c r="I274" s="0" t="s">
        <v>4378</v>
      </c>
      <c r="J274" s="0" t="s">
        <v>5346</v>
      </c>
      <c r="K274" s="0" t="s">
        <v>5347</v>
      </c>
      <c r="L274" s="0" t="s">
        <v>4822</v>
      </c>
      <c r="M274" s="0" t="s">
        <v>1355</v>
      </c>
      <c r="N274" s="0" t="s">
        <v>210</v>
      </c>
      <c r="O274" s="0" t="s">
        <v>152</v>
      </c>
      <c r="P274" s="0" t="s">
        <v>4377</v>
      </c>
      <c r="Q274" s="0" t="s">
        <v>4378</v>
      </c>
      <c r="R274" s="0" t="s">
        <v>5346</v>
      </c>
      <c r="S274" s="0" t="s">
        <v>5347</v>
      </c>
      <c r="T274" s="0" t="s">
        <v>4795</v>
      </c>
      <c r="U274" s="0" t="s">
        <v>4796</v>
      </c>
      <c r="V274" s="0" t="s">
        <v>5297</v>
      </c>
      <c r="W274" s="0" t="s">
        <v>4798</v>
      </c>
      <c r="X274" s="0" t="s">
        <v>4799</v>
      </c>
      <c r="Y274" s="0" t="s">
        <v>4796</v>
      </c>
      <c r="Z274" s="0" t="s">
        <v>5298</v>
      </c>
      <c r="AA274" s="0" t="s">
        <v>4801</v>
      </c>
      <c r="AB274" s="0" t="s">
        <v>5297</v>
      </c>
      <c r="AC274" s="0" t="s">
        <v>62</v>
      </c>
      <c r="AD274" s="0" t="s">
        <v>62</v>
      </c>
      <c r="AE274" s="0" t="s">
        <v>62</v>
      </c>
      <c r="AF274" s="0" t="s">
        <v>5357</v>
      </c>
      <c r="AG274" s="0" t="s">
        <v>5357</v>
      </c>
      <c r="AH274" s="0" t="s">
        <v>5357</v>
      </c>
      <c r="AI274" s="0" t="s">
        <v>5357</v>
      </c>
      <c r="AJ274" s="0" t="s">
        <v>5357</v>
      </c>
      <c r="AK274" s="0" t="s">
        <v>5357</v>
      </c>
      <c r="AL274" s="0" t="s">
        <v>4804</v>
      </c>
    </row>
    <row customHeight="1" ht="11.25">
      <c r="A275" s="0" t="s">
        <v>22</v>
      </c>
      <c r="B275" s="0" t="s">
        <v>48</v>
      </c>
      <c r="C275" s="0" t="s">
        <v>50</v>
      </c>
      <c r="D275" s="0" t="s">
        <v>22</v>
      </c>
      <c r="E275" s="0" t="s">
        <v>5356</v>
      </c>
      <c r="F275" s="0" t="s">
        <v>1299</v>
      </c>
      <c r="G275" s="0" t="s">
        <v>152</v>
      </c>
      <c r="H275" s="0" t="s">
        <v>4377</v>
      </c>
      <c r="I275" s="0" t="s">
        <v>4378</v>
      </c>
      <c r="J275" s="0" t="s">
        <v>5346</v>
      </c>
      <c r="K275" s="0" t="s">
        <v>5347</v>
      </c>
      <c r="L275" s="0" t="s">
        <v>4822</v>
      </c>
      <c r="M275" s="0" t="s">
        <v>1355</v>
      </c>
      <c r="N275" s="0" t="s">
        <v>210</v>
      </c>
      <c r="O275" s="0" t="s">
        <v>152</v>
      </c>
      <c r="P275" s="0" t="s">
        <v>4377</v>
      </c>
      <c r="Q275" s="0" t="s">
        <v>4378</v>
      </c>
      <c r="R275" s="0" t="s">
        <v>5346</v>
      </c>
      <c r="S275" s="0" t="s">
        <v>5347</v>
      </c>
      <c r="T275" s="0" t="s">
        <v>4795</v>
      </c>
      <c r="U275" s="0" t="s">
        <v>4796</v>
      </c>
      <c r="V275" s="0" t="s">
        <v>5300</v>
      </c>
      <c r="W275" s="0" t="s">
        <v>4798</v>
      </c>
      <c r="X275" s="0" t="s">
        <v>4799</v>
      </c>
      <c r="Y275" s="0" t="s">
        <v>4796</v>
      </c>
      <c r="Z275" s="0" t="s">
        <v>5301</v>
      </c>
      <c r="AA275" s="0" t="s">
        <v>4807</v>
      </c>
      <c r="AB275" s="0" t="s">
        <v>5300</v>
      </c>
      <c r="AC275" s="0" t="s">
        <v>62</v>
      </c>
      <c r="AD275" s="0" t="s">
        <v>62</v>
      </c>
      <c r="AE275" s="0" t="s">
        <v>62</v>
      </c>
      <c r="AF275" s="0" t="s">
        <v>5357</v>
      </c>
      <c r="AG275" s="0" t="s">
        <v>5357</v>
      </c>
      <c r="AH275" s="0" t="s">
        <v>5357</v>
      </c>
      <c r="AI275" s="0" t="s">
        <v>5357</v>
      </c>
      <c r="AJ275" s="0" t="s">
        <v>5357</v>
      </c>
      <c r="AK275" s="0" t="s">
        <v>5357</v>
      </c>
      <c r="AL275" s="0" t="s">
        <v>4804</v>
      </c>
    </row>
    <row customHeight="1" ht="11.25">
      <c r="A276" s="0" t="s">
        <v>22</v>
      </c>
      <c r="B276" s="0" t="s">
        <v>48</v>
      </c>
      <c r="C276" s="0" t="s">
        <v>50</v>
      </c>
      <c r="D276" s="0" t="s">
        <v>22</v>
      </c>
      <c r="E276" s="0" t="s">
        <v>1428</v>
      </c>
      <c r="F276" s="0" t="s">
        <v>1299</v>
      </c>
      <c r="G276" s="0" t="s">
        <v>157</v>
      </c>
      <c r="H276" s="0" t="s">
        <v>1429</v>
      </c>
      <c r="I276" s="0" t="s">
        <v>1430</v>
      </c>
      <c r="J276" s="0" t="s">
        <v>1431</v>
      </c>
      <c r="K276" s="0" t="s">
        <v>1432</v>
      </c>
      <c r="L276" s="0" t="s">
        <v>1433</v>
      </c>
      <c r="M276" s="0" t="s">
        <v>1355</v>
      </c>
      <c r="N276" s="0" t="s">
        <v>210</v>
      </c>
      <c r="O276" s="0" t="s">
        <v>157</v>
      </c>
      <c r="P276" s="0" t="s">
        <v>1429</v>
      </c>
      <c r="Q276" s="0" t="s">
        <v>1430</v>
      </c>
      <c r="R276" s="0" t="s">
        <v>1431</v>
      </c>
      <c r="S276" s="0" t="s">
        <v>1432</v>
      </c>
      <c r="T276" s="0" t="s">
        <v>4795</v>
      </c>
      <c r="U276" s="0" t="s">
        <v>4796</v>
      </c>
      <c r="V276" s="0" t="s">
        <v>5358</v>
      </c>
      <c r="W276" s="0" t="s">
        <v>4798</v>
      </c>
      <c r="X276" s="0" t="s">
        <v>4799</v>
      </c>
      <c r="Y276" s="0" t="s">
        <v>4796</v>
      </c>
      <c r="Z276" s="0" t="s">
        <v>5359</v>
      </c>
      <c r="AA276" s="0" t="s">
        <v>4807</v>
      </c>
      <c r="AB276" s="0" t="s">
        <v>5358</v>
      </c>
      <c r="AC276" s="0" t="s">
        <v>62</v>
      </c>
      <c r="AD276" s="0" t="s">
        <v>62</v>
      </c>
      <c r="AE276" s="0" t="s">
        <v>62</v>
      </c>
      <c r="AF276" s="0" t="s">
        <v>5118</v>
      </c>
      <c r="AG276" s="0" t="s">
        <v>5360</v>
      </c>
      <c r="AH276" s="0" t="s">
        <v>5118</v>
      </c>
      <c r="AI276" s="0" t="s">
        <v>5360</v>
      </c>
      <c r="AJ276" s="0" t="s">
        <v>5118</v>
      </c>
      <c r="AK276" s="0" t="s">
        <v>5360</v>
      </c>
      <c r="AL276" s="0" t="s">
        <v>4804</v>
      </c>
    </row>
    <row customHeight="1" ht="11.25">
      <c r="A277" s="0" t="s">
        <v>22</v>
      </c>
      <c r="B277" s="0" t="s">
        <v>48</v>
      </c>
      <c r="C277" s="0" t="s">
        <v>50</v>
      </c>
      <c r="D277" s="0" t="s">
        <v>22</v>
      </c>
      <c r="E277" s="0" t="s">
        <v>1428</v>
      </c>
      <c r="F277" s="0" t="s">
        <v>1299</v>
      </c>
      <c r="G277" s="0" t="s">
        <v>157</v>
      </c>
      <c r="H277" s="0" t="s">
        <v>1429</v>
      </c>
      <c r="I277" s="0" t="s">
        <v>1430</v>
      </c>
      <c r="J277" s="0" t="s">
        <v>1431</v>
      </c>
      <c r="K277" s="0" t="s">
        <v>1432</v>
      </c>
      <c r="L277" s="0" t="s">
        <v>1433</v>
      </c>
      <c r="M277" s="0" t="s">
        <v>1355</v>
      </c>
      <c r="N277" s="0" t="s">
        <v>210</v>
      </c>
      <c r="O277" s="0" t="s">
        <v>157</v>
      </c>
      <c r="P277" s="0" t="s">
        <v>1429</v>
      </c>
      <c r="Q277" s="0" t="s">
        <v>1430</v>
      </c>
      <c r="R277" s="0" t="s">
        <v>1431</v>
      </c>
      <c r="S277" s="0" t="s">
        <v>1432</v>
      </c>
      <c r="T277" s="0" t="s">
        <v>4795</v>
      </c>
      <c r="U277" s="0" t="s">
        <v>4796</v>
      </c>
      <c r="V277" s="0" t="s">
        <v>5361</v>
      </c>
      <c r="W277" s="0" t="s">
        <v>4798</v>
      </c>
      <c r="X277" s="0" t="s">
        <v>4799</v>
      </c>
      <c r="Y277" s="0" t="s">
        <v>4796</v>
      </c>
      <c r="Z277" s="0" t="s">
        <v>5362</v>
      </c>
      <c r="AA277" s="0" t="s">
        <v>5264</v>
      </c>
      <c r="AB277" s="0" t="s">
        <v>5361</v>
      </c>
      <c r="AC277" s="0" t="s">
        <v>62</v>
      </c>
      <c r="AD277" s="0" t="s">
        <v>62</v>
      </c>
      <c r="AE277" s="0" t="s">
        <v>62</v>
      </c>
      <c r="AF277" s="0" t="s">
        <v>5118</v>
      </c>
      <c r="AG277" s="0" t="s">
        <v>5360</v>
      </c>
      <c r="AH277" s="0" t="s">
        <v>5118</v>
      </c>
      <c r="AI277" s="0" t="s">
        <v>5360</v>
      </c>
      <c r="AJ277" s="0" t="s">
        <v>5118</v>
      </c>
      <c r="AK277" s="0" t="s">
        <v>5360</v>
      </c>
      <c r="AL277" s="0" t="s">
        <v>4804</v>
      </c>
    </row>
    <row customHeight="1" ht="11.25">
      <c r="A278" s="0" t="s">
        <v>22</v>
      </c>
      <c r="B278" s="0" t="s">
        <v>48</v>
      </c>
      <c r="C278" s="0" t="s">
        <v>50</v>
      </c>
      <c r="D278" s="0" t="s">
        <v>22</v>
      </c>
      <c r="E278" s="0" t="s">
        <v>5363</v>
      </c>
      <c r="F278" s="0" t="s">
        <v>1299</v>
      </c>
      <c r="G278" s="0" t="s">
        <v>157</v>
      </c>
      <c r="H278" s="0" t="s">
        <v>1429</v>
      </c>
      <c r="I278" s="0" t="s">
        <v>1430</v>
      </c>
      <c r="J278" s="0" t="s">
        <v>1431</v>
      </c>
      <c r="K278" s="0" t="s">
        <v>1432</v>
      </c>
      <c r="L278" s="0" t="s">
        <v>5364</v>
      </c>
      <c r="M278" s="0" t="s">
        <v>1355</v>
      </c>
      <c r="N278" s="0" t="s">
        <v>210</v>
      </c>
      <c r="O278" s="0" t="s">
        <v>157</v>
      </c>
      <c r="P278" s="0" t="s">
        <v>1429</v>
      </c>
      <c r="Q278" s="0" t="s">
        <v>1430</v>
      </c>
      <c r="R278" s="0" t="s">
        <v>1431</v>
      </c>
      <c r="S278" s="0" t="s">
        <v>1432</v>
      </c>
      <c r="T278" s="0" t="s">
        <v>4795</v>
      </c>
      <c r="U278" s="0" t="s">
        <v>4796</v>
      </c>
      <c r="V278" s="0" t="s">
        <v>5361</v>
      </c>
      <c r="W278" s="0" t="s">
        <v>4798</v>
      </c>
      <c r="X278" s="0" t="s">
        <v>4799</v>
      </c>
      <c r="Y278" s="0" t="s">
        <v>4796</v>
      </c>
      <c r="Z278" s="0" t="s">
        <v>5362</v>
      </c>
      <c r="AA278" s="0" t="s">
        <v>5264</v>
      </c>
      <c r="AB278" s="0" t="s">
        <v>5361</v>
      </c>
      <c r="AC278" s="0" t="s">
        <v>62</v>
      </c>
      <c r="AD278" s="0" t="s">
        <v>62</v>
      </c>
      <c r="AE278" s="0" t="s">
        <v>62</v>
      </c>
      <c r="AF278" s="0" t="s">
        <v>4888</v>
      </c>
      <c r="AG278" s="0" t="s">
        <v>5365</v>
      </c>
      <c r="AH278" s="0" t="s">
        <v>4888</v>
      </c>
      <c r="AI278" s="0" t="s">
        <v>5365</v>
      </c>
      <c r="AJ278" s="0" t="s">
        <v>4888</v>
      </c>
      <c r="AK278" s="0" t="s">
        <v>5365</v>
      </c>
      <c r="AL278" s="0" t="s">
        <v>4804</v>
      </c>
    </row>
    <row customHeight="1" ht="11.25">
      <c r="A279" s="0" t="s">
        <v>22</v>
      </c>
      <c r="B279" s="0" t="s">
        <v>48</v>
      </c>
      <c r="C279" s="0" t="s">
        <v>50</v>
      </c>
      <c r="D279" s="0" t="s">
        <v>22</v>
      </c>
      <c r="E279" s="0" t="s">
        <v>5363</v>
      </c>
      <c r="F279" s="0" t="s">
        <v>1299</v>
      </c>
      <c r="G279" s="0" t="s">
        <v>157</v>
      </c>
      <c r="H279" s="0" t="s">
        <v>1429</v>
      </c>
      <c r="I279" s="0" t="s">
        <v>1430</v>
      </c>
      <c r="J279" s="0" t="s">
        <v>1431</v>
      </c>
      <c r="K279" s="0" t="s">
        <v>1432</v>
      </c>
      <c r="L279" s="0" t="s">
        <v>5364</v>
      </c>
      <c r="M279" s="0" t="s">
        <v>1355</v>
      </c>
      <c r="N279" s="0" t="s">
        <v>210</v>
      </c>
      <c r="O279" s="0" t="s">
        <v>157</v>
      </c>
      <c r="P279" s="0" t="s">
        <v>1429</v>
      </c>
      <c r="Q279" s="0" t="s">
        <v>1430</v>
      </c>
      <c r="R279" s="0" t="s">
        <v>1431</v>
      </c>
      <c r="S279" s="0" t="s">
        <v>1432</v>
      </c>
      <c r="T279" s="0" t="s">
        <v>4795</v>
      </c>
      <c r="U279" s="0" t="s">
        <v>4796</v>
      </c>
      <c r="V279" s="0" t="s">
        <v>5358</v>
      </c>
      <c r="W279" s="0" t="s">
        <v>4798</v>
      </c>
      <c r="X279" s="0" t="s">
        <v>4799</v>
      </c>
      <c r="Y279" s="0" t="s">
        <v>4796</v>
      </c>
      <c r="Z279" s="0" t="s">
        <v>5359</v>
      </c>
      <c r="AA279" s="0" t="s">
        <v>4807</v>
      </c>
      <c r="AB279" s="0" t="s">
        <v>5358</v>
      </c>
      <c r="AC279" s="0" t="s">
        <v>62</v>
      </c>
      <c r="AD279" s="0" t="s">
        <v>62</v>
      </c>
      <c r="AE279" s="0" t="s">
        <v>62</v>
      </c>
      <c r="AF279" s="0" t="s">
        <v>4888</v>
      </c>
      <c r="AG279" s="0" t="s">
        <v>5365</v>
      </c>
      <c r="AH279" s="0" t="s">
        <v>4888</v>
      </c>
      <c r="AI279" s="0" t="s">
        <v>5365</v>
      </c>
      <c r="AJ279" s="0" t="s">
        <v>4888</v>
      </c>
      <c r="AK279" s="0" t="s">
        <v>5365</v>
      </c>
      <c r="AL279" s="0" t="s">
        <v>4804</v>
      </c>
    </row>
    <row customHeight="1" ht="11.25">
      <c r="A280" s="0" t="s">
        <v>22</v>
      </c>
      <c r="B280" s="0" t="s">
        <v>48</v>
      </c>
      <c r="C280" s="0" t="s">
        <v>50</v>
      </c>
      <c r="D280" s="0" t="s">
        <v>22</v>
      </c>
      <c r="E280" s="0" t="s">
        <v>5366</v>
      </c>
      <c r="F280" s="0" t="s">
        <v>1299</v>
      </c>
      <c r="G280" s="0" t="s">
        <v>157</v>
      </c>
      <c r="H280" s="0" t="s">
        <v>1429</v>
      </c>
      <c r="I280" s="0" t="s">
        <v>1430</v>
      </c>
      <c r="J280" s="0" t="s">
        <v>1431</v>
      </c>
      <c r="K280" s="0" t="s">
        <v>1432</v>
      </c>
      <c r="L280" s="0" t="s">
        <v>5367</v>
      </c>
      <c r="M280" s="0" t="s">
        <v>1355</v>
      </c>
      <c r="N280" s="0" t="s">
        <v>210</v>
      </c>
      <c r="O280" s="0" t="s">
        <v>157</v>
      </c>
      <c r="P280" s="0" t="s">
        <v>1429</v>
      </c>
      <c r="Q280" s="0" t="s">
        <v>1430</v>
      </c>
      <c r="R280" s="0" t="s">
        <v>1431</v>
      </c>
      <c r="S280" s="0" t="s">
        <v>1432</v>
      </c>
      <c r="T280" s="0" t="s">
        <v>4795</v>
      </c>
      <c r="U280" s="0" t="s">
        <v>4796</v>
      </c>
      <c r="V280" s="0" t="s">
        <v>5361</v>
      </c>
      <c r="W280" s="0" t="s">
        <v>4798</v>
      </c>
      <c r="X280" s="0" t="s">
        <v>4799</v>
      </c>
      <c r="Y280" s="0" t="s">
        <v>4796</v>
      </c>
      <c r="Z280" s="0" t="s">
        <v>5362</v>
      </c>
      <c r="AA280" s="0" t="s">
        <v>5264</v>
      </c>
      <c r="AB280" s="0" t="s">
        <v>5361</v>
      </c>
      <c r="AC280" s="0" t="s">
        <v>62</v>
      </c>
      <c r="AD280" s="0" t="s">
        <v>62</v>
      </c>
      <c r="AE280" s="0" t="s">
        <v>62</v>
      </c>
      <c r="AF280" s="0" t="s">
        <v>5368</v>
      </c>
      <c r="AG280" s="0" t="s">
        <v>5369</v>
      </c>
      <c r="AH280" s="0" t="s">
        <v>5368</v>
      </c>
      <c r="AI280" s="0" t="s">
        <v>5369</v>
      </c>
      <c r="AJ280" s="0" t="s">
        <v>5368</v>
      </c>
      <c r="AK280" s="0" t="s">
        <v>5369</v>
      </c>
      <c r="AL280" s="0" t="s">
        <v>4804</v>
      </c>
    </row>
    <row customHeight="1" ht="11.25">
      <c r="A281" s="0" t="s">
        <v>22</v>
      </c>
      <c r="B281" s="0" t="s">
        <v>48</v>
      </c>
      <c r="C281" s="0" t="s">
        <v>50</v>
      </c>
      <c r="D281" s="0" t="s">
        <v>22</v>
      </c>
      <c r="E281" s="0" t="s">
        <v>5366</v>
      </c>
      <c r="F281" s="0" t="s">
        <v>1299</v>
      </c>
      <c r="G281" s="0" t="s">
        <v>157</v>
      </c>
      <c r="H281" s="0" t="s">
        <v>1429</v>
      </c>
      <c r="I281" s="0" t="s">
        <v>1430</v>
      </c>
      <c r="J281" s="0" t="s">
        <v>1431</v>
      </c>
      <c r="K281" s="0" t="s">
        <v>1432</v>
      </c>
      <c r="L281" s="0" t="s">
        <v>5367</v>
      </c>
      <c r="M281" s="0" t="s">
        <v>1355</v>
      </c>
      <c r="N281" s="0" t="s">
        <v>210</v>
      </c>
      <c r="O281" s="0" t="s">
        <v>157</v>
      </c>
      <c r="P281" s="0" t="s">
        <v>1429</v>
      </c>
      <c r="Q281" s="0" t="s">
        <v>1430</v>
      </c>
      <c r="R281" s="0" t="s">
        <v>1431</v>
      </c>
      <c r="S281" s="0" t="s">
        <v>1432</v>
      </c>
      <c r="T281" s="0" t="s">
        <v>4795</v>
      </c>
      <c r="U281" s="0" t="s">
        <v>4796</v>
      </c>
      <c r="V281" s="0" t="s">
        <v>5358</v>
      </c>
      <c r="W281" s="0" t="s">
        <v>4798</v>
      </c>
      <c r="X281" s="0" t="s">
        <v>4799</v>
      </c>
      <c r="Y281" s="0" t="s">
        <v>4796</v>
      </c>
      <c r="Z281" s="0" t="s">
        <v>5359</v>
      </c>
      <c r="AA281" s="0" t="s">
        <v>4807</v>
      </c>
      <c r="AB281" s="0" t="s">
        <v>5358</v>
      </c>
      <c r="AC281" s="0" t="s">
        <v>62</v>
      </c>
      <c r="AD281" s="0" t="s">
        <v>62</v>
      </c>
      <c r="AE281" s="0" t="s">
        <v>62</v>
      </c>
      <c r="AF281" s="0" t="s">
        <v>5368</v>
      </c>
      <c r="AG281" s="0" t="s">
        <v>5369</v>
      </c>
      <c r="AH281" s="0" t="s">
        <v>5368</v>
      </c>
      <c r="AI281" s="0" t="s">
        <v>5369</v>
      </c>
      <c r="AJ281" s="0" t="s">
        <v>5368</v>
      </c>
      <c r="AK281" s="0" t="s">
        <v>5369</v>
      </c>
      <c r="AL281" s="0" t="s">
        <v>4804</v>
      </c>
    </row>
    <row customHeight="1" ht="11.25">
      <c r="A282" s="0" t="s">
        <v>22</v>
      </c>
      <c r="B282" s="0" t="s">
        <v>48</v>
      </c>
      <c r="C282" s="0" t="s">
        <v>50</v>
      </c>
      <c r="D282" s="0" t="s">
        <v>22</v>
      </c>
      <c r="E282" s="0" t="s">
        <v>5370</v>
      </c>
      <c r="F282" s="0" t="s">
        <v>1299</v>
      </c>
      <c r="G282" s="0" t="s">
        <v>157</v>
      </c>
      <c r="H282" s="0" t="s">
        <v>1429</v>
      </c>
      <c r="I282" s="0" t="s">
        <v>1430</v>
      </c>
      <c r="J282" s="0" t="s">
        <v>1431</v>
      </c>
      <c r="K282" s="0" t="s">
        <v>1432</v>
      </c>
      <c r="L282" s="0" t="s">
        <v>5371</v>
      </c>
      <c r="M282" s="0" t="s">
        <v>1355</v>
      </c>
      <c r="N282" s="0" t="s">
        <v>210</v>
      </c>
      <c r="O282" s="0" t="s">
        <v>157</v>
      </c>
      <c r="P282" s="0" t="s">
        <v>1429</v>
      </c>
      <c r="Q282" s="0" t="s">
        <v>1430</v>
      </c>
      <c r="R282" s="0" t="s">
        <v>1431</v>
      </c>
      <c r="S282" s="0" t="s">
        <v>1432</v>
      </c>
      <c r="T282" s="0" t="s">
        <v>4795</v>
      </c>
      <c r="U282" s="0" t="s">
        <v>4796</v>
      </c>
      <c r="V282" s="0" t="s">
        <v>5358</v>
      </c>
      <c r="W282" s="0" t="s">
        <v>4798</v>
      </c>
      <c r="X282" s="0" t="s">
        <v>4799</v>
      </c>
      <c r="Y282" s="0" t="s">
        <v>4796</v>
      </c>
      <c r="Z282" s="0" t="s">
        <v>5359</v>
      </c>
      <c r="AA282" s="0" t="s">
        <v>4807</v>
      </c>
      <c r="AB282" s="0" t="s">
        <v>5358</v>
      </c>
      <c r="AC282" s="0" t="s">
        <v>62</v>
      </c>
      <c r="AD282" s="0" t="s">
        <v>62</v>
      </c>
      <c r="AE282" s="0" t="s">
        <v>62</v>
      </c>
      <c r="AF282" s="0" t="s">
        <v>5368</v>
      </c>
      <c r="AG282" s="0" t="s">
        <v>5372</v>
      </c>
      <c r="AH282" s="0" t="s">
        <v>5368</v>
      </c>
      <c r="AI282" s="0" t="s">
        <v>5372</v>
      </c>
      <c r="AJ282" s="0" t="s">
        <v>5368</v>
      </c>
      <c r="AK282" s="0" t="s">
        <v>5372</v>
      </c>
      <c r="AL282" s="0" t="s">
        <v>4804</v>
      </c>
    </row>
    <row customHeight="1" ht="11.25">
      <c r="A283" s="0" t="s">
        <v>22</v>
      </c>
      <c r="B283" s="0" t="s">
        <v>48</v>
      </c>
      <c r="C283" s="0" t="s">
        <v>50</v>
      </c>
      <c r="D283" s="0" t="s">
        <v>22</v>
      </c>
      <c r="E283" s="0" t="s">
        <v>5370</v>
      </c>
      <c r="F283" s="0" t="s">
        <v>1299</v>
      </c>
      <c r="G283" s="0" t="s">
        <v>157</v>
      </c>
      <c r="H283" s="0" t="s">
        <v>1429</v>
      </c>
      <c r="I283" s="0" t="s">
        <v>1430</v>
      </c>
      <c r="J283" s="0" t="s">
        <v>1431</v>
      </c>
      <c r="K283" s="0" t="s">
        <v>1432</v>
      </c>
      <c r="L283" s="0" t="s">
        <v>5371</v>
      </c>
      <c r="M283" s="0" t="s">
        <v>1355</v>
      </c>
      <c r="N283" s="0" t="s">
        <v>210</v>
      </c>
      <c r="O283" s="0" t="s">
        <v>157</v>
      </c>
      <c r="P283" s="0" t="s">
        <v>1429</v>
      </c>
      <c r="Q283" s="0" t="s">
        <v>1430</v>
      </c>
      <c r="R283" s="0" t="s">
        <v>1431</v>
      </c>
      <c r="S283" s="0" t="s">
        <v>1432</v>
      </c>
      <c r="T283" s="0" t="s">
        <v>4795</v>
      </c>
      <c r="U283" s="0" t="s">
        <v>4796</v>
      </c>
      <c r="V283" s="0" t="s">
        <v>5361</v>
      </c>
      <c r="W283" s="0" t="s">
        <v>4798</v>
      </c>
      <c r="X283" s="0" t="s">
        <v>4799</v>
      </c>
      <c r="Y283" s="0" t="s">
        <v>4796</v>
      </c>
      <c r="Z283" s="0" t="s">
        <v>5362</v>
      </c>
      <c r="AA283" s="0" t="s">
        <v>5264</v>
      </c>
      <c r="AB283" s="0" t="s">
        <v>5361</v>
      </c>
      <c r="AC283" s="0" t="s">
        <v>62</v>
      </c>
      <c r="AD283" s="0" t="s">
        <v>62</v>
      </c>
      <c r="AE283" s="0" t="s">
        <v>62</v>
      </c>
      <c r="AF283" s="0" t="s">
        <v>5368</v>
      </c>
      <c r="AG283" s="0" t="s">
        <v>5372</v>
      </c>
      <c r="AH283" s="0" t="s">
        <v>5368</v>
      </c>
      <c r="AI283" s="0" t="s">
        <v>5372</v>
      </c>
      <c r="AJ283" s="0" t="s">
        <v>5368</v>
      </c>
      <c r="AK283" s="0" t="s">
        <v>5372</v>
      </c>
      <c r="AL283" s="0" t="s">
        <v>4804</v>
      </c>
    </row>
    <row customHeight="1" ht="11.25">
      <c r="A284" s="0" t="s">
        <v>22</v>
      </c>
      <c r="B284" s="0" t="s">
        <v>48</v>
      </c>
      <c r="C284" s="0" t="s">
        <v>50</v>
      </c>
      <c r="D284" s="0" t="s">
        <v>22</v>
      </c>
      <c r="E284" s="0" t="s">
        <v>1402</v>
      </c>
      <c r="F284" s="0" t="s">
        <v>1299</v>
      </c>
      <c r="G284" s="0" t="s">
        <v>162</v>
      </c>
      <c r="H284" s="0" t="s">
        <v>1403</v>
      </c>
      <c r="I284" s="0" t="s">
        <v>1404</v>
      </c>
      <c r="J284" s="0" t="s">
        <v>1405</v>
      </c>
      <c r="K284" s="0" t="s">
        <v>1406</v>
      </c>
      <c r="L284" s="0" t="s">
        <v>1407</v>
      </c>
      <c r="M284" s="0" t="s">
        <v>1355</v>
      </c>
      <c r="N284" s="0" t="s">
        <v>210</v>
      </c>
      <c r="O284" s="0" t="s">
        <v>162</v>
      </c>
      <c r="P284" s="0" t="s">
        <v>1403</v>
      </c>
      <c r="Q284" s="0" t="s">
        <v>1404</v>
      </c>
      <c r="R284" s="0" t="s">
        <v>1405</v>
      </c>
      <c r="S284" s="0" t="s">
        <v>1406</v>
      </c>
      <c r="T284" s="0" t="s">
        <v>4795</v>
      </c>
      <c r="U284" s="0" t="s">
        <v>4796</v>
      </c>
      <c r="V284" s="0" t="s">
        <v>5373</v>
      </c>
      <c r="W284" s="0" t="s">
        <v>4798</v>
      </c>
      <c r="X284" s="0" t="s">
        <v>4799</v>
      </c>
      <c r="Y284" s="0" t="s">
        <v>4796</v>
      </c>
      <c r="Z284" s="0" t="s">
        <v>5374</v>
      </c>
      <c r="AA284" s="0" t="s">
        <v>5018</v>
      </c>
      <c r="AB284" s="0" t="s">
        <v>5373</v>
      </c>
      <c r="AC284" s="0" t="s">
        <v>62</v>
      </c>
      <c r="AD284" s="0" t="s">
        <v>62</v>
      </c>
      <c r="AE284" s="0" t="s">
        <v>62</v>
      </c>
      <c r="AF284" s="0" t="s">
        <v>4838</v>
      </c>
      <c r="AG284" s="0" t="s">
        <v>5375</v>
      </c>
      <c r="AH284" s="0" t="s">
        <v>4838</v>
      </c>
      <c r="AI284" s="0" t="s">
        <v>5375</v>
      </c>
      <c r="AJ284" s="0" t="s">
        <v>4838</v>
      </c>
      <c r="AK284" s="0" t="s">
        <v>5375</v>
      </c>
      <c r="AL284" s="0" t="s">
        <v>4804</v>
      </c>
    </row>
    <row customHeight="1" ht="11.25">
      <c r="A285" s="0" t="s">
        <v>22</v>
      </c>
      <c r="B285" s="0" t="s">
        <v>48</v>
      </c>
      <c r="C285" s="0" t="s">
        <v>50</v>
      </c>
      <c r="D285" s="0" t="s">
        <v>22</v>
      </c>
      <c r="E285" s="0" t="s">
        <v>1402</v>
      </c>
      <c r="F285" s="0" t="s">
        <v>1299</v>
      </c>
      <c r="G285" s="0" t="s">
        <v>162</v>
      </c>
      <c r="H285" s="0" t="s">
        <v>1403</v>
      </c>
      <c r="I285" s="0" t="s">
        <v>1404</v>
      </c>
      <c r="J285" s="0" t="s">
        <v>1405</v>
      </c>
      <c r="K285" s="0" t="s">
        <v>1406</v>
      </c>
      <c r="L285" s="0" t="s">
        <v>1407</v>
      </c>
      <c r="M285" s="0" t="s">
        <v>1355</v>
      </c>
      <c r="N285" s="0" t="s">
        <v>210</v>
      </c>
      <c r="O285" s="0" t="s">
        <v>162</v>
      </c>
      <c r="P285" s="0" t="s">
        <v>1403</v>
      </c>
      <c r="Q285" s="0" t="s">
        <v>1404</v>
      </c>
      <c r="R285" s="0" t="s">
        <v>1405</v>
      </c>
      <c r="S285" s="0" t="s">
        <v>1406</v>
      </c>
      <c r="T285" s="0" t="s">
        <v>4795</v>
      </c>
      <c r="U285" s="0" t="s">
        <v>4796</v>
      </c>
      <c r="V285" s="0" t="s">
        <v>5376</v>
      </c>
      <c r="W285" s="0" t="s">
        <v>4798</v>
      </c>
      <c r="X285" s="0" t="s">
        <v>4799</v>
      </c>
      <c r="Y285" s="0" t="s">
        <v>4796</v>
      </c>
      <c r="Z285" s="0" t="s">
        <v>5377</v>
      </c>
      <c r="AA285" s="0" t="s">
        <v>4807</v>
      </c>
      <c r="AB285" s="0" t="s">
        <v>5376</v>
      </c>
      <c r="AC285" s="0" t="s">
        <v>62</v>
      </c>
      <c r="AD285" s="0" t="s">
        <v>62</v>
      </c>
      <c r="AE285" s="0" t="s">
        <v>62</v>
      </c>
      <c r="AF285" s="0" t="s">
        <v>4838</v>
      </c>
      <c r="AG285" s="0" t="s">
        <v>5375</v>
      </c>
      <c r="AH285" s="0" t="s">
        <v>4838</v>
      </c>
      <c r="AI285" s="0" t="s">
        <v>5375</v>
      </c>
      <c r="AJ285" s="0" t="s">
        <v>4838</v>
      </c>
      <c r="AK285" s="0" t="s">
        <v>5375</v>
      </c>
      <c r="AL285" s="0" t="s">
        <v>4804</v>
      </c>
    </row>
    <row customHeight="1" ht="11.25">
      <c r="A286" s="0" t="s">
        <v>22</v>
      </c>
      <c r="B286" s="0" t="s">
        <v>48</v>
      </c>
      <c r="C286" s="0" t="s">
        <v>50</v>
      </c>
      <c r="D286" s="0" t="s">
        <v>22</v>
      </c>
      <c r="E286" s="0" t="s">
        <v>5378</v>
      </c>
      <c r="F286" s="0" t="s">
        <v>1299</v>
      </c>
      <c r="G286" s="0" t="s">
        <v>162</v>
      </c>
      <c r="H286" s="0" t="s">
        <v>4558</v>
      </c>
      <c r="I286" s="0" t="s">
        <v>4559</v>
      </c>
      <c r="J286" s="0" t="s">
        <v>5379</v>
      </c>
      <c r="K286" s="0" t="s">
        <v>5380</v>
      </c>
      <c r="L286" s="0" t="s">
        <v>5381</v>
      </c>
      <c r="M286" s="0" t="s">
        <v>1355</v>
      </c>
      <c r="N286" s="0" t="s">
        <v>210</v>
      </c>
      <c r="O286" s="0" t="s">
        <v>162</v>
      </c>
      <c r="P286" s="0" t="s">
        <v>4558</v>
      </c>
      <c r="Q286" s="0" t="s">
        <v>4559</v>
      </c>
      <c r="R286" s="0" t="s">
        <v>5379</v>
      </c>
      <c r="S286" s="0" t="s">
        <v>5380</v>
      </c>
      <c r="T286" s="0" t="s">
        <v>4795</v>
      </c>
      <c r="U286" s="0" t="s">
        <v>4796</v>
      </c>
      <c r="V286" s="0" t="s">
        <v>5376</v>
      </c>
      <c r="W286" s="0" t="s">
        <v>4798</v>
      </c>
      <c r="X286" s="0" t="s">
        <v>4799</v>
      </c>
      <c r="Y286" s="0" t="s">
        <v>4796</v>
      </c>
      <c r="Z286" s="0" t="s">
        <v>5377</v>
      </c>
      <c r="AA286" s="0" t="s">
        <v>4807</v>
      </c>
      <c r="AB286" s="0" t="s">
        <v>5376</v>
      </c>
      <c r="AC286" s="0" t="s">
        <v>62</v>
      </c>
      <c r="AD286" s="0" t="s">
        <v>62</v>
      </c>
      <c r="AE286" s="0" t="s">
        <v>62</v>
      </c>
      <c r="AF286" s="0" t="s">
        <v>4917</v>
      </c>
      <c r="AG286" s="0" t="s">
        <v>5382</v>
      </c>
      <c r="AH286" s="0" t="s">
        <v>4917</v>
      </c>
      <c r="AI286" s="0" t="s">
        <v>5382</v>
      </c>
      <c r="AJ286" s="0" t="s">
        <v>4917</v>
      </c>
      <c r="AK286" s="0" t="s">
        <v>5382</v>
      </c>
      <c r="AL286" s="0" t="s">
        <v>4804</v>
      </c>
    </row>
    <row customHeight="1" ht="11.25">
      <c r="A287" s="0" t="s">
        <v>22</v>
      </c>
      <c r="B287" s="0" t="s">
        <v>48</v>
      </c>
      <c r="C287" s="0" t="s">
        <v>50</v>
      </c>
      <c r="D287" s="0" t="s">
        <v>22</v>
      </c>
      <c r="E287" s="0" t="s">
        <v>5378</v>
      </c>
      <c r="F287" s="0" t="s">
        <v>1299</v>
      </c>
      <c r="G287" s="0" t="s">
        <v>162</v>
      </c>
      <c r="H287" s="0" t="s">
        <v>4558</v>
      </c>
      <c r="I287" s="0" t="s">
        <v>4559</v>
      </c>
      <c r="J287" s="0" t="s">
        <v>5379</v>
      </c>
      <c r="K287" s="0" t="s">
        <v>5380</v>
      </c>
      <c r="L287" s="0" t="s">
        <v>5381</v>
      </c>
      <c r="M287" s="0" t="s">
        <v>1355</v>
      </c>
      <c r="N287" s="0" t="s">
        <v>210</v>
      </c>
      <c r="O287" s="0" t="s">
        <v>162</v>
      </c>
      <c r="P287" s="0" t="s">
        <v>4558</v>
      </c>
      <c r="Q287" s="0" t="s">
        <v>4559</v>
      </c>
      <c r="R287" s="0" t="s">
        <v>5379</v>
      </c>
      <c r="S287" s="0" t="s">
        <v>5380</v>
      </c>
      <c r="T287" s="0" t="s">
        <v>4795</v>
      </c>
      <c r="U287" s="0" t="s">
        <v>4796</v>
      </c>
      <c r="V287" s="0" t="s">
        <v>5373</v>
      </c>
      <c r="W287" s="0" t="s">
        <v>4798</v>
      </c>
      <c r="X287" s="0" t="s">
        <v>4799</v>
      </c>
      <c r="Y287" s="0" t="s">
        <v>4796</v>
      </c>
      <c r="Z287" s="0" t="s">
        <v>5374</v>
      </c>
      <c r="AA287" s="0" t="s">
        <v>5018</v>
      </c>
      <c r="AB287" s="0" t="s">
        <v>5373</v>
      </c>
      <c r="AC287" s="0" t="s">
        <v>62</v>
      </c>
      <c r="AD287" s="0" t="s">
        <v>62</v>
      </c>
      <c r="AE287" s="0" t="s">
        <v>62</v>
      </c>
      <c r="AF287" s="0" t="s">
        <v>4917</v>
      </c>
      <c r="AG287" s="0" t="s">
        <v>5382</v>
      </c>
      <c r="AH287" s="0" t="s">
        <v>4917</v>
      </c>
      <c r="AI287" s="0" t="s">
        <v>5382</v>
      </c>
      <c r="AJ287" s="0" t="s">
        <v>4917</v>
      </c>
      <c r="AK287" s="0" t="s">
        <v>5382</v>
      </c>
      <c r="AL287" s="0" t="s">
        <v>4804</v>
      </c>
    </row>
    <row customHeight="1" ht="11.25">
      <c r="A288" s="0" t="s">
        <v>22</v>
      </c>
      <c r="B288" s="0" t="s">
        <v>48</v>
      </c>
      <c r="C288" s="0" t="s">
        <v>50</v>
      </c>
      <c r="D288" s="0" t="s">
        <v>22</v>
      </c>
      <c r="E288" s="0" t="s">
        <v>5383</v>
      </c>
      <c r="F288" s="0" t="s">
        <v>1299</v>
      </c>
      <c r="G288" s="0" t="s">
        <v>167</v>
      </c>
      <c r="H288" s="0" t="s">
        <v>4644</v>
      </c>
      <c r="I288" s="0" t="s">
        <v>4645</v>
      </c>
      <c r="J288" s="0" t="s">
        <v>5384</v>
      </c>
      <c r="K288" s="0" t="s">
        <v>5385</v>
      </c>
      <c r="L288" s="0" t="s">
        <v>1338</v>
      </c>
      <c r="M288" s="0" t="s">
        <v>5386</v>
      </c>
      <c r="N288" s="0" t="s">
        <v>210</v>
      </c>
      <c r="O288" s="0" t="s">
        <v>167</v>
      </c>
      <c r="P288" s="0" t="s">
        <v>4644</v>
      </c>
      <c r="Q288" s="0" t="s">
        <v>4645</v>
      </c>
      <c r="R288" s="0" t="s">
        <v>5384</v>
      </c>
      <c r="S288" s="0" t="s">
        <v>5385</v>
      </c>
      <c r="T288" s="0" t="s">
        <v>4795</v>
      </c>
      <c r="U288" s="0" t="s">
        <v>4796</v>
      </c>
      <c r="V288" s="0" t="s">
        <v>5387</v>
      </c>
      <c r="W288" s="0" t="s">
        <v>4798</v>
      </c>
      <c r="X288" s="0" t="s">
        <v>5388</v>
      </c>
      <c r="Y288" s="0" t="s">
        <v>5389</v>
      </c>
      <c r="Z288" s="0" t="s">
        <v>5390</v>
      </c>
      <c r="AA288" s="0" t="s">
        <v>5391</v>
      </c>
      <c r="AB288" s="0" t="s">
        <v>5387</v>
      </c>
      <c r="AC288" s="0" t="s">
        <v>62</v>
      </c>
      <c r="AD288" s="0" t="s">
        <v>62</v>
      </c>
      <c r="AE288" s="0" t="s">
        <v>62</v>
      </c>
      <c r="AF288" s="0" t="s">
        <v>5392</v>
      </c>
      <c r="AG288" s="0" t="s">
        <v>5393</v>
      </c>
      <c r="AH288" s="0" t="s">
        <v>5392</v>
      </c>
      <c r="AI288" s="0" t="s">
        <v>5393</v>
      </c>
      <c r="AJ288" s="0" t="s">
        <v>5392</v>
      </c>
      <c r="AK288" s="0" t="s">
        <v>5393</v>
      </c>
      <c r="AL288" s="0" t="s">
        <v>4804</v>
      </c>
    </row>
    <row customHeight="1" ht="11.25">
      <c r="A289" s="0" t="s">
        <v>22</v>
      </c>
      <c r="B289" s="0" t="s">
        <v>48</v>
      </c>
      <c r="C289" s="0" t="s">
        <v>50</v>
      </c>
      <c r="D289" s="0" t="s">
        <v>22</v>
      </c>
      <c r="E289" s="0" t="s">
        <v>5383</v>
      </c>
      <c r="F289" s="0" t="s">
        <v>1299</v>
      </c>
      <c r="G289" s="0" t="s">
        <v>167</v>
      </c>
      <c r="H289" s="0" t="s">
        <v>4644</v>
      </c>
      <c r="I289" s="0" t="s">
        <v>4645</v>
      </c>
      <c r="J289" s="0" t="s">
        <v>5384</v>
      </c>
      <c r="K289" s="0" t="s">
        <v>5385</v>
      </c>
      <c r="L289" s="0" t="s">
        <v>1338</v>
      </c>
      <c r="M289" s="0" t="s">
        <v>5386</v>
      </c>
      <c r="N289" s="0" t="s">
        <v>210</v>
      </c>
      <c r="O289" s="0" t="s">
        <v>167</v>
      </c>
      <c r="P289" s="0" t="s">
        <v>4644</v>
      </c>
      <c r="Q289" s="0" t="s">
        <v>4645</v>
      </c>
      <c r="R289" s="0" t="s">
        <v>5384</v>
      </c>
      <c r="S289" s="0" t="s">
        <v>5385</v>
      </c>
      <c r="T289" s="0" t="s">
        <v>4795</v>
      </c>
      <c r="U289" s="0" t="s">
        <v>4796</v>
      </c>
      <c r="V289" s="0" t="s">
        <v>5387</v>
      </c>
      <c r="W289" s="0" t="s">
        <v>4798</v>
      </c>
      <c r="X289" s="0" t="s">
        <v>5388</v>
      </c>
      <c r="Y289" s="0" t="s">
        <v>5389</v>
      </c>
      <c r="Z289" s="0" t="s">
        <v>5390</v>
      </c>
      <c r="AA289" s="0" t="s">
        <v>5391</v>
      </c>
      <c r="AB289" s="0" t="s">
        <v>5387</v>
      </c>
      <c r="AC289" s="0" t="s">
        <v>62</v>
      </c>
      <c r="AD289" s="0" t="s">
        <v>62</v>
      </c>
      <c r="AE289" s="0" t="s">
        <v>62</v>
      </c>
      <c r="AF289" s="0" t="s">
        <v>5392</v>
      </c>
      <c r="AG289" s="0" t="s">
        <v>5393</v>
      </c>
      <c r="AH289" s="0" t="s">
        <v>5392</v>
      </c>
      <c r="AI289" s="0" t="s">
        <v>5393</v>
      </c>
      <c r="AJ289" s="0" t="s">
        <v>5392</v>
      </c>
      <c r="AK289" s="0" t="s">
        <v>5393</v>
      </c>
      <c r="AL289" s="0" t="s">
        <v>4804</v>
      </c>
    </row>
    <row customHeight="1" ht="11.25">
      <c r="A290" s="0" t="s">
        <v>22</v>
      </c>
      <c r="B290" s="0" t="s">
        <v>48</v>
      </c>
      <c r="C290" s="0" t="s">
        <v>50</v>
      </c>
      <c r="D290" s="0" t="s">
        <v>22</v>
      </c>
      <c r="E290" s="0" t="s">
        <v>5394</v>
      </c>
      <c r="F290" s="0" t="s">
        <v>1299</v>
      </c>
      <c r="G290" s="0" t="s">
        <v>167</v>
      </c>
      <c r="H290" s="0" t="s">
        <v>4644</v>
      </c>
      <c r="I290" s="0" t="s">
        <v>4645</v>
      </c>
      <c r="J290" s="0" t="s">
        <v>5384</v>
      </c>
      <c r="K290" s="0" t="s">
        <v>5385</v>
      </c>
      <c r="L290" s="0" t="s">
        <v>1338</v>
      </c>
      <c r="M290" s="0" t="s">
        <v>5088</v>
      </c>
      <c r="N290" s="0" t="s">
        <v>210</v>
      </c>
      <c r="O290" s="0" t="s">
        <v>167</v>
      </c>
      <c r="P290" s="0" t="s">
        <v>4644</v>
      </c>
      <c r="Q290" s="0" t="s">
        <v>4645</v>
      </c>
      <c r="R290" s="0" t="s">
        <v>5384</v>
      </c>
      <c r="S290" s="0" t="s">
        <v>5385</v>
      </c>
      <c r="T290" s="0" t="s">
        <v>4795</v>
      </c>
      <c r="U290" s="0" t="s">
        <v>4796</v>
      </c>
      <c r="V290" s="0" t="s">
        <v>5387</v>
      </c>
      <c r="W290" s="0" t="s">
        <v>4798</v>
      </c>
      <c r="X290" s="0" t="s">
        <v>5388</v>
      </c>
      <c r="Y290" s="0" t="s">
        <v>5389</v>
      </c>
      <c r="Z290" s="0" t="s">
        <v>5395</v>
      </c>
      <c r="AA290" s="0" t="s">
        <v>5391</v>
      </c>
      <c r="AB290" s="0" t="s">
        <v>5387</v>
      </c>
      <c r="AC290" s="0" t="s">
        <v>62</v>
      </c>
      <c r="AD290" s="0" t="s">
        <v>62</v>
      </c>
      <c r="AE290" s="0" t="s">
        <v>62</v>
      </c>
      <c r="AF290" s="0" t="s">
        <v>5392</v>
      </c>
      <c r="AG290" s="0" t="s">
        <v>5040</v>
      </c>
      <c r="AH290" s="0" t="s">
        <v>5392</v>
      </c>
      <c r="AI290" s="0" t="s">
        <v>5040</v>
      </c>
      <c r="AJ290" s="0" t="s">
        <v>5392</v>
      </c>
      <c r="AK290" s="0" t="s">
        <v>5040</v>
      </c>
      <c r="AL290" s="0" t="s">
        <v>4804</v>
      </c>
    </row>
    <row customHeight="1" ht="11.25">
      <c r="A291" s="0" t="s">
        <v>22</v>
      </c>
      <c r="B291" s="0" t="s">
        <v>48</v>
      </c>
      <c r="C291" s="0" t="s">
        <v>50</v>
      </c>
      <c r="D291" s="0" t="s">
        <v>22</v>
      </c>
      <c r="E291" s="0" t="s">
        <v>5394</v>
      </c>
      <c r="F291" s="0" t="s">
        <v>1299</v>
      </c>
      <c r="G291" s="0" t="s">
        <v>167</v>
      </c>
      <c r="H291" s="0" t="s">
        <v>4644</v>
      </c>
      <c r="I291" s="0" t="s">
        <v>4645</v>
      </c>
      <c r="J291" s="0" t="s">
        <v>5384</v>
      </c>
      <c r="K291" s="0" t="s">
        <v>5385</v>
      </c>
      <c r="L291" s="0" t="s">
        <v>1338</v>
      </c>
      <c r="M291" s="0" t="s">
        <v>5088</v>
      </c>
      <c r="N291" s="0" t="s">
        <v>210</v>
      </c>
      <c r="O291" s="0" t="s">
        <v>167</v>
      </c>
      <c r="P291" s="0" t="s">
        <v>4644</v>
      </c>
      <c r="Q291" s="0" t="s">
        <v>4645</v>
      </c>
      <c r="R291" s="0" t="s">
        <v>5384</v>
      </c>
      <c r="S291" s="0" t="s">
        <v>5385</v>
      </c>
      <c r="T291" s="0" t="s">
        <v>4795</v>
      </c>
      <c r="U291" s="0" t="s">
        <v>4796</v>
      </c>
      <c r="V291" s="0" t="s">
        <v>5387</v>
      </c>
      <c r="W291" s="0" t="s">
        <v>4798</v>
      </c>
      <c r="X291" s="0" t="s">
        <v>5388</v>
      </c>
      <c r="Y291" s="0" t="s">
        <v>5389</v>
      </c>
      <c r="Z291" s="0" t="s">
        <v>5395</v>
      </c>
      <c r="AA291" s="0" t="s">
        <v>5391</v>
      </c>
      <c r="AB291" s="0" t="s">
        <v>5387</v>
      </c>
      <c r="AC291" s="0" t="s">
        <v>62</v>
      </c>
      <c r="AD291" s="0" t="s">
        <v>62</v>
      </c>
      <c r="AE291" s="0" t="s">
        <v>62</v>
      </c>
      <c r="AF291" s="0" t="s">
        <v>5392</v>
      </c>
      <c r="AG291" s="0" t="s">
        <v>5040</v>
      </c>
      <c r="AH291" s="0" t="s">
        <v>5392</v>
      </c>
      <c r="AI291" s="0" t="s">
        <v>5040</v>
      </c>
      <c r="AJ291" s="0" t="s">
        <v>5392</v>
      </c>
      <c r="AK291" s="0" t="s">
        <v>5040</v>
      </c>
      <c r="AL291" s="0" t="s">
        <v>4804</v>
      </c>
    </row>
    <row customHeight="1" ht="11.25">
      <c r="A292" s="0" t="s">
        <v>22</v>
      </c>
      <c r="B292" s="0" t="s">
        <v>48</v>
      </c>
      <c r="C292" s="0" t="s">
        <v>50</v>
      </c>
      <c r="D292" s="0" t="s">
        <v>22</v>
      </c>
      <c r="E292" s="0" t="s">
        <v>5396</v>
      </c>
      <c r="F292" s="0" t="s">
        <v>1299</v>
      </c>
      <c r="G292" s="0" t="s">
        <v>167</v>
      </c>
      <c r="H292" s="0" t="s">
        <v>4644</v>
      </c>
      <c r="I292" s="0" t="s">
        <v>4645</v>
      </c>
      <c r="J292" s="0" t="s">
        <v>5384</v>
      </c>
      <c r="K292" s="0" t="s">
        <v>5385</v>
      </c>
      <c r="L292" s="0" t="s">
        <v>5397</v>
      </c>
      <c r="M292" s="0" t="s">
        <v>5398</v>
      </c>
      <c r="N292" s="0" t="s">
        <v>210</v>
      </c>
      <c r="O292" s="0" t="s">
        <v>167</v>
      </c>
      <c r="P292" s="0" t="s">
        <v>4644</v>
      </c>
      <c r="Q292" s="0" t="s">
        <v>4645</v>
      </c>
      <c r="R292" s="0" t="s">
        <v>5384</v>
      </c>
      <c r="S292" s="0" t="s">
        <v>5385</v>
      </c>
      <c r="T292" s="0" t="s">
        <v>4795</v>
      </c>
      <c r="U292" s="0" t="s">
        <v>4796</v>
      </c>
      <c r="V292" s="0" t="s">
        <v>5387</v>
      </c>
      <c r="W292" s="0" t="s">
        <v>4798</v>
      </c>
      <c r="X292" s="0" t="s">
        <v>5388</v>
      </c>
      <c r="Y292" s="0" t="s">
        <v>5389</v>
      </c>
      <c r="Z292" s="0" t="s">
        <v>5399</v>
      </c>
      <c r="AA292" s="0" t="s">
        <v>5391</v>
      </c>
      <c r="AB292" s="0" t="s">
        <v>5387</v>
      </c>
      <c r="AC292" s="0" t="s">
        <v>62</v>
      </c>
      <c r="AD292" s="0" t="s">
        <v>62</v>
      </c>
      <c r="AE292" s="0" t="s">
        <v>62</v>
      </c>
      <c r="AF292" s="0" t="s">
        <v>5400</v>
      </c>
      <c r="AG292" s="0" t="s">
        <v>5401</v>
      </c>
      <c r="AH292" s="0" t="s">
        <v>5400</v>
      </c>
      <c r="AI292" s="0" t="s">
        <v>5401</v>
      </c>
      <c r="AJ292" s="0" t="s">
        <v>5400</v>
      </c>
      <c r="AK292" s="0" t="s">
        <v>5401</v>
      </c>
      <c r="AL292" s="0" t="s">
        <v>4804</v>
      </c>
    </row>
    <row customHeight="1" ht="11.25">
      <c r="A293" s="0" t="s">
        <v>22</v>
      </c>
      <c r="B293" s="0" t="s">
        <v>48</v>
      </c>
      <c r="C293" s="0" t="s">
        <v>50</v>
      </c>
      <c r="D293" s="0" t="s">
        <v>22</v>
      </c>
      <c r="E293" s="0" t="s">
        <v>5396</v>
      </c>
      <c r="F293" s="0" t="s">
        <v>1299</v>
      </c>
      <c r="G293" s="0" t="s">
        <v>167</v>
      </c>
      <c r="H293" s="0" t="s">
        <v>4644</v>
      </c>
      <c r="I293" s="0" t="s">
        <v>4645</v>
      </c>
      <c r="J293" s="0" t="s">
        <v>5384</v>
      </c>
      <c r="K293" s="0" t="s">
        <v>5385</v>
      </c>
      <c r="L293" s="0" t="s">
        <v>5397</v>
      </c>
      <c r="M293" s="0" t="s">
        <v>5398</v>
      </c>
      <c r="N293" s="0" t="s">
        <v>210</v>
      </c>
      <c r="O293" s="0" t="s">
        <v>167</v>
      </c>
      <c r="P293" s="0" t="s">
        <v>4644</v>
      </c>
      <c r="Q293" s="0" t="s">
        <v>4645</v>
      </c>
      <c r="R293" s="0" t="s">
        <v>5384</v>
      </c>
      <c r="S293" s="0" t="s">
        <v>5385</v>
      </c>
      <c r="T293" s="0" t="s">
        <v>4795</v>
      </c>
      <c r="U293" s="0" t="s">
        <v>4796</v>
      </c>
      <c r="V293" s="0" t="s">
        <v>5387</v>
      </c>
      <c r="W293" s="0" t="s">
        <v>4798</v>
      </c>
      <c r="X293" s="0" t="s">
        <v>5388</v>
      </c>
      <c r="Y293" s="0" t="s">
        <v>5389</v>
      </c>
      <c r="Z293" s="0" t="s">
        <v>5399</v>
      </c>
      <c r="AA293" s="0" t="s">
        <v>5391</v>
      </c>
      <c r="AB293" s="0" t="s">
        <v>5387</v>
      </c>
      <c r="AC293" s="0" t="s">
        <v>62</v>
      </c>
      <c r="AD293" s="0" t="s">
        <v>62</v>
      </c>
      <c r="AE293" s="0" t="s">
        <v>62</v>
      </c>
      <c r="AF293" s="0" t="s">
        <v>5400</v>
      </c>
      <c r="AG293" s="0" t="s">
        <v>5401</v>
      </c>
      <c r="AH293" s="0" t="s">
        <v>5400</v>
      </c>
      <c r="AI293" s="0" t="s">
        <v>5401</v>
      </c>
      <c r="AJ293" s="0" t="s">
        <v>5400</v>
      </c>
      <c r="AK293" s="0" t="s">
        <v>5401</v>
      </c>
      <c r="AL293" s="0" t="s">
        <v>4804</v>
      </c>
    </row>
    <row customHeight="1" ht="11.25">
      <c r="A294" s="0" t="s">
        <v>22</v>
      </c>
      <c r="B294" s="0" t="s">
        <v>48</v>
      </c>
      <c r="C294" s="0" t="s">
        <v>50</v>
      </c>
      <c r="D294" s="0" t="s">
        <v>22</v>
      </c>
      <c r="E294" s="0" t="s">
        <v>5402</v>
      </c>
      <c r="F294" s="0" t="s">
        <v>1299</v>
      </c>
      <c r="G294" s="0" t="s">
        <v>167</v>
      </c>
      <c r="H294" s="0" t="s">
        <v>4644</v>
      </c>
      <c r="I294" s="0" t="s">
        <v>4645</v>
      </c>
      <c r="J294" s="0" t="s">
        <v>5384</v>
      </c>
      <c r="K294" s="0" t="s">
        <v>5385</v>
      </c>
      <c r="L294" s="0" t="s">
        <v>5397</v>
      </c>
      <c r="M294" s="0" t="s">
        <v>134</v>
      </c>
      <c r="N294" s="0" t="s">
        <v>210</v>
      </c>
      <c r="O294" s="0" t="s">
        <v>167</v>
      </c>
      <c r="P294" s="0" t="s">
        <v>4644</v>
      </c>
      <c r="Q294" s="0" t="s">
        <v>4645</v>
      </c>
      <c r="R294" s="0" t="s">
        <v>5384</v>
      </c>
      <c r="S294" s="0" t="s">
        <v>5385</v>
      </c>
      <c r="T294" s="0" t="s">
        <v>4795</v>
      </c>
      <c r="U294" s="0" t="s">
        <v>4796</v>
      </c>
      <c r="V294" s="0" t="s">
        <v>5387</v>
      </c>
      <c r="W294" s="0" t="s">
        <v>4798</v>
      </c>
      <c r="X294" s="0" t="s">
        <v>5388</v>
      </c>
      <c r="Y294" s="0" t="s">
        <v>5389</v>
      </c>
      <c r="Z294" s="0" t="s">
        <v>5403</v>
      </c>
      <c r="AA294" s="0" t="s">
        <v>5391</v>
      </c>
      <c r="AB294" s="0" t="s">
        <v>5387</v>
      </c>
      <c r="AC294" s="0" t="s">
        <v>62</v>
      </c>
      <c r="AD294" s="0" t="s">
        <v>62</v>
      </c>
      <c r="AE294" s="0" t="s">
        <v>62</v>
      </c>
      <c r="AF294" s="0" t="s">
        <v>5392</v>
      </c>
      <c r="AG294" s="0" t="s">
        <v>5404</v>
      </c>
      <c r="AH294" s="0" t="s">
        <v>5392</v>
      </c>
      <c r="AI294" s="0" t="s">
        <v>5404</v>
      </c>
      <c r="AJ294" s="0" t="s">
        <v>5392</v>
      </c>
      <c r="AK294" s="0" t="s">
        <v>5404</v>
      </c>
      <c r="AL294" s="0" t="s">
        <v>4804</v>
      </c>
    </row>
    <row customHeight="1" ht="11.25">
      <c r="A295" s="0" t="s">
        <v>22</v>
      </c>
      <c r="B295" s="0" t="s">
        <v>48</v>
      </c>
      <c r="C295" s="0" t="s">
        <v>50</v>
      </c>
      <c r="D295" s="0" t="s">
        <v>22</v>
      </c>
      <c r="E295" s="0" t="s">
        <v>5402</v>
      </c>
      <c r="F295" s="0" t="s">
        <v>1299</v>
      </c>
      <c r="G295" s="0" t="s">
        <v>167</v>
      </c>
      <c r="H295" s="0" t="s">
        <v>4644</v>
      </c>
      <c r="I295" s="0" t="s">
        <v>4645</v>
      </c>
      <c r="J295" s="0" t="s">
        <v>5384</v>
      </c>
      <c r="K295" s="0" t="s">
        <v>5385</v>
      </c>
      <c r="L295" s="0" t="s">
        <v>5397</v>
      </c>
      <c r="M295" s="0" t="s">
        <v>134</v>
      </c>
      <c r="N295" s="0" t="s">
        <v>210</v>
      </c>
      <c r="O295" s="0" t="s">
        <v>167</v>
      </c>
      <c r="P295" s="0" t="s">
        <v>4644</v>
      </c>
      <c r="Q295" s="0" t="s">
        <v>4645</v>
      </c>
      <c r="R295" s="0" t="s">
        <v>5384</v>
      </c>
      <c r="S295" s="0" t="s">
        <v>5385</v>
      </c>
      <c r="T295" s="0" t="s">
        <v>4795</v>
      </c>
      <c r="U295" s="0" t="s">
        <v>4796</v>
      </c>
      <c r="V295" s="0" t="s">
        <v>5387</v>
      </c>
      <c r="W295" s="0" t="s">
        <v>4798</v>
      </c>
      <c r="X295" s="0" t="s">
        <v>5388</v>
      </c>
      <c r="Y295" s="0" t="s">
        <v>5389</v>
      </c>
      <c r="Z295" s="0" t="s">
        <v>5403</v>
      </c>
      <c r="AA295" s="0" t="s">
        <v>5391</v>
      </c>
      <c r="AB295" s="0" t="s">
        <v>5387</v>
      </c>
      <c r="AC295" s="0" t="s">
        <v>62</v>
      </c>
      <c r="AD295" s="0" t="s">
        <v>62</v>
      </c>
      <c r="AE295" s="0" t="s">
        <v>62</v>
      </c>
      <c r="AF295" s="0" t="s">
        <v>5392</v>
      </c>
      <c r="AG295" s="0" t="s">
        <v>5404</v>
      </c>
      <c r="AH295" s="0" t="s">
        <v>5392</v>
      </c>
      <c r="AI295" s="0" t="s">
        <v>5404</v>
      </c>
      <c r="AJ295" s="0" t="s">
        <v>5392</v>
      </c>
      <c r="AK295" s="0" t="s">
        <v>5404</v>
      </c>
      <c r="AL295" s="0" t="s">
        <v>4804</v>
      </c>
    </row>
    <row customHeight="1" ht="11.25">
      <c r="A296" s="0" t="s">
        <v>22</v>
      </c>
      <c r="B296" s="0" t="s">
        <v>48</v>
      </c>
      <c r="C296" s="0" t="s">
        <v>50</v>
      </c>
      <c r="D296" s="0" t="s">
        <v>22</v>
      </c>
      <c r="E296" s="0" t="s">
        <v>1414</v>
      </c>
      <c r="F296" s="0" t="s">
        <v>1299</v>
      </c>
      <c r="G296" s="0" t="s">
        <v>167</v>
      </c>
      <c r="H296" s="0" t="s">
        <v>1415</v>
      </c>
      <c r="I296" s="0" t="s">
        <v>1416</v>
      </c>
      <c r="J296" s="0" t="s">
        <v>1417</v>
      </c>
      <c r="K296" s="0" t="s">
        <v>1418</v>
      </c>
      <c r="L296" s="0" t="s">
        <v>1419</v>
      </c>
      <c r="M296" s="0" t="s">
        <v>1355</v>
      </c>
      <c r="N296" s="0" t="s">
        <v>210</v>
      </c>
      <c r="O296" s="0" t="s">
        <v>167</v>
      </c>
      <c r="P296" s="0" t="s">
        <v>1415</v>
      </c>
      <c r="Q296" s="0" t="s">
        <v>1416</v>
      </c>
      <c r="R296" s="0" t="s">
        <v>1417</v>
      </c>
      <c r="S296" s="0" t="s">
        <v>1418</v>
      </c>
      <c r="T296" s="0" t="s">
        <v>4795</v>
      </c>
      <c r="U296" s="0" t="s">
        <v>4796</v>
      </c>
      <c r="V296" s="0" t="s">
        <v>5405</v>
      </c>
      <c r="W296" s="0" t="s">
        <v>4798</v>
      </c>
      <c r="X296" s="0" t="s">
        <v>4799</v>
      </c>
      <c r="Y296" s="0" t="s">
        <v>4796</v>
      </c>
      <c r="Z296" s="0" t="s">
        <v>5406</v>
      </c>
      <c r="AA296" s="0" t="s">
        <v>5018</v>
      </c>
      <c r="AB296" s="0" t="s">
        <v>5405</v>
      </c>
      <c r="AC296" s="0" t="s">
        <v>62</v>
      </c>
      <c r="AD296" s="0" t="s">
        <v>62</v>
      </c>
      <c r="AE296" s="0" t="s">
        <v>62</v>
      </c>
      <c r="AF296" s="0" t="s">
        <v>4932</v>
      </c>
      <c r="AG296" s="0" t="s">
        <v>5407</v>
      </c>
      <c r="AH296" s="0" t="s">
        <v>4932</v>
      </c>
      <c r="AI296" s="0" t="s">
        <v>5407</v>
      </c>
      <c r="AJ296" s="0" t="s">
        <v>4932</v>
      </c>
      <c r="AK296" s="0" t="s">
        <v>5407</v>
      </c>
      <c r="AL296" s="0" t="s">
        <v>4804</v>
      </c>
    </row>
    <row customHeight="1" ht="11.25">
      <c r="A297" s="0" t="s">
        <v>22</v>
      </c>
      <c r="B297" s="0" t="s">
        <v>48</v>
      </c>
      <c r="C297" s="0" t="s">
        <v>50</v>
      </c>
      <c r="D297" s="0" t="s">
        <v>22</v>
      </c>
      <c r="E297" s="0" t="s">
        <v>1414</v>
      </c>
      <c r="F297" s="0" t="s">
        <v>1299</v>
      </c>
      <c r="G297" s="0" t="s">
        <v>167</v>
      </c>
      <c r="H297" s="0" t="s">
        <v>1415</v>
      </c>
      <c r="I297" s="0" t="s">
        <v>1416</v>
      </c>
      <c r="J297" s="0" t="s">
        <v>1417</v>
      </c>
      <c r="K297" s="0" t="s">
        <v>1418</v>
      </c>
      <c r="L297" s="0" t="s">
        <v>1419</v>
      </c>
      <c r="M297" s="0" t="s">
        <v>1355</v>
      </c>
      <c r="N297" s="0" t="s">
        <v>210</v>
      </c>
      <c r="O297" s="0" t="s">
        <v>167</v>
      </c>
      <c r="P297" s="0" t="s">
        <v>1415</v>
      </c>
      <c r="Q297" s="0" t="s">
        <v>1416</v>
      </c>
      <c r="R297" s="0" t="s">
        <v>1417</v>
      </c>
      <c r="S297" s="0" t="s">
        <v>1418</v>
      </c>
      <c r="T297" s="0" t="s">
        <v>4795</v>
      </c>
      <c r="U297" s="0" t="s">
        <v>4796</v>
      </c>
      <c r="V297" s="0" t="s">
        <v>5408</v>
      </c>
      <c r="W297" s="0" t="s">
        <v>4798</v>
      </c>
      <c r="X297" s="0" t="s">
        <v>4799</v>
      </c>
      <c r="Y297" s="0" t="s">
        <v>4796</v>
      </c>
      <c r="Z297" s="0" t="s">
        <v>5409</v>
      </c>
      <c r="AA297" s="0" t="s">
        <v>4807</v>
      </c>
      <c r="AB297" s="0" t="s">
        <v>5408</v>
      </c>
      <c r="AC297" s="0" t="s">
        <v>62</v>
      </c>
      <c r="AD297" s="0" t="s">
        <v>62</v>
      </c>
      <c r="AE297" s="0" t="s">
        <v>62</v>
      </c>
      <c r="AF297" s="0" t="s">
        <v>4932</v>
      </c>
      <c r="AG297" s="0" t="s">
        <v>5407</v>
      </c>
      <c r="AH297" s="0" t="s">
        <v>4932</v>
      </c>
      <c r="AI297" s="0" t="s">
        <v>5407</v>
      </c>
      <c r="AJ297" s="0" t="s">
        <v>4932</v>
      </c>
      <c r="AK297" s="0" t="s">
        <v>5407</v>
      </c>
      <c r="AL297" s="0" t="s">
        <v>4804</v>
      </c>
    </row>
    <row customHeight="1" ht="11.25">
      <c r="A298" s="0" t="s">
        <v>22</v>
      </c>
      <c r="B298" s="0" t="s">
        <v>48</v>
      </c>
      <c r="C298" s="0" t="s">
        <v>50</v>
      </c>
      <c r="D298" s="0" t="s">
        <v>22</v>
      </c>
      <c r="E298" s="0" t="s">
        <v>5410</v>
      </c>
      <c r="F298" s="0" t="s">
        <v>1299</v>
      </c>
      <c r="G298" s="0" t="s">
        <v>167</v>
      </c>
      <c r="H298" s="0" t="s">
        <v>4660</v>
      </c>
      <c r="I298" s="0" t="s">
        <v>4661</v>
      </c>
      <c r="J298" s="0" t="s">
        <v>5411</v>
      </c>
      <c r="K298" s="0" t="s">
        <v>5412</v>
      </c>
      <c r="L298" s="0" t="s">
        <v>4822</v>
      </c>
      <c r="M298" s="0" t="s">
        <v>5413</v>
      </c>
      <c r="N298" s="0" t="s">
        <v>210</v>
      </c>
      <c r="O298" s="0" t="s">
        <v>167</v>
      </c>
      <c r="P298" s="0" t="s">
        <v>4660</v>
      </c>
      <c r="Q298" s="0" t="s">
        <v>4661</v>
      </c>
      <c r="R298" s="0" t="s">
        <v>5411</v>
      </c>
      <c r="S298" s="0" t="s">
        <v>5412</v>
      </c>
      <c r="T298" s="0" t="s">
        <v>4795</v>
      </c>
      <c r="U298" s="0" t="s">
        <v>4796</v>
      </c>
      <c r="V298" s="0" t="s">
        <v>5387</v>
      </c>
      <c r="W298" s="0" t="s">
        <v>4798</v>
      </c>
      <c r="X298" s="0" t="s">
        <v>5388</v>
      </c>
      <c r="Y298" s="0" t="s">
        <v>5389</v>
      </c>
      <c r="Z298" s="0" t="s">
        <v>5414</v>
      </c>
      <c r="AA298" s="0" t="s">
        <v>5391</v>
      </c>
      <c r="AB298" s="0" t="s">
        <v>5387</v>
      </c>
      <c r="AC298" s="0" t="s">
        <v>62</v>
      </c>
      <c r="AD298" s="0" t="s">
        <v>62</v>
      </c>
      <c r="AE298" s="0" t="s">
        <v>62</v>
      </c>
      <c r="AF298" s="0" t="s">
        <v>5392</v>
      </c>
      <c r="AG298" s="0" t="s">
        <v>5040</v>
      </c>
      <c r="AH298" s="0" t="s">
        <v>5392</v>
      </c>
      <c r="AI298" s="0" t="s">
        <v>5040</v>
      </c>
      <c r="AJ298" s="0" t="s">
        <v>5392</v>
      </c>
      <c r="AK298" s="0" t="s">
        <v>5040</v>
      </c>
      <c r="AL298" s="0" t="s">
        <v>4804</v>
      </c>
    </row>
    <row customHeight="1" ht="11.25">
      <c r="A299" s="0" t="s">
        <v>22</v>
      </c>
      <c r="B299" s="0" t="s">
        <v>48</v>
      </c>
      <c r="C299" s="0" t="s">
        <v>50</v>
      </c>
      <c r="D299" s="0" t="s">
        <v>22</v>
      </c>
      <c r="E299" s="0" t="s">
        <v>5410</v>
      </c>
      <c r="F299" s="0" t="s">
        <v>1299</v>
      </c>
      <c r="G299" s="0" t="s">
        <v>167</v>
      </c>
      <c r="H299" s="0" t="s">
        <v>4660</v>
      </c>
      <c r="I299" s="0" t="s">
        <v>4661</v>
      </c>
      <c r="J299" s="0" t="s">
        <v>5411</v>
      </c>
      <c r="K299" s="0" t="s">
        <v>5412</v>
      </c>
      <c r="L299" s="0" t="s">
        <v>4822</v>
      </c>
      <c r="M299" s="0" t="s">
        <v>5413</v>
      </c>
      <c r="N299" s="0" t="s">
        <v>210</v>
      </c>
      <c r="O299" s="0" t="s">
        <v>167</v>
      </c>
      <c r="P299" s="0" t="s">
        <v>4660</v>
      </c>
      <c r="Q299" s="0" t="s">
        <v>4661</v>
      </c>
      <c r="R299" s="0" t="s">
        <v>5411</v>
      </c>
      <c r="S299" s="0" t="s">
        <v>5412</v>
      </c>
      <c r="T299" s="0" t="s">
        <v>4795</v>
      </c>
      <c r="U299" s="0" t="s">
        <v>4796</v>
      </c>
      <c r="V299" s="0" t="s">
        <v>5387</v>
      </c>
      <c r="W299" s="0" t="s">
        <v>4798</v>
      </c>
      <c r="X299" s="0" t="s">
        <v>5388</v>
      </c>
      <c r="Y299" s="0" t="s">
        <v>5389</v>
      </c>
      <c r="Z299" s="0" t="s">
        <v>5414</v>
      </c>
      <c r="AA299" s="0" t="s">
        <v>5391</v>
      </c>
      <c r="AB299" s="0" t="s">
        <v>5387</v>
      </c>
      <c r="AC299" s="0" t="s">
        <v>62</v>
      </c>
      <c r="AD299" s="0" t="s">
        <v>62</v>
      </c>
      <c r="AE299" s="0" t="s">
        <v>62</v>
      </c>
      <c r="AF299" s="0" t="s">
        <v>5392</v>
      </c>
      <c r="AG299" s="0" t="s">
        <v>5040</v>
      </c>
      <c r="AH299" s="0" t="s">
        <v>5392</v>
      </c>
      <c r="AI299" s="0" t="s">
        <v>5040</v>
      </c>
      <c r="AJ299" s="0" t="s">
        <v>5392</v>
      </c>
      <c r="AK299" s="0" t="s">
        <v>5040</v>
      </c>
      <c r="AL299" s="0" t="s">
        <v>4804</v>
      </c>
    </row>
    <row customHeight="1" ht="11.25">
      <c r="A300" s="0" t="s">
        <v>22</v>
      </c>
      <c r="B300" s="0" t="s">
        <v>48</v>
      </c>
      <c r="C300" s="0" t="s">
        <v>50</v>
      </c>
      <c r="D300" s="0" t="s">
        <v>22</v>
      </c>
      <c r="E300" s="0" t="s">
        <v>5415</v>
      </c>
      <c r="F300" s="0" t="s">
        <v>1299</v>
      </c>
      <c r="G300" s="0" t="s">
        <v>167</v>
      </c>
      <c r="H300" s="0" t="s">
        <v>4660</v>
      </c>
      <c r="I300" s="0" t="s">
        <v>4661</v>
      </c>
      <c r="J300" s="0" t="s">
        <v>5411</v>
      </c>
      <c r="K300" s="0" t="s">
        <v>5412</v>
      </c>
      <c r="L300" s="0" t="s">
        <v>5416</v>
      </c>
      <c r="M300" s="0" t="s">
        <v>5417</v>
      </c>
      <c r="N300" s="0" t="s">
        <v>210</v>
      </c>
      <c r="O300" s="0" t="s">
        <v>167</v>
      </c>
      <c r="P300" s="0" t="s">
        <v>4660</v>
      </c>
      <c r="Q300" s="0" t="s">
        <v>4661</v>
      </c>
      <c r="R300" s="0" t="s">
        <v>5411</v>
      </c>
      <c r="S300" s="0" t="s">
        <v>5412</v>
      </c>
      <c r="T300" s="0" t="s">
        <v>4795</v>
      </c>
      <c r="U300" s="0" t="s">
        <v>4796</v>
      </c>
      <c r="V300" s="0" t="s">
        <v>5387</v>
      </c>
      <c r="W300" s="0" t="s">
        <v>4798</v>
      </c>
      <c r="X300" s="0" t="s">
        <v>5388</v>
      </c>
      <c r="Y300" s="0" t="s">
        <v>5389</v>
      </c>
      <c r="Z300" s="0" t="s">
        <v>5418</v>
      </c>
      <c r="AA300" s="0" t="s">
        <v>5391</v>
      </c>
      <c r="AB300" s="0" t="s">
        <v>5387</v>
      </c>
      <c r="AC300" s="0" t="s">
        <v>62</v>
      </c>
      <c r="AD300" s="0" t="s">
        <v>62</v>
      </c>
      <c r="AE300" s="0" t="s">
        <v>62</v>
      </c>
      <c r="AF300" s="0" t="s">
        <v>5240</v>
      </c>
      <c r="AG300" s="0" t="s">
        <v>5419</v>
      </c>
      <c r="AH300" s="0" t="s">
        <v>5240</v>
      </c>
      <c r="AI300" s="0" t="s">
        <v>5419</v>
      </c>
      <c r="AJ300" s="0" t="s">
        <v>5240</v>
      </c>
      <c r="AK300" s="0" t="s">
        <v>5419</v>
      </c>
      <c r="AL300" s="0" t="s">
        <v>4804</v>
      </c>
    </row>
    <row customHeight="1" ht="11.25">
      <c r="A301" s="0" t="s">
        <v>22</v>
      </c>
      <c r="B301" s="0" t="s">
        <v>48</v>
      </c>
      <c r="C301" s="0" t="s">
        <v>50</v>
      </c>
      <c r="D301" s="0" t="s">
        <v>22</v>
      </c>
      <c r="E301" s="0" t="s">
        <v>5415</v>
      </c>
      <c r="F301" s="0" t="s">
        <v>1299</v>
      </c>
      <c r="G301" s="0" t="s">
        <v>167</v>
      </c>
      <c r="H301" s="0" t="s">
        <v>4660</v>
      </c>
      <c r="I301" s="0" t="s">
        <v>4661</v>
      </c>
      <c r="J301" s="0" t="s">
        <v>5411</v>
      </c>
      <c r="K301" s="0" t="s">
        <v>5412</v>
      </c>
      <c r="L301" s="0" t="s">
        <v>5416</v>
      </c>
      <c r="M301" s="0" t="s">
        <v>5417</v>
      </c>
      <c r="N301" s="0" t="s">
        <v>210</v>
      </c>
      <c r="O301" s="0" t="s">
        <v>167</v>
      </c>
      <c r="P301" s="0" t="s">
        <v>4660</v>
      </c>
      <c r="Q301" s="0" t="s">
        <v>4661</v>
      </c>
      <c r="R301" s="0" t="s">
        <v>5411</v>
      </c>
      <c r="S301" s="0" t="s">
        <v>5412</v>
      </c>
      <c r="T301" s="0" t="s">
        <v>4795</v>
      </c>
      <c r="U301" s="0" t="s">
        <v>4796</v>
      </c>
      <c r="V301" s="0" t="s">
        <v>5387</v>
      </c>
      <c r="W301" s="0" t="s">
        <v>4798</v>
      </c>
      <c r="X301" s="0" t="s">
        <v>5388</v>
      </c>
      <c r="Y301" s="0" t="s">
        <v>5389</v>
      </c>
      <c r="Z301" s="0" t="s">
        <v>5418</v>
      </c>
      <c r="AA301" s="0" t="s">
        <v>5391</v>
      </c>
      <c r="AB301" s="0" t="s">
        <v>5387</v>
      </c>
      <c r="AC301" s="0" t="s">
        <v>62</v>
      </c>
      <c r="AD301" s="0" t="s">
        <v>62</v>
      </c>
      <c r="AE301" s="0" t="s">
        <v>62</v>
      </c>
      <c r="AF301" s="0" t="s">
        <v>5240</v>
      </c>
      <c r="AG301" s="0" t="s">
        <v>5419</v>
      </c>
      <c r="AH301" s="0" t="s">
        <v>5240</v>
      </c>
      <c r="AI301" s="0" t="s">
        <v>5419</v>
      </c>
      <c r="AJ301" s="0" t="s">
        <v>5240</v>
      </c>
      <c r="AK301" s="0" t="s">
        <v>5419</v>
      </c>
      <c r="AL301" s="0" t="s">
        <v>4804</v>
      </c>
    </row>
    <row customHeight="1" ht="11.25">
      <c r="A302" s="0" t="s">
        <v>22</v>
      </c>
      <c r="B302" s="0" t="s">
        <v>48</v>
      </c>
      <c r="C302" s="0" t="s">
        <v>50</v>
      </c>
      <c r="D302" s="0" t="s">
        <v>22</v>
      </c>
      <c r="E302" s="0" t="s">
        <v>5420</v>
      </c>
      <c r="F302" s="0" t="s">
        <v>1299</v>
      </c>
      <c r="G302" s="0" t="s">
        <v>167</v>
      </c>
      <c r="H302" s="0" t="s">
        <v>4660</v>
      </c>
      <c r="I302" s="0" t="s">
        <v>4661</v>
      </c>
      <c r="J302" s="0" t="s">
        <v>5411</v>
      </c>
      <c r="K302" s="0" t="s">
        <v>5412</v>
      </c>
      <c r="L302" s="0" t="s">
        <v>4822</v>
      </c>
      <c r="M302" s="0" t="s">
        <v>5421</v>
      </c>
      <c r="N302" s="0" t="s">
        <v>210</v>
      </c>
      <c r="O302" s="0" t="s">
        <v>167</v>
      </c>
      <c r="P302" s="0" t="s">
        <v>4660</v>
      </c>
      <c r="Q302" s="0" t="s">
        <v>4661</v>
      </c>
      <c r="R302" s="0" t="s">
        <v>5411</v>
      </c>
      <c r="S302" s="0" t="s">
        <v>5412</v>
      </c>
      <c r="T302" s="0" t="s">
        <v>4795</v>
      </c>
      <c r="U302" s="0" t="s">
        <v>4796</v>
      </c>
      <c r="V302" s="0" t="s">
        <v>5387</v>
      </c>
      <c r="W302" s="0" t="s">
        <v>4798</v>
      </c>
      <c r="X302" s="0" t="s">
        <v>5388</v>
      </c>
      <c r="Y302" s="0" t="s">
        <v>5389</v>
      </c>
      <c r="Z302" s="0" t="s">
        <v>5422</v>
      </c>
      <c r="AA302" s="0" t="s">
        <v>5391</v>
      </c>
      <c r="AB302" s="0" t="s">
        <v>5387</v>
      </c>
      <c r="AC302" s="0" t="s">
        <v>62</v>
      </c>
      <c r="AD302" s="0" t="s">
        <v>62</v>
      </c>
      <c r="AE302" s="0" t="s">
        <v>62</v>
      </c>
      <c r="AF302" s="0" t="s">
        <v>5240</v>
      </c>
      <c r="AG302" s="0" t="s">
        <v>5423</v>
      </c>
      <c r="AH302" s="0" t="s">
        <v>5240</v>
      </c>
      <c r="AI302" s="0" t="s">
        <v>5423</v>
      </c>
      <c r="AJ302" s="0" t="s">
        <v>5240</v>
      </c>
      <c r="AK302" s="0" t="s">
        <v>5423</v>
      </c>
      <c r="AL302" s="0" t="s">
        <v>4804</v>
      </c>
    </row>
    <row customHeight="1" ht="11.25">
      <c r="A303" s="0" t="s">
        <v>22</v>
      </c>
      <c r="B303" s="0" t="s">
        <v>48</v>
      </c>
      <c r="C303" s="0" t="s">
        <v>50</v>
      </c>
      <c r="D303" s="0" t="s">
        <v>22</v>
      </c>
      <c r="E303" s="0" t="s">
        <v>5420</v>
      </c>
      <c r="F303" s="0" t="s">
        <v>1299</v>
      </c>
      <c r="G303" s="0" t="s">
        <v>167</v>
      </c>
      <c r="H303" s="0" t="s">
        <v>4660</v>
      </c>
      <c r="I303" s="0" t="s">
        <v>4661</v>
      </c>
      <c r="J303" s="0" t="s">
        <v>5411</v>
      </c>
      <c r="K303" s="0" t="s">
        <v>5412</v>
      </c>
      <c r="L303" s="0" t="s">
        <v>4822</v>
      </c>
      <c r="M303" s="0" t="s">
        <v>5421</v>
      </c>
      <c r="N303" s="0" t="s">
        <v>210</v>
      </c>
      <c r="O303" s="0" t="s">
        <v>167</v>
      </c>
      <c r="P303" s="0" t="s">
        <v>4660</v>
      </c>
      <c r="Q303" s="0" t="s">
        <v>4661</v>
      </c>
      <c r="R303" s="0" t="s">
        <v>5411</v>
      </c>
      <c r="S303" s="0" t="s">
        <v>5412</v>
      </c>
      <c r="T303" s="0" t="s">
        <v>4795</v>
      </c>
      <c r="U303" s="0" t="s">
        <v>4796</v>
      </c>
      <c r="V303" s="0" t="s">
        <v>5387</v>
      </c>
      <c r="W303" s="0" t="s">
        <v>4798</v>
      </c>
      <c r="X303" s="0" t="s">
        <v>5388</v>
      </c>
      <c r="Y303" s="0" t="s">
        <v>5389</v>
      </c>
      <c r="Z303" s="0" t="s">
        <v>5422</v>
      </c>
      <c r="AA303" s="0" t="s">
        <v>5391</v>
      </c>
      <c r="AB303" s="0" t="s">
        <v>5387</v>
      </c>
      <c r="AC303" s="0" t="s">
        <v>62</v>
      </c>
      <c r="AD303" s="0" t="s">
        <v>62</v>
      </c>
      <c r="AE303" s="0" t="s">
        <v>62</v>
      </c>
      <c r="AF303" s="0" t="s">
        <v>5240</v>
      </c>
      <c r="AG303" s="0" t="s">
        <v>5423</v>
      </c>
      <c r="AH303" s="0" t="s">
        <v>5240</v>
      </c>
      <c r="AI303" s="0" t="s">
        <v>5423</v>
      </c>
      <c r="AJ303" s="0" t="s">
        <v>5240</v>
      </c>
      <c r="AK303" s="0" t="s">
        <v>5423</v>
      </c>
      <c r="AL303" s="0" t="s">
        <v>4804</v>
      </c>
    </row>
    <row customHeight="1" ht="11.25">
      <c r="A304" s="0" t="s">
        <v>22</v>
      </c>
      <c r="B304" s="0" t="s">
        <v>48</v>
      </c>
      <c r="C304" s="0" t="s">
        <v>50</v>
      </c>
      <c r="D304" s="0" t="s">
        <v>22</v>
      </c>
      <c r="E304" s="0" t="s">
        <v>5424</v>
      </c>
      <c r="F304" s="0" t="s">
        <v>1299</v>
      </c>
      <c r="G304" s="0" t="s">
        <v>167</v>
      </c>
      <c r="H304" s="0" t="s">
        <v>4660</v>
      </c>
      <c r="I304" s="0" t="s">
        <v>4661</v>
      </c>
      <c r="J304" s="0" t="s">
        <v>5411</v>
      </c>
      <c r="K304" s="0" t="s">
        <v>5412</v>
      </c>
      <c r="L304" s="0" t="s">
        <v>5416</v>
      </c>
      <c r="M304" s="0" t="s">
        <v>5425</v>
      </c>
      <c r="N304" s="0" t="s">
        <v>210</v>
      </c>
      <c r="O304" s="0" t="s">
        <v>167</v>
      </c>
      <c r="P304" s="0" t="s">
        <v>4660</v>
      </c>
      <c r="Q304" s="0" t="s">
        <v>4661</v>
      </c>
      <c r="R304" s="0" t="s">
        <v>5411</v>
      </c>
      <c r="S304" s="0" t="s">
        <v>5412</v>
      </c>
      <c r="T304" s="0" t="s">
        <v>4795</v>
      </c>
      <c r="U304" s="0" t="s">
        <v>4796</v>
      </c>
      <c r="V304" s="0" t="s">
        <v>5387</v>
      </c>
      <c r="W304" s="0" t="s">
        <v>4798</v>
      </c>
      <c r="X304" s="0" t="s">
        <v>5388</v>
      </c>
      <c r="Y304" s="0" t="s">
        <v>5389</v>
      </c>
      <c r="Z304" s="0" t="s">
        <v>5426</v>
      </c>
      <c r="AA304" s="0" t="s">
        <v>5391</v>
      </c>
      <c r="AB304" s="0" t="s">
        <v>5387</v>
      </c>
      <c r="AC304" s="0" t="s">
        <v>62</v>
      </c>
      <c r="AD304" s="0" t="s">
        <v>62</v>
      </c>
      <c r="AE304" s="0" t="s">
        <v>62</v>
      </c>
      <c r="AF304" s="0" t="s">
        <v>5240</v>
      </c>
      <c r="AG304" s="0" t="s">
        <v>5427</v>
      </c>
      <c r="AH304" s="0" t="s">
        <v>5240</v>
      </c>
      <c r="AI304" s="0" t="s">
        <v>5427</v>
      </c>
      <c r="AJ304" s="0" t="s">
        <v>5240</v>
      </c>
      <c r="AK304" s="0" t="s">
        <v>5427</v>
      </c>
      <c r="AL304" s="0" t="s">
        <v>4804</v>
      </c>
    </row>
    <row customHeight="1" ht="11.25">
      <c r="A305" s="0" t="s">
        <v>22</v>
      </c>
      <c r="B305" s="0" t="s">
        <v>48</v>
      </c>
      <c r="C305" s="0" t="s">
        <v>50</v>
      </c>
      <c r="D305" s="0" t="s">
        <v>22</v>
      </c>
      <c r="E305" s="0" t="s">
        <v>5424</v>
      </c>
      <c r="F305" s="0" t="s">
        <v>1299</v>
      </c>
      <c r="G305" s="0" t="s">
        <v>167</v>
      </c>
      <c r="H305" s="0" t="s">
        <v>4660</v>
      </c>
      <c r="I305" s="0" t="s">
        <v>4661</v>
      </c>
      <c r="J305" s="0" t="s">
        <v>5411</v>
      </c>
      <c r="K305" s="0" t="s">
        <v>5412</v>
      </c>
      <c r="L305" s="0" t="s">
        <v>5416</v>
      </c>
      <c r="M305" s="0" t="s">
        <v>5425</v>
      </c>
      <c r="N305" s="0" t="s">
        <v>210</v>
      </c>
      <c r="O305" s="0" t="s">
        <v>167</v>
      </c>
      <c r="P305" s="0" t="s">
        <v>4660</v>
      </c>
      <c r="Q305" s="0" t="s">
        <v>4661</v>
      </c>
      <c r="R305" s="0" t="s">
        <v>5411</v>
      </c>
      <c r="S305" s="0" t="s">
        <v>5412</v>
      </c>
      <c r="T305" s="0" t="s">
        <v>4795</v>
      </c>
      <c r="U305" s="0" t="s">
        <v>4796</v>
      </c>
      <c r="V305" s="0" t="s">
        <v>5387</v>
      </c>
      <c r="W305" s="0" t="s">
        <v>4798</v>
      </c>
      <c r="X305" s="0" t="s">
        <v>5388</v>
      </c>
      <c r="Y305" s="0" t="s">
        <v>5389</v>
      </c>
      <c r="Z305" s="0" t="s">
        <v>5426</v>
      </c>
      <c r="AA305" s="0" t="s">
        <v>5391</v>
      </c>
      <c r="AB305" s="0" t="s">
        <v>5387</v>
      </c>
      <c r="AC305" s="0" t="s">
        <v>62</v>
      </c>
      <c r="AD305" s="0" t="s">
        <v>62</v>
      </c>
      <c r="AE305" s="0" t="s">
        <v>62</v>
      </c>
      <c r="AF305" s="0" t="s">
        <v>5240</v>
      </c>
      <c r="AG305" s="0" t="s">
        <v>5427</v>
      </c>
      <c r="AH305" s="0" t="s">
        <v>5240</v>
      </c>
      <c r="AI305" s="0" t="s">
        <v>5427</v>
      </c>
      <c r="AJ305" s="0" t="s">
        <v>5240</v>
      </c>
      <c r="AK305" s="0" t="s">
        <v>5427</v>
      </c>
      <c r="AL305" s="0" t="s">
        <v>4804</v>
      </c>
    </row>
    <row customHeight="1" ht="11.25">
      <c r="A306" s="0" t="s">
        <v>22</v>
      </c>
      <c r="B306" s="0" t="s">
        <v>48</v>
      </c>
      <c r="C306" s="0" t="s">
        <v>50</v>
      </c>
      <c r="D306" s="0" t="s">
        <v>22</v>
      </c>
      <c r="E306" s="0" t="s">
        <v>5428</v>
      </c>
      <c r="F306" s="0" t="s">
        <v>1299</v>
      </c>
      <c r="G306" s="0" t="s">
        <v>167</v>
      </c>
      <c r="H306" s="0" t="s">
        <v>4660</v>
      </c>
      <c r="I306" s="0" t="s">
        <v>4661</v>
      </c>
      <c r="J306" s="0" t="s">
        <v>5411</v>
      </c>
      <c r="K306" s="0" t="s">
        <v>5412</v>
      </c>
      <c r="L306" s="0" t="s">
        <v>4822</v>
      </c>
      <c r="M306" s="0" t="s">
        <v>5154</v>
      </c>
      <c r="N306" s="0" t="s">
        <v>210</v>
      </c>
      <c r="O306" s="0" t="s">
        <v>167</v>
      </c>
      <c r="P306" s="0" t="s">
        <v>4660</v>
      </c>
      <c r="Q306" s="0" t="s">
        <v>4661</v>
      </c>
      <c r="R306" s="0" t="s">
        <v>5411</v>
      </c>
      <c r="S306" s="0" t="s">
        <v>5412</v>
      </c>
      <c r="T306" s="0" t="s">
        <v>4795</v>
      </c>
      <c r="U306" s="0" t="s">
        <v>4796</v>
      </c>
      <c r="V306" s="0" t="s">
        <v>5387</v>
      </c>
      <c r="W306" s="0" t="s">
        <v>4798</v>
      </c>
      <c r="X306" s="0" t="s">
        <v>5388</v>
      </c>
      <c r="Y306" s="0" t="s">
        <v>5389</v>
      </c>
      <c r="Z306" s="0" t="s">
        <v>5429</v>
      </c>
      <c r="AA306" s="0" t="s">
        <v>5391</v>
      </c>
      <c r="AB306" s="0" t="s">
        <v>5387</v>
      </c>
      <c r="AC306" s="0" t="s">
        <v>62</v>
      </c>
      <c r="AD306" s="0" t="s">
        <v>62</v>
      </c>
      <c r="AE306" s="0" t="s">
        <v>62</v>
      </c>
      <c r="AF306" s="0" t="s">
        <v>5040</v>
      </c>
      <c r="AG306" s="0" t="s">
        <v>5040</v>
      </c>
      <c r="AH306" s="0" t="s">
        <v>5040</v>
      </c>
      <c r="AI306" s="0" t="s">
        <v>5040</v>
      </c>
      <c r="AJ306" s="0" t="s">
        <v>5040</v>
      </c>
      <c r="AK306" s="0" t="s">
        <v>5040</v>
      </c>
      <c r="AL306" s="0" t="s">
        <v>4804</v>
      </c>
    </row>
    <row customHeight="1" ht="11.25">
      <c r="A307" s="0" t="s">
        <v>22</v>
      </c>
      <c r="B307" s="0" t="s">
        <v>48</v>
      </c>
      <c r="C307" s="0" t="s">
        <v>50</v>
      </c>
      <c r="D307" s="0" t="s">
        <v>22</v>
      </c>
      <c r="E307" s="0" t="s">
        <v>5428</v>
      </c>
      <c r="F307" s="0" t="s">
        <v>1299</v>
      </c>
      <c r="G307" s="0" t="s">
        <v>167</v>
      </c>
      <c r="H307" s="0" t="s">
        <v>4660</v>
      </c>
      <c r="I307" s="0" t="s">
        <v>4661</v>
      </c>
      <c r="J307" s="0" t="s">
        <v>5411</v>
      </c>
      <c r="K307" s="0" t="s">
        <v>5412</v>
      </c>
      <c r="L307" s="0" t="s">
        <v>4822</v>
      </c>
      <c r="M307" s="0" t="s">
        <v>5154</v>
      </c>
      <c r="N307" s="0" t="s">
        <v>210</v>
      </c>
      <c r="O307" s="0" t="s">
        <v>167</v>
      </c>
      <c r="P307" s="0" t="s">
        <v>4660</v>
      </c>
      <c r="Q307" s="0" t="s">
        <v>4661</v>
      </c>
      <c r="R307" s="0" t="s">
        <v>5411</v>
      </c>
      <c r="S307" s="0" t="s">
        <v>5412</v>
      </c>
      <c r="T307" s="0" t="s">
        <v>4795</v>
      </c>
      <c r="U307" s="0" t="s">
        <v>4796</v>
      </c>
      <c r="V307" s="0" t="s">
        <v>5387</v>
      </c>
      <c r="W307" s="0" t="s">
        <v>4798</v>
      </c>
      <c r="X307" s="0" t="s">
        <v>5388</v>
      </c>
      <c r="Y307" s="0" t="s">
        <v>5389</v>
      </c>
      <c r="Z307" s="0" t="s">
        <v>5429</v>
      </c>
      <c r="AA307" s="0" t="s">
        <v>5391</v>
      </c>
      <c r="AB307" s="0" t="s">
        <v>5387</v>
      </c>
      <c r="AC307" s="0" t="s">
        <v>62</v>
      </c>
      <c r="AD307" s="0" t="s">
        <v>62</v>
      </c>
      <c r="AE307" s="0" t="s">
        <v>62</v>
      </c>
      <c r="AF307" s="0" t="s">
        <v>5040</v>
      </c>
      <c r="AG307" s="0" t="s">
        <v>5040</v>
      </c>
      <c r="AH307" s="0" t="s">
        <v>5040</v>
      </c>
      <c r="AI307" s="0" t="s">
        <v>5040</v>
      </c>
      <c r="AJ307" s="0" t="s">
        <v>5040</v>
      </c>
      <c r="AK307" s="0" t="s">
        <v>5040</v>
      </c>
      <c r="AL307" s="0" t="s">
        <v>4804</v>
      </c>
    </row>
    <row customHeight="1" ht="11.25">
      <c r="A308" s="0" t="s">
        <v>22</v>
      </c>
      <c r="B308" s="0" t="s">
        <v>48</v>
      </c>
      <c r="C308" s="0" t="s">
        <v>50</v>
      </c>
      <c r="D308" s="0" t="s">
        <v>22</v>
      </c>
      <c r="E308" s="0" t="s">
        <v>5430</v>
      </c>
      <c r="F308" s="0" t="s">
        <v>1299</v>
      </c>
      <c r="G308" s="0" t="s">
        <v>167</v>
      </c>
      <c r="H308" s="0" t="s">
        <v>4660</v>
      </c>
      <c r="I308" s="0" t="s">
        <v>4661</v>
      </c>
      <c r="J308" s="0" t="s">
        <v>5411</v>
      </c>
      <c r="K308" s="0" t="s">
        <v>5412</v>
      </c>
      <c r="L308" s="0" t="s">
        <v>5416</v>
      </c>
      <c r="M308" s="0" t="s">
        <v>5431</v>
      </c>
      <c r="N308" s="0" t="s">
        <v>210</v>
      </c>
      <c r="O308" s="0" t="s">
        <v>167</v>
      </c>
      <c r="P308" s="0" t="s">
        <v>4660</v>
      </c>
      <c r="Q308" s="0" t="s">
        <v>4661</v>
      </c>
      <c r="R308" s="0" t="s">
        <v>5411</v>
      </c>
      <c r="S308" s="0" t="s">
        <v>5412</v>
      </c>
      <c r="T308" s="0" t="s">
        <v>4795</v>
      </c>
      <c r="U308" s="0" t="s">
        <v>4796</v>
      </c>
      <c r="V308" s="0" t="s">
        <v>5387</v>
      </c>
      <c r="W308" s="0" t="s">
        <v>4798</v>
      </c>
      <c r="X308" s="0" t="s">
        <v>5388</v>
      </c>
      <c r="Y308" s="0" t="s">
        <v>5389</v>
      </c>
      <c r="Z308" s="0" t="s">
        <v>5432</v>
      </c>
      <c r="AA308" s="0" t="s">
        <v>5391</v>
      </c>
      <c r="AB308" s="0" t="s">
        <v>5387</v>
      </c>
      <c r="AC308" s="0" t="s">
        <v>62</v>
      </c>
      <c r="AD308" s="0" t="s">
        <v>62</v>
      </c>
      <c r="AE308" s="0" t="s">
        <v>62</v>
      </c>
      <c r="AF308" s="0" t="s">
        <v>5433</v>
      </c>
      <c r="AG308" s="0" t="s">
        <v>5434</v>
      </c>
      <c r="AH308" s="0" t="s">
        <v>5433</v>
      </c>
      <c r="AI308" s="0" t="s">
        <v>5434</v>
      </c>
      <c r="AJ308" s="0" t="s">
        <v>5433</v>
      </c>
      <c r="AK308" s="0" t="s">
        <v>5434</v>
      </c>
      <c r="AL308" s="0" t="s">
        <v>4804</v>
      </c>
    </row>
    <row customHeight="1" ht="11.25">
      <c r="A309" s="0" t="s">
        <v>22</v>
      </c>
      <c r="B309" s="0" t="s">
        <v>48</v>
      </c>
      <c r="C309" s="0" t="s">
        <v>50</v>
      </c>
      <c r="D309" s="0" t="s">
        <v>22</v>
      </c>
      <c r="E309" s="0" t="s">
        <v>5430</v>
      </c>
      <c r="F309" s="0" t="s">
        <v>1299</v>
      </c>
      <c r="G309" s="0" t="s">
        <v>167</v>
      </c>
      <c r="H309" s="0" t="s">
        <v>4660</v>
      </c>
      <c r="I309" s="0" t="s">
        <v>4661</v>
      </c>
      <c r="J309" s="0" t="s">
        <v>5411</v>
      </c>
      <c r="K309" s="0" t="s">
        <v>5412</v>
      </c>
      <c r="L309" s="0" t="s">
        <v>5416</v>
      </c>
      <c r="M309" s="0" t="s">
        <v>5431</v>
      </c>
      <c r="N309" s="0" t="s">
        <v>210</v>
      </c>
      <c r="O309" s="0" t="s">
        <v>167</v>
      </c>
      <c r="P309" s="0" t="s">
        <v>4660</v>
      </c>
      <c r="Q309" s="0" t="s">
        <v>4661</v>
      </c>
      <c r="R309" s="0" t="s">
        <v>5411</v>
      </c>
      <c r="S309" s="0" t="s">
        <v>5412</v>
      </c>
      <c r="T309" s="0" t="s">
        <v>4795</v>
      </c>
      <c r="U309" s="0" t="s">
        <v>4796</v>
      </c>
      <c r="V309" s="0" t="s">
        <v>5387</v>
      </c>
      <c r="W309" s="0" t="s">
        <v>4798</v>
      </c>
      <c r="X309" s="0" t="s">
        <v>5388</v>
      </c>
      <c r="Y309" s="0" t="s">
        <v>5389</v>
      </c>
      <c r="Z309" s="0" t="s">
        <v>5432</v>
      </c>
      <c r="AA309" s="0" t="s">
        <v>5391</v>
      </c>
      <c r="AB309" s="0" t="s">
        <v>5387</v>
      </c>
      <c r="AC309" s="0" t="s">
        <v>62</v>
      </c>
      <c r="AD309" s="0" t="s">
        <v>62</v>
      </c>
      <c r="AE309" s="0" t="s">
        <v>62</v>
      </c>
      <c r="AF309" s="0" t="s">
        <v>5433</v>
      </c>
      <c r="AG309" s="0" t="s">
        <v>5434</v>
      </c>
      <c r="AH309" s="0" t="s">
        <v>5433</v>
      </c>
      <c r="AI309" s="0" t="s">
        <v>5434</v>
      </c>
      <c r="AJ309" s="0" t="s">
        <v>5433</v>
      </c>
      <c r="AK309" s="0" t="s">
        <v>5434</v>
      </c>
      <c r="AL309" s="0" t="s">
        <v>4804</v>
      </c>
    </row>
    <row customHeight="1" ht="11.25">
      <c r="A310" s="0" t="s">
        <v>22</v>
      </c>
      <c r="B310" s="0" t="s">
        <v>48</v>
      </c>
      <c r="C310" s="0" t="s">
        <v>50</v>
      </c>
      <c r="D310" s="0" t="s">
        <v>22</v>
      </c>
      <c r="E310" s="0" t="s">
        <v>5435</v>
      </c>
      <c r="F310" s="0" t="s">
        <v>1299</v>
      </c>
      <c r="G310" s="0" t="s">
        <v>167</v>
      </c>
      <c r="H310" s="0" t="s">
        <v>4660</v>
      </c>
      <c r="I310" s="0" t="s">
        <v>4661</v>
      </c>
      <c r="J310" s="0" t="s">
        <v>5411</v>
      </c>
      <c r="K310" s="0" t="s">
        <v>5412</v>
      </c>
      <c r="L310" s="0" t="s">
        <v>5436</v>
      </c>
      <c r="M310" s="0" t="s">
        <v>4887</v>
      </c>
      <c r="N310" s="0" t="s">
        <v>210</v>
      </c>
      <c r="O310" s="0" t="s">
        <v>167</v>
      </c>
      <c r="P310" s="0" t="s">
        <v>4660</v>
      </c>
      <c r="Q310" s="0" t="s">
        <v>4661</v>
      </c>
      <c r="R310" s="0" t="s">
        <v>5411</v>
      </c>
      <c r="S310" s="0" t="s">
        <v>5412</v>
      </c>
      <c r="T310" s="0" t="s">
        <v>4795</v>
      </c>
      <c r="U310" s="0" t="s">
        <v>4796</v>
      </c>
      <c r="V310" s="0" t="s">
        <v>5387</v>
      </c>
      <c r="W310" s="0" t="s">
        <v>4798</v>
      </c>
      <c r="X310" s="0" t="s">
        <v>5388</v>
      </c>
      <c r="Y310" s="0" t="s">
        <v>5389</v>
      </c>
      <c r="Z310" s="0" t="s">
        <v>5437</v>
      </c>
      <c r="AA310" s="0" t="s">
        <v>5391</v>
      </c>
      <c r="AB310" s="0" t="s">
        <v>5387</v>
      </c>
      <c r="AC310" s="0" t="s">
        <v>62</v>
      </c>
      <c r="AD310" s="0" t="s">
        <v>62</v>
      </c>
      <c r="AE310" s="0" t="s">
        <v>62</v>
      </c>
      <c r="AF310" s="0" t="s">
        <v>5392</v>
      </c>
      <c r="AG310" s="0" t="s">
        <v>5040</v>
      </c>
      <c r="AH310" s="0" t="s">
        <v>5392</v>
      </c>
      <c r="AI310" s="0" t="s">
        <v>5040</v>
      </c>
      <c r="AJ310" s="0" t="s">
        <v>5392</v>
      </c>
      <c r="AK310" s="0" t="s">
        <v>5040</v>
      </c>
      <c r="AL310" s="0" t="s">
        <v>4804</v>
      </c>
    </row>
    <row customHeight="1" ht="11.25">
      <c r="A311" s="0" t="s">
        <v>22</v>
      </c>
      <c r="B311" s="0" t="s">
        <v>48</v>
      </c>
      <c r="C311" s="0" t="s">
        <v>50</v>
      </c>
      <c r="D311" s="0" t="s">
        <v>22</v>
      </c>
      <c r="E311" s="0" t="s">
        <v>5435</v>
      </c>
      <c r="F311" s="0" t="s">
        <v>1299</v>
      </c>
      <c r="G311" s="0" t="s">
        <v>167</v>
      </c>
      <c r="H311" s="0" t="s">
        <v>4660</v>
      </c>
      <c r="I311" s="0" t="s">
        <v>4661</v>
      </c>
      <c r="J311" s="0" t="s">
        <v>5411</v>
      </c>
      <c r="K311" s="0" t="s">
        <v>5412</v>
      </c>
      <c r="L311" s="0" t="s">
        <v>5436</v>
      </c>
      <c r="M311" s="0" t="s">
        <v>4887</v>
      </c>
      <c r="N311" s="0" t="s">
        <v>210</v>
      </c>
      <c r="O311" s="0" t="s">
        <v>167</v>
      </c>
      <c r="P311" s="0" t="s">
        <v>4660</v>
      </c>
      <c r="Q311" s="0" t="s">
        <v>4661</v>
      </c>
      <c r="R311" s="0" t="s">
        <v>5411</v>
      </c>
      <c r="S311" s="0" t="s">
        <v>5412</v>
      </c>
      <c r="T311" s="0" t="s">
        <v>4795</v>
      </c>
      <c r="U311" s="0" t="s">
        <v>4796</v>
      </c>
      <c r="V311" s="0" t="s">
        <v>5387</v>
      </c>
      <c r="W311" s="0" t="s">
        <v>4798</v>
      </c>
      <c r="X311" s="0" t="s">
        <v>5388</v>
      </c>
      <c r="Y311" s="0" t="s">
        <v>5389</v>
      </c>
      <c r="Z311" s="0" t="s">
        <v>5437</v>
      </c>
      <c r="AA311" s="0" t="s">
        <v>5391</v>
      </c>
      <c r="AB311" s="0" t="s">
        <v>5387</v>
      </c>
      <c r="AC311" s="0" t="s">
        <v>62</v>
      </c>
      <c r="AD311" s="0" t="s">
        <v>62</v>
      </c>
      <c r="AE311" s="0" t="s">
        <v>62</v>
      </c>
      <c r="AF311" s="0" t="s">
        <v>5392</v>
      </c>
      <c r="AG311" s="0" t="s">
        <v>5040</v>
      </c>
      <c r="AH311" s="0" t="s">
        <v>5392</v>
      </c>
      <c r="AI311" s="0" t="s">
        <v>5040</v>
      </c>
      <c r="AJ311" s="0" t="s">
        <v>5392</v>
      </c>
      <c r="AK311" s="0" t="s">
        <v>5040</v>
      </c>
      <c r="AL311" s="0" t="s">
        <v>4804</v>
      </c>
    </row>
    <row customHeight="1" ht="11.25">
      <c r="A312" s="0" t="s">
        <v>22</v>
      </c>
      <c r="B312" s="0" t="s">
        <v>48</v>
      </c>
      <c r="C312" s="0" t="s">
        <v>50</v>
      </c>
      <c r="D312" s="0" t="s">
        <v>22</v>
      </c>
      <c r="E312" s="0" t="s">
        <v>5438</v>
      </c>
      <c r="F312" s="0" t="s">
        <v>1299</v>
      </c>
      <c r="G312" s="0" t="s">
        <v>167</v>
      </c>
      <c r="H312" s="0" t="s">
        <v>4660</v>
      </c>
      <c r="I312" s="0" t="s">
        <v>4661</v>
      </c>
      <c r="J312" s="0" t="s">
        <v>5411</v>
      </c>
      <c r="K312" s="0" t="s">
        <v>5412</v>
      </c>
      <c r="L312" s="0" t="s">
        <v>5436</v>
      </c>
      <c r="M312" s="0" t="s">
        <v>5439</v>
      </c>
      <c r="N312" s="0" t="s">
        <v>210</v>
      </c>
      <c r="O312" s="0" t="s">
        <v>167</v>
      </c>
      <c r="P312" s="0" t="s">
        <v>4660</v>
      </c>
      <c r="Q312" s="0" t="s">
        <v>4661</v>
      </c>
      <c r="R312" s="0" t="s">
        <v>5411</v>
      </c>
      <c r="S312" s="0" t="s">
        <v>5412</v>
      </c>
      <c r="T312" s="0" t="s">
        <v>4795</v>
      </c>
      <c r="U312" s="0" t="s">
        <v>4796</v>
      </c>
      <c r="V312" s="0" t="s">
        <v>5387</v>
      </c>
      <c r="W312" s="0" t="s">
        <v>4798</v>
      </c>
      <c r="X312" s="0" t="s">
        <v>5388</v>
      </c>
      <c r="Y312" s="0" t="s">
        <v>5389</v>
      </c>
      <c r="Z312" s="0" t="s">
        <v>5440</v>
      </c>
      <c r="AA312" s="0" t="s">
        <v>5391</v>
      </c>
      <c r="AB312" s="0" t="s">
        <v>5387</v>
      </c>
      <c r="AC312" s="0" t="s">
        <v>62</v>
      </c>
      <c r="AD312" s="0" t="s">
        <v>62</v>
      </c>
      <c r="AE312" s="0" t="s">
        <v>62</v>
      </c>
      <c r="AF312" s="0" t="s">
        <v>5441</v>
      </c>
      <c r="AG312" s="0" t="s">
        <v>5442</v>
      </c>
      <c r="AH312" s="0" t="s">
        <v>5441</v>
      </c>
      <c r="AI312" s="0" t="s">
        <v>5442</v>
      </c>
      <c r="AJ312" s="0" t="s">
        <v>5441</v>
      </c>
      <c r="AK312" s="0" t="s">
        <v>5442</v>
      </c>
      <c r="AL312" s="0" t="s">
        <v>4804</v>
      </c>
    </row>
    <row customHeight="1" ht="11.25">
      <c r="A313" s="0" t="s">
        <v>22</v>
      </c>
      <c r="B313" s="0" t="s">
        <v>48</v>
      </c>
      <c r="C313" s="0" t="s">
        <v>50</v>
      </c>
      <c r="D313" s="0" t="s">
        <v>22</v>
      </c>
      <c r="E313" s="0" t="s">
        <v>5438</v>
      </c>
      <c r="F313" s="0" t="s">
        <v>1299</v>
      </c>
      <c r="G313" s="0" t="s">
        <v>167</v>
      </c>
      <c r="H313" s="0" t="s">
        <v>4660</v>
      </c>
      <c r="I313" s="0" t="s">
        <v>4661</v>
      </c>
      <c r="J313" s="0" t="s">
        <v>5411</v>
      </c>
      <c r="K313" s="0" t="s">
        <v>5412</v>
      </c>
      <c r="L313" s="0" t="s">
        <v>5436</v>
      </c>
      <c r="M313" s="0" t="s">
        <v>5439</v>
      </c>
      <c r="N313" s="0" t="s">
        <v>210</v>
      </c>
      <c r="O313" s="0" t="s">
        <v>167</v>
      </c>
      <c r="P313" s="0" t="s">
        <v>4660</v>
      </c>
      <c r="Q313" s="0" t="s">
        <v>4661</v>
      </c>
      <c r="R313" s="0" t="s">
        <v>5411</v>
      </c>
      <c r="S313" s="0" t="s">
        <v>5412</v>
      </c>
      <c r="T313" s="0" t="s">
        <v>4795</v>
      </c>
      <c r="U313" s="0" t="s">
        <v>4796</v>
      </c>
      <c r="V313" s="0" t="s">
        <v>5387</v>
      </c>
      <c r="W313" s="0" t="s">
        <v>4798</v>
      </c>
      <c r="X313" s="0" t="s">
        <v>5388</v>
      </c>
      <c r="Y313" s="0" t="s">
        <v>5389</v>
      </c>
      <c r="Z313" s="0" t="s">
        <v>5440</v>
      </c>
      <c r="AA313" s="0" t="s">
        <v>5391</v>
      </c>
      <c r="AB313" s="0" t="s">
        <v>5387</v>
      </c>
      <c r="AC313" s="0" t="s">
        <v>62</v>
      </c>
      <c r="AD313" s="0" t="s">
        <v>62</v>
      </c>
      <c r="AE313" s="0" t="s">
        <v>62</v>
      </c>
      <c r="AF313" s="0" t="s">
        <v>5441</v>
      </c>
      <c r="AG313" s="0" t="s">
        <v>5442</v>
      </c>
      <c r="AH313" s="0" t="s">
        <v>5441</v>
      </c>
      <c r="AI313" s="0" t="s">
        <v>5442</v>
      </c>
      <c r="AJ313" s="0" t="s">
        <v>5441</v>
      </c>
      <c r="AK313" s="0" t="s">
        <v>5442</v>
      </c>
      <c r="AL313" s="0" t="s">
        <v>4804</v>
      </c>
    </row>
    <row customHeight="1" ht="11.25">
      <c r="A314" s="0" t="s">
        <v>22</v>
      </c>
      <c r="B314" s="0" t="s">
        <v>48</v>
      </c>
      <c r="C314" s="0" t="s">
        <v>50</v>
      </c>
      <c r="D314" s="0" t="s">
        <v>22</v>
      </c>
      <c r="E314" s="0" t="s">
        <v>5443</v>
      </c>
      <c r="F314" s="0" t="s">
        <v>1299</v>
      </c>
      <c r="G314" s="0" t="s">
        <v>167</v>
      </c>
      <c r="H314" s="0" t="s">
        <v>4666</v>
      </c>
      <c r="I314" s="0" t="s">
        <v>4667</v>
      </c>
      <c r="J314" s="0" t="s">
        <v>5444</v>
      </c>
      <c r="K314" s="0" t="s">
        <v>5445</v>
      </c>
      <c r="L314" s="0" t="s">
        <v>1378</v>
      </c>
      <c r="M314" s="0" t="s">
        <v>5446</v>
      </c>
      <c r="N314" s="0" t="s">
        <v>210</v>
      </c>
      <c r="O314" s="0" t="s">
        <v>167</v>
      </c>
      <c r="P314" s="0" t="s">
        <v>4666</v>
      </c>
      <c r="Q314" s="0" t="s">
        <v>4667</v>
      </c>
      <c r="R314" s="0" t="s">
        <v>5444</v>
      </c>
      <c r="S314" s="0" t="s">
        <v>5445</v>
      </c>
      <c r="T314" s="0" t="s">
        <v>4795</v>
      </c>
      <c r="U314" s="0" t="s">
        <v>4796</v>
      </c>
      <c r="V314" s="0" t="s">
        <v>5387</v>
      </c>
      <c r="W314" s="0" t="s">
        <v>4798</v>
      </c>
      <c r="X314" s="0" t="s">
        <v>5388</v>
      </c>
      <c r="Y314" s="0" t="s">
        <v>5389</v>
      </c>
      <c r="Z314" s="0" t="s">
        <v>5447</v>
      </c>
      <c r="AA314" s="0" t="s">
        <v>5391</v>
      </c>
      <c r="AB314" s="0" t="s">
        <v>5387</v>
      </c>
      <c r="AC314" s="0" t="s">
        <v>62</v>
      </c>
      <c r="AD314" s="0" t="s">
        <v>62</v>
      </c>
      <c r="AE314" s="0" t="s">
        <v>62</v>
      </c>
      <c r="AF314" s="0" t="s">
        <v>5448</v>
      </c>
      <c r="AG314" s="0" t="s">
        <v>5449</v>
      </c>
      <c r="AH314" s="0" t="s">
        <v>5448</v>
      </c>
      <c r="AI314" s="0" t="s">
        <v>5449</v>
      </c>
      <c r="AJ314" s="0" t="s">
        <v>5448</v>
      </c>
      <c r="AK314" s="0" t="s">
        <v>5449</v>
      </c>
      <c r="AL314" s="0" t="s">
        <v>4804</v>
      </c>
    </row>
    <row customHeight="1" ht="11.25">
      <c r="A315" s="0" t="s">
        <v>22</v>
      </c>
      <c r="B315" s="0" t="s">
        <v>48</v>
      </c>
      <c r="C315" s="0" t="s">
        <v>50</v>
      </c>
      <c r="D315" s="0" t="s">
        <v>22</v>
      </c>
      <c r="E315" s="0" t="s">
        <v>5443</v>
      </c>
      <c r="F315" s="0" t="s">
        <v>1299</v>
      </c>
      <c r="G315" s="0" t="s">
        <v>167</v>
      </c>
      <c r="H315" s="0" t="s">
        <v>4666</v>
      </c>
      <c r="I315" s="0" t="s">
        <v>4667</v>
      </c>
      <c r="J315" s="0" t="s">
        <v>5444</v>
      </c>
      <c r="K315" s="0" t="s">
        <v>5445</v>
      </c>
      <c r="L315" s="0" t="s">
        <v>1378</v>
      </c>
      <c r="M315" s="0" t="s">
        <v>5446</v>
      </c>
      <c r="N315" s="0" t="s">
        <v>210</v>
      </c>
      <c r="O315" s="0" t="s">
        <v>167</v>
      </c>
      <c r="P315" s="0" t="s">
        <v>4666</v>
      </c>
      <c r="Q315" s="0" t="s">
        <v>4667</v>
      </c>
      <c r="R315" s="0" t="s">
        <v>5444</v>
      </c>
      <c r="S315" s="0" t="s">
        <v>5445</v>
      </c>
      <c r="T315" s="0" t="s">
        <v>4795</v>
      </c>
      <c r="U315" s="0" t="s">
        <v>4796</v>
      </c>
      <c r="V315" s="0" t="s">
        <v>5387</v>
      </c>
      <c r="W315" s="0" t="s">
        <v>4798</v>
      </c>
      <c r="X315" s="0" t="s">
        <v>5388</v>
      </c>
      <c r="Y315" s="0" t="s">
        <v>5389</v>
      </c>
      <c r="Z315" s="0" t="s">
        <v>5447</v>
      </c>
      <c r="AA315" s="0" t="s">
        <v>5391</v>
      </c>
      <c r="AB315" s="0" t="s">
        <v>5387</v>
      </c>
      <c r="AC315" s="0" t="s">
        <v>62</v>
      </c>
      <c r="AD315" s="0" t="s">
        <v>62</v>
      </c>
      <c r="AE315" s="0" t="s">
        <v>62</v>
      </c>
      <c r="AF315" s="0" t="s">
        <v>5448</v>
      </c>
      <c r="AG315" s="0" t="s">
        <v>5449</v>
      </c>
      <c r="AH315" s="0" t="s">
        <v>5448</v>
      </c>
      <c r="AI315" s="0" t="s">
        <v>5449</v>
      </c>
      <c r="AJ315" s="0" t="s">
        <v>5448</v>
      </c>
      <c r="AK315" s="0" t="s">
        <v>5449</v>
      </c>
      <c r="AL315" s="0" t="s">
        <v>4804</v>
      </c>
    </row>
    <row customHeight="1" ht="11.25">
      <c r="A316" s="0" t="s">
        <v>22</v>
      </c>
      <c r="B316" s="0" t="s">
        <v>48</v>
      </c>
      <c r="C316" s="0" t="s">
        <v>50</v>
      </c>
      <c r="D316" s="0" t="s">
        <v>22</v>
      </c>
      <c r="E316" s="0" t="s">
        <v>5450</v>
      </c>
      <c r="F316" s="0" t="s">
        <v>1299</v>
      </c>
      <c r="G316" s="0" t="s">
        <v>167</v>
      </c>
      <c r="H316" s="0" t="s">
        <v>4666</v>
      </c>
      <c r="I316" s="0" t="s">
        <v>4667</v>
      </c>
      <c r="J316" s="0" t="s">
        <v>5451</v>
      </c>
      <c r="K316" s="0" t="s">
        <v>5452</v>
      </c>
      <c r="L316" s="0" t="s">
        <v>5453</v>
      </c>
      <c r="M316" s="0" t="s">
        <v>5454</v>
      </c>
      <c r="N316" s="0" t="s">
        <v>210</v>
      </c>
      <c r="O316" s="0" t="s">
        <v>167</v>
      </c>
      <c r="P316" s="0" t="s">
        <v>4666</v>
      </c>
      <c r="Q316" s="0" t="s">
        <v>4667</v>
      </c>
      <c r="R316" s="0" t="s">
        <v>5451</v>
      </c>
      <c r="S316" s="0" t="s">
        <v>5452</v>
      </c>
      <c r="T316" s="0" t="s">
        <v>4795</v>
      </c>
      <c r="U316" s="0" t="s">
        <v>4796</v>
      </c>
      <c r="V316" s="0" t="s">
        <v>5387</v>
      </c>
      <c r="W316" s="0" t="s">
        <v>4798</v>
      </c>
      <c r="X316" s="0" t="s">
        <v>5388</v>
      </c>
      <c r="Y316" s="0" t="s">
        <v>5389</v>
      </c>
      <c r="Z316" s="0" t="s">
        <v>5455</v>
      </c>
      <c r="AA316" s="0" t="s">
        <v>5391</v>
      </c>
      <c r="AB316" s="0" t="s">
        <v>5387</v>
      </c>
      <c r="AC316" s="0" t="s">
        <v>62</v>
      </c>
      <c r="AD316" s="0" t="s">
        <v>62</v>
      </c>
      <c r="AE316" s="0" t="s">
        <v>62</v>
      </c>
      <c r="AF316" s="0" t="s">
        <v>5392</v>
      </c>
      <c r="AG316" s="0" t="s">
        <v>5040</v>
      </c>
      <c r="AH316" s="0" t="s">
        <v>5392</v>
      </c>
      <c r="AI316" s="0" t="s">
        <v>5040</v>
      </c>
      <c r="AJ316" s="0" t="s">
        <v>5392</v>
      </c>
      <c r="AK316" s="0" t="s">
        <v>5040</v>
      </c>
      <c r="AL316" s="0" t="s">
        <v>4804</v>
      </c>
    </row>
    <row customHeight="1" ht="11.25">
      <c r="A317" s="0" t="s">
        <v>22</v>
      </c>
      <c r="B317" s="0" t="s">
        <v>48</v>
      </c>
      <c r="C317" s="0" t="s">
        <v>50</v>
      </c>
      <c r="D317" s="0" t="s">
        <v>22</v>
      </c>
      <c r="E317" s="0" t="s">
        <v>5450</v>
      </c>
      <c r="F317" s="0" t="s">
        <v>1299</v>
      </c>
      <c r="G317" s="0" t="s">
        <v>167</v>
      </c>
      <c r="H317" s="0" t="s">
        <v>4666</v>
      </c>
      <c r="I317" s="0" t="s">
        <v>4667</v>
      </c>
      <c r="J317" s="0" t="s">
        <v>5451</v>
      </c>
      <c r="K317" s="0" t="s">
        <v>5452</v>
      </c>
      <c r="L317" s="0" t="s">
        <v>5453</v>
      </c>
      <c r="M317" s="0" t="s">
        <v>5454</v>
      </c>
      <c r="N317" s="0" t="s">
        <v>210</v>
      </c>
      <c r="O317" s="0" t="s">
        <v>167</v>
      </c>
      <c r="P317" s="0" t="s">
        <v>4666</v>
      </c>
      <c r="Q317" s="0" t="s">
        <v>4667</v>
      </c>
      <c r="R317" s="0" t="s">
        <v>5451</v>
      </c>
      <c r="S317" s="0" t="s">
        <v>5452</v>
      </c>
      <c r="T317" s="0" t="s">
        <v>4795</v>
      </c>
      <c r="U317" s="0" t="s">
        <v>4796</v>
      </c>
      <c r="V317" s="0" t="s">
        <v>5387</v>
      </c>
      <c r="W317" s="0" t="s">
        <v>4798</v>
      </c>
      <c r="X317" s="0" t="s">
        <v>5388</v>
      </c>
      <c r="Y317" s="0" t="s">
        <v>5389</v>
      </c>
      <c r="Z317" s="0" t="s">
        <v>5455</v>
      </c>
      <c r="AA317" s="0" t="s">
        <v>5391</v>
      </c>
      <c r="AB317" s="0" t="s">
        <v>5387</v>
      </c>
      <c r="AC317" s="0" t="s">
        <v>62</v>
      </c>
      <c r="AD317" s="0" t="s">
        <v>62</v>
      </c>
      <c r="AE317" s="0" t="s">
        <v>62</v>
      </c>
      <c r="AF317" s="0" t="s">
        <v>5392</v>
      </c>
      <c r="AG317" s="0" t="s">
        <v>5040</v>
      </c>
      <c r="AH317" s="0" t="s">
        <v>5392</v>
      </c>
      <c r="AI317" s="0" t="s">
        <v>5040</v>
      </c>
      <c r="AJ317" s="0" t="s">
        <v>5392</v>
      </c>
      <c r="AK317" s="0" t="s">
        <v>5040</v>
      </c>
      <c r="AL317" s="0" t="s">
        <v>4804</v>
      </c>
    </row>
    <row customHeight="1" ht="11.25">
      <c r="A318" s="0" t="s">
        <v>22</v>
      </c>
      <c r="B318" s="0" t="s">
        <v>48</v>
      </c>
      <c r="C318" s="0" t="s">
        <v>50</v>
      </c>
      <c r="D318" s="0" t="s">
        <v>22</v>
      </c>
      <c r="E318" s="0" t="s">
        <v>5456</v>
      </c>
      <c r="F318" s="0" t="s">
        <v>1299</v>
      </c>
      <c r="G318" s="0" t="s">
        <v>167</v>
      </c>
      <c r="H318" s="0" t="s">
        <v>4666</v>
      </c>
      <c r="I318" s="0" t="s">
        <v>4667</v>
      </c>
      <c r="J318" s="0" t="s">
        <v>5451</v>
      </c>
      <c r="K318" s="0" t="s">
        <v>5452</v>
      </c>
      <c r="L318" s="0" t="s">
        <v>5453</v>
      </c>
      <c r="M318" s="0" t="s">
        <v>5457</v>
      </c>
      <c r="N318" s="0" t="s">
        <v>210</v>
      </c>
      <c r="O318" s="0" t="s">
        <v>167</v>
      </c>
      <c r="P318" s="0" t="s">
        <v>4666</v>
      </c>
      <c r="Q318" s="0" t="s">
        <v>4667</v>
      </c>
      <c r="R318" s="0" t="s">
        <v>5451</v>
      </c>
      <c r="S318" s="0" t="s">
        <v>5452</v>
      </c>
      <c r="T318" s="0" t="s">
        <v>4795</v>
      </c>
      <c r="U318" s="0" t="s">
        <v>4796</v>
      </c>
      <c r="V318" s="0" t="s">
        <v>5387</v>
      </c>
      <c r="W318" s="0" t="s">
        <v>4798</v>
      </c>
      <c r="X318" s="0" t="s">
        <v>5388</v>
      </c>
      <c r="Y318" s="0" t="s">
        <v>5389</v>
      </c>
      <c r="Z318" s="0" t="s">
        <v>5458</v>
      </c>
      <c r="AA318" s="0" t="s">
        <v>5391</v>
      </c>
      <c r="AB318" s="0" t="s">
        <v>5387</v>
      </c>
      <c r="AC318" s="0" t="s">
        <v>62</v>
      </c>
      <c r="AD318" s="0" t="s">
        <v>62</v>
      </c>
      <c r="AE318" s="0" t="s">
        <v>62</v>
      </c>
      <c r="AF318" s="0" t="s">
        <v>5240</v>
      </c>
      <c r="AG318" s="0" t="s">
        <v>5459</v>
      </c>
      <c r="AH318" s="0" t="s">
        <v>5240</v>
      </c>
      <c r="AI318" s="0" t="s">
        <v>5459</v>
      </c>
      <c r="AJ318" s="0" t="s">
        <v>5240</v>
      </c>
      <c r="AK318" s="0" t="s">
        <v>5459</v>
      </c>
      <c r="AL318" s="0" t="s">
        <v>4804</v>
      </c>
    </row>
    <row customHeight="1" ht="11.25">
      <c r="A319" s="0" t="s">
        <v>22</v>
      </c>
      <c r="B319" s="0" t="s">
        <v>48</v>
      </c>
      <c r="C319" s="0" t="s">
        <v>50</v>
      </c>
      <c r="D319" s="0" t="s">
        <v>22</v>
      </c>
      <c r="E319" s="0" t="s">
        <v>5456</v>
      </c>
      <c r="F319" s="0" t="s">
        <v>1299</v>
      </c>
      <c r="G319" s="0" t="s">
        <v>167</v>
      </c>
      <c r="H319" s="0" t="s">
        <v>4666</v>
      </c>
      <c r="I319" s="0" t="s">
        <v>4667</v>
      </c>
      <c r="J319" s="0" t="s">
        <v>5451</v>
      </c>
      <c r="K319" s="0" t="s">
        <v>5452</v>
      </c>
      <c r="L319" s="0" t="s">
        <v>5453</v>
      </c>
      <c r="M319" s="0" t="s">
        <v>5457</v>
      </c>
      <c r="N319" s="0" t="s">
        <v>210</v>
      </c>
      <c r="O319" s="0" t="s">
        <v>167</v>
      </c>
      <c r="P319" s="0" t="s">
        <v>4666</v>
      </c>
      <c r="Q319" s="0" t="s">
        <v>4667</v>
      </c>
      <c r="R319" s="0" t="s">
        <v>5451</v>
      </c>
      <c r="S319" s="0" t="s">
        <v>5452</v>
      </c>
      <c r="T319" s="0" t="s">
        <v>4795</v>
      </c>
      <c r="U319" s="0" t="s">
        <v>4796</v>
      </c>
      <c r="V319" s="0" t="s">
        <v>5387</v>
      </c>
      <c r="W319" s="0" t="s">
        <v>4798</v>
      </c>
      <c r="X319" s="0" t="s">
        <v>5388</v>
      </c>
      <c r="Y319" s="0" t="s">
        <v>5389</v>
      </c>
      <c r="Z319" s="0" t="s">
        <v>5458</v>
      </c>
      <c r="AA319" s="0" t="s">
        <v>5391</v>
      </c>
      <c r="AB319" s="0" t="s">
        <v>5387</v>
      </c>
      <c r="AC319" s="0" t="s">
        <v>62</v>
      </c>
      <c r="AD319" s="0" t="s">
        <v>62</v>
      </c>
      <c r="AE319" s="0" t="s">
        <v>62</v>
      </c>
      <c r="AF319" s="0" t="s">
        <v>5240</v>
      </c>
      <c r="AG319" s="0" t="s">
        <v>5459</v>
      </c>
      <c r="AH319" s="0" t="s">
        <v>5240</v>
      </c>
      <c r="AI319" s="0" t="s">
        <v>5459</v>
      </c>
      <c r="AJ319" s="0" t="s">
        <v>5240</v>
      </c>
      <c r="AK319" s="0" t="s">
        <v>5459</v>
      </c>
      <c r="AL319" s="0" t="s">
        <v>4804</v>
      </c>
    </row>
    <row customHeight="1" ht="11.25">
      <c r="A320" s="0" t="s">
        <v>22</v>
      </c>
      <c r="B320" s="0" t="s">
        <v>48</v>
      </c>
      <c r="C320" s="0" t="s">
        <v>50</v>
      </c>
      <c r="D320" s="0" t="s">
        <v>22</v>
      </c>
      <c r="E320" s="0" t="s">
        <v>5460</v>
      </c>
      <c r="F320" s="0" t="s">
        <v>1299</v>
      </c>
      <c r="G320" s="0" t="s">
        <v>167</v>
      </c>
      <c r="H320" s="0" t="s">
        <v>4666</v>
      </c>
      <c r="I320" s="0" t="s">
        <v>4667</v>
      </c>
      <c r="J320" s="0" t="s">
        <v>5451</v>
      </c>
      <c r="K320" s="0" t="s">
        <v>5452</v>
      </c>
      <c r="L320" s="0" t="s">
        <v>5461</v>
      </c>
      <c r="M320" s="0" t="s">
        <v>5462</v>
      </c>
      <c r="N320" s="0" t="s">
        <v>210</v>
      </c>
      <c r="O320" s="0" t="s">
        <v>167</v>
      </c>
      <c r="P320" s="0" t="s">
        <v>4666</v>
      </c>
      <c r="Q320" s="0" t="s">
        <v>4667</v>
      </c>
      <c r="R320" s="0" t="s">
        <v>5451</v>
      </c>
      <c r="S320" s="0" t="s">
        <v>5452</v>
      </c>
      <c r="T320" s="0" t="s">
        <v>4795</v>
      </c>
      <c r="U320" s="0" t="s">
        <v>4796</v>
      </c>
      <c r="V320" s="0" t="s">
        <v>5387</v>
      </c>
      <c r="W320" s="0" t="s">
        <v>4798</v>
      </c>
      <c r="X320" s="0" t="s">
        <v>5388</v>
      </c>
      <c r="Y320" s="0" t="s">
        <v>5389</v>
      </c>
      <c r="Z320" s="0" t="s">
        <v>5463</v>
      </c>
      <c r="AA320" s="0" t="s">
        <v>5391</v>
      </c>
      <c r="AB320" s="0" t="s">
        <v>5387</v>
      </c>
      <c r="AC320" s="0" t="s">
        <v>62</v>
      </c>
      <c r="AD320" s="0" t="s">
        <v>62</v>
      </c>
      <c r="AE320" s="0" t="s">
        <v>62</v>
      </c>
      <c r="AF320" s="0" t="s">
        <v>5240</v>
      </c>
      <c r="AG320" s="0" t="s">
        <v>5209</v>
      </c>
      <c r="AH320" s="0" t="s">
        <v>5240</v>
      </c>
      <c r="AI320" s="0" t="s">
        <v>5209</v>
      </c>
      <c r="AJ320" s="0" t="s">
        <v>5240</v>
      </c>
      <c r="AK320" s="0" t="s">
        <v>5209</v>
      </c>
      <c r="AL320" s="0" t="s">
        <v>4804</v>
      </c>
    </row>
    <row customHeight="1" ht="11.25">
      <c r="A321" s="0" t="s">
        <v>22</v>
      </c>
      <c r="B321" s="0" t="s">
        <v>48</v>
      </c>
      <c r="C321" s="0" t="s">
        <v>50</v>
      </c>
      <c r="D321" s="0" t="s">
        <v>22</v>
      </c>
      <c r="E321" s="0" t="s">
        <v>5460</v>
      </c>
      <c r="F321" s="0" t="s">
        <v>1299</v>
      </c>
      <c r="G321" s="0" t="s">
        <v>167</v>
      </c>
      <c r="H321" s="0" t="s">
        <v>4666</v>
      </c>
      <c r="I321" s="0" t="s">
        <v>4667</v>
      </c>
      <c r="J321" s="0" t="s">
        <v>5451</v>
      </c>
      <c r="K321" s="0" t="s">
        <v>5452</v>
      </c>
      <c r="L321" s="0" t="s">
        <v>5461</v>
      </c>
      <c r="M321" s="0" t="s">
        <v>5462</v>
      </c>
      <c r="N321" s="0" t="s">
        <v>210</v>
      </c>
      <c r="O321" s="0" t="s">
        <v>167</v>
      </c>
      <c r="P321" s="0" t="s">
        <v>4666</v>
      </c>
      <c r="Q321" s="0" t="s">
        <v>4667</v>
      </c>
      <c r="R321" s="0" t="s">
        <v>5451</v>
      </c>
      <c r="S321" s="0" t="s">
        <v>5452</v>
      </c>
      <c r="T321" s="0" t="s">
        <v>4795</v>
      </c>
      <c r="U321" s="0" t="s">
        <v>4796</v>
      </c>
      <c r="V321" s="0" t="s">
        <v>5387</v>
      </c>
      <c r="W321" s="0" t="s">
        <v>4798</v>
      </c>
      <c r="X321" s="0" t="s">
        <v>5388</v>
      </c>
      <c r="Y321" s="0" t="s">
        <v>5389</v>
      </c>
      <c r="Z321" s="0" t="s">
        <v>5463</v>
      </c>
      <c r="AA321" s="0" t="s">
        <v>5391</v>
      </c>
      <c r="AB321" s="0" t="s">
        <v>5387</v>
      </c>
      <c r="AC321" s="0" t="s">
        <v>62</v>
      </c>
      <c r="AD321" s="0" t="s">
        <v>62</v>
      </c>
      <c r="AE321" s="0" t="s">
        <v>62</v>
      </c>
      <c r="AF321" s="0" t="s">
        <v>5240</v>
      </c>
      <c r="AG321" s="0" t="s">
        <v>5209</v>
      </c>
      <c r="AH321" s="0" t="s">
        <v>5240</v>
      </c>
      <c r="AI321" s="0" t="s">
        <v>5209</v>
      </c>
      <c r="AJ321" s="0" t="s">
        <v>5240</v>
      </c>
      <c r="AK321" s="0" t="s">
        <v>5209</v>
      </c>
      <c r="AL321" s="0" t="s">
        <v>4804</v>
      </c>
    </row>
    <row customHeight="1" ht="11.25">
      <c r="A322" s="0" t="s">
        <v>22</v>
      </c>
      <c r="B322" s="0" t="s">
        <v>48</v>
      </c>
      <c r="C322" s="0" t="s">
        <v>50</v>
      </c>
      <c r="D322" s="0" t="s">
        <v>22</v>
      </c>
      <c r="E322" s="0" t="s">
        <v>5464</v>
      </c>
      <c r="F322" s="0" t="s">
        <v>1299</v>
      </c>
      <c r="G322" s="0" t="s">
        <v>167</v>
      </c>
      <c r="H322" s="0" t="s">
        <v>4666</v>
      </c>
      <c r="I322" s="0" t="s">
        <v>4667</v>
      </c>
      <c r="J322" s="0" t="s">
        <v>5451</v>
      </c>
      <c r="K322" s="0" t="s">
        <v>5452</v>
      </c>
      <c r="L322" s="0" t="s">
        <v>5461</v>
      </c>
      <c r="M322" s="0" t="s">
        <v>5465</v>
      </c>
      <c r="N322" s="0" t="s">
        <v>210</v>
      </c>
      <c r="O322" s="0" t="s">
        <v>167</v>
      </c>
      <c r="P322" s="0" t="s">
        <v>4666</v>
      </c>
      <c r="Q322" s="0" t="s">
        <v>4667</v>
      </c>
      <c r="R322" s="0" t="s">
        <v>5451</v>
      </c>
      <c r="S322" s="0" t="s">
        <v>5452</v>
      </c>
      <c r="T322" s="0" t="s">
        <v>4795</v>
      </c>
      <c r="U322" s="0" t="s">
        <v>4796</v>
      </c>
      <c r="V322" s="0" t="s">
        <v>5387</v>
      </c>
      <c r="W322" s="0" t="s">
        <v>4798</v>
      </c>
      <c r="X322" s="0" t="s">
        <v>5388</v>
      </c>
      <c r="Y322" s="0" t="s">
        <v>5389</v>
      </c>
      <c r="Z322" s="0" t="s">
        <v>5466</v>
      </c>
      <c r="AA322" s="0" t="s">
        <v>5391</v>
      </c>
      <c r="AB322" s="0" t="s">
        <v>5387</v>
      </c>
      <c r="AC322" s="0" t="s">
        <v>62</v>
      </c>
      <c r="AD322" s="0" t="s">
        <v>62</v>
      </c>
      <c r="AE322" s="0" t="s">
        <v>62</v>
      </c>
      <c r="AF322" s="0" t="s">
        <v>5392</v>
      </c>
      <c r="AG322" s="0" t="s">
        <v>5467</v>
      </c>
      <c r="AH322" s="0" t="s">
        <v>5392</v>
      </c>
      <c r="AI322" s="0" t="s">
        <v>5467</v>
      </c>
      <c r="AJ322" s="0" t="s">
        <v>5392</v>
      </c>
      <c r="AK322" s="0" t="s">
        <v>5467</v>
      </c>
      <c r="AL322" s="0" t="s">
        <v>4804</v>
      </c>
    </row>
    <row customHeight="1" ht="11.25">
      <c r="A323" s="0" t="s">
        <v>22</v>
      </c>
      <c r="B323" s="0" t="s">
        <v>48</v>
      </c>
      <c r="C323" s="0" t="s">
        <v>50</v>
      </c>
      <c r="D323" s="0" t="s">
        <v>22</v>
      </c>
      <c r="E323" s="0" t="s">
        <v>5464</v>
      </c>
      <c r="F323" s="0" t="s">
        <v>1299</v>
      </c>
      <c r="G323" s="0" t="s">
        <v>167</v>
      </c>
      <c r="H323" s="0" t="s">
        <v>4666</v>
      </c>
      <c r="I323" s="0" t="s">
        <v>4667</v>
      </c>
      <c r="J323" s="0" t="s">
        <v>5451</v>
      </c>
      <c r="K323" s="0" t="s">
        <v>5452</v>
      </c>
      <c r="L323" s="0" t="s">
        <v>5461</v>
      </c>
      <c r="M323" s="0" t="s">
        <v>5465</v>
      </c>
      <c r="N323" s="0" t="s">
        <v>210</v>
      </c>
      <c r="O323" s="0" t="s">
        <v>167</v>
      </c>
      <c r="P323" s="0" t="s">
        <v>4666</v>
      </c>
      <c r="Q323" s="0" t="s">
        <v>4667</v>
      </c>
      <c r="R323" s="0" t="s">
        <v>5451</v>
      </c>
      <c r="S323" s="0" t="s">
        <v>5452</v>
      </c>
      <c r="T323" s="0" t="s">
        <v>4795</v>
      </c>
      <c r="U323" s="0" t="s">
        <v>4796</v>
      </c>
      <c r="V323" s="0" t="s">
        <v>5387</v>
      </c>
      <c r="W323" s="0" t="s">
        <v>4798</v>
      </c>
      <c r="X323" s="0" t="s">
        <v>5388</v>
      </c>
      <c r="Y323" s="0" t="s">
        <v>5389</v>
      </c>
      <c r="Z323" s="0" t="s">
        <v>5466</v>
      </c>
      <c r="AA323" s="0" t="s">
        <v>5391</v>
      </c>
      <c r="AB323" s="0" t="s">
        <v>5387</v>
      </c>
      <c r="AC323" s="0" t="s">
        <v>62</v>
      </c>
      <c r="AD323" s="0" t="s">
        <v>62</v>
      </c>
      <c r="AE323" s="0" t="s">
        <v>62</v>
      </c>
      <c r="AF323" s="0" t="s">
        <v>5392</v>
      </c>
      <c r="AG323" s="0" t="s">
        <v>5467</v>
      </c>
      <c r="AH323" s="0" t="s">
        <v>5392</v>
      </c>
      <c r="AI323" s="0" t="s">
        <v>5467</v>
      </c>
      <c r="AJ323" s="0" t="s">
        <v>5392</v>
      </c>
      <c r="AK323" s="0" t="s">
        <v>5467</v>
      </c>
      <c r="AL323" s="0" t="s">
        <v>4804</v>
      </c>
    </row>
    <row customHeight="1" ht="11.25">
      <c r="A324" s="0" t="s">
        <v>22</v>
      </c>
      <c r="B324" s="0" t="s">
        <v>48</v>
      </c>
      <c r="C324" s="0" t="s">
        <v>50</v>
      </c>
      <c r="D324" s="0" t="s">
        <v>22</v>
      </c>
      <c r="E324" s="0" t="s">
        <v>5468</v>
      </c>
      <c r="F324" s="0" t="s">
        <v>5058</v>
      </c>
      <c r="G324" s="0" t="s">
        <v>172</v>
      </c>
      <c r="H324" s="0" t="s">
        <v>172</v>
      </c>
      <c r="I324" s="0" t="s">
        <v>173</v>
      </c>
      <c r="J324" s="0" t="s">
        <v>5469</v>
      </c>
      <c r="K324" s="0" t="s">
        <v>5470</v>
      </c>
      <c r="L324" s="0" t="s">
        <v>5471</v>
      </c>
      <c r="M324" s="0" t="s">
        <v>1355</v>
      </c>
      <c r="N324" s="0" t="s">
        <v>210</v>
      </c>
      <c r="O324" s="0" t="s">
        <v>172</v>
      </c>
      <c r="P324" s="0" t="s">
        <v>172</v>
      </c>
      <c r="Q324" s="0" t="s">
        <v>173</v>
      </c>
      <c r="R324" s="0" t="s">
        <v>5469</v>
      </c>
      <c r="S324" s="0" t="s">
        <v>5470</v>
      </c>
      <c r="T324" s="0" t="s">
        <v>4795</v>
      </c>
      <c r="U324" s="0" t="s">
        <v>4796</v>
      </c>
      <c r="V324" s="0" t="s">
        <v>5472</v>
      </c>
      <c r="W324" s="0" t="s">
        <v>4798</v>
      </c>
      <c r="X324" s="0" t="s">
        <v>4799</v>
      </c>
      <c r="Y324" s="0" t="s">
        <v>4796</v>
      </c>
      <c r="Z324" s="0" t="s">
        <v>5473</v>
      </c>
      <c r="AA324" s="0" t="s">
        <v>4807</v>
      </c>
      <c r="AB324" s="0" t="s">
        <v>5472</v>
      </c>
      <c r="AC324" s="0" t="s">
        <v>62</v>
      </c>
      <c r="AD324" s="0" t="s">
        <v>19</v>
      </c>
      <c r="AE324" s="0" t="s">
        <v>19</v>
      </c>
      <c r="AF324" s="0" t="s">
        <v>5474</v>
      </c>
      <c r="AG324" s="0" t="s">
        <v>5368</v>
      </c>
      <c r="AH324" s="0" t="s">
        <v>22</v>
      </c>
      <c r="AI324" s="0" t="s">
        <v>22</v>
      </c>
      <c r="AJ324" s="0" t="s">
        <v>22</v>
      </c>
      <c r="AK324" s="0" t="s">
        <v>22</v>
      </c>
      <c r="AL324" s="0" t="s">
        <v>4804</v>
      </c>
    </row>
    <row customHeight="1" ht="11.25">
      <c r="A325" s="0" t="s">
        <v>22</v>
      </c>
      <c r="B325" s="0" t="s">
        <v>48</v>
      </c>
      <c r="C325" s="0" t="s">
        <v>50</v>
      </c>
      <c r="D325" s="0" t="s">
        <v>22</v>
      </c>
      <c r="E325" s="0" t="s">
        <v>5468</v>
      </c>
      <c r="F325" s="0" t="s">
        <v>5058</v>
      </c>
      <c r="G325" s="0" t="s">
        <v>172</v>
      </c>
      <c r="H325" s="0" t="s">
        <v>172</v>
      </c>
      <c r="I325" s="0" t="s">
        <v>173</v>
      </c>
      <c r="J325" s="0" t="s">
        <v>5469</v>
      </c>
      <c r="K325" s="0" t="s">
        <v>5470</v>
      </c>
      <c r="L325" s="0" t="s">
        <v>5471</v>
      </c>
      <c r="M325" s="0" t="s">
        <v>1355</v>
      </c>
      <c r="N325" s="0" t="s">
        <v>210</v>
      </c>
      <c r="O325" s="0" t="s">
        <v>172</v>
      </c>
      <c r="P325" s="0" t="s">
        <v>172</v>
      </c>
      <c r="Q325" s="0" t="s">
        <v>173</v>
      </c>
      <c r="R325" s="0" t="s">
        <v>5469</v>
      </c>
      <c r="S325" s="0" t="s">
        <v>5470</v>
      </c>
      <c r="T325" s="0" t="s">
        <v>4795</v>
      </c>
      <c r="U325" s="0" t="s">
        <v>4796</v>
      </c>
      <c r="V325" s="0" t="s">
        <v>5475</v>
      </c>
      <c r="W325" s="0" t="s">
        <v>4798</v>
      </c>
      <c r="X325" s="0" t="s">
        <v>4799</v>
      </c>
      <c r="Y325" s="0" t="s">
        <v>4796</v>
      </c>
      <c r="Z325" s="0" t="s">
        <v>5476</v>
      </c>
      <c r="AA325" s="0" t="s">
        <v>5264</v>
      </c>
      <c r="AB325" s="0" t="s">
        <v>5475</v>
      </c>
      <c r="AC325" s="0" t="s">
        <v>62</v>
      </c>
      <c r="AD325" s="0" t="s">
        <v>19</v>
      </c>
      <c r="AE325" s="0" t="s">
        <v>19</v>
      </c>
      <c r="AF325" s="0" t="s">
        <v>5474</v>
      </c>
      <c r="AG325" s="0" t="s">
        <v>5368</v>
      </c>
      <c r="AH325" s="0" t="s">
        <v>22</v>
      </c>
      <c r="AI325" s="0" t="s">
        <v>22</v>
      </c>
      <c r="AJ325" s="0" t="s">
        <v>22</v>
      </c>
      <c r="AK325" s="0" t="s">
        <v>22</v>
      </c>
      <c r="AL325" s="0" t="s">
        <v>4804</v>
      </c>
    </row>
    <row customHeight="1" ht="11.25">
      <c r="A326" s="0" t="s">
        <v>22</v>
      </c>
      <c r="B326" s="0" t="s">
        <v>48</v>
      </c>
      <c r="C326" s="0" t="s">
        <v>50</v>
      </c>
      <c r="D326" s="0" t="s">
        <v>22</v>
      </c>
      <c r="E326" s="0" t="s">
        <v>5477</v>
      </c>
      <c r="F326" s="0" t="s">
        <v>1299</v>
      </c>
      <c r="G326" s="0" t="s">
        <v>172</v>
      </c>
      <c r="H326" s="0" t="s">
        <v>172</v>
      </c>
      <c r="I326" s="0" t="s">
        <v>173</v>
      </c>
      <c r="J326" s="0" t="s">
        <v>5478</v>
      </c>
      <c r="K326" s="0" t="s">
        <v>5479</v>
      </c>
      <c r="L326" s="0" t="s">
        <v>5480</v>
      </c>
      <c r="M326" s="0" t="s">
        <v>5481</v>
      </c>
      <c r="N326" s="0" t="s">
        <v>210</v>
      </c>
      <c r="O326" s="0" t="s">
        <v>172</v>
      </c>
      <c r="P326" s="0" t="s">
        <v>172</v>
      </c>
      <c r="Q326" s="0" t="s">
        <v>173</v>
      </c>
      <c r="R326" s="0" t="s">
        <v>5478</v>
      </c>
      <c r="S326" s="0" t="s">
        <v>5479</v>
      </c>
      <c r="T326" s="0" t="s">
        <v>4795</v>
      </c>
      <c r="U326" s="0" t="s">
        <v>4796</v>
      </c>
      <c r="V326" s="0" t="s">
        <v>5472</v>
      </c>
      <c r="W326" s="0" t="s">
        <v>4798</v>
      </c>
      <c r="X326" s="0" t="s">
        <v>4799</v>
      </c>
      <c r="Y326" s="0" t="s">
        <v>4796</v>
      </c>
      <c r="Z326" s="0" t="s">
        <v>5473</v>
      </c>
      <c r="AA326" s="0" t="s">
        <v>4807</v>
      </c>
      <c r="AB326" s="0" t="s">
        <v>5472</v>
      </c>
      <c r="AC326" s="0" t="s">
        <v>62</v>
      </c>
      <c r="AD326" s="0" t="s">
        <v>62</v>
      </c>
      <c r="AE326" s="0" t="s">
        <v>62</v>
      </c>
      <c r="AF326" s="0" t="s">
        <v>5482</v>
      </c>
      <c r="AG326" s="0" t="s">
        <v>5483</v>
      </c>
      <c r="AH326" s="0" t="s">
        <v>5482</v>
      </c>
      <c r="AI326" s="0" t="s">
        <v>5483</v>
      </c>
      <c r="AJ326" s="0" t="s">
        <v>5482</v>
      </c>
      <c r="AK326" s="0" t="s">
        <v>5483</v>
      </c>
      <c r="AL326" s="0" t="s">
        <v>4804</v>
      </c>
    </row>
    <row customHeight="1" ht="11.25">
      <c r="A327" s="0" t="s">
        <v>22</v>
      </c>
      <c r="B327" s="0" t="s">
        <v>48</v>
      </c>
      <c r="C327" s="0" t="s">
        <v>50</v>
      </c>
      <c r="D327" s="0" t="s">
        <v>22</v>
      </c>
      <c r="E327" s="0" t="s">
        <v>5477</v>
      </c>
      <c r="F327" s="0" t="s">
        <v>1299</v>
      </c>
      <c r="G327" s="0" t="s">
        <v>172</v>
      </c>
      <c r="H327" s="0" t="s">
        <v>172</v>
      </c>
      <c r="I327" s="0" t="s">
        <v>173</v>
      </c>
      <c r="J327" s="0" t="s">
        <v>5478</v>
      </c>
      <c r="K327" s="0" t="s">
        <v>5479</v>
      </c>
      <c r="L327" s="0" t="s">
        <v>5480</v>
      </c>
      <c r="M327" s="0" t="s">
        <v>5481</v>
      </c>
      <c r="N327" s="0" t="s">
        <v>210</v>
      </c>
      <c r="O327" s="0" t="s">
        <v>172</v>
      </c>
      <c r="P327" s="0" t="s">
        <v>172</v>
      </c>
      <c r="Q327" s="0" t="s">
        <v>173</v>
      </c>
      <c r="R327" s="0" t="s">
        <v>5478</v>
      </c>
      <c r="S327" s="0" t="s">
        <v>5479</v>
      </c>
      <c r="T327" s="0" t="s">
        <v>4795</v>
      </c>
      <c r="U327" s="0" t="s">
        <v>4796</v>
      </c>
      <c r="V327" s="0" t="s">
        <v>5475</v>
      </c>
      <c r="W327" s="0" t="s">
        <v>4798</v>
      </c>
      <c r="X327" s="0" t="s">
        <v>4799</v>
      </c>
      <c r="Y327" s="0" t="s">
        <v>4796</v>
      </c>
      <c r="Z327" s="0" t="s">
        <v>5476</v>
      </c>
      <c r="AA327" s="0" t="s">
        <v>5264</v>
      </c>
      <c r="AB327" s="0" t="s">
        <v>5475</v>
      </c>
      <c r="AC327" s="0" t="s">
        <v>62</v>
      </c>
      <c r="AD327" s="0" t="s">
        <v>62</v>
      </c>
      <c r="AE327" s="0" t="s">
        <v>62</v>
      </c>
      <c r="AF327" s="0" t="s">
        <v>5482</v>
      </c>
      <c r="AG327" s="0" t="s">
        <v>5483</v>
      </c>
      <c r="AH327" s="0" t="s">
        <v>5482</v>
      </c>
      <c r="AI327" s="0" t="s">
        <v>5483</v>
      </c>
      <c r="AJ327" s="0" t="s">
        <v>5482</v>
      </c>
      <c r="AK327" s="0" t="s">
        <v>5483</v>
      </c>
      <c r="AL327" s="0" t="s">
        <v>4804</v>
      </c>
    </row>
    <row customHeight="1" ht="11.25">
      <c r="A328" s="0" t="s">
        <v>22</v>
      </c>
      <c r="B328" s="0" t="s">
        <v>48</v>
      </c>
      <c r="C328" s="0" t="s">
        <v>50</v>
      </c>
      <c r="D328" s="0" t="s">
        <v>22</v>
      </c>
      <c r="E328" s="0" t="s">
        <v>5484</v>
      </c>
      <c r="F328" s="0" t="s">
        <v>5058</v>
      </c>
      <c r="G328" s="0" t="s">
        <v>172</v>
      </c>
      <c r="H328" s="0" t="s">
        <v>172</v>
      </c>
      <c r="I328" s="0" t="s">
        <v>173</v>
      </c>
      <c r="J328" s="0" t="s">
        <v>5485</v>
      </c>
      <c r="K328" s="0" t="s">
        <v>5486</v>
      </c>
      <c r="L328" s="0" t="s">
        <v>1338</v>
      </c>
      <c r="M328" s="0" t="s">
        <v>5487</v>
      </c>
      <c r="N328" s="0" t="s">
        <v>210</v>
      </c>
      <c r="O328" s="0" t="s">
        <v>172</v>
      </c>
      <c r="P328" s="0" t="s">
        <v>172</v>
      </c>
      <c r="Q328" s="0" t="s">
        <v>173</v>
      </c>
      <c r="R328" s="0" t="s">
        <v>5485</v>
      </c>
      <c r="S328" s="0" t="s">
        <v>5486</v>
      </c>
      <c r="T328" s="0" t="s">
        <v>4795</v>
      </c>
      <c r="U328" s="0" t="s">
        <v>4796</v>
      </c>
      <c r="V328" s="0" t="s">
        <v>5475</v>
      </c>
      <c r="W328" s="0" t="s">
        <v>4798</v>
      </c>
      <c r="X328" s="0" t="s">
        <v>4799</v>
      </c>
      <c r="Y328" s="0" t="s">
        <v>4796</v>
      </c>
      <c r="Z328" s="0" t="s">
        <v>5476</v>
      </c>
      <c r="AA328" s="0" t="s">
        <v>5264</v>
      </c>
      <c r="AB328" s="0" t="s">
        <v>5475</v>
      </c>
      <c r="AC328" s="0" t="s">
        <v>62</v>
      </c>
      <c r="AD328" s="0" t="s">
        <v>19</v>
      </c>
      <c r="AE328" s="0" t="s">
        <v>19</v>
      </c>
      <c r="AF328" s="0" t="s">
        <v>5488</v>
      </c>
      <c r="AG328" s="0" t="s">
        <v>5118</v>
      </c>
      <c r="AH328" s="0" t="s">
        <v>22</v>
      </c>
      <c r="AI328" s="0" t="s">
        <v>22</v>
      </c>
      <c r="AJ328" s="0" t="s">
        <v>22</v>
      </c>
      <c r="AK328" s="0" t="s">
        <v>22</v>
      </c>
      <c r="AL328" s="0" t="s">
        <v>4804</v>
      </c>
    </row>
    <row customHeight="1" ht="11.25">
      <c r="A329" s="0" t="s">
        <v>22</v>
      </c>
      <c r="B329" s="0" t="s">
        <v>48</v>
      </c>
      <c r="C329" s="0" t="s">
        <v>50</v>
      </c>
      <c r="D329" s="0" t="s">
        <v>22</v>
      </c>
      <c r="E329" s="0" t="s">
        <v>5484</v>
      </c>
      <c r="F329" s="0" t="s">
        <v>5058</v>
      </c>
      <c r="G329" s="0" t="s">
        <v>172</v>
      </c>
      <c r="H329" s="0" t="s">
        <v>172</v>
      </c>
      <c r="I329" s="0" t="s">
        <v>173</v>
      </c>
      <c r="J329" s="0" t="s">
        <v>5485</v>
      </c>
      <c r="K329" s="0" t="s">
        <v>5486</v>
      </c>
      <c r="L329" s="0" t="s">
        <v>1338</v>
      </c>
      <c r="M329" s="0" t="s">
        <v>5487</v>
      </c>
      <c r="N329" s="0" t="s">
        <v>210</v>
      </c>
      <c r="O329" s="0" t="s">
        <v>172</v>
      </c>
      <c r="P329" s="0" t="s">
        <v>172</v>
      </c>
      <c r="Q329" s="0" t="s">
        <v>173</v>
      </c>
      <c r="R329" s="0" t="s">
        <v>5485</v>
      </c>
      <c r="S329" s="0" t="s">
        <v>5486</v>
      </c>
      <c r="T329" s="0" t="s">
        <v>4795</v>
      </c>
      <c r="U329" s="0" t="s">
        <v>4796</v>
      </c>
      <c r="V329" s="0" t="s">
        <v>5472</v>
      </c>
      <c r="W329" s="0" t="s">
        <v>4798</v>
      </c>
      <c r="X329" s="0" t="s">
        <v>4799</v>
      </c>
      <c r="Y329" s="0" t="s">
        <v>4796</v>
      </c>
      <c r="Z329" s="0" t="s">
        <v>5473</v>
      </c>
      <c r="AA329" s="0" t="s">
        <v>4807</v>
      </c>
      <c r="AB329" s="0" t="s">
        <v>5472</v>
      </c>
      <c r="AC329" s="0" t="s">
        <v>62</v>
      </c>
      <c r="AD329" s="0" t="s">
        <v>19</v>
      </c>
      <c r="AE329" s="0" t="s">
        <v>19</v>
      </c>
      <c r="AF329" s="0" t="s">
        <v>5488</v>
      </c>
      <c r="AG329" s="0" t="s">
        <v>5118</v>
      </c>
      <c r="AH329" s="0" t="s">
        <v>22</v>
      </c>
      <c r="AI329" s="0" t="s">
        <v>22</v>
      </c>
      <c r="AJ329" s="0" t="s">
        <v>22</v>
      </c>
      <c r="AK329" s="0" t="s">
        <v>22</v>
      </c>
      <c r="AL329" s="0" t="s">
        <v>4804</v>
      </c>
    </row>
    <row customHeight="1" ht="11.25">
      <c r="A330" s="0" t="s">
        <v>22</v>
      </c>
      <c r="B330" s="0" t="s">
        <v>48</v>
      </c>
      <c r="C330" s="0" t="s">
        <v>50</v>
      </c>
      <c r="D330" s="0" t="s">
        <v>22</v>
      </c>
      <c r="E330" s="0" t="s">
        <v>5489</v>
      </c>
      <c r="F330" s="0" t="s">
        <v>1299</v>
      </c>
      <c r="G330" s="0" t="s">
        <v>177</v>
      </c>
      <c r="H330" s="0" t="s">
        <v>177</v>
      </c>
      <c r="I330" s="0" t="s">
        <v>178</v>
      </c>
      <c r="J330" s="0" t="s">
        <v>1436</v>
      </c>
      <c r="K330" s="0" t="s">
        <v>1437</v>
      </c>
      <c r="L330" s="0" t="s">
        <v>5490</v>
      </c>
      <c r="M330" s="0" t="s">
        <v>5491</v>
      </c>
      <c r="N330" s="0" t="s">
        <v>210</v>
      </c>
      <c r="O330" s="0" t="s">
        <v>177</v>
      </c>
      <c r="P330" s="0" t="s">
        <v>177</v>
      </c>
      <c r="Q330" s="0" t="s">
        <v>178</v>
      </c>
      <c r="R330" s="0" t="s">
        <v>1436</v>
      </c>
      <c r="S330" s="0" t="s">
        <v>1437</v>
      </c>
      <c r="T330" s="0" t="s">
        <v>4795</v>
      </c>
      <c r="U330" s="0" t="s">
        <v>4796</v>
      </c>
      <c r="V330" s="0" t="s">
        <v>5492</v>
      </c>
      <c r="W330" s="0" t="s">
        <v>4798</v>
      </c>
      <c r="X330" s="0" t="s">
        <v>4799</v>
      </c>
      <c r="Y330" s="0" t="s">
        <v>4796</v>
      </c>
      <c r="Z330" s="0" t="s">
        <v>5493</v>
      </c>
      <c r="AA330" s="0" t="s">
        <v>4801</v>
      </c>
      <c r="AB330" s="0" t="s">
        <v>5492</v>
      </c>
      <c r="AC330" s="0" t="s">
        <v>62</v>
      </c>
      <c r="AD330" s="0" t="s">
        <v>62</v>
      </c>
      <c r="AE330" s="0" t="s">
        <v>62</v>
      </c>
      <c r="AF330" s="0" t="s">
        <v>5349</v>
      </c>
      <c r="AG330" s="0" t="s">
        <v>5494</v>
      </c>
      <c r="AH330" s="0" t="s">
        <v>5349</v>
      </c>
      <c r="AI330" s="0" t="s">
        <v>5494</v>
      </c>
      <c r="AJ330" s="0" t="s">
        <v>5349</v>
      </c>
      <c r="AK330" s="0" t="s">
        <v>5494</v>
      </c>
      <c r="AL330" s="0" t="s">
        <v>4804</v>
      </c>
    </row>
    <row customHeight="1" ht="11.25">
      <c r="A331" s="0" t="s">
        <v>22</v>
      </c>
      <c r="B331" s="0" t="s">
        <v>48</v>
      </c>
      <c r="C331" s="0" t="s">
        <v>50</v>
      </c>
      <c r="D331" s="0" t="s">
        <v>22</v>
      </c>
      <c r="E331" s="0" t="s">
        <v>5489</v>
      </c>
      <c r="F331" s="0" t="s">
        <v>1299</v>
      </c>
      <c r="G331" s="0" t="s">
        <v>177</v>
      </c>
      <c r="H331" s="0" t="s">
        <v>177</v>
      </c>
      <c r="I331" s="0" t="s">
        <v>178</v>
      </c>
      <c r="J331" s="0" t="s">
        <v>1436</v>
      </c>
      <c r="K331" s="0" t="s">
        <v>1437</v>
      </c>
      <c r="L331" s="0" t="s">
        <v>5490</v>
      </c>
      <c r="M331" s="0" t="s">
        <v>5491</v>
      </c>
      <c r="N331" s="0" t="s">
        <v>210</v>
      </c>
      <c r="O331" s="0" t="s">
        <v>177</v>
      </c>
      <c r="P331" s="0" t="s">
        <v>177</v>
      </c>
      <c r="Q331" s="0" t="s">
        <v>178</v>
      </c>
      <c r="R331" s="0" t="s">
        <v>1436</v>
      </c>
      <c r="S331" s="0" t="s">
        <v>1437</v>
      </c>
      <c r="T331" s="0" t="s">
        <v>4795</v>
      </c>
      <c r="U331" s="0" t="s">
        <v>4796</v>
      </c>
      <c r="V331" s="0" t="s">
        <v>5495</v>
      </c>
      <c r="W331" s="0" t="s">
        <v>4798</v>
      </c>
      <c r="X331" s="0" t="s">
        <v>4799</v>
      </c>
      <c r="Y331" s="0" t="s">
        <v>4796</v>
      </c>
      <c r="Z331" s="0" t="s">
        <v>5496</v>
      </c>
      <c r="AA331" s="0" t="s">
        <v>4807</v>
      </c>
      <c r="AB331" s="0" t="s">
        <v>5495</v>
      </c>
      <c r="AC331" s="0" t="s">
        <v>62</v>
      </c>
      <c r="AD331" s="0" t="s">
        <v>62</v>
      </c>
      <c r="AE331" s="0" t="s">
        <v>62</v>
      </c>
      <c r="AF331" s="0" t="s">
        <v>5349</v>
      </c>
      <c r="AG331" s="0" t="s">
        <v>5494</v>
      </c>
      <c r="AH331" s="0" t="s">
        <v>5349</v>
      </c>
      <c r="AI331" s="0" t="s">
        <v>5494</v>
      </c>
      <c r="AJ331" s="0" t="s">
        <v>5349</v>
      </c>
      <c r="AK331" s="0" t="s">
        <v>5494</v>
      </c>
      <c r="AL331" s="0" t="s">
        <v>4804</v>
      </c>
    </row>
    <row customHeight="1" ht="11.25">
      <c r="A332" s="0" t="s">
        <v>22</v>
      </c>
      <c r="B332" s="0" t="s">
        <v>48</v>
      </c>
      <c r="C332" s="0" t="s">
        <v>50</v>
      </c>
      <c r="D332" s="0" t="s">
        <v>22</v>
      </c>
      <c r="E332" s="0" t="s">
        <v>5497</v>
      </c>
      <c r="F332" s="0" t="s">
        <v>1299</v>
      </c>
      <c r="G332" s="0" t="s">
        <v>177</v>
      </c>
      <c r="H332" s="0" t="s">
        <v>177</v>
      </c>
      <c r="I332" s="0" t="s">
        <v>178</v>
      </c>
      <c r="J332" s="0" t="s">
        <v>1436</v>
      </c>
      <c r="K332" s="0" t="s">
        <v>1437</v>
      </c>
      <c r="L332" s="0" t="s">
        <v>5498</v>
      </c>
      <c r="M332" s="0" t="s">
        <v>1355</v>
      </c>
      <c r="N332" s="0" t="s">
        <v>210</v>
      </c>
      <c r="O332" s="0" t="s">
        <v>177</v>
      </c>
      <c r="P332" s="0" t="s">
        <v>177</v>
      </c>
      <c r="Q332" s="0" t="s">
        <v>178</v>
      </c>
      <c r="R332" s="0" t="s">
        <v>1436</v>
      </c>
      <c r="S332" s="0" t="s">
        <v>1437</v>
      </c>
      <c r="T332" s="0" t="s">
        <v>4795</v>
      </c>
      <c r="U332" s="0" t="s">
        <v>4796</v>
      </c>
      <c r="V332" s="0" t="s">
        <v>5492</v>
      </c>
      <c r="W332" s="0" t="s">
        <v>4798</v>
      </c>
      <c r="X332" s="0" t="s">
        <v>4799</v>
      </c>
      <c r="Y332" s="0" t="s">
        <v>4796</v>
      </c>
      <c r="Z332" s="0" t="s">
        <v>5493</v>
      </c>
      <c r="AA332" s="0" t="s">
        <v>4801</v>
      </c>
      <c r="AB332" s="0" t="s">
        <v>5492</v>
      </c>
      <c r="AC332" s="0" t="s">
        <v>62</v>
      </c>
      <c r="AD332" s="0" t="s">
        <v>62</v>
      </c>
      <c r="AE332" s="0" t="s">
        <v>62</v>
      </c>
      <c r="AF332" s="0" t="s">
        <v>5499</v>
      </c>
      <c r="AG332" s="0" t="s">
        <v>5500</v>
      </c>
      <c r="AH332" s="0" t="s">
        <v>5499</v>
      </c>
      <c r="AI332" s="0" t="s">
        <v>5500</v>
      </c>
      <c r="AJ332" s="0" t="s">
        <v>5499</v>
      </c>
      <c r="AK332" s="0" t="s">
        <v>5500</v>
      </c>
      <c r="AL332" s="0" t="s">
        <v>4804</v>
      </c>
    </row>
    <row customHeight="1" ht="11.25">
      <c r="A333" s="0" t="s">
        <v>22</v>
      </c>
      <c r="B333" s="0" t="s">
        <v>48</v>
      </c>
      <c r="C333" s="0" t="s">
        <v>50</v>
      </c>
      <c r="D333" s="0" t="s">
        <v>22</v>
      </c>
      <c r="E333" s="0" t="s">
        <v>5497</v>
      </c>
      <c r="F333" s="0" t="s">
        <v>1299</v>
      </c>
      <c r="G333" s="0" t="s">
        <v>177</v>
      </c>
      <c r="H333" s="0" t="s">
        <v>177</v>
      </c>
      <c r="I333" s="0" t="s">
        <v>178</v>
      </c>
      <c r="J333" s="0" t="s">
        <v>1436</v>
      </c>
      <c r="K333" s="0" t="s">
        <v>1437</v>
      </c>
      <c r="L333" s="0" t="s">
        <v>5498</v>
      </c>
      <c r="M333" s="0" t="s">
        <v>1355</v>
      </c>
      <c r="N333" s="0" t="s">
        <v>210</v>
      </c>
      <c r="O333" s="0" t="s">
        <v>177</v>
      </c>
      <c r="P333" s="0" t="s">
        <v>177</v>
      </c>
      <c r="Q333" s="0" t="s">
        <v>178</v>
      </c>
      <c r="R333" s="0" t="s">
        <v>1436</v>
      </c>
      <c r="S333" s="0" t="s">
        <v>1437</v>
      </c>
      <c r="T333" s="0" t="s">
        <v>4795</v>
      </c>
      <c r="U333" s="0" t="s">
        <v>4796</v>
      </c>
      <c r="V333" s="0" t="s">
        <v>5495</v>
      </c>
      <c r="W333" s="0" t="s">
        <v>4798</v>
      </c>
      <c r="X333" s="0" t="s">
        <v>4799</v>
      </c>
      <c r="Y333" s="0" t="s">
        <v>4796</v>
      </c>
      <c r="Z333" s="0" t="s">
        <v>5496</v>
      </c>
      <c r="AA333" s="0" t="s">
        <v>4807</v>
      </c>
      <c r="AB333" s="0" t="s">
        <v>5495</v>
      </c>
      <c r="AC333" s="0" t="s">
        <v>62</v>
      </c>
      <c r="AD333" s="0" t="s">
        <v>62</v>
      </c>
      <c r="AE333" s="0" t="s">
        <v>62</v>
      </c>
      <c r="AF333" s="0" t="s">
        <v>5499</v>
      </c>
      <c r="AG333" s="0" t="s">
        <v>5500</v>
      </c>
      <c r="AH333" s="0" t="s">
        <v>5499</v>
      </c>
      <c r="AI333" s="0" t="s">
        <v>5500</v>
      </c>
      <c r="AJ333" s="0" t="s">
        <v>5499</v>
      </c>
      <c r="AK333" s="0" t="s">
        <v>5500</v>
      </c>
      <c r="AL333" s="0" t="s">
        <v>4804</v>
      </c>
    </row>
    <row customHeight="1" ht="11.25">
      <c r="A334" s="0" t="s">
        <v>22</v>
      </c>
      <c r="B334" s="0" t="s">
        <v>48</v>
      </c>
      <c r="C334" s="0" t="s">
        <v>50</v>
      </c>
      <c r="D334" s="0" t="s">
        <v>22</v>
      </c>
      <c r="E334" s="0" t="s">
        <v>5501</v>
      </c>
      <c r="F334" s="0" t="s">
        <v>1299</v>
      </c>
      <c r="G334" s="0" t="s">
        <v>177</v>
      </c>
      <c r="H334" s="0" t="s">
        <v>177</v>
      </c>
      <c r="I334" s="0" t="s">
        <v>178</v>
      </c>
      <c r="J334" s="0" t="s">
        <v>1436</v>
      </c>
      <c r="K334" s="0" t="s">
        <v>1437</v>
      </c>
      <c r="L334" s="0" t="s">
        <v>5502</v>
      </c>
      <c r="M334" s="0" t="s">
        <v>5503</v>
      </c>
      <c r="N334" s="0" t="s">
        <v>210</v>
      </c>
      <c r="O334" s="0" t="s">
        <v>177</v>
      </c>
      <c r="P334" s="0" t="s">
        <v>177</v>
      </c>
      <c r="Q334" s="0" t="s">
        <v>178</v>
      </c>
      <c r="R334" s="0" t="s">
        <v>1436</v>
      </c>
      <c r="S334" s="0" t="s">
        <v>1437</v>
      </c>
      <c r="T334" s="0" t="s">
        <v>4795</v>
      </c>
      <c r="U334" s="0" t="s">
        <v>4796</v>
      </c>
      <c r="V334" s="0" t="s">
        <v>5492</v>
      </c>
      <c r="W334" s="0" t="s">
        <v>4798</v>
      </c>
      <c r="X334" s="0" t="s">
        <v>4799</v>
      </c>
      <c r="Y334" s="0" t="s">
        <v>4796</v>
      </c>
      <c r="Z334" s="0" t="s">
        <v>5493</v>
      </c>
      <c r="AA334" s="0" t="s">
        <v>4801</v>
      </c>
      <c r="AB334" s="0" t="s">
        <v>5492</v>
      </c>
      <c r="AC334" s="0" t="s">
        <v>62</v>
      </c>
      <c r="AD334" s="0" t="s">
        <v>62</v>
      </c>
      <c r="AE334" s="0" t="s">
        <v>62</v>
      </c>
      <c r="AF334" s="0" t="s">
        <v>5504</v>
      </c>
      <c r="AG334" s="0" t="s">
        <v>5505</v>
      </c>
      <c r="AH334" s="0" t="s">
        <v>5504</v>
      </c>
      <c r="AI334" s="0" t="s">
        <v>5505</v>
      </c>
      <c r="AJ334" s="0" t="s">
        <v>5504</v>
      </c>
      <c r="AK334" s="0" t="s">
        <v>5505</v>
      </c>
      <c r="AL334" s="0" t="s">
        <v>4804</v>
      </c>
    </row>
    <row customHeight="1" ht="11.25">
      <c r="A335" s="0" t="s">
        <v>22</v>
      </c>
      <c r="B335" s="0" t="s">
        <v>48</v>
      </c>
      <c r="C335" s="0" t="s">
        <v>50</v>
      </c>
      <c r="D335" s="0" t="s">
        <v>22</v>
      </c>
      <c r="E335" s="0" t="s">
        <v>5501</v>
      </c>
      <c r="F335" s="0" t="s">
        <v>1299</v>
      </c>
      <c r="G335" s="0" t="s">
        <v>177</v>
      </c>
      <c r="H335" s="0" t="s">
        <v>177</v>
      </c>
      <c r="I335" s="0" t="s">
        <v>178</v>
      </c>
      <c r="J335" s="0" t="s">
        <v>1436</v>
      </c>
      <c r="K335" s="0" t="s">
        <v>1437</v>
      </c>
      <c r="L335" s="0" t="s">
        <v>5502</v>
      </c>
      <c r="M335" s="0" t="s">
        <v>5503</v>
      </c>
      <c r="N335" s="0" t="s">
        <v>210</v>
      </c>
      <c r="O335" s="0" t="s">
        <v>177</v>
      </c>
      <c r="P335" s="0" t="s">
        <v>177</v>
      </c>
      <c r="Q335" s="0" t="s">
        <v>178</v>
      </c>
      <c r="R335" s="0" t="s">
        <v>1436</v>
      </c>
      <c r="S335" s="0" t="s">
        <v>1437</v>
      </c>
      <c r="T335" s="0" t="s">
        <v>4795</v>
      </c>
      <c r="U335" s="0" t="s">
        <v>4796</v>
      </c>
      <c r="V335" s="0" t="s">
        <v>5495</v>
      </c>
      <c r="W335" s="0" t="s">
        <v>4798</v>
      </c>
      <c r="X335" s="0" t="s">
        <v>4799</v>
      </c>
      <c r="Y335" s="0" t="s">
        <v>4796</v>
      </c>
      <c r="Z335" s="0" t="s">
        <v>5496</v>
      </c>
      <c r="AA335" s="0" t="s">
        <v>4807</v>
      </c>
      <c r="AB335" s="0" t="s">
        <v>5495</v>
      </c>
      <c r="AC335" s="0" t="s">
        <v>62</v>
      </c>
      <c r="AD335" s="0" t="s">
        <v>62</v>
      </c>
      <c r="AE335" s="0" t="s">
        <v>62</v>
      </c>
      <c r="AF335" s="0" t="s">
        <v>5504</v>
      </c>
      <c r="AG335" s="0" t="s">
        <v>5505</v>
      </c>
      <c r="AH335" s="0" t="s">
        <v>5504</v>
      </c>
      <c r="AI335" s="0" t="s">
        <v>5505</v>
      </c>
      <c r="AJ335" s="0" t="s">
        <v>5504</v>
      </c>
      <c r="AK335" s="0" t="s">
        <v>5505</v>
      </c>
      <c r="AL335" s="0" t="s">
        <v>4804</v>
      </c>
    </row>
    <row customHeight="1" ht="11.25">
      <c r="A336" s="0" t="s">
        <v>22</v>
      </c>
      <c r="B336" s="0" t="s">
        <v>48</v>
      </c>
      <c r="C336" s="0" t="s">
        <v>50</v>
      </c>
      <c r="D336" s="0" t="s">
        <v>22</v>
      </c>
      <c r="E336" s="0" t="s">
        <v>1435</v>
      </c>
      <c r="F336" s="0" t="s">
        <v>1299</v>
      </c>
      <c r="G336" s="0" t="s">
        <v>177</v>
      </c>
      <c r="H336" s="0" t="s">
        <v>177</v>
      </c>
      <c r="I336" s="0" t="s">
        <v>178</v>
      </c>
      <c r="J336" s="0" t="s">
        <v>1436</v>
      </c>
      <c r="K336" s="0" t="s">
        <v>1437</v>
      </c>
      <c r="L336" s="0" t="s">
        <v>1438</v>
      </c>
      <c r="M336" s="0" t="s">
        <v>134</v>
      </c>
      <c r="N336" s="0" t="s">
        <v>210</v>
      </c>
      <c r="O336" s="0" t="s">
        <v>177</v>
      </c>
      <c r="P336" s="0" t="s">
        <v>177</v>
      </c>
      <c r="Q336" s="0" t="s">
        <v>178</v>
      </c>
      <c r="R336" s="0" t="s">
        <v>1436</v>
      </c>
      <c r="S336" s="0" t="s">
        <v>1437</v>
      </c>
      <c r="T336" s="0" t="s">
        <v>4795</v>
      </c>
      <c r="U336" s="0" t="s">
        <v>4796</v>
      </c>
      <c r="V336" s="0" t="s">
        <v>5492</v>
      </c>
      <c r="W336" s="0" t="s">
        <v>4798</v>
      </c>
      <c r="X336" s="0" t="s">
        <v>4799</v>
      </c>
      <c r="Y336" s="0" t="s">
        <v>4796</v>
      </c>
      <c r="Z336" s="0" t="s">
        <v>5493</v>
      </c>
      <c r="AA336" s="0" t="s">
        <v>4801</v>
      </c>
      <c r="AB336" s="0" t="s">
        <v>5492</v>
      </c>
      <c r="AC336" s="0" t="s">
        <v>62</v>
      </c>
      <c r="AD336" s="0" t="s">
        <v>62</v>
      </c>
      <c r="AE336" s="0" t="s">
        <v>62</v>
      </c>
      <c r="AF336" s="0" t="s">
        <v>5506</v>
      </c>
      <c r="AG336" s="0" t="s">
        <v>5507</v>
      </c>
      <c r="AH336" s="0" t="s">
        <v>5506</v>
      </c>
      <c r="AI336" s="0" t="s">
        <v>5507</v>
      </c>
      <c r="AJ336" s="0" t="s">
        <v>5506</v>
      </c>
      <c r="AK336" s="0" t="s">
        <v>5507</v>
      </c>
      <c r="AL336" s="0" t="s">
        <v>4804</v>
      </c>
    </row>
    <row customHeight="1" ht="11.25">
      <c r="A337" s="0" t="s">
        <v>22</v>
      </c>
      <c r="B337" s="0" t="s">
        <v>48</v>
      </c>
      <c r="C337" s="0" t="s">
        <v>50</v>
      </c>
      <c r="D337" s="0" t="s">
        <v>22</v>
      </c>
      <c r="E337" s="0" t="s">
        <v>1435</v>
      </c>
      <c r="F337" s="0" t="s">
        <v>1299</v>
      </c>
      <c r="G337" s="0" t="s">
        <v>177</v>
      </c>
      <c r="H337" s="0" t="s">
        <v>177</v>
      </c>
      <c r="I337" s="0" t="s">
        <v>178</v>
      </c>
      <c r="J337" s="0" t="s">
        <v>1436</v>
      </c>
      <c r="K337" s="0" t="s">
        <v>1437</v>
      </c>
      <c r="L337" s="0" t="s">
        <v>1438</v>
      </c>
      <c r="M337" s="0" t="s">
        <v>134</v>
      </c>
      <c r="N337" s="0" t="s">
        <v>210</v>
      </c>
      <c r="O337" s="0" t="s">
        <v>177</v>
      </c>
      <c r="P337" s="0" t="s">
        <v>177</v>
      </c>
      <c r="Q337" s="0" t="s">
        <v>178</v>
      </c>
      <c r="R337" s="0" t="s">
        <v>1436</v>
      </c>
      <c r="S337" s="0" t="s">
        <v>1437</v>
      </c>
      <c r="T337" s="0" t="s">
        <v>4795</v>
      </c>
      <c r="U337" s="0" t="s">
        <v>4796</v>
      </c>
      <c r="V337" s="0" t="s">
        <v>5495</v>
      </c>
      <c r="W337" s="0" t="s">
        <v>4798</v>
      </c>
      <c r="X337" s="0" t="s">
        <v>4799</v>
      </c>
      <c r="Y337" s="0" t="s">
        <v>4796</v>
      </c>
      <c r="Z337" s="0" t="s">
        <v>5496</v>
      </c>
      <c r="AA337" s="0" t="s">
        <v>4807</v>
      </c>
      <c r="AB337" s="0" t="s">
        <v>5495</v>
      </c>
      <c r="AC337" s="0" t="s">
        <v>62</v>
      </c>
      <c r="AD337" s="0" t="s">
        <v>62</v>
      </c>
      <c r="AE337" s="0" t="s">
        <v>62</v>
      </c>
      <c r="AF337" s="0" t="s">
        <v>5506</v>
      </c>
      <c r="AG337" s="0" t="s">
        <v>5507</v>
      </c>
      <c r="AH337" s="0" t="s">
        <v>5506</v>
      </c>
      <c r="AI337" s="0" t="s">
        <v>5507</v>
      </c>
      <c r="AJ337" s="0" t="s">
        <v>5506</v>
      </c>
      <c r="AK337" s="0" t="s">
        <v>5507</v>
      </c>
      <c r="AL337" s="0" t="s">
        <v>4804</v>
      </c>
    </row>
    <row customHeight="1" ht="11.25">
      <c r="A338" s="0" t="s">
        <v>22</v>
      </c>
      <c r="B338" s="0" t="s">
        <v>48</v>
      </c>
      <c r="C338" s="0" t="s">
        <v>50</v>
      </c>
      <c r="D338" s="0" t="s">
        <v>22</v>
      </c>
      <c r="E338" s="0" t="s">
        <v>5508</v>
      </c>
      <c r="F338" s="0" t="s">
        <v>1299</v>
      </c>
      <c r="G338" s="0" t="s">
        <v>177</v>
      </c>
      <c r="H338" s="0" t="s">
        <v>177</v>
      </c>
      <c r="I338" s="0" t="s">
        <v>178</v>
      </c>
      <c r="J338" s="0" t="s">
        <v>1436</v>
      </c>
      <c r="K338" s="0" t="s">
        <v>1437</v>
      </c>
      <c r="L338" s="0" t="s">
        <v>5509</v>
      </c>
      <c r="M338" s="0" t="s">
        <v>1355</v>
      </c>
      <c r="N338" s="0" t="s">
        <v>210</v>
      </c>
      <c r="O338" s="0" t="s">
        <v>177</v>
      </c>
      <c r="P338" s="0" t="s">
        <v>177</v>
      </c>
      <c r="Q338" s="0" t="s">
        <v>178</v>
      </c>
      <c r="R338" s="0" t="s">
        <v>1436</v>
      </c>
      <c r="S338" s="0" t="s">
        <v>1437</v>
      </c>
      <c r="T338" s="0" t="s">
        <v>4795</v>
      </c>
      <c r="U338" s="0" t="s">
        <v>4796</v>
      </c>
      <c r="V338" s="0" t="s">
        <v>5492</v>
      </c>
      <c r="W338" s="0" t="s">
        <v>4798</v>
      </c>
      <c r="X338" s="0" t="s">
        <v>4799</v>
      </c>
      <c r="Y338" s="0" t="s">
        <v>4796</v>
      </c>
      <c r="Z338" s="0" t="s">
        <v>5493</v>
      </c>
      <c r="AA338" s="0" t="s">
        <v>4801</v>
      </c>
      <c r="AB338" s="0" t="s">
        <v>5492</v>
      </c>
      <c r="AC338" s="0" t="s">
        <v>62</v>
      </c>
      <c r="AD338" s="0" t="s">
        <v>62</v>
      </c>
      <c r="AE338" s="0" t="s">
        <v>62</v>
      </c>
      <c r="AF338" s="0" t="s">
        <v>5510</v>
      </c>
      <c r="AG338" s="0" t="s">
        <v>5511</v>
      </c>
      <c r="AH338" s="0" t="s">
        <v>5510</v>
      </c>
      <c r="AI338" s="0" t="s">
        <v>5511</v>
      </c>
      <c r="AJ338" s="0" t="s">
        <v>5510</v>
      </c>
      <c r="AK338" s="0" t="s">
        <v>5511</v>
      </c>
      <c r="AL338" s="0" t="s">
        <v>4804</v>
      </c>
    </row>
    <row customHeight="1" ht="11.25">
      <c r="A339" s="0" t="s">
        <v>22</v>
      </c>
      <c r="B339" s="0" t="s">
        <v>48</v>
      </c>
      <c r="C339" s="0" t="s">
        <v>50</v>
      </c>
      <c r="D339" s="0" t="s">
        <v>22</v>
      </c>
      <c r="E339" s="0" t="s">
        <v>5508</v>
      </c>
      <c r="F339" s="0" t="s">
        <v>1299</v>
      </c>
      <c r="G339" s="0" t="s">
        <v>177</v>
      </c>
      <c r="H339" s="0" t="s">
        <v>177</v>
      </c>
      <c r="I339" s="0" t="s">
        <v>178</v>
      </c>
      <c r="J339" s="0" t="s">
        <v>1436</v>
      </c>
      <c r="K339" s="0" t="s">
        <v>1437</v>
      </c>
      <c r="L339" s="0" t="s">
        <v>5509</v>
      </c>
      <c r="M339" s="0" t="s">
        <v>1355</v>
      </c>
      <c r="N339" s="0" t="s">
        <v>210</v>
      </c>
      <c r="O339" s="0" t="s">
        <v>177</v>
      </c>
      <c r="P339" s="0" t="s">
        <v>177</v>
      </c>
      <c r="Q339" s="0" t="s">
        <v>178</v>
      </c>
      <c r="R339" s="0" t="s">
        <v>1436</v>
      </c>
      <c r="S339" s="0" t="s">
        <v>1437</v>
      </c>
      <c r="T339" s="0" t="s">
        <v>4795</v>
      </c>
      <c r="U339" s="0" t="s">
        <v>4796</v>
      </c>
      <c r="V339" s="0" t="s">
        <v>5495</v>
      </c>
      <c r="W339" s="0" t="s">
        <v>4798</v>
      </c>
      <c r="X339" s="0" t="s">
        <v>4799</v>
      </c>
      <c r="Y339" s="0" t="s">
        <v>4796</v>
      </c>
      <c r="Z339" s="0" t="s">
        <v>5496</v>
      </c>
      <c r="AA339" s="0" t="s">
        <v>4807</v>
      </c>
      <c r="AB339" s="0" t="s">
        <v>5495</v>
      </c>
      <c r="AC339" s="0" t="s">
        <v>62</v>
      </c>
      <c r="AD339" s="0" t="s">
        <v>62</v>
      </c>
      <c r="AE339" s="0" t="s">
        <v>62</v>
      </c>
      <c r="AF339" s="0" t="s">
        <v>5510</v>
      </c>
      <c r="AG339" s="0" t="s">
        <v>5511</v>
      </c>
      <c r="AH339" s="0" t="s">
        <v>5510</v>
      </c>
      <c r="AI339" s="0" t="s">
        <v>5511</v>
      </c>
      <c r="AJ339" s="0" t="s">
        <v>5510</v>
      </c>
      <c r="AK339" s="0" t="s">
        <v>5511</v>
      </c>
      <c r="AL339" s="0" t="s">
        <v>4804</v>
      </c>
    </row>
    <row customHeight="1" ht="11.25">
      <c r="A340" s="0" t="s">
        <v>22</v>
      </c>
      <c r="B340" s="0" t="s">
        <v>48</v>
      </c>
      <c r="C340" s="0" t="s">
        <v>50</v>
      </c>
      <c r="D340" s="0" t="s">
        <v>22</v>
      </c>
      <c r="E340" s="0" t="s">
        <v>5512</v>
      </c>
      <c r="F340" s="0" t="s">
        <v>1299</v>
      </c>
      <c r="G340" s="0" t="s">
        <v>177</v>
      </c>
      <c r="H340" s="0" t="s">
        <v>177</v>
      </c>
      <c r="I340" s="0" t="s">
        <v>178</v>
      </c>
      <c r="J340" s="0" t="s">
        <v>1436</v>
      </c>
      <c r="K340" s="0" t="s">
        <v>1437</v>
      </c>
      <c r="L340" s="0" t="s">
        <v>5513</v>
      </c>
      <c r="M340" s="0" t="s">
        <v>149</v>
      </c>
      <c r="N340" s="0" t="s">
        <v>210</v>
      </c>
      <c r="O340" s="0" t="s">
        <v>177</v>
      </c>
      <c r="P340" s="0" t="s">
        <v>177</v>
      </c>
      <c r="Q340" s="0" t="s">
        <v>178</v>
      </c>
      <c r="R340" s="0" t="s">
        <v>1436</v>
      </c>
      <c r="S340" s="0" t="s">
        <v>1437</v>
      </c>
      <c r="T340" s="0" t="s">
        <v>4795</v>
      </c>
      <c r="U340" s="0" t="s">
        <v>4796</v>
      </c>
      <c r="V340" s="0" t="s">
        <v>5495</v>
      </c>
      <c r="W340" s="0" t="s">
        <v>4798</v>
      </c>
      <c r="X340" s="0" t="s">
        <v>4799</v>
      </c>
      <c r="Y340" s="0" t="s">
        <v>4796</v>
      </c>
      <c r="Z340" s="0" t="s">
        <v>5496</v>
      </c>
      <c r="AA340" s="0" t="s">
        <v>4807</v>
      </c>
      <c r="AB340" s="0" t="s">
        <v>5495</v>
      </c>
      <c r="AC340" s="0" t="s">
        <v>62</v>
      </c>
      <c r="AD340" s="0" t="s">
        <v>62</v>
      </c>
      <c r="AE340" s="0" t="s">
        <v>62</v>
      </c>
      <c r="AF340" s="0" t="s">
        <v>5335</v>
      </c>
      <c r="AG340" s="0" t="s">
        <v>5514</v>
      </c>
      <c r="AH340" s="0" t="s">
        <v>5335</v>
      </c>
      <c r="AI340" s="0" t="s">
        <v>5514</v>
      </c>
      <c r="AJ340" s="0" t="s">
        <v>5335</v>
      </c>
      <c r="AK340" s="0" t="s">
        <v>5514</v>
      </c>
      <c r="AL340" s="0" t="s">
        <v>4804</v>
      </c>
    </row>
    <row customHeight="1" ht="11.25">
      <c r="A341" s="0" t="s">
        <v>22</v>
      </c>
      <c r="B341" s="0" t="s">
        <v>48</v>
      </c>
      <c r="C341" s="0" t="s">
        <v>50</v>
      </c>
      <c r="D341" s="0" t="s">
        <v>22</v>
      </c>
      <c r="E341" s="0" t="s">
        <v>5512</v>
      </c>
      <c r="F341" s="0" t="s">
        <v>1299</v>
      </c>
      <c r="G341" s="0" t="s">
        <v>177</v>
      </c>
      <c r="H341" s="0" t="s">
        <v>177</v>
      </c>
      <c r="I341" s="0" t="s">
        <v>178</v>
      </c>
      <c r="J341" s="0" t="s">
        <v>1436</v>
      </c>
      <c r="K341" s="0" t="s">
        <v>1437</v>
      </c>
      <c r="L341" s="0" t="s">
        <v>5513</v>
      </c>
      <c r="M341" s="0" t="s">
        <v>149</v>
      </c>
      <c r="N341" s="0" t="s">
        <v>210</v>
      </c>
      <c r="O341" s="0" t="s">
        <v>177</v>
      </c>
      <c r="P341" s="0" t="s">
        <v>177</v>
      </c>
      <c r="Q341" s="0" t="s">
        <v>178</v>
      </c>
      <c r="R341" s="0" t="s">
        <v>1436</v>
      </c>
      <c r="S341" s="0" t="s">
        <v>1437</v>
      </c>
      <c r="T341" s="0" t="s">
        <v>4795</v>
      </c>
      <c r="U341" s="0" t="s">
        <v>4796</v>
      </c>
      <c r="V341" s="0" t="s">
        <v>5492</v>
      </c>
      <c r="W341" s="0" t="s">
        <v>4798</v>
      </c>
      <c r="X341" s="0" t="s">
        <v>4799</v>
      </c>
      <c r="Y341" s="0" t="s">
        <v>4796</v>
      </c>
      <c r="Z341" s="0" t="s">
        <v>5493</v>
      </c>
      <c r="AA341" s="0" t="s">
        <v>4801</v>
      </c>
      <c r="AB341" s="0" t="s">
        <v>5492</v>
      </c>
      <c r="AC341" s="0" t="s">
        <v>62</v>
      </c>
      <c r="AD341" s="0" t="s">
        <v>62</v>
      </c>
      <c r="AE341" s="0" t="s">
        <v>62</v>
      </c>
      <c r="AF341" s="0" t="s">
        <v>5335</v>
      </c>
      <c r="AG341" s="0" t="s">
        <v>5514</v>
      </c>
      <c r="AH341" s="0" t="s">
        <v>5335</v>
      </c>
      <c r="AI341" s="0" t="s">
        <v>5514</v>
      </c>
      <c r="AJ341" s="0" t="s">
        <v>5335</v>
      </c>
      <c r="AK341" s="0" t="s">
        <v>5514</v>
      </c>
      <c r="AL341" s="0" t="s">
        <v>4804</v>
      </c>
    </row>
    <row customHeight="1" ht="11.25">
      <c r="A342" s="0" t="s">
        <v>22</v>
      </c>
      <c r="B342" s="0" t="s">
        <v>48</v>
      </c>
      <c r="C342" s="0" t="s">
        <v>50</v>
      </c>
      <c r="D342" s="0" t="s">
        <v>22</v>
      </c>
      <c r="E342" s="0" t="s">
        <v>5515</v>
      </c>
      <c r="F342" s="0" t="s">
        <v>1299</v>
      </c>
      <c r="G342" s="0" t="s">
        <v>177</v>
      </c>
      <c r="H342" s="0" t="s">
        <v>177</v>
      </c>
      <c r="I342" s="0" t="s">
        <v>178</v>
      </c>
      <c r="J342" s="0" t="s">
        <v>1436</v>
      </c>
      <c r="K342" s="0" t="s">
        <v>1437</v>
      </c>
      <c r="L342" s="0" t="s">
        <v>5516</v>
      </c>
      <c r="M342" s="0" t="s">
        <v>1355</v>
      </c>
      <c r="N342" s="0" t="s">
        <v>210</v>
      </c>
      <c r="O342" s="0" t="s">
        <v>177</v>
      </c>
      <c r="P342" s="0" t="s">
        <v>177</v>
      </c>
      <c r="Q342" s="0" t="s">
        <v>178</v>
      </c>
      <c r="R342" s="0" t="s">
        <v>1436</v>
      </c>
      <c r="S342" s="0" t="s">
        <v>1437</v>
      </c>
      <c r="T342" s="0" t="s">
        <v>4795</v>
      </c>
      <c r="U342" s="0" t="s">
        <v>4796</v>
      </c>
      <c r="V342" s="0" t="s">
        <v>5495</v>
      </c>
      <c r="W342" s="0" t="s">
        <v>4798</v>
      </c>
      <c r="X342" s="0" t="s">
        <v>4799</v>
      </c>
      <c r="Y342" s="0" t="s">
        <v>4796</v>
      </c>
      <c r="Z342" s="0" t="s">
        <v>5496</v>
      </c>
      <c r="AA342" s="0" t="s">
        <v>4807</v>
      </c>
      <c r="AB342" s="0" t="s">
        <v>5495</v>
      </c>
      <c r="AC342" s="0" t="s">
        <v>62</v>
      </c>
      <c r="AD342" s="0" t="s">
        <v>62</v>
      </c>
      <c r="AE342" s="0" t="s">
        <v>62</v>
      </c>
      <c r="AF342" s="0" t="s">
        <v>5517</v>
      </c>
      <c r="AG342" s="0" t="s">
        <v>5518</v>
      </c>
      <c r="AH342" s="0" t="s">
        <v>5517</v>
      </c>
      <c r="AI342" s="0" t="s">
        <v>5518</v>
      </c>
      <c r="AJ342" s="0" t="s">
        <v>5517</v>
      </c>
      <c r="AK342" s="0" t="s">
        <v>5518</v>
      </c>
      <c r="AL342" s="0" t="s">
        <v>4804</v>
      </c>
    </row>
    <row customHeight="1" ht="11.25">
      <c r="A343" s="0" t="s">
        <v>22</v>
      </c>
      <c r="B343" s="0" t="s">
        <v>48</v>
      </c>
      <c r="C343" s="0" t="s">
        <v>50</v>
      </c>
      <c r="D343" s="0" t="s">
        <v>22</v>
      </c>
      <c r="E343" s="0" t="s">
        <v>5515</v>
      </c>
      <c r="F343" s="0" t="s">
        <v>1299</v>
      </c>
      <c r="G343" s="0" t="s">
        <v>177</v>
      </c>
      <c r="H343" s="0" t="s">
        <v>177</v>
      </c>
      <c r="I343" s="0" t="s">
        <v>178</v>
      </c>
      <c r="J343" s="0" t="s">
        <v>1436</v>
      </c>
      <c r="K343" s="0" t="s">
        <v>1437</v>
      </c>
      <c r="L343" s="0" t="s">
        <v>5516</v>
      </c>
      <c r="M343" s="0" t="s">
        <v>1355</v>
      </c>
      <c r="N343" s="0" t="s">
        <v>210</v>
      </c>
      <c r="O343" s="0" t="s">
        <v>177</v>
      </c>
      <c r="P343" s="0" t="s">
        <v>177</v>
      </c>
      <c r="Q343" s="0" t="s">
        <v>178</v>
      </c>
      <c r="R343" s="0" t="s">
        <v>1436</v>
      </c>
      <c r="S343" s="0" t="s">
        <v>1437</v>
      </c>
      <c r="T343" s="0" t="s">
        <v>4795</v>
      </c>
      <c r="U343" s="0" t="s">
        <v>4796</v>
      </c>
      <c r="V343" s="0" t="s">
        <v>5492</v>
      </c>
      <c r="W343" s="0" t="s">
        <v>4798</v>
      </c>
      <c r="X343" s="0" t="s">
        <v>4799</v>
      </c>
      <c r="Y343" s="0" t="s">
        <v>4796</v>
      </c>
      <c r="Z343" s="0" t="s">
        <v>5493</v>
      </c>
      <c r="AA343" s="0" t="s">
        <v>4801</v>
      </c>
      <c r="AB343" s="0" t="s">
        <v>5492</v>
      </c>
      <c r="AC343" s="0" t="s">
        <v>62</v>
      </c>
      <c r="AD343" s="0" t="s">
        <v>62</v>
      </c>
      <c r="AE343" s="0" t="s">
        <v>62</v>
      </c>
      <c r="AF343" s="0" t="s">
        <v>5517</v>
      </c>
      <c r="AG343" s="0" t="s">
        <v>5518</v>
      </c>
      <c r="AH343" s="0" t="s">
        <v>5517</v>
      </c>
      <c r="AI343" s="0" t="s">
        <v>5518</v>
      </c>
      <c r="AJ343" s="0" t="s">
        <v>5517</v>
      </c>
      <c r="AK343" s="0" t="s">
        <v>5518</v>
      </c>
      <c r="AL343" s="0" t="s">
        <v>4804</v>
      </c>
    </row>
    <row customHeight="1" ht="11.25">
      <c r="A344" s="0" t="s">
        <v>22</v>
      </c>
      <c r="B344" s="0" t="s">
        <v>48</v>
      </c>
      <c r="C344" s="0" t="s">
        <v>50</v>
      </c>
      <c r="D344" s="0" t="s">
        <v>22</v>
      </c>
      <c r="E344" s="0" t="s">
        <v>5519</v>
      </c>
      <c r="F344" s="0" t="s">
        <v>1299</v>
      </c>
      <c r="G344" s="0" t="s">
        <v>177</v>
      </c>
      <c r="H344" s="0" t="s">
        <v>177</v>
      </c>
      <c r="I344" s="0" t="s">
        <v>178</v>
      </c>
      <c r="J344" s="0" t="s">
        <v>1436</v>
      </c>
      <c r="K344" s="0" t="s">
        <v>1437</v>
      </c>
      <c r="L344" s="0" t="s">
        <v>5520</v>
      </c>
      <c r="M344" s="0" t="s">
        <v>1355</v>
      </c>
      <c r="N344" s="0" t="s">
        <v>210</v>
      </c>
      <c r="O344" s="0" t="s">
        <v>177</v>
      </c>
      <c r="P344" s="0" t="s">
        <v>177</v>
      </c>
      <c r="Q344" s="0" t="s">
        <v>178</v>
      </c>
      <c r="R344" s="0" t="s">
        <v>1436</v>
      </c>
      <c r="S344" s="0" t="s">
        <v>1437</v>
      </c>
      <c r="T344" s="0" t="s">
        <v>4795</v>
      </c>
      <c r="U344" s="0" t="s">
        <v>4796</v>
      </c>
      <c r="V344" s="0" t="s">
        <v>5495</v>
      </c>
      <c r="W344" s="0" t="s">
        <v>4798</v>
      </c>
      <c r="X344" s="0" t="s">
        <v>4799</v>
      </c>
      <c r="Y344" s="0" t="s">
        <v>4796</v>
      </c>
      <c r="Z344" s="0" t="s">
        <v>5496</v>
      </c>
      <c r="AA344" s="0" t="s">
        <v>4807</v>
      </c>
      <c r="AB344" s="0" t="s">
        <v>5495</v>
      </c>
      <c r="AC344" s="0" t="s">
        <v>62</v>
      </c>
      <c r="AD344" s="0" t="s">
        <v>62</v>
      </c>
      <c r="AE344" s="0" t="s">
        <v>62</v>
      </c>
      <c r="AF344" s="0" t="s">
        <v>5004</v>
      </c>
      <c r="AG344" s="0" t="s">
        <v>5521</v>
      </c>
      <c r="AH344" s="0" t="s">
        <v>5004</v>
      </c>
      <c r="AI344" s="0" t="s">
        <v>5521</v>
      </c>
      <c r="AJ344" s="0" t="s">
        <v>5004</v>
      </c>
      <c r="AK344" s="0" t="s">
        <v>5521</v>
      </c>
      <c r="AL344" s="0" t="s">
        <v>4804</v>
      </c>
    </row>
    <row customHeight="1" ht="11.25">
      <c r="A345" s="0" t="s">
        <v>22</v>
      </c>
      <c r="B345" s="0" t="s">
        <v>48</v>
      </c>
      <c r="C345" s="0" t="s">
        <v>50</v>
      </c>
      <c r="D345" s="0" t="s">
        <v>22</v>
      </c>
      <c r="E345" s="0" t="s">
        <v>5519</v>
      </c>
      <c r="F345" s="0" t="s">
        <v>1299</v>
      </c>
      <c r="G345" s="0" t="s">
        <v>177</v>
      </c>
      <c r="H345" s="0" t="s">
        <v>177</v>
      </c>
      <c r="I345" s="0" t="s">
        <v>178</v>
      </c>
      <c r="J345" s="0" t="s">
        <v>1436</v>
      </c>
      <c r="K345" s="0" t="s">
        <v>1437</v>
      </c>
      <c r="L345" s="0" t="s">
        <v>5520</v>
      </c>
      <c r="M345" s="0" t="s">
        <v>1355</v>
      </c>
      <c r="N345" s="0" t="s">
        <v>210</v>
      </c>
      <c r="O345" s="0" t="s">
        <v>177</v>
      </c>
      <c r="P345" s="0" t="s">
        <v>177</v>
      </c>
      <c r="Q345" s="0" t="s">
        <v>178</v>
      </c>
      <c r="R345" s="0" t="s">
        <v>1436</v>
      </c>
      <c r="S345" s="0" t="s">
        <v>1437</v>
      </c>
      <c r="T345" s="0" t="s">
        <v>4795</v>
      </c>
      <c r="U345" s="0" t="s">
        <v>4796</v>
      </c>
      <c r="V345" s="0" t="s">
        <v>5492</v>
      </c>
      <c r="W345" s="0" t="s">
        <v>4798</v>
      </c>
      <c r="X345" s="0" t="s">
        <v>4799</v>
      </c>
      <c r="Y345" s="0" t="s">
        <v>4796</v>
      </c>
      <c r="Z345" s="0" t="s">
        <v>5493</v>
      </c>
      <c r="AA345" s="0" t="s">
        <v>4801</v>
      </c>
      <c r="AB345" s="0" t="s">
        <v>5492</v>
      </c>
      <c r="AC345" s="0" t="s">
        <v>62</v>
      </c>
      <c r="AD345" s="0" t="s">
        <v>62</v>
      </c>
      <c r="AE345" s="0" t="s">
        <v>62</v>
      </c>
      <c r="AF345" s="0" t="s">
        <v>5004</v>
      </c>
      <c r="AG345" s="0" t="s">
        <v>5521</v>
      </c>
      <c r="AH345" s="0" t="s">
        <v>5004</v>
      </c>
      <c r="AI345" s="0" t="s">
        <v>5521</v>
      </c>
      <c r="AJ345" s="0" t="s">
        <v>5004</v>
      </c>
      <c r="AK345" s="0" t="s">
        <v>5521</v>
      </c>
      <c r="AL345" s="0" t="s">
        <v>4804</v>
      </c>
    </row>
    <row customHeight="1" ht="11.25">
      <c r="A346" s="0" t="s">
        <v>22</v>
      </c>
      <c r="B346" s="0" t="s">
        <v>48</v>
      </c>
      <c r="C346" s="0" t="s">
        <v>50</v>
      </c>
      <c r="D346" s="0" t="s">
        <v>22</v>
      </c>
      <c r="E346" s="0" t="s">
        <v>5522</v>
      </c>
      <c r="F346" s="0" t="s">
        <v>1299</v>
      </c>
      <c r="G346" s="0" t="s">
        <v>177</v>
      </c>
      <c r="H346" s="0" t="s">
        <v>177</v>
      </c>
      <c r="I346" s="0" t="s">
        <v>178</v>
      </c>
      <c r="J346" s="0" t="s">
        <v>1436</v>
      </c>
      <c r="K346" s="0" t="s">
        <v>1437</v>
      </c>
      <c r="L346" s="0" t="s">
        <v>5523</v>
      </c>
      <c r="M346" s="0" t="s">
        <v>1355</v>
      </c>
      <c r="N346" s="0" t="s">
        <v>210</v>
      </c>
      <c r="O346" s="0" t="s">
        <v>177</v>
      </c>
      <c r="P346" s="0" t="s">
        <v>177</v>
      </c>
      <c r="Q346" s="0" t="s">
        <v>178</v>
      </c>
      <c r="R346" s="0" t="s">
        <v>1436</v>
      </c>
      <c r="S346" s="0" t="s">
        <v>1437</v>
      </c>
      <c r="T346" s="0" t="s">
        <v>4795</v>
      </c>
      <c r="U346" s="0" t="s">
        <v>4796</v>
      </c>
      <c r="V346" s="0" t="s">
        <v>5492</v>
      </c>
      <c r="W346" s="0" t="s">
        <v>4798</v>
      </c>
      <c r="X346" s="0" t="s">
        <v>4799</v>
      </c>
      <c r="Y346" s="0" t="s">
        <v>4796</v>
      </c>
      <c r="Z346" s="0" t="s">
        <v>5493</v>
      </c>
      <c r="AA346" s="0" t="s">
        <v>4801</v>
      </c>
      <c r="AB346" s="0" t="s">
        <v>5492</v>
      </c>
      <c r="AC346" s="0" t="s">
        <v>62</v>
      </c>
      <c r="AD346" s="0" t="s">
        <v>62</v>
      </c>
      <c r="AE346" s="0" t="s">
        <v>62</v>
      </c>
      <c r="AF346" s="0" t="s">
        <v>5524</v>
      </c>
      <c r="AG346" s="0" t="s">
        <v>5525</v>
      </c>
      <c r="AH346" s="0" t="s">
        <v>5524</v>
      </c>
      <c r="AI346" s="0" t="s">
        <v>5525</v>
      </c>
      <c r="AJ346" s="0" t="s">
        <v>5524</v>
      </c>
      <c r="AK346" s="0" t="s">
        <v>5525</v>
      </c>
      <c r="AL346" s="0" t="s">
        <v>4804</v>
      </c>
    </row>
    <row customHeight="1" ht="11.25">
      <c r="A347" s="0" t="s">
        <v>22</v>
      </c>
      <c r="B347" s="0" t="s">
        <v>48</v>
      </c>
      <c r="C347" s="0" t="s">
        <v>50</v>
      </c>
      <c r="D347" s="0" t="s">
        <v>22</v>
      </c>
      <c r="E347" s="0" t="s">
        <v>5522</v>
      </c>
      <c r="F347" s="0" t="s">
        <v>1299</v>
      </c>
      <c r="G347" s="0" t="s">
        <v>177</v>
      </c>
      <c r="H347" s="0" t="s">
        <v>177</v>
      </c>
      <c r="I347" s="0" t="s">
        <v>178</v>
      </c>
      <c r="J347" s="0" t="s">
        <v>1436</v>
      </c>
      <c r="K347" s="0" t="s">
        <v>1437</v>
      </c>
      <c r="L347" s="0" t="s">
        <v>5523</v>
      </c>
      <c r="M347" s="0" t="s">
        <v>1355</v>
      </c>
      <c r="N347" s="0" t="s">
        <v>210</v>
      </c>
      <c r="O347" s="0" t="s">
        <v>177</v>
      </c>
      <c r="P347" s="0" t="s">
        <v>177</v>
      </c>
      <c r="Q347" s="0" t="s">
        <v>178</v>
      </c>
      <c r="R347" s="0" t="s">
        <v>1436</v>
      </c>
      <c r="S347" s="0" t="s">
        <v>1437</v>
      </c>
      <c r="T347" s="0" t="s">
        <v>4795</v>
      </c>
      <c r="U347" s="0" t="s">
        <v>4796</v>
      </c>
      <c r="V347" s="0" t="s">
        <v>5495</v>
      </c>
      <c r="W347" s="0" t="s">
        <v>4798</v>
      </c>
      <c r="X347" s="0" t="s">
        <v>4799</v>
      </c>
      <c r="Y347" s="0" t="s">
        <v>4796</v>
      </c>
      <c r="Z347" s="0" t="s">
        <v>5496</v>
      </c>
      <c r="AA347" s="0" t="s">
        <v>4807</v>
      </c>
      <c r="AB347" s="0" t="s">
        <v>5495</v>
      </c>
      <c r="AC347" s="0" t="s">
        <v>62</v>
      </c>
      <c r="AD347" s="0" t="s">
        <v>62</v>
      </c>
      <c r="AE347" s="0" t="s">
        <v>62</v>
      </c>
      <c r="AF347" s="0" t="s">
        <v>5524</v>
      </c>
      <c r="AG347" s="0" t="s">
        <v>5525</v>
      </c>
      <c r="AH347" s="0" t="s">
        <v>5524</v>
      </c>
      <c r="AI347" s="0" t="s">
        <v>5525</v>
      </c>
      <c r="AJ347" s="0" t="s">
        <v>5524</v>
      </c>
      <c r="AK347" s="0" t="s">
        <v>5525</v>
      </c>
      <c r="AL347" s="0" t="s">
        <v>4804</v>
      </c>
    </row>
    <row customHeight="1" ht="11.25">
      <c r="A348" s="0" t="s">
        <v>22</v>
      </c>
      <c r="B348" s="0" t="s">
        <v>48</v>
      </c>
      <c r="C348" s="0" t="s">
        <v>50</v>
      </c>
      <c r="D348" s="0" t="s">
        <v>22</v>
      </c>
      <c r="E348" s="0" t="s">
        <v>5526</v>
      </c>
      <c r="F348" s="0" t="s">
        <v>5058</v>
      </c>
      <c r="G348" s="0" t="s">
        <v>182</v>
      </c>
      <c r="H348" s="0" t="s">
        <v>182</v>
      </c>
      <c r="I348" s="0" t="s">
        <v>183</v>
      </c>
      <c r="J348" s="0" t="s">
        <v>5527</v>
      </c>
      <c r="K348" s="0" t="s">
        <v>5528</v>
      </c>
      <c r="L348" s="0" t="s">
        <v>5529</v>
      </c>
      <c r="M348" s="0" t="s">
        <v>1355</v>
      </c>
      <c r="N348" s="0" t="s">
        <v>210</v>
      </c>
      <c r="O348" s="0" t="s">
        <v>182</v>
      </c>
      <c r="P348" s="0" t="s">
        <v>182</v>
      </c>
      <c r="Q348" s="0" t="s">
        <v>183</v>
      </c>
      <c r="R348" s="0" t="s">
        <v>5527</v>
      </c>
      <c r="S348" s="0" t="s">
        <v>5528</v>
      </c>
      <c r="T348" s="0" t="s">
        <v>4795</v>
      </c>
      <c r="U348" s="0" t="s">
        <v>4796</v>
      </c>
      <c r="V348" s="0" t="s">
        <v>5530</v>
      </c>
      <c r="W348" s="0" t="s">
        <v>4798</v>
      </c>
      <c r="X348" s="0" t="s">
        <v>4799</v>
      </c>
      <c r="Y348" s="0" t="s">
        <v>4796</v>
      </c>
      <c r="Z348" s="0" t="s">
        <v>5531</v>
      </c>
      <c r="AA348" s="0" t="s">
        <v>5532</v>
      </c>
      <c r="AB348" s="0" t="s">
        <v>5530</v>
      </c>
      <c r="AC348" s="0" t="s">
        <v>62</v>
      </c>
      <c r="AD348" s="0" t="s">
        <v>19</v>
      </c>
      <c r="AE348" s="0" t="s">
        <v>19</v>
      </c>
      <c r="AF348" s="0" t="s">
        <v>2088</v>
      </c>
      <c r="AG348" s="0" t="s">
        <v>5533</v>
      </c>
      <c r="AH348" s="0" t="s">
        <v>22</v>
      </c>
      <c r="AI348" s="0" t="s">
        <v>22</v>
      </c>
      <c r="AJ348" s="0" t="s">
        <v>22</v>
      </c>
      <c r="AK348" s="0" t="s">
        <v>22</v>
      </c>
      <c r="AL348" s="0" t="s">
        <v>4804</v>
      </c>
    </row>
    <row customHeight="1" ht="11.25">
      <c r="A349" s="0" t="s">
        <v>22</v>
      </c>
      <c r="B349" s="0" t="s">
        <v>48</v>
      </c>
      <c r="C349" s="0" t="s">
        <v>50</v>
      </c>
      <c r="D349" s="0" t="s">
        <v>22</v>
      </c>
      <c r="E349" s="0" t="s">
        <v>5534</v>
      </c>
      <c r="F349" s="0" t="s">
        <v>5058</v>
      </c>
      <c r="G349" s="0" t="s">
        <v>182</v>
      </c>
      <c r="H349" s="0" t="s">
        <v>182</v>
      </c>
      <c r="I349" s="0" t="s">
        <v>183</v>
      </c>
      <c r="J349" s="0" t="s">
        <v>5527</v>
      </c>
      <c r="K349" s="0" t="s">
        <v>5528</v>
      </c>
      <c r="L349" s="0" t="s">
        <v>5535</v>
      </c>
      <c r="M349" s="0" t="s">
        <v>4829</v>
      </c>
      <c r="N349" s="0" t="s">
        <v>210</v>
      </c>
      <c r="O349" s="0" t="s">
        <v>182</v>
      </c>
      <c r="P349" s="0" t="s">
        <v>182</v>
      </c>
      <c r="Q349" s="0" t="s">
        <v>183</v>
      </c>
      <c r="R349" s="0" t="s">
        <v>5527</v>
      </c>
      <c r="S349" s="0" t="s">
        <v>5528</v>
      </c>
      <c r="T349" s="0" t="s">
        <v>4795</v>
      </c>
      <c r="U349" s="0" t="s">
        <v>4796</v>
      </c>
      <c r="V349" s="0" t="s">
        <v>5536</v>
      </c>
      <c r="W349" s="0" t="s">
        <v>4798</v>
      </c>
      <c r="X349" s="0" t="s">
        <v>4799</v>
      </c>
      <c r="Y349" s="0" t="s">
        <v>4796</v>
      </c>
      <c r="Z349" s="0" t="s">
        <v>5537</v>
      </c>
      <c r="AA349" s="0" t="s">
        <v>5264</v>
      </c>
      <c r="AB349" s="0" t="s">
        <v>5536</v>
      </c>
      <c r="AC349" s="0" t="s">
        <v>62</v>
      </c>
      <c r="AD349" s="0" t="s">
        <v>19</v>
      </c>
      <c r="AE349" s="0" t="s">
        <v>19</v>
      </c>
      <c r="AF349" s="0" t="s">
        <v>4948</v>
      </c>
      <c r="AG349" s="0" t="s">
        <v>5538</v>
      </c>
      <c r="AH349" s="0" t="s">
        <v>22</v>
      </c>
      <c r="AI349" s="0" t="s">
        <v>22</v>
      </c>
      <c r="AJ349" s="0" t="s">
        <v>22</v>
      </c>
      <c r="AK349" s="0" t="s">
        <v>22</v>
      </c>
      <c r="AL349" s="0" t="s">
        <v>4804</v>
      </c>
    </row>
    <row customHeight="1" ht="11.25">
      <c r="A350" s="0" t="s">
        <v>22</v>
      </c>
      <c r="B350" s="0" t="s">
        <v>48</v>
      </c>
      <c r="C350" s="0" t="s">
        <v>50</v>
      </c>
      <c r="D350" s="0" t="s">
        <v>22</v>
      </c>
      <c r="E350" s="0" t="s">
        <v>5534</v>
      </c>
      <c r="F350" s="0" t="s">
        <v>5058</v>
      </c>
      <c r="G350" s="0" t="s">
        <v>182</v>
      </c>
      <c r="H350" s="0" t="s">
        <v>182</v>
      </c>
      <c r="I350" s="0" t="s">
        <v>183</v>
      </c>
      <c r="J350" s="0" t="s">
        <v>5527</v>
      </c>
      <c r="K350" s="0" t="s">
        <v>5528</v>
      </c>
      <c r="L350" s="0" t="s">
        <v>5535</v>
      </c>
      <c r="M350" s="0" t="s">
        <v>4829</v>
      </c>
      <c r="N350" s="0" t="s">
        <v>210</v>
      </c>
      <c r="O350" s="0" t="s">
        <v>182</v>
      </c>
      <c r="P350" s="0" t="s">
        <v>182</v>
      </c>
      <c r="Q350" s="0" t="s">
        <v>183</v>
      </c>
      <c r="R350" s="0" t="s">
        <v>5527</v>
      </c>
      <c r="S350" s="0" t="s">
        <v>5528</v>
      </c>
      <c r="T350" s="0" t="s">
        <v>4795</v>
      </c>
      <c r="U350" s="0" t="s">
        <v>4796</v>
      </c>
      <c r="V350" s="0" t="s">
        <v>5539</v>
      </c>
      <c r="W350" s="0" t="s">
        <v>4798</v>
      </c>
      <c r="X350" s="0" t="s">
        <v>4799</v>
      </c>
      <c r="Y350" s="0" t="s">
        <v>4796</v>
      </c>
      <c r="Z350" s="0" t="s">
        <v>5540</v>
      </c>
      <c r="AA350" s="0" t="s">
        <v>4807</v>
      </c>
      <c r="AB350" s="0" t="s">
        <v>5539</v>
      </c>
      <c r="AC350" s="0" t="s">
        <v>62</v>
      </c>
      <c r="AD350" s="0" t="s">
        <v>19</v>
      </c>
      <c r="AE350" s="0" t="s">
        <v>19</v>
      </c>
      <c r="AF350" s="0" t="s">
        <v>4948</v>
      </c>
      <c r="AG350" s="0" t="s">
        <v>5538</v>
      </c>
      <c r="AH350" s="0" t="s">
        <v>22</v>
      </c>
      <c r="AI350" s="0" t="s">
        <v>22</v>
      </c>
      <c r="AJ350" s="0" t="s">
        <v>22</v>
      </c>
      <c r="AK350" s="0" t="s">
        <v>22</v>
      </c>
      <c r="AL350" s="0" t="s">
        <v>4804</v>
      </c>
    </row>
    <row customHeight="1" ht="11.25">
      <c r="A351" s="0" t="s">
        <v>22</v>
      </c>
      <c r="B351" s="0" t="s">
        <v>48</v>
      </c>
      <c r="C351" s="0" t="s">
        <v>50</v>
      </c>
      <c r="D351" s="0" t="s">
        <v>22</v>
      </c>
      <c r="E351" s="0" t="s">
        <v>5541</v>
      </c>
      <c r="F351" s="0" t="s">
        <v>5058</v>
      </c>
      <c r="G351" s="0" t="s">
        <v>187</v>
      </c>
      <c r="H351" s="0" t="s">
        <v>187</v>
      </c>
      <c r="I351" s="0" t="s">
        <v>188</v>
      </c>
      <c r="J351" s="0" t="s">
        <v>5542</v>
      </c>
      <c r="K351" s="0" t="s">
        <v>5543</v>
      </c>
      <c r="L351" s="0" t="s">
        <v>5544</v>
      </c>
      <c r="M351" s="0" t="s">
        <v>1355</v>
      </c>
      <c r="N351" s="0" t="s">
        <v>210</v>
      </c>
      <c r="O351" s="0" t="s">
        <v>187</v>
      </c>
      <c r="P351" s="0" t="s">
        <v>187</v>
      </c>
      <c r="Q351" s="0" t="s">
        <v>188</v>
      </c>
      <c r="R351" s="0" t="s">
        <v>5542</v>
      </c>
      <c r="S351" s="0" t="s">
        <v>5543</v>
      </c>
      <c r="T351" s="0" t="s">
        <v>4795</v>
      </c>
      <c r="U351" s="0" t="s">
        <v>4796</v>
      </c>
      <c r="V351" s="0" t="s">
        <v>5545</v>
      </c>
      <c r="W351" s="0" t="s">
        <v>4798</v>
      </c>
      <c r="X351" s="0" t="s">
        <v>4799</v>
      </c>
      <c r="Y351" s="0" t="s">
        <v>4796</v>
      </c>
      <c r="Z351" s="0" t="s">
        <v>5546</v>
      </c>
      <c r="AA351" s="0" t="s">
        <v>4807</v>
      </c>
      <c r="AB351" s="0" t="s">
        <v>5545</v>
      </c>
      <c r="AC351" s="0" t="s">
        <v>62</v>
      </c>
      <c r="AD351" s="0" t="s">
        <v>19</v>
      </c>
      <c r="AE351" s="0" t="s">
        <v>19</v>
      </c>
      <c r="AF351" s="0" t="s">
        <v>5547</v>
      </c>
      <c r="AG351" s="0" t="s">
        <v>5050</v>
      </c>
      <c r="AH351" s="0" t="s">
        <v>22</v>
      </c>
      <c r="AI351" s="0" t="s">
        <v>22</v>
      </c>
      <c r="AJ351" s="0" t="s">
        <v>22</v>
      </c>
      <c r="AK351" s="0" t="s">
        <v>22</v>
      </c>
      <c r="AL351" s="0" t="s">
        <v>4804</v>
      </c>
    </row>
    <row customHeight="1" ht="11.25">
      <c r="A352" s="0" t="s">
        <v>22</v>
      </c>
      <c r="B352" s="0" t="s">
        <v>48</v>
      </c>
      <c r="C352" s="0" t="s">
        <v>50</v>
      </c>
      <c r="D352" s="0" t="s">
        <v>22</v>
      </c>
      <c r="E352" s="0" t="s">
        <v>5541</v>
      </c>
      <c r="F352" s="0" t="s">
        <v>5058</v>
      </c>
      <c r="G352" s="0" t="s">
        <v>187</v>
      </c>
      <c r="H352" s="0" t="s">
        <v>187</v>
      </c>
      <c r="I352" s="0" t="s">
        <v>188</v>
      </c>
      <c r="J352" s="0" t="s">
        <v>5542</v>
      </c>
      <c r="K352" s="0" t="s">
        <v>5543</v>
      </c>
      <c r="L352" s="0" t="s">
        <v>5544</v>
      </c>
      <c r="M352" s="0" t="s">
        <v>1355</v>
      </c>
      <c r="N352" s="0" t="s">
        <v>210</v>
      </c>
      <c r="O352" s="0" t="s">
        <v>187</v>
      </c>
      <c r="P352" s="0" t="s">
        <v>187</v>
      </c>
      <c r="Q352" s="0" t="s">
        <v>188</v>
      </c>
      <c r="R352" s="0" t="s">
        <v>5542</v>
      </c>
      <c r="S352" s="0" t="s">
        <v>5543</v>
      </c>
      <c r="T352" s="0" t="s">
        <v>4795</v>
      </c>
      <c r="U352" s="0" t="s">
        <v>4796</v>
      </c>
      <c r="V352" s="0" t="s">
        <v>5548</v>
      </c>
      <c r="W352" s="0" t="s">
        <v>4798</v>
      </c>
      <c r="X352" s="0" t="s">
        <v>4799</v>
      </c>
      <c r="Y352" s="0" t="s">
        <v>4796</v>
      </c>
      <c r="Z352" s="0" t="s">
        <v>5549</v>
      </c>
      <c r="AA352" s="0" t="s">
        <v>5264</v>
      </c>
      <c r="AB352" s="0" t="s">
        <v>5548</v>
      </c>
      <c r="AC352" s="0" t="s">
        <v>62</v>
      </c>
      <c r="AD352" s="0" t="s">
        <v>19</v>
      </c>
      <c r="AE352" s="0" t="s">
        <v>19</v>
      </c>
      <c r="AF352" s="0" t="s">
        <v>5547</v>
      </c>
      <c r="AG352" s="0" t="s">
        <v>5050</v>
      </c>
      <c r="AH352" s="0" t="s">
        <v>22</v>
      </c>
      <c r="AI352" s="0" t="s">
        <v>22</v>
      </c>
      <c r="AJ352" s="0" t="s">
        <v>22</v>
      </c>
      <c r="AK352" s="0" t="s">
        <v>22</v>
      </c>
      <c r="AL352" s="0" t="s">
        <v>4804</v>
      </c>
    </row>
    <row customHeight="1" ht="11.25">
      <c r="A353" s="0" t="s">
        <v>22</v>
      </c>
      <c r="B353" s="0" t="s">
        <v>48</v>
      </c>
      <c r="C353" s="0" t="s">
        <v>50</v>
      </c>
      <c r="D353" s="0" t="s">
        <v>22</v>
      </c>
      <c r="E353" s="0" t="s">
        <v>5550</v>
      </c>
      <c r="F353" s="0" t="s">
        <v>1299</v>
      </c>
      <c r="G353" s="0" t="s">
        <v>192</v>
      </c>
      <c r="H353" s="0" t="s">
        <v>193</v>
      </c>
      <c r="I353" s="0" t="s">
        <v>194</v>
      </c>
      <c r="J353" s="0" t="s">
        <v>193</v>
      </c>
      <c r="K353" s="0" t="s">
        <v>5551</v>
      </c>
      <c r="L353" s="0" t="s">
        <v>5552</v>
      </c>
      <c r="M353" s="0" t="s">
        <v>1355</v>
      </c>
      <c r="N353" s="0" t="s">
        <v>210</v>
      </c>
      <c r="O353" s="0" t="s">
        <v>192</v>
      </c>
      <c r="P353" s="0" t="s">
        <v>193</v>
      </c>
      <c r="Q353" s="0" t="s">
        <v>194</v>
      </c>
      <c r="R353" s="0" t="s">
        <v>193</v>
      </c>
      <c r="S353" s="0" t="s">
        <v>5551</v>
      </c>
      <c r="T353" s="0" t="s">
        <v>4795</v>
      </c>
      <c r="U353" s="0" t="s">
        <v>5553</v>
      </c>
      <c r="V353" s="0" t="s">
        <v>5554</v>
      </c>
      <c r="W353" s="0" t="s">
        <v>4798</v>
      </c>
      <c r="X353" s="0" t="s">
        <v>5555</v>
      </c>
      <c r="Y353" s="0" t="s">
        <v>5389</v>
      </c>
      <c r="Z353" s="0" t="s">
        <v>5556</v>
      </c>
      <c r="AA353" s="0" t="s">
        <v>5557</v>
      </c>
      <c r="AB353" s="0" t="s">
        <v>5554</v>
      </c>
      <c r="AC353" s="0" t="s">
        <v>62</v>
      </c>
      <c r="AD353" s="0" t="s">
        <v>62</v>
      </c>
      <c r="AE353" s="0" t="s">
        <v>62</v>
      </c>
      <c r="AF353" s="0" t="s">
        <v>5558</v>
      </c>
      <c r="AG353" s="0" t="s">
        <v>5559</v>
      </c>
      <c r="AH353" s="0" t="s">
        <v>5558</v>
      </c>
      <c r="AI353" s="0" t="s">
        <v>5559</v>
      </c>
      <c r="AJ353" s="0" t="s">
        <v>5558</v>
      </c>
      <c r="AK353" s="0" t="s">
        <v>5559</v>
      </c>
      <c r="AL353" s="0" t="s">
        <v>4804</v>
      </c>
    </row>
    <row customHeight="1" ht="11.25">
      <c r="A354" s="0" t="s">
        <v>22</v>
      </c>
      <c r="B354" s="0" t="s">
        <v>48</v>
      </c>
      <c r="C354" s="0" t="s">
        <v>50</v>
      </c>
      <c r="D354" s="0" t="s">
        <v>22</v>
      </c>
      <c r="E354" s="0" t="s">
        <v>5550</v>
      </c>
      <c r="F354" s="0" t="s">
        <v>1299</v>
      </c>
      <c r="G354" s="0" t="s">
        <v>192</v>
      </c>
      <c r="H354" s="0" t="s">
        <v>193</v>
      </c>
      <c r="I354" s="0" t="s">
        <v>194</v>
      </c>
      <c r="J354" s="0" t="s">
        <v>193</v>
      </c>
      <c r="K354" s="0" t="s">
        <v>5551</v>
      </c>
      <c r="L354" s="0" t="s">
        <v>5552</v>
      </c>
      <c r="M354" s="0" t="s">
        <v>1355</v>
      </c>
      <c r="N354" s="0" t="s">
        <v>210</v>
      </c>
      <c r="O354" s="0" t="s">
        <v>192</v>
      </c>
      <c r="P354" s="0" t="s">
        <v>193</v>
      </c>
      <c r="Q354" s="0" t="s">
        <v>194</v>
      </c>
      <c r="R354" s="0" t="s">
        <v>193</v>
      </c>
      <c r="S354" s="0" t="s">
        <v>5551</v>
      </c>
      <c r="T354" s="0" t="s">
        <v>4795</v>
      </c>
      <c r="U354" s="0" t="s">
        <v>5553</v>
      </c>
      <c r="V354" s="0" t="s">
        <v>5554</v>
      </c>
      <c r="W354" s="0" t="s">
        <v>4798</v>
      </c>
      <c r="X354" s="0" t="s">
        <v>5555</v>
      </c>
      <c r="Y354" s="0" t="s">
        <v>5389</v>
      </c>
      <c r="Z354" s="0" t="s">
        <v>5556</v>
      </c>
      <c r="AA354" s="0" t="s">
        <v>5557</v>
      </c>
      <c r="AB354" s="0" t="s">
        <v>5554</v>
      </c>
      <c r="AC354" s="0" t="s">
        <v>62</v>
      </c>
      <c r="AD354" s="0" t="s">
        <v>62</v>
      </c>
      <c r="AE354" s="0" t="s">
        <v>62</v>
      </c>
      <c r="AF354" s="0" t="s">
        <v>5558</v>
      </c>
      <c r="AG354" s="0" t="s">
        <v>5559</v>
      </c>
      <c r="AH354" s="0" t="s">
        <v>5558</v>
      </c>
      <c r="AI354" s="0" t="s">
        <v>5559</v>
      </c>
      <c r="AJ354" s="0" t="s">
        <v>5558</v>
      </c>
      <c r="AK354" s="0" t="s">
        <v>5559</v>
      </c>
      <c r="AL354" s="0" t="s">
        <v>4804</v>
      </c>
    </row>
    <row customHeight="1" ht="11.25">
      <c r="A355" s="0" t="s">
        <v>22</v>
      </c>
      <c r="B355" s="0" t="s">
        <v>48</v>
      </c>
      <c r="C355" s="0" t="s">
        <v>50</v>
      </c>
      <c r="D355" s="0" t="s">
        <v>22</v>
      </c>
      <c r="E355" s="0" t="s">
        <v>5560</v>
      </c>
      <c r="F355" s="0" t="s">
        <v>5058</v>
      </c>
      <c r="G355" s="0" t="s">
        <v>192</v>
      </c>
      <c r="H355" s="0" t="s">
        <v>192</v>
      </c>
      <c r="I355" s="0" t="s">
        <v>198</v>
      </c>
      <c r="J355" s="0" t="s">
        <v>5561</v>
      </c>
      <c r="K355" s="0" t="s">
        <v>5562</v>
      </c>
      <c r="L355" s="0" t="s">
        <v>5563</v>
      </c>
      <c r="M355" s="0" t="s">
        <v>1355</v>
      </c>
      <c r="N355" s="0" t="s">
        <v>210</v>
      </c>
      <c r="O355" s="0" t="s">
        <v>192</v>
      </c>
      <c r="P355" s="0" t="s">
        <v>192</v>
      </c>
      <c r="Q355" s="0" t="s">
        <v>198</v>
      </c>
      <c r="R355" s="0" t="s">
        <v>5561</v>
      </c>
      <c r="S355" s="0" t="s">
        <v>5562</v>
      </c>
      <c r="T355" s="0" t="s">
        <v>4795</v>
      </c>
      <c r="U355" s="0" t="s">
        <v>4796</v>
      </c>
      <c r="V355" s="0" t="s">
        <v>5564</v>
      </c>
      <c r="W355" s="0" t="s">
        <v>4798</v>
      </c>
      <c r="X355" s="0" t="s">
        <v>4799</v>
      </c>
      <c r="Y355" s="0" t="s">
        <v>4796</v>
      </c>
      <c r="Z355" s="0" t="s">
        <v>5565</v>
      </c>
      <c r="AA355" s="0" t="s">
        <v>5264</v>
      </c>
      <c r="AB355" s="0" t="s">
        <v>5564</v>
      </c>
      <c r="AC355" s="0" t="s">
        <v>62</v>
      </c>
      <c r="AD355" s="0" t="s">
        <v>19</v>
      </c>
      <c r="AE355" s="0" t="s">
        <v>19</v>
      </c>
      <c r="AF355" s="0" t="s">
        <v>5566</v>
      </c>
      <c r="AG355" s="0" t="s">
        <v>5567</v>
      </c>
      <c r="AH355" s="0" t="s">
        <v>22</v>
      </c>
      <c r="AI355" s="0" t="s">
        <v>22</v>
      </c>
      <c r="AJ355" s="0" t="s">
        <v>22</v>
      </c>
      <c r="AK355" s="0" t="s">
        <v>22</v>
      </c>
      <c r="AL355" s="0" t="s">
        <v>4804</v>
      </c>
    </row>
    <row customHeight="1" ht="11.25">
      <c r="A356" s="0" t="s">
        <v>22</v>
      </c>
      <c r="B356" s="0" t="s">
        <v>48</v>
      </c>
      <c r="C356" s="0" t="s">
        <v>50</v>
      </c>
      <c r="D356" s="0" t="s">
        <v>22</v>
      </c>
      <c r="E356" s="0" t="s">
        <v>5560</v>
      </c>
      <c r="F356" s="0" t="s">
        <v>5058</v>
      </c>
      <c r="G356" s="0" t="s">
        <v>192</v>
      </c>
      <c r="H356" s="0" t="s">
        <v>192</v>
      </c>
      <c r="I356" s="0" t="s">
        <v>198</v>
      </c>
      <c r="J356" s="0" t="s">
        <v>5561</v>
      </c>
      <c r="K356" s="0" t="s">
        <v>5562</v>
      </c>
      <c r="L356" s="0" t="s">
        <v>5563</v>
      </c>
      <c r="M356" s="0" t="s">
        <v>1355</v>
      </c>
      <c r="N356" s="0" t="s">
        <v>210</v>
      </c>
      <c r="O356" s="0" t="s">
        <v>192</v>
      </c>
      <c r="P356" s="0" t="s">
        <v>192</v>
      </c>
      <c r="Q356" s="0" t="s">
        <v>198</v>
      </c>
      <c r="R356" s="0" t="s">
        <v>5561</v>
      </c>
      <c r="S356" s="0" t="s">
        <v>5562</v>
      </c>
      <c r="T356" s="0" t="s">
        <v>4795</v>
      </c>
      <c r="U356" s="0" t="s">
        <v>4796</v>
      </c>
      <c r="V356" s="0" t="s">
        <v>5564</v>
      </c>
      <c r="W356" s="0" t="s">
        <v>4798</v>
      </c>
      <c r="X356" s="0" t="s">
        <v>4799</v>
      </c>
      <c r="Y356" s="0" t="s">
        <v>4796</v>
      </c>
      <c r="Z356" s="0" t="s">
        <v>5568</v>
      </c>
      <c r="AA356" s="0" t="s">
        <v>4807</v>
      </c>
      <c r="AB356" s="0" t="s">
        <v>5564</v>
      </c>
      <c r="AC356" s="0" t="s">
        <v>62</v>
      </c>
      <c r="AD356" s="0" t="s">
        <v>19</v>
      </c>
      <c r="AE356" s="0" t="s">
        <v>19</v>
      </c>
      <c r="AF356" s="0" t="s">
        <v>5566</v>
      </c>
      <c r="AG356" s="0" t="s">
        <v>5567</v>
      </c>
      <c r="AH356" s="0" t="s">
        <v>22</v>
      </c>
      <c r="AI356" s="0" t="s">
        <v>22</v>
      </c>
      <c r="AJ356" s="0" t="s">
        <v>22</v>
      </c>
      <c r="AK356" s="0" t="s">
        <v>22</v>
      </c>
      <c r="AL356" s="0" t="s">
        <v>4804</v>
      </c>
    </row>
    <row customHeight="1" ht="11.25">
      <c r="A357" s="0" t="s">
        <v>22</v>
      </c>
      <c r="B357" s="0" t="s">
        <v>48</v>
      </c>
      <c r="C357" s="0" t="s">
        <v>50</v>
      </c>
      <c r="D357" s="0" t="s">
        <v>22</v>
      </c>
      <c r="E357" s="0" t="s">
        <v>5569</v>
      </c>
      <c r="F357" s="0" t="s">
        <v>1299</v>
      </c>
      <c r="G357" s="0" t="s">
        <v>192</v>
      </c>
      <c r="H357" s="0" t="s">
        <v>192</v>
      </c>
      <c r="I357" s="0" t="s">
        <v>198</v>
      </c>
      <c r="J357" s="0" t="s">
        <v>5561</v>
      </c>
      <c r="K357" s="0" t="s">
        <v>5562</v>
      </c>
      <c r="L357" s="0" t="s">
        <v>5570</v>
      </c>
      <c r="M357" s="0" t="s">
        <v>1355</v>
      </c>
      <c r="N357" s="0" t="s">
        <v>210</v>
      </c>
      <c r="O357" s="0" t="s">
        <v>192</v>
      </c>
      <c r="P357" s="0" t="s">
        <v>192</v>
      </c>
      <c r="Q357" s="0" t="s">
        <v>198</v>
      </c>
      <c r="R357" s="0" t="s">
        <v>5561</v>
      </c>
      <c r="S357" s="0" t="s">
        <v>5562</v>
      </c>
      <c r="T357" s="0" t="s">
        <v>4795</v>
      </c>
      <c r="U357" s="0" t="s">
        <v>4796</v>
      </c>
      <c r="V357" s="0" t="s">
        <v>5564</v>
      </c>
      <c r="W357" s="0" t="s">
        <v>4798</v>
      </c>
      <c r="X357" s="0" t="s">
        <v>4799</v>
      </c>
      <c r="Y357" s="0" t="s">
        <v>4796</v>
      </c>
      <c r="Z357" s="0" t="s">
        <v>5568</v>
      </c>
      <c r="AA357" s="0" t="s">
        <v>4807</v>
      </c>
      <c r="AB357" s="0" t="s">
        <v>5564</v>
      </c>
      <c r="AC357" s="0" t="s">
        <v>62</v>
      </c>
      <c r="AD357" s="0" t="s">
        <v>62</v>
      </c>
      <c r="AE357" s="0" t="s">
        <v>62</v>
      </c>
      <c r="AF357" s="0" t="s">
        <v>5566</v>
      </c>
      <c r="AG357" s="0" t="s">
        <v>5571</v>
      </c>
      <c r="AH357" s="0" t="s">
        <v>5566</v>
      </c>
      <c r="AI357" s="0" t="s">
        <v>5571</v>
      </c>
      <c r="AJ357" s="0" t="s">
        <v>5566</v>
      </c>
      <c r="AK357" s="0" t="s">
        <v>5571</v>
      </c>
      <c r="AL357" s="0" t="s">
        <v>4804</v>
      </c>
    </row>
    <row customHeight="1" ht="11.25">
      <c r="A358" s="0" t="s">
        <v>22</v>
      </c>
      <c r="B358" s="0" t="s">
        <v>48</v>
      </c>
      <c r="C358" s="0" t="s">
        <v>50</v>
      </c>
      <c r="D358" s="0" t="s">
        <v>22</v>
      </c>
      <c r="E358" s="0" t="s">
        <v>5569</v>
      </c>
      <c r="F358" s="0" t="s">
        <v>1299</v>
      </c>
      <c r="G358" s="0" t="s">
        <v>192</v>
      </c>
      <c r="H358" s="0" t="s">
        <v>192</v>
      </c>
      <c r="I358" s="0" t="s">
        <v>198</v>
      </c>
      <c r="J358" s="0" t="s">
        <v>5561</v>
      </c>
      <c r="K358" s="0" t="s">
        <v>5562</v>
      </c>
      <c r="L358" s="0" t="s">
        <v>5570</v>
      </c>
      <c r="M358" s="0" t="s">
        <v>1355</v>
      </c>
      <c r="N358" s="0" t="s">
        <v>210</v>
      </c>
      <c r="O358" s="0" t="s">
        <v>192</v>
      </c>
      <c r="P358" s="0" t="s">
        <v>192</v>
      </c>
      <c r="Q358" s="0" t="s">
        <v>198</v>
      </c>
      <c r="R358" s="0" t="s">
        <v>5561</v>
      </c>
      <c r="S358" s="0" t="s">
        <v>5562</v>
      </c>
      <c r="T358" s="0" t="s">
        <v>4795</v>
      </c>
      <c r="U358" s="0" t="s">
        <v>4796</v>
      </c>
      <c r="V358" s="0" t="s">
        <v>5564</v>
      </c>
      <c r="W358" s="0" t="s">
        <v>4798</v>
      </c>
      <c r="X358" s="0" t="s">
        <v>4799</v>
      </c>
      <c r="Y358" s="0" t="s">
        <v>4796</v>
      </c>
      <c r="Z358" s="0" t="s">
        <v>5565</v>
      </c>
      <c r="AA358" s="0" t="s">
        <v>5264</v>
      </c>
      <c r="AB358" s="0" t="s">
        <v>5564</v>
      </c>
      <c r="AC358" s="0" t="s">
        <v>62</v>
      </c>
      <c r="AD358" s="0" t="s">
        <v>62</v>
      </c>
      <c r="AE358" s="0" t="s">
        <v>62</v>
      </c>
      <c r="AF358" s="0" t="s">
        <v>5566</v>
      </c>
      <c r="AG358" s="0" t="s">
        <v>5571</v>
      </c>
      <c r="AH358" s="0" t="s">
        <v>5566</v>
      </c>
      <c r="AI358" s="0" t="s">
        <v>5571</v>
      </c>
      <c r="AJ358" s="0" t="s">
        <v>5566</v>
      </c>
      <c r="AK358" s="0" t="s">
        <v>5571</v>
      </c>
      <c r="AL358" s="0" t="s">
        <v>4804</v>
      </c>
    </row>
    <row customHeight="1" ht="11.25">
      <c r="A359" s="0" t="s">
        <v>22</v>
      </c>
      <c r="B359" s="0" t="s">
        <v>48</v>
      </c>
      <c r="C359" s="0" t="s">
        <v>50</v>
      </c>
      <c r="D359" s="0" t="s">
        <v>22</v>
      </c>
      <c r="E359" s="0" t="s">
        <v>1409</v>
      </c>
      <c r="F359" s="0" t="s">
        <v>1299</v>
      </c>
      <c r="G359" s="0" t="s">
        <v>202</v>
      </c>
      <c r="H359" s="0" t="s">
        <v>202</v>
      </c>
      <c r="I359" s="0" t="s">
        <v>203</v>
      </c>
      <c r="J359" s="0" t="s">
        <v>1410</v>
      </c>
      <c r="K359" s="0" t="s">
        <v>1411</v>
      </c>
      <c r="L359" s="0" t="s">
        <v>1412</v>
      </c>
      <c r="M359" s="0" t="s">
        <v>1355</v>
      </c>
      <c r="N359" s="0" t="s">
        <v>210</v>
      </c>
      <c r="O359" s="0" t="s">
        <v>202</v>
      </c>
      <c r="P359" s="0" t="s">
        <v>202</v>
      </c>
      <c r="Q359" s="0" t="s">
        <v>203</v>
      </c>
      <c r="R359" s="0" t="s">
        <v>1410</v>
      </c>
      <c r="S359" s="0" t="s">
        <v>1411</v>
      </c>
      <c r="T359" s="0" t="s">
        <v>4795</v>
      </c>
      <c r="U359" s="0" t="s">
        <v>4796</v>
      </c>
      <c r="V359" s="0" t="s">
        <v>5572</v>
      </c>
      <c r="W359" s="0" t="s">
        <v>4798</v>
      </c>
      <c r="X359" s="0" t="s">
        <v>4799</v>
      </c>
      <c r="Y359" s="0" t="s">
        <v>4796</v>
      </c>
      <c r="Z359" s="0" t="s">
        <v>5573</v>
      </c>
      <c r="AA359" s="0" t="s">
        <v>4807</v>
      </c>
      <c r="AB359" s="0" t="s">
        <v>5572</v>
      </c>
      <c r="AC359" s="0" t="s">
        <v>62</v>
      </c>
      <c r="AD359" s="0" t="s">
        <v>62</v>
      </c>
      <c r="AE359" s="0" t="s">
        <v>62</v>
      </c>
      <c r="AF359" s="0" t="s">
        <v>5285</v>
      </c>
      <c r="AG359" s="0" t="s">
        <v>5574</v>
      </c>
      <c r="AH359" s="0" t="s">
        <v>5285</v>
      </c>
      <c r="AI359" s="0" t="s">
        <v>5574</v>
      </c>
      <c r="AJ359" s="0" t="s">
        <v>5285</v>
      </c>
      <c r="AK359" s="0" t="s">
        <v>5574</v>
      </c>
      <c r="AL359" s="0" t="s">
        <v>4804</v>
      </c>
    </row>
    <row customHeight="1" ht="11.25">
      <c r="A360" s="0" t="s">
        <v>22</v>
      </c>
      <c r="B360" s="0" t="s">
        <v>48</v>
      </c>
      <c r="C360" s="0" t="s">
        <v>50</v>
      </c>
      <c r="D360" s="0" t="s">
        <v>22</v>
      </c>
      <c r="E360" s="0" t="s">
        <v>1409</v>
      </c>
      <c r="F360" s="0" t="s">
        <v>1299</v>
      </c>
      <c r="G360" s="0" t="s">
        <v>202</v>
      </c>
      <c r="H360" s="0" t="s">
        <v>202</v>
      </c>
      <c r="I360" s="0" t="s">
        <v>203</v>
      </c>
      <c r="J360" s="0" t="s">
        <v>1410</v>
      </c>
      <c r="K360" s="0" t="s">
        <v>1411</v>
      </c>
      <c r="L360" s="0" t="s">
        <v>1412</v>
      </c>
      <c r="M360" s="0" t="s">
        <v>1355</v>
      </c>
      <c r="N360" s="0" t="s">
        <v>210</v>
      </c>
      <c r="O360" s="0" t="s">
        <v>202</v>
      </c>
      <c r="P360" s="0" t="s">
        <v>202</v>
      </c>
      <c r="Q360" s="0" t="s">
        <v>203</v>
      </c>
      <c r="R360" s="0" t="s">
        <v>1410</v>
      </c>
      <c r="S360" s="0" t="s">
        <v>1411</v>
      </c>
      <c r="T360" s="0" t="s">
        <v>4795</v>
      </c>
      <c r="U360" s="0" t="s">
        <v>4796</v>
      </c>
      <c r="V360" s="0" t="s">
        <v>5575</v>
      </c>
      <c r="W360" s="0" t="s">
        <v>4798</v>
      </c>
      <c r="X360" s="0" t="s">
        <v>4799</v>
      </c>
      <c r="Y360" s="0" t="s">
        <v>4796</v>
      </c>
      <c r="Z360" s="0" t="s">
        <v>5576</v>
      </c>
      <c r="AA360" s="0" t="s">
        <v>5264</v>
      </c>
      <c r="AB360" s="0" t="s">
        <v>5575</v>
      </c>
      <c r="AC360" s="0" t="s">
        <v>62</v>
      </c>
      <c r="AD360" s="0" t="s">
        <v>62</v>
      </c>
      <c r="AE360" s="0" t="s">
        <v>62</v>
      </c>
      <c r="AF360" s="0" t="s">
        <v>5285</v>
      </c>
      <c r="AG360" s="0" t="s">
        <v>5574</v>
      </c>
      <c r="AH360" s="0" t="s">
        <v>5285</v>
      </c>
      <c r="AI360" s="0" t="s">
        <v>5574</v>
      </c>
      <c r="AJ360" s="0" t="s">
        <v>5285</v>
      </c>
      <c r="AK360" s="0" t="s">
        <v>5574</v>
      </c>
      <c r="AL360" s="0" t="s">
        <v>4804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DC583C-3CB8-7A28-F65A-E8B57EC1AB9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7464" width="9.140625" hidden="1" customWidth="1"/>
    <col min="2" max="2" style="7213" width="9.140625" hidden="1" customWidth="1"/>
    <col min="3" max="3" style="7736" width="3.00390625" customWidth="1"/>
    <col min="4" max="4" style="7213" width="5.00390625" customWidth="1"/>
    <col min="5" max="5" style="7213" width="48.00390625" customWidth="1"/>
    <col min="6" max="6" style="7213" width="38.00390625" customWidth="1"/>
    <col min="7" max="7" style="7213" width="1.7109375" hidden="1" customWidth="1"/>
    <col min="8" max="11" style="7213" width="19.8515625" customWidth="1"/>
    <col min="12" max="12" style="7213" width="9.7109375" customWidth="1"/>
    <col min="13" max="18" style="7213" width="19.8515625" customWidth="1"/>
    <col min="19" max="19" style="7213" width="1.7109375" hidden="1" customWidth="1"/>
    <col min="20" max="22" style="7213" width="19.8515625" hidden="1" customWidth="1"/>
    <col min="23" max="23" style="7213" width="1.7109375" hidden="1" customWidth="1"/>
    <col min="24" max="26" style="7213" width="19.8515625" hidden="1" customWidth="1"/>
    <col min="27" max="27" style="7213" width="1.7109375" hidden="1" customWidth="1"/>
    <col min="28" max="29" style="7213" width="19.8515625" hidden="1" customWidth="1"/>
    <col min="30" max="30" style="7213" width="1.7109375" hidden="1" customWidth="1"/>
    <col min="31" max="31" style="7213" width="103.7109375" customWidth="1"/>
    <col min="32" max="34" style="7213" width="103.7109375" hidden="1" customWidth="1"/>
    <col min="35" max="35" style="6033" width="3.00390625" customWidth="1"/>
    <col min="36" max="38" style="6698" width="10.00390625" customWidth="1"/>
    <col min="39" max="39" style="6698" width="13.7109375" hidden="1" customWidth="1"/>
    <col min="40" max="40" style="6698" width="15.00390625" customWidth="1"/>
    <col min="41" max="41" style="6698" width="16.00390625" customWidth="1"/>
    <col min="42" max="45" style="6698" width="10.00390625" customWidth="1"/>
    <col min="46" max="46" style="7213" width="10.57421875" hidden="1"/>
  </cols>
  <sheetData>
    <row customHeight="1" ht="22.5" hidden="1">
      <c r="E1" s="536"/>
      <c r="F1" s="536"/>
      <c r="G1" s="536"/>
      <c r="H1" s="2354" t="s">
        <v>464</v>
      </c>
      <c r="I1" s="2354"/>
      <c r="J1" s="2354"/>
      <c r="K1" s="2354"/>
      <c r="L1" s="2354"/>
      <c r="M1" s="2354"/>
      <c r="N1" s="2354"/>
      <c r="O1" s="2354"/>
      <c r="P1" s="2354"/>
      <c r="Q1" s="2354"/>
      <c r="R1" s="2354"/>
      <c r="T1" s="2354" t="s">
        <v>465</v>
      </c>
      <c r="U1" s="2354"/>
      <c r="V1" s="2354"/>
      <c r="X1" s="2354" t="s">
        <v>466</v>
      </c>
      <c r="Y1" s="2354"/>
      <c r="Z1" s="2354"/>
      <c r="AB1" s="2354" t="s">
        <v>467</v>
      </c>
      <c r="AC1" s="2354"/>
      <c r="AT1" s="571" t="s">
        <v>14</v>
      </c>
    </row>
    <row customHeight="1" ht="14.25" hidden="1">
      <c r="AT2" s="571">
        <v>0</v>
      </c>
    </row>
    <row s="6048" customFormat="1" customHeight="1" ht="5.25">
      <c r="C3" s="825"/>
      <c r="D3" s="826"/>
      <c r="E3" s="826"/>
      <c r="F3" s="826"/>
      <c r="G3" s="826"/>
      <c r="H3" s="826" t="s">
        <v>468</v>
      </c>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J3" s="635"/>
      <c r="AK3" s="635"/>
      <c r="AL3" s="635"/>
      <c r="AM3" s="635"/>
      <c r="AN3" s="635"/>
      <c r="AO3" s="635"/>
      <c r="AP3" s="635"/>
      <c r="AQ3" s="635"/>
      <c r="AR3" s="635"/>
      <c r="AS3" s="635"/>
      <c r="AT3" s="824">
        <v>5</v>
      </c>
    </row>
    <row customHeight="1" ht="39.75">
      <c r="C4" s="574"/>
      <c r="D4" s="22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5"/>
      <c r="F4" s="2295"/>
      <c r="G4" s="2295"/>
      <c r="H4" s="2295"/>
      <c r="I4" s="2295"/>
      <c r="J4" s="2295"/>
      <c r="K4" s="2295"/>
      <c r="L4" s="2295"/>
      <c r="M4" s="2295"/>
      <c r="N4" s="2295"/>
      <c r="O4" s="2295"/>
      <c r="P4" s="2295"/>
      <c r="Q4" s="2295"/>
      <c r="R4" s="2296"/>
      <c r="S4" s="977"/>
      <c r="T4" s="823"/>
      <c r="U4" s="823"/>
      <c r="V4" s="823"/>
      <c r="W4" s="823"/>
      <c r="X4" s="823"/>
      <c r="Y4" s="823"/>
      <c r="Z4" s="823"/>
      <c r="AA4" s="823"/>
      <c r="AB4" s="823"/>
      <c r="AC4" s="823"/>
      <c r="AD4" s="823"/>
      <c r="AE4" s="615"/>
      <c r="AF4" s="615"/>
      <c r="AG4" s="615"/>
      <c r="AH4" s="615"/>
      <c r="AI4" s="612"/>
      <c r="AT4" s="571">
        <v>38</v>
      </c>
    </row>
    <row s="7213" customFormat="1" customHeight="1" ht="18">
      <c r="A5" s="883"/>
      <c r="C5" s="946"/>
      <c r="D5" s="2351" t="str">
        <f>IF(org=0,"Не определено",org)</f>
        <v>ООО "СамРЭК-Эксплуатация"</v>
      </c>
      <c r="E5" s="2352"/>
      <c r="F5" s="2352"/>
      <c r="G5" s="2352"/>
      <c r="H5" s="2352"/>
      <c r="I5" s="2352"/>
      <c r="J5" s="2352"/>
      <c r="K5" s="2352"/>
      <c r="L5" s="2352"/>
      <c r="M5" s="2352"/>
      <c r="N5" s="2352"/>
      <c r="O5" s="2352"/>
      <c r="P5" s="2352"/>
      <c r="Q5" s="2352"/>
      <c r="R5" s="2353"/>
      <c r="S5" s="977"/>
      <c r="T5" s="823"/>
      <c r="U5" s="823"/>
      <c r="V5" s="823"/>
      <c r="W5" s="823"/>
      <c r="X5" s="823"/>
      <c r="Y5" s="823"/>
      <c r="Z5" s="823"/>
      <c r="AA5" s="823"/>
      <c r="AB5" s="823"/>
      <c r="AC5" s="823"/>
      <c r="AD5" s="823"/>
      <c r="AE5" s="615"/>
      <c r="AF5" s="615"/>
      <c r="AG5" s="615"/>
      <c r="AH5" s="615"/>
      <c r="AI5" s="612"/>
      <c r="AJ5" s="635"/>
      <c r="AK5" s="635"/>
      <c r="AL5" s="635"/>
      <c r="AM5" s="635"/>
      <c r="AN5" s="635"/>
      <c r="AO5" s="635"/>
      <c r="AP5" s="635"/>
      <c r="AQ5" s="635"/>
      <c r="AR5" s="635"/>
      <c r="AS5" s="635"/>
      <c r="AT5" s="882">
        <v>17</v>
      </c>
    </row>
    <row s="6053" customFormat="1" customHeight="1" ht="11.549999999999999">
      <c r="A6" s="603"/>
      <c r="C6" s="610"/>
      <c r="D6" s="609"/>
      <c r="E6" s="609"/>
      <c r="F6" s="609"/>
      <c r="G6" s="609"/>
      <c r="H6" s="609"/>
      <c r="I6" s="609"/>
      <c r="J6" s="609"/>
      <c r="K6" s="609"/>
      <c r="L6" s="609"/>
      <c r="M6" s="609"/>
      <c r="N6" s="609"/>
      <c r="O6" s="609"/>
      <c r="P6" s="609"/>
      <c r="Q6" s="609"/>
      <c r="R6" s="876"/>
      <c r="S6" s="876"/>
      <c r="T6" s="609"/>
      <c r="U6" s="609"/>
      <c r="V6" s="836"/>
      <c r="W6" s="836"/>
      <c r="X6" s="609"/>
      <c r="Y6" s="609"/>
      <c r="Z6" s="836"/>
      <c r="AA6" s="836"/>
      <c r="AB6" s="609"/>
      <c r="AC6" s="836"/>
      <c r="AD6" s="836"/>
      <c r="AE6" s="609"/>
      <c r="AF6" s="609"/>
      <c r="AG6" s="609"/>
      <c r="AH6" s="609"/>
      <c r="AJ6" s="613"/>
      <c r="AK6" s="613"/>
      <c r="AL6" s="613"/>
      <c r="AM6" s="613"/>
      <c r="AN6" s="613"/>
      <c r="AO6" s="613"/>
      <c r="AP6" s="613"/>
      <c r="AQ6" s="613"/>
      <c r="AR6" s="613"/>
      <c r="AS6" s="613"/>
      <c r="AT6" s="604">
        <v>11</v>
      </c>
    </row>
    <row customHeight="1" ht="14.699999999999998">
      <c r="C7" s="574"/>
      <c r="D7" s="2355" t="s">
        <v>412</v>
      </c>
      <c r="E7" s="2356"/>
      <c r="F7" s="2356"/>
      <c r="G7" s="2356"/>
      <c r="H7" s="2356"/>
      <c r="I7" s="2356"/>
      <c r="J7" s="2356"/>
      <c r="K7" s="2356"/>
      <c r="L7" s="2356"/>
      <c r="M7" s="2356"/>
      <c r="N7" s="2356"/>
      <c r="O7" s="2356"/>
      <c r="P7" s="2356"/>
      <c r="Q7" s="2356"/>
      <c r="R7" s="2356"/>
      <c r="S7" s="2356"/>
      <c r="T7" s="2356"/>
      <c r="U7" s="2356"/>
      <c r="V7" s="2356"/>
      <c r="W7" s="2356"/>
      <c r="X7" s="2356"/>
      <c r="Y7" s="2356"/>
      <c r="Z7" s="2356"/>
      <c r="AA7" s="2356"/>
      <c r="AB7" s="2356"/>
      <c r="AC7" s="2356"/>
      <c r="AD7" s="2357"/>
      <c r="AE7" s="2360" t="s">
        <v>413</v>
      </c>
      <c r="AF7" s="2360" t="s">
        <v>413</v>
      </c>
      <c r="AG7" s="2360" t="s">
        <v>413</v>
      </c>
      <c r="AH7" s="2360" t="s">
        <v>413</v>
      </c>
      <c r="AT7" s="571">
        <v>14</v>
      </c>
    </row>
    <row customHeight="1" ht="27.299999999999997">
      <c r="C8" s="574"/>
      <c r="D8" s="2264" t="s">
        <v>88</v>
      </c>
      <c r="E8" s="2360" t="str">
        <f>"Наименование "&amp;IF(TEMPLATE_SPHERE&lt;&gt;"HEAT","централизованной ","")&amp;"системы "&amp;TEMPLATE_SPHERE_RUS</f>
        <v>Наименование системы теплоснабжения</v>
      </c>
      <c r="F8" s="2360" t="str">
        <f>IF(TEMPLATE_SPHERE&lt;&gt;"HEAT","Регулируемый вид деятельности","Вид регулируемой деятельности")</f>
        <v>Вид регулируемой деятельности</v>
      </c>
      <c r="G8" s="952"/>
      <c r="H8" s="2361" t="s">
        <v>469</v>
      </c>
      <c r="I8" s="2363" t="s">
        <v>470</v>
      </c>
      <c r="J8" s="2360" t="s">
        <v>471</v>
      </c>
      <c r="K8" s="2360"/>
      <c r="L8" s="2360"/>
      <c r="M8" s="2355"/>
      <c r="N8" s="2360" t="s">
        <v>472</v>
      </c>
      <c r="O8" s="2360"/>
      <c r="P8" s="2360" t="s">
        <v>473</v>
      </c>
      <c r="Q8" s="2360"/>
      <c r="R8" s="2367" t="s">
        <v>474</v>
      </c>
      <c r="S8" s="948"/>
      <c r="T8" s="2365" t="s">
        <v>475</v>
      </c>
      <c r="U8" s="2365" t="s">
        <v>476</v>
      </c>
      <c r="V8" s="2365" t="s">
        <v>477</v>
      </c>
      <c r="W8" s="950"/>
      <c r="X8" s="2365" t="s">
        <v>478</v>
      </c>
      <c r="Y8" s="2365" t="s">
        <v>479</v>
      </c>
      <c r="Z8" s="2365" t="s">
        <v>480</v>
      </c>
      <c r="AA8" s="950"/>
      <c r="AB8" s="2365" t="s">
        <v>481</v>
      </c>
      <c r="AC8" s="2365" t="s">
        <v>474</v>
      </c>
      <c r="AD8" s="950"/>
      <c r="AE8" s="2360"/>
      <c r="AF8" s="2360"/>
      <c r="AG8" s="2360"/>
      <c r="AH8" s="2360"/>
      <c r="AT8" s="571">
        <v>26</v>
      </c>
    </row>
    <row customHeight="1" ht="46.199999999999996">
      <c r="C9" s="574"/>
      <c r="D9" s="2264"/>
      <c r="E9" s="2360"/>
      <c r="F9" s="2360"/>
      <c r="G9" s="953"/>
      <c r="H9" s="2362"/>
      <c r="I9" s="2364"/>
      <c r="J9" s="549" t="s">
        <v>482</v>
      </c>
      <c r="K9" s="549" t="s">
        <v>483</v>
      </c>
      <c r="L9" s="549" t="s">
        <v>484</v>
      </c>
      <c r="M9" s="555" t="s">
        <v>485</v>
      </c>
      <c r="N9" s="549" t="s">
        <v>486</v>
      </c>
      <c r="O9" s="549" t="s">
        <v>485</v>
      </c>
      <c r="P9" s="549" t="s">
        <v>487</v>
      </c>
      <c r="Q9" s="549" t="s">
        <v>485</v>
      </c>
      <c r="R9" s="2368"/>
      <c r="S9" s="949"/>
      <c r="T9" s="2366"/>
      <c r="U9" s="2366"/>
      <c r="V9" s="2366"/>
      <c r="W9" s="951"/>
      <c r="X9" s="2366"/>
      <c r="Y9" s="2366"/>
      <c r="Z9" s="2366"/>
      <c r="AA9" s="951"/>
      <c r="AB9" s="2366"/>
      <c r="AC9" s="2366"/>
      <c r="AD9" s="951"/>
      <c r="AE9" s="2360"/>
      <c r="AF9" s="2360"/>
      <c r="AG9" s="2360"/>
      <c r="AH9" s="2360"/>
      <c r="AT9" s="571">
        <v>44</v>
      </c>
    </row>
    <row customHeight="1" ht="12" hidden="1">
      <c r="C10" s="611"/>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1"/>
      <c r="AP10" s="624"/>
      <c r="AQ10" s="624"/>
      <c r="AT10" s="571">
        <v>0</v>
      </c>
    </row>
    <row s="6292" customFormat="1" customHeight="1" ht="11.25" hidden="1">
      <c r="C11" s="622"/>
      <c r="D11" s="623" t="s">
        <v>488</v>
      </c>
      <c r="E11" s="623"/>
      <c r="F11" s="623"/>
      <c r="G11" s="623"/>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559"/>
      <c r="AF11" s="559"/>
      <c r="AG11" s="559"/>
      <c r="AH11" s="559"/>
      <c r="AJ11" s="613"/>
      <c r="AK11" s="613"/>
      <c r="AL11" s="613"/>
      <c r="AM11" s="613"/>
      <c r="AN11" s="613"/>
      <c r="AO11" s="613"/>
      <c r="AP11" s="613"/>
      <c r="AQ11" s="613"/>
      <c r="AR11" s="613"/>
      <c r="AS11" s="613"/>
      <c r="AT11" s="620">
        <v>0</v>
      </c>
    </row>
    <row customHeight="1" ht="14.699999999999998">
      <c r="A12" s="571"/>
      <c r="C12" s="574"/>
      <c r="D12" s="558" t="s">
        <v>210</v>
      </c>
      <c r="E12" s="1900" t="s">
        <v>22</v>
      </c>
      <c r="F12" s="979"/>
      <c r="G12" s="980"/>
      <c r="H12" s="1901"/>
      <c r="I12" s="1901"/>
      <c r="J12" s="557"/>
      <c r="K12" s="1984"/>
      <c r="L12" s="556"/>
      <c r="M12" s="1984"/>
      <c r="N12" s="557"/>
      <c r="O12" s="1984"/>
      <c r="P12" s="557"/>
      <c r="Q12" s="1984"/>
      <c r="R12" s="557"/>
      <c r="S12" s="978"/>
      <c r="T12" s="1901"/>
      <c r="U12" s="557"/>
      <c r="V12" s="557"/>
      <c r="W12" s="951"/>
      <c r="X12" s="1901"/>
      <c r="Y12" s="557"/>
      <c r="Z12" s="557"/>
      <c r="AA12" s="951"/>
      <c r="AB12" s="1901"/>
      <c r="AC12" s="557"/>
      <c r="AD12" s="951"/>
      <c r="AE12" s="2358" t="s">
        <v>489</v>
      </c>
      <c r="AF12" s="2358" t="s">
        <v>490</v>
      </c>
      <c r="AG12" s="2358" t="s">
        <v>491</v>
      </c>
      <c r="AH12" s="2358" t="s">
        <v>492</v>
      </c>
      <c r="AI12" s="571"/>
      <c r="AM12" s="635"/>
      <c r="AP12" s="624" t="s">
        <v>493</v>
      </c>
      <c r="AQ12" s="624" t="s">
        <v>493</v>
      </c>
      <c r="AT12" s="571">
        <v>14</v>
      </c>
    </row>
    <row customHeight="1" ht="18">
      <c r="A13" s="571"/>
      <c r="C13" s="574"/>
      <c r="D13" s="529"/>
      <c r="E13" s="993" t="str">
        <f>IF(TITLE_DIFFERENTIATION_TYPE="нет","","Добавить систему")</f>
        <v/>
      </c>
      <c r="F13" s="993" t="str">
        <f>IF(TITLE_DIFFERENTIATION_TYPE="нет","Добавить вид деятельности","")</f>
        <v>Добавить вид деятельности</v>
      </c>
      <c r="G13" s="437"/>
      <c r="H13" s="530"/>
      <c r="I13" s="530"/>
      <c r="J13" s="530"/>
      <c r="K13" s="530"/>
      <c r="L13" s="530"/>
      <c r="M13" s="530"/>
      <c r="N13" s="530"/>
      <c r="O13" s="530"/>
      <c r="P13" s="530"/>
      <c r="Q13" s="530"/>
      <c r="R13" s="530"/>
      <c r="S13" s="530"/>
      <c r="T13" s="530"/>
      <c r="U13" s="530"/>
      <c r="V13" s="530"/>
      <c r="W13" s="530"/>
      <c r="X13" s="530"/>
      <c r="Y13" s="530"/>
      <c r="Z13" s="530"/>
      <c r="AA13" s="530"/>
      <c r="AB13" s="530"/>
      <c r="AC13" s="530"/>
      <c r="AD13" s="981"/>
      <c r="AE13" s="2359"/>
      <c r="AF13" s="2359"/>
      <c r="AG13" s="2359"/>
      <c r="AH13" s="2359"/>
      <c r="AI13" s="571"/>
      <c r="AT13" s="571">
        <v>17</v>
      </c>
    </row>
    <row customHeight="1" ht="14.699999999999998">
      <c r="AI14" s="571"/>
      <c r="AT14" s="571">
        <v>14</v>
      </c>
    </row>
    <row customHeight="1" ht="14.699999999999998">
      <c r="E15" s="882"/>
      <c r="L15" s="882"/>
      <c r="AT15" s="571">
        <v>14</v>
      </c>
    </row>
    <row customHeight="1" ht="14.699999999999998">
      <c r="L16" s="882"/>
      <c r="AT16" s="571">
        <v>14</v>
      </c>
    </row>
    <row customHeight="1" ht="14.699999999999998">
      <c r="L17" s="882"/>
      <c r="AT17" s="571">
        <v>14</v>
      </c>
    </row>
    <row customHeight="1" ht="22.5" hidden="1">
      <c r="A18" s="573" t="s">
        <v>82</v>
      </c>
      <c r="B18" s="571">
        <v>0</v>
      </c>
      <c r="C18" s="575">
        <v>3</v>
      </c>
      <c r="D18" s="571">
        <v>5</v>
      </c>
      <c r="E18" s="571">
        <v>48</v>
      </c>
      <c r="F18" s="571">
        <v>38</v>
      </c>
      <c r="G18" s="882">
        <v>0</v>
      </c>
      <c r="H18" s="571">
        <v>0</v>
      </c>
      <c r="I18" s="571">
        <v>0</v>
      </c>
      <c r="J18" s="571">
        <v>0</v>
      </c>
      <c r="K18" s="571">
        <v>0</v>
      </c>
      <c r="L18" s="571">
        <v>0</v>
      </c>
      <c r="M18" s="571">
        <v>0</v>
      </c>
      <c r="N18" s="571">
        <v>0</v>
      </c>
      <c r="O18" s="571">
        <v>0</v>
      </c>
      <c r="P18" s="571">
        <v>0</v>
      </c>
      <c r="Q18" s="571">
        <v>0</v>
      </c>
      <c r="R18" s="571">
        <v>0</v>
      </c>
      <c r="S18" s="882">
        <v>0</v>
      </c>
      <c r="T18" s="629">
        <v>0</v>
      </c>
      <c r="U18" s="629">
        <v>0</v>
      </c>
      <c r="V18" s="629">
        <v>0</v>
      </c>
      <c r="W18" s="882">
        <v>0</v>
      </c>
      <c r="X18" s="629">
        <v>0</v>
      </c>
      <c r="Y18" s="629">
        <v>0</v>
      </c>
      <c r="Z18" s="629">
        <v>0</v>
      </c>
      <c r="AA18" s="882">
        <v>0</v>
      </c>
      <c r="AB18" s="629">
        <v>0</v>
      </c>
      <c r="AC18" s="629">
        <v>0</v>
      </c>
      <c r="AD18" s="882">
        <v>0</v>
      </c>
      <c r="AE18" s="571">
        <v>0</v>
      </c>
      <c r="AF18" s="629">
        <v>0</v>
      </c>
      <c r="AG18" s="629">
        <v>0</v>
      </c>
      <c r="AH18" s="629">
        <v>0</v>
      </c>
      <c r="AI18" s="576">
        <v>3</v>
      </c>
      <c r="AJ18" s="613">
        <v>10</v>
      </c>
      <c r="AK18" s="613">
        <v>10</v>
      </c>
      <c r="AL18" s="613">
        <v>10</v>
      </c>
      <c r="AM18" s="613">
        <v>0</v>
      </c>
      <c r="AN18" s="613">
        <v>15</v>
      </c>
      <c r="AO18" s="613">
        <v>16</v>
      </c>
      <c r="AP18" s="613">
        <v>10</v>
      </c>
      <c r="AQ18" s="613">
        <v>10</v>
      </c>
      <c r="AR18" s="613">
        <v>10</v>
      </c>
      <c r="AS18" s="613">
        <v>10</v>
      </c>
      <c r="AT18" s="57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6CC218-6CA8-ABAD-9B59-18F2024F1868}" mc:Ignorable="x14ac xr xr2 xr3">
  <sheetPr>
    <tabColor rgb="FFFFCC99"/>
  </sheetPr>
  <dimension ref="A1:B23"/>
  <sheetViews>
    <sheetView topLeftCell="A1" showGridLines="0" workbookViewId="0">
      <selection activeCell="A1" sqref="A1"/>
    </sheetView>
  </sheetViews>
  <sheetFormatPr defaultColWidth="9.140625" customHeight="1" defaultRowHeight="11.25"/>
  <cols>
    <col min="1" max="2" style="7942" width="9.140625"/>
  </cols>
  <sheetData>
    <row customHeight="1" ht="11.25">
      <c r="A1" s="307" t="s">
        <v>250</v>
      </c>
      <c r="B1" s="307" t="s">
        <v>5577</v>
      </c>
    </row>
    <row customHeight="1" ht="11.25">
      <c r="A2" s="7942" t="s">
        <v>98</v>
      </c>
      <c r="B2" s="7942" t="s">
        <v>5578</v>
      </c>
    </row>
    <row customHeight="1" ht="11.25">
      <c r="A3" s="7942" t="s">
        <v>104</v>
      </c>
      <c r="B3" s="7942" t="s">
        <v>5579</v>
      </c>
    </row>
    <row customHeight="1" ht="11.25">
      <c r="A4" s="7942" t="s">
        <v>108</v>
      </c>
      <c r="B4" s="7942" t="s">
        <v>5580</v>
      </c>
    </row>
    <row customHeight="1" ht="11.25">
      <c r="A5" s="7942" t="s">
        <v>112</v>
      </c>
      <c r="B5" s="7942" t="s">
        <v>5581</v>
      </c>
    </row>
    <row customHeight="1" ht="11.25">
      <c r="A6" s="7942" t="s">
        <v>117</v>
      </c>
      <c r="B6" s="7942" t="s">
        <v>5582</v>
      </c>
    </row>
    <row customHeight="1" ht="11.25">
      <c r="A7" s="7942" t="s">
        <v>121</v>
      </c>
      <c r="B7" s="7942" t="s">
        <v>5583</v>
      </c>
    </row>
    <row customHeight="1" ht="11.25">
      <c r="A8" s="7942" t="s">
        <v>125</v>
      </c>
      <c r="B8" s="7942" t="s">
        <v>5584</v>
      </c>
    </row>
    <row customHeight="1" ht="11.25">
      <c r="A9" s="7942" t="s">
        <v>130</v>
      </c>
      <c r="B9" s="7942" t="s">
        <v>5585</v>
      </c>
    </row>
    <row customHeight="1" ht="11.25">
      <c r="A10" s="7942" t="s">
        <v>135</v>
      </c>
      <c r="B10" s="7942" t="s">
        <v>5586</v>
      </c>
    </row>
    <row customHeight="1" ht="11.25">
      <c r="A11" s="7942" t="s">
        <v>140</v>
      </c>
      <c r="B11" s="7942" t="s">
        <v>5587</v>
      </c>
    </row>
    <row customHeight="1" ht="11.25">
      <c r="A12" s="7942" t="s">
        <v>145</v>
      </c>
      <c r="B12" s="7942" t="s">
        <v>5588</v>
      </c>
    </row>
    <row customHeight="1" ht="11.25">
      <c r="A13" s="7942" t="s">
        <v>150</v>
      </c>
      <c r="B13" s="7942" t="s">
        <v>5589</v>
      </c>
    </row>
    <row customHeight="1" ht="11.25">
      <c r="A14" s="7942" t="s">
        <v>155</v>
      </c>
      <c r="B14" s="7942" t="s">
        <v>5590</v>
      </c>
    </row>
    <row customHeight="1" ht="11.25">
      <c r="A15" s="7942" t="s">
        <v>160</v>
      </c>
      <c r="B15" s="7942" t="s">
        <v>5591</v>
      </c>
    </row>
    <row customHeight="1" ht="11.25">
      <c r="A16" s="7942" t="s">
        <v>165</v>
      </c>
      <c r="B16" s="7942" t="s">
        <v>5592</v>
      </c>
    </row>
    <row customHeight="1" ht="11.25">
      <c r="A17" s="7942" t="s">
        <v>170</v>
      </c>
      <c r="B17" s="7942" t="s">
        <v>5593</v>
      </c>
    </row>
    <row customHeight="1" ht="11.25">
      <c r="A18" s="7942" t="s">
        <v>175</v>
      </c>
      <c r="B18" s="7942" t="s">
        <v>5594</v>
      </c>
    </row>
    <row customHeight="1" ht="11.25">
      <c r="A19" s="7942" t="s">
        <v>180</v>
      </c>
      <c r="B19" s="7942" t="s">
        <v>5595</v>
      </c>
    </row>
    <row customHeight="1" ht="11.25">
      <c r="A20" s="7942" t="s">
        <v>185</v>
      </c>
      <c r="B20" s="7942" t="s">
        <v>5596</v>
      </c>
    </row>
    <row customHeight="1" ht="11.25">
      <c r="A21" s="7942" t="s">
        <v>190</v>
      </c>
      <c r="B21" s="7942" t="s">
        <v>5597</v>
      </c>
    </row>
    <row customHeight="1" ht="11.25">
      <c r="A22" s="7942" t="s">
        <v>196</v>
      </c>
      <c r="B22" s="7942" t="s">
        <v>5598</v>
      </c>
    </row>
    <row customHeight="1" ht="11.25">
      <c r="A23" s="7942" t="s">
        <v>200</v>
      </c>
      <c r="B23" s="7942" t="s">
        <v>5599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4C6E6C-9F55-F813-CDC8-D890283637A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50" width="9.140625"/>
    <col min="2" max="2" style="7950" width="65.28125" customWidth="1"/>
  </cols>
  <sheetData>
    <row customHeight="1" ht="11.25">
      <c r="A1" s="959" t="s">
        <v>5600</v>
      </c>
      <c r="B1" s="959" t="s">
        <v>5601</v>
      </c>
    </row>
    <row customHeight="1" ht="11.25">
      <c r="A2" s="959">
        <v>4213775</v>
      </c>
      <c r="B2" s="959" t="s">
        <v>1649</v>
      </c>
    </row>
    <row customHeight="1" ht="11.25">
      <c r="A3" s="959">
        <v>4213784</v>
      </c>
      <c r="B3" s="959" t="s">
        <v>1681</v>
      </c>
    </row>
    <row customHeight="1" ht="11.25">
      <c r="A4" s="959">
        <v>4213781</v>
      </c>
      <c r="B4" s="959" t="s">
        <v>1674</v>
      </c>
    </row>
    <row customHeight="1" ht="11.25">
      <c r="A5" s="959">
        <v>4213776</v>
      </c>
      <c r="B5" s="959" t="s">
        <v>280</v>
      </c>
    </row>
    <row customHeight="1" ht="11.25">
      <c r="A6" s="959">
        <v>4213777</v>
      </c>
      <c r="B6" s="959" t="s">
        <v>286</v>
      </c>
    </row>
    <row customHeight="1" ht="11.25">
      <c r="A7" s="959">
        <v>4213778</v>
      </c>
      <c r="B7" s="959" t="s">
        <v>292</v>
      </c>
    </row>
    <row customHeight="1" ht="11.25">
      <c r="A8" s="959">
        <v>4213780</v>
      </c>
      <c r="B8" s="959" t="s">
        <v>298</v>
      </c>
    </row>
    <row customHeight="1" ht="11.25">
      <c r="A9" s="959">
        <v>4213779</v>
      </c>
      <c r="B9" s="959" t="s">
        <v>1810</v>
      </c>
    </row>
    <row customHeight="1" ht="11.25">
      <c r="A10" s="959">
        <v>4213783</v>
      </c>
      <c r="B10" s="959" t="s">
        <v>1825</v>
      </c>
    </row>
    <row customHeight="1" ht="11.25">
      <c r="A11" s="959">
        <v>4213782</v>
      </c>
      <c r="B11" s="959" t="s">
        <v>304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C74BC8-905A-981C-F0F8-BBE6FFBAACD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7950" width="9.140625"/>
    <col min="2" max="2" style="7950" width="65.28125" customWidth="1"/>
  </cols>
  <sheetData>
    <row customHeight="1" ht="11.25">
      <c r="A1" s="959" t="s">
        <v>5600</v>
      </c>
      <c r="B1" s="959" t="s">
        <v>5602</v>
      </c>
    </row>
    <row customHeight="1" ht="11.25">
      <c r="A2" s="959" t="s">
        <v>216</v>
      </c>
      <c r="B2" s="959" t="s">
        <v>1917</v>
      </c>
    </row>
    <row customHeight="1" ht="11.25">
      <c r="A3" s="959" t="s">
        <v>5603</v>
      </c>
      <c r="B3" s="959" t="s">
        <v>1926</v>
      </c>
    </row>
    <row customHeight="1" ht="11.25">
      <c r="A4" s="959" t="s">
        <v>5604</v>
      </c>
      <c r="B4" s="959" t="s">
        <v>1934</v>
      </c>
    </row>
    <row customHeight="1" ht="11.25">
      <c r="A5" s="959" t="s">
        <v>5605</v>
      </c>
      <c r="B5" s="959" t="s">
        <v>1943</v>
      </c>
    </row>
    <row customHeight="1" ht="11.25">
      <c r="A6" s="959" t="s">
        <v>5606</v>
      </c>
      <c r="B6" s="959" t="s">
        <v>1948</v>
      </c>
    </row>
    <row customHeight="1" ht="11.25">
      <c r="A7" s="959" t="s">
        <v>5607</v>
      </c>
      <c r="B7" s="959" t="s">
        <v>1955</v>
      </c>
    </row>
    <row customHeight="1" ht="11.25">
      <c r="A8" s="959" t="s">
        <v>5608</v>
      </c>
      <c r="B8" s="959" t="s">
        <v>1961</v>
      </c>
    </row>
    <row customHeight="1" ht="11.25">
      <c r="A9" s="959" t="s">
        <v>5609</v>
      </c>
      <c r="B9" s="959" t="s">
        <v>1967</v>
      </c>
    </row>
    <row customHeight="1" ht="11.25">
      <c r="A10" s="959" t="s">
        <v>5610</v>
      </c>
      <c r="B10" s="959" t="s">
        <v>1971</v>
      </c>
    </row>
    <row customHeight="1" ht="11.25">
      <c r="A11" s="959" t="s">
        <v>5611</v>
      </c>
      <c r="B11" s="959" t="s">
        <v>1977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3EEA38-7226-E8E8-CE98-9E108DED3778}" mc:Ignorable="x14ac xr xr2 xr3">
  <sheetPr>
    <tabColor rgb="FFFFCC99"/>
  </sheetPr>
  <dimension ref="A1:G343"/>
  <sheetViews>
    <sheetView topLeftCell="A1" showGridLines="0" workbookViewId="0">
      <selection activeCell="A1" sqref="A1"/>
    </sheetView>
  </sheetViews>
  <sheetFormatPr customHeight="1" defaultRowHeight="11.25"/>
  <sheetData>
    <row customHeight="1" ht="11.25">
      <c r="A1" s="497" t="s">
        <v>3850</v>
      </c>
      <c r="B1" s="497" t="s">
        <v>3851</v>
      </c>
      <c r="C1" s="497" t="s">
        <v>3852</v>
      </c>
      <c r="D1" s="497" t="s">
        <v>3853</v>
      </c>
      <c r="E1" s="0" t="s">
        <v>3854</v>
      </c>
      <c r="F1" s="0" t="s">
        <v>3855</v>
      </c>
      <c r="G1" s="0" t="s">
        <v>3856</v>
      </c>
    </row>
    <row customHeight="1" ht="11.25">
      <c r="A2" s="0" t="s">
        <v>16</v>
      </c>
      <c r="B2" s="0" t="s">
        <v>3857</v>
      </c>
      <c r="C2" s="0" t="s">
        <v>3858</v>
      </c>
      <c r="D2" s="0" t="s">
        <v>3857</v>
      </c>
      <c r="E2" s="0" t="s">
        <v>3858</v>
      </c>
      <c r="F2" s="0" t="s">
        <v>3859</v>
      </c>
      <c r="G2" s="0" t="s">
        <v>210</v>
      </c>
    </row>
    <row customHeight="1" ht="11.25">
      <c r="A3" s="0" t="s">
        <v>16</v>
      </c>
      <c r="B3" s="0" t="s">
        <v>3857</v>
      </c>
      <c r="C3" s="0" t="s">
        <v>3858</v>
      </c>
      <c r="D3" s="0" t="s">
        <v>3860</v>
      </c>
      <c r="E3" s="0" t="s">
        <v>3861</v>
      </c>
      <c r="F3" s="0" t="s">
        <v>3862</v>
      </c>
      <c r="G3" s="0" t="s">
        <v>102</v>
      </c>
    </row>
    <row customHeight="1" ht="11.25">
      <c r="A4" s="0" t="s">
        <v>16</v>
      </c>
      <c r="B4" s="0" t="s">
        <v>3857</v>
      </c>
      <c r="C4" s="0" t="s">
        <v>3858</v>
      </c>
      <c r="D4" s="0" t="s">
        <v>3863</v>
      </c>
      <c r="E4" s="0" t="s">
        <v>3864</v>
      </c>
      <c r="F4" s="0" t="s">
        <v>3862</v>
      </c>
      <c r="G4" s="0" t="s">
        <v>90</v>
      </c>
    </row>
    <row customHeight="1" ht="11.25">
      <c r="A5" s="0" t="s">
        <v>16</v>
      </c>
      <c r="B5" s="0" t="s">
        <v>3857</v>
      </c>
      <c r="C5" s="0" t="s">
        <v>3858</v>
      </c>
      <c r="D5" s="0" t="s">
        <v>3865</v>
      </c>
      <c r="E5" s="0" t="s">
        <v>3866</v>
      </c>
      <c r="F5" s="0" t="s">
        <v>3862</v>
      </c>
      <c r="G5" s="0" t="s">
        <v>91</v>
      </c>
    </row>
    <row customHeight="1" ht="11.25">
      <c r="A6" s="0" t="s">
        <v>16</v>
      </c>
      <c r="B6" s="0" t="s">
        <v>3857</v>
      </c>
      <c r="C6" s="0" t="s">
        <v>3858</v>
      </c>
      <c r="D6" s="0" t="s">
        <v>3867</v>
      </c>
      <c r="E6" s="0" t="s">
        <v>3868</v>
      </c>
      <c r="F6" s="0" t="s">
        <v>3862</v>
      </c>
      <c r="G6" s="0" t="s">
        <v>116</v>
      </c>
    </row>
    <row customHeight="1" ht="11.25">
      <c r="A7" s="0" t="s">
        <v>16</v>
      </c>
      <c r="B7" s="0" t="s">
        <v>3857</v>
      </c>
      <c r="C7" s="0" t="s">
        <v>3858</v>
      </c>
      <c r="D7" s="0" t="s">
        <v>3869</v>
      </c>
      <c r="E7" s="0" t="s">
        <v>3870</v>
      </c>
      <c r="F7" s="0" t="s">
        <v>3862</v>
      </c>
      <c r="G7" s="0" t="s">
        <v>92</v>
      </c>
    </row>
    <row customHeight="1" ht="11.25">
      <c r="A8" s="0" t="s">
        <v>16</v>
      </c>
      <c r="B8" s="0" t="s">
        <v>99</v>
      </c>
      <c r="C8" s="0" t="s">
        <v>100</v>
      </c>
      <c r="D8" s="0" t="s">
        <v>1300</v>
      </c>
      <c r="E8" s="0" t="s">
        <v>1301</v>
      </c>
      <c r="F8" s="0" t="s">
        <v>3871</v>
      </c>
      <c r="G8" s="0" t="s">
        <v>129</v>
      </c>
    </row>
    <row customHeight="1" ht="11.25">
      <c r="A9" s="0" t="s">
        <v>16</v>
      </c>
      <c r="B9" s="0" t="s">
        <v>99</v>
      </c>
      <c r="C9" s="0" t="s">
        <v>100</v>
      </c>
      <c r="D9" s="0" t="s">
        <v>1313</v>
      </c>
      <c r="E9" s="0" t="s">
        <v>1314</v>
      </c>
      <c r="F9" s="0" t="s">
        <v>3871</v>
      </c>
      <c r="G9" s="0" t="s">
        <v>134</v>
      </c>
    </row>
    <row customHeight="1" ht="11.25">
      <c r="A10" s="0" t="s">
        <v>16</v>
      </c>
      <c r="B10" s="0" t="s">
        <v>99</v>
      </c>
      <c r="C10" s="0" t="s">
        <v>100</v>
      </c>
      <c r="D10" s="0" t="s">
        <v>3872</v>
      </c>
      <c r="E10" s="0" t="s">
        <v>3873</v>
      </c>
      <c r="F10" s="0" t="s">
        <v>3862</v>
      </c>
      <c r="G10" s="0" t="s">
        <v>139</v>
      </c>
    </row>
    <row customHeight="1" ht="11.25">
      <c r="A11" s="0" t="s">
        <v>16</v>
      </c>
      <c r="B11" s="0" t="s">
        <v>99</v>
      </c>
      <c r="C11" s="0" t="s">
        <v>100</v>
      </c>
      <c r="D11" s="0" t="s">
        <v>1326</v>
      </c>
      <c r="E11" s="0" t="s">
        <v>1327</v>
      </c>
      <c r="F11" s="0" t="s">
        <v>3862</v>
      </c>
      <c r="G11" s="0" t="s">
        <v>144</v>
      </c>
    </row>
    <row customHeight="1" ht="11.25">
      <c r="A12" s="0" t="s">
        <v>16</v>
      </c>
      <c r="B12" s="0" t="s">
        <v>99</v>
      </c>
      <c r="C12" s="0" t="s">
        <v>100</v>
      </c>
      <c r="D12" s="0" t="s">
        <v>3874</v>
      </c>
      <c r="E12" s="0" t="s">
        <v>3875</v>
      </c>
      <c r="F12" s="0" t="s">
        <v>3862</v>
      </c>
      <c r="G12" s="0" t="s">
        <v>149</v>
      </c>
    </row>
    <row customHeight="1" ht="11.25">
      <c r="A13" s="0" t="s">
        <v>16</v>
      </c>
      <c r="B13" s="0" t="s">
        <v>99</v>
      </c>
      <c r="C13" s="0" t="s">
        <v>100</v>
      </c>
      <c r="D13" s="0" t="s">
        <v>3876</v>
      </c>
      <c r="E13" s="0" t="s">
        <v>3877</v>
      </c>
      <c r="F13" s="0" t="s">
        <v>3862</v>
      </c>
      <c r="G13" s="0" t="s">
        <v>154</v>
      </c>
    </row>
    <row customHeight="1" ht="11.25">
      <c r="A14" s="0" t="s">
        <v>16</v>
      </c>
      <c r="B14" s="0" t="s">
        <v>99</v>
      </c>
      <c r="C14" s="0" t="s">
        <v>100</v>
      </c>
      <c r="D14" s="0" t="s">
        <v>3878</v>
      </c>
      <c r="E14" s="0" t="s">
        <v>3879</v>
      </c>
      <c r="F14" s="0" t="s">
        <v>3862</v>
      </c>
      <c r="G14" s="0" t="s">
        <v>159</v>
      </c>
    </row>
    <row customHeight="1" ht="11.25">
      <c r="A15" s="0" t="s">
        <v>16</v>
      </c>
      <c r="B15" s="0" t="s">
        <v>99</v>
      </c>
      <c r="C15" s="0" t="s">
        <v>100</v>
      </c>
      <c r="D15" s="0" t="s">
        <v>3880</v>
      </c>
      <c r="E15" s="0" t="s">
        <v>3881</v>
      </c>
      <c r="F15" s="0" t="s">
        <v>3862</v>
      </c>
      <c r="G15" s="0" t="s">
        <v>164</v>
      </c>
    </row>
    <row customHeight="1" ht="11.25">
      <c r="A16" s="0" t="s">
        <v>16</v>
      </c>
      <c r="B16" s="0" t="s">
        <v>99</v>
      </c>
      <c r="C16" s="0" t="s">
        <v>100</v>
      </c>
      <c r="D16" s="0" t="s">
        <v>3882</v>
      </c>
      <c r="E16" s="0" t="s">
        <v>3883</v>
      </c>
      <c r="F16" s="0" t="s">
        <v>3862</v>
      </c>
      <c r="G16" s="0" t="s">
        <v>169</v>
      </c>
    </row>
    <row customHeight="1" ht="11.25">
      <c r="A17" s="0" t="s">
        <v>16</v>
      </c>
      <c r="B17" s="0" t="s">
        <v>99</v>
      </c>
      <c r="C17" s="0" t="s">
        <v>100</v>
      </c>
      <c r="D17" s="0" t="s">
        <v>3884</v>
      </c>
      <c r="E17" s="0" t="s">
        <v>3885</v>
      </c>
      <c r="F17" s="0" t="s">
        <v>3862</v>
      </c>
      <c r="G17" s="0" t="s">
        <v>174</v>
      </c>
    </row>
    <row customHeight="1" ht="11.25">
      <c r="A18" s="0" t="s">
        <v>16</v>
      </c>
      <c r="B18" s="0" t="s">
        <v>99</v>
      </c>
      <c r="C18" s="0" t="s">
        <v>100</v>
      </c>
      <c r="D18" s="0" t="s">
        <v>3886</v>
      </c>
      <c r="E18" s="0" t="s">
        <v>3887</v>
      </c>
      <c r="F18" s="0" t="s">
        <v>3862</v>
      </c>
      <c r="G18" s="0" t="s">
        <v>179</v>
      </c>
    </row>
    <row customHeight="1" ht="11.25">
      <c r="A19" s="0" t="s">
        <v>16</v>
      </c>
      <c r="B19" s="0" t="s">
        <v>99</v>
      </c>
      <c r="C19" s="0" t="s">
        <v>100</v>
      </c>
      <c r="D19" s="0" t="s">
        <v>3888</v>
      </c>
      <c r="E19" s="0" t="s">
        <v>3889</v>
      </c>
      <c r="F19" s="0" t="s">
        <v>3862</v>
      </c>
      <c r="G19" s="0" t="s">
        <v>184</v>
      </c>
    </row>
    <row customHeight="1" ht="11.25">
      <c r="A20" s="0" t="s">
        <v>16</v>
      </c>
      <c r="B20" s="0" t="s">
        <v>3890</v>
      </c>
      <c r="C20" s="0" t="s">
        <v>3891</v>
      </c>
      <c r="D20" s="0" t="s">
        <v>3890</v>
      </c>
      <c r="E20" s="0" t="s">
        <v>3891</v>
      </c>
      <c r="F20" s="0" t="s">
        <v>3859</v>
      </c>
      <c r="G20" s="0" t="s">
        <v>189</v>
      </c>
    </row>
    <row customHeight="1" ht="11.25">
      <c r="A21" s="0" t="s">
        <v>16</v>
      </c>
      <c r="B21" s="0" t="s">
        <v>3890</v>
      </c>
      <c r="C21" s="0" t="s">
        <v>3891</v>
      </c>
      <c r="D21" s="0" t="s">
        <v>3892</v>
      </c>
      <c r="E21" s="0" t="s">
        <v>3893</v>
      </c>
      <c r="F21" s="0" t="s">
        <v>3862</v>
      </c>
      <c r="G21" s="0" t="s">
        <v>195</v>
      </c>
    </row>
    <row customHeight="1" ht="11.25">
      <c r="A22" s="0" t="s">
        <v>16</v>
      </c>
      <c r="B22" s="0" t="s">
        <v>3890</v>
      </c>
      <c r="C22" s="0" t="s">
        <v>3891</v>
      </c>
      <c r="D22" s="0" t="s">
        <v>3894</v>
      </c>
      <c r="E22" s="0" t="s">
        <v>3895</v>
      </c>
      <c r="F22" s="0" t="s">
        <v>3862</v>
      </c>
      <c r="G22" s="0" t="s">
        <v>199</v>
      </c>
    </row>
    <row customHeight="1" ht="11.25">
      <c r="A23" s="0" t="s">
        <v>16</v>
      </c>
      <c r="B23" s="0" t="s">
        <v>3890</v>
      </c>
      <c r="C23" s="0" t="s">
        <v>3891</v>
      </c>
      <c r="D23" s="0" t="s">
        <v>3896</v>
      </c>
      <c r="E23" s="0" t="s">
        <v>3897</v>
      </c>
      <c r="F23" s="0" t="s">
        <v>3862</v>
      </c>
      <c r="G23" s="0" t="s">
        <v>1959</v>
      </c>
    </row>
    <row customHeight="1" ht="11.25">
      <c r="A24" s="0" t="s">
        <v>16</v>
      </c>
      <c r="B24" s="0" t="s">
        <v>3890</v>
      </c>
      <c r="C24" s="0" t="s">
        <v>3891</v>
      </c>
      <c r="D24" s="0" t="s">
        <v>3898</v>
      </c>
      <c r="E24" s="0" t="s">
        <v>3899</v>
      </c>
      <c r="F24" s="0" t="s">
        <v>3862</v>
      </c>
      <c r="G24" s="0" t="s">
        <v>1965</v>
      </c>
    </row>
    <row customHeight="1" ht="11.25">
      <c r="A25" s="0" t="s">
        <v>16</v>
      </c>
      <c r="B25" s="0" t="s">
        <v>3890</v>
      </c>
      <c r="C25" s="0" t="s">
        <v>3891</v>
      </c>
      <c r="D25" s="0" t="s">
        <v>3900</v>
      </c>
      <c r="E25" s="0" t="s">
        <v>3901</v>
      </c>
      <c r="F25" s="0" t="s">
        <v>3862</v>
      </c>
      <c r="G25" s="0" t="s">
        <v>1969</v>
      </c>
    </row>
    <row customHeight="1" ht="11.25">
      <c r="A26" s="0" t="s">
        <v>16</v>
      </c>
      <c r="B26" s="0" t="s">
        <v>1389</v>
      </c>
      <c r="C26" s="0" t="s">
        <v>3902</v>
      </c>
      <c r="D26" s="0" t="s">
        <v>1389</v>
      </c>
      <c r="E26" s="0" t="s">
        <v>3902</v>
      </c>
      <c r="F26" s="0" t="s">
        <v>3859</v>
      </c>
      <c r="G26" s="0" t="s">
        <v>1364</v>
      </c>
    </row>
    <row customHeight="1" ht="11.25">
      <c r="A27" s="0" t="s">
        <v>16</v>
      </c>
      <c r="B27" s="0" t="s">
        <v>1389</v>
      </c>
      <c r="C27" s="0" t="s">
        <v>3902</v>
      </c>
      <c r="D27" s="0" t="s">
        <v>3903</v>
      </c>
      <c r="E27" s="0" t="s">
        <v>3904</v>
      </c>
      <c r="F27" s="0" t="s">
        <v>3862</v>
      </c>
      <c r="G27" s="0" t="s">
        <v>1981</v>
      </c>
    </row>
    <row customHeight="1" ht="11.25">
      <c r="A28" s="0" t="s">
        <v>16</v>
      </c>
      <c r="B28" s="0" t="s">
        <v>1389</v>
      </c>
      <c r="C28" s="0" t="s">
        <v>3902</v>
      </c>
      <c r="D28" s="0" t="s">
        <v>1390</v>
      </c>
      <c r="E28" s="0" t="s">
        <v>1391</v>
      </c>
      <c r="F28" s="0" t="s">
        <v>3862</v>
      </c>
      <c r="G28" s="0" t="s">
        <v>1983</v>
      </c>
    </row>
    <row customHeight="1" ht="11.25">
      <c r="A29" s="0" t="s">
        <v>16</v>
      </c>
      <c r="B29" s="0" t="s">
        <v>1389</v>
      </c>
      <c r="C29" s="0" t="s">
        <v>3902</v>
      </c>
      <c r="D29" s="0" t="s">
        <v>3905</v>
      </c>
      <c r="E29" s="0" t="s">
        <v>3906</v>
      </c>
      <c r="F29" s="0" t="s">
        <v>3862</v>
      </c>
      <c r="G29" s="0" t="s">
        <v>1986</v>
      </c>
    </row>
    <row customHeight="1" ht="11.25">
      <c r="A30" s="0" t="s">
        <v>16</v>
      </c>
      <c r="B30" s="0" t="s">
        <v>1389</v>
      </c>
      <c r="C30" s="0" t="s">
        <v>3902</v>
      </c>
      <c r="D30" s="0" t="s">
        <v>3907</v>
      </c>
      <c r="E30" s="0" t="s">
        <v>3908</v>
      </c>
      <c r="F30" s="0" t="s">
        <v>3862</v>
      </c>
      <c r="G30" s="0" t="s">
        <v>1992</v>
      </c>
    </row>
    <row customHeight="1" ht="11.25">
      <c r="A31" s="0" t="s">
        <v>16</v>
      </c>
      <c r="B31" s="0" t="s">
        <v>1389</v>
      </c>
      <c r="C31" s="0" t="s">
        <v>3902</v>
      </c>
      <c r="D31" s="0" t="s">
        <v>3909</v>
      </c>
      <c r="E31" s="0" t="s">
        <v>3910</v>
      </c>
      <c r="F31" s="0" t="s">
        <v>3862</v>
      </c>
      <c r="G31" s="0" t="s">
        <v>1994</v>
      </c>
    </row>
    <row customHeight="1" ht="11.25">
      <c r="A32" s="0" t="s">
        <v>16</v>
      </c>
      <c r="B32" s="0" t="s">
        <v>1389</v>
      </c>
      <c r="C32" s="0" t="s">
        <v>3902</v>
      </c>
      <c r="D32" s="0" t="s">
        <v>3911</v>
      </c>
      <c r="E32" s="0" t="s">
        <v>3912</v>
      </c>
      <c r="F32" s="0" t="s">
        <v>3862</v>
      </c>
      <c r="G32" s="0" t="s">
        <v>1996</v>
      </c>
    </row>
    <row customHeight="1" ht="11.25">
      <c r="A33" s="0" t="s">
        <v>16</v>
      </c>
      <c r="B33" s="0" t="s">
        <v>1389</v>
      </c>
      <c r="C33" s="0" t="s">
        <v>3902</v>
      </c>
      <c r="D33" s="0" t="s">
        <v>3913</v>
      </c>
      <c r="E33" s="0" t="s">
        <v>3914</v>
      </c>
      <c r="F33" s="0" t="s">
        <v>3862</v>
      </c>
      <c r="G33" s="0" t="s">
        <v>1998</v>
      </c>
    </row>
    <row customHeight="1" ht="11.25">
      <c r="A34" s="0" t="s">
        <v>16</v>
      </c>
      <c r="B34" s="0" t="s">
        <v>1389</v>
      </c>
      <c r="C34" s="0" t="s">
        <v>3902</v>
      </c>
      <c r="D34" s="0" t="s">
        <v>3915</v>
      </c>
      <c r="E34" s="0" t="s">
        <v>3916</v>
      </c>
      <c r="F34" s="0" t="s">
        <v>3862</v>
      </c>
      <c r="G34" s="0" t="s">
        <v>2003</v>
      </c>
    </row>
    <row customHeight="1" ht="11.25">
      <c r="A35" s="0" t="s">
        <v>16</v>
      </c>
      <c r="B35" s="0" t="s">
        <v>106</v>
      </c>
      <c r="C35" s="0" t="s">
        <v>107</v>
      </c>
      <c r="D35" s="0" t="s">
        <v>106</v>
      </c>
      <c r="E35" s="0" t="s">
        <v>107</v>
      </c>
      <c r="F35" s="0" t="s">
        <v>3859</v>
      </c>
      <c r="G35" s="0" t="s">
        <v>105</v>
      </c>
    </row>
    <row customHeight="1" ht="11.25">
      <c r="A36" s="0" t="s">
        <v>16</v>
      </c>
      <c r="B36" s="0" t="s">
        <v>106</v>
      </c>
      <c r="C36" s="0" t="s">
        <v>107</v>
      </c>
      <c r="D36" s="0" t="s">
        <v>3917</v>
      </c>
      <c r="E36" s="0" t="s">
        <v>3918</v>
      </c>
      <c r="F36" s="0" t="s">
        <v>3862</v>
      </c>
      <c r="G36" s="0" t="s">
        <v>2011</v>
      </c>
    </row>
    <row customHeight="1" ht="11.25">
      <c r="A37" s="0" t="s">
        <v>16</v>
      </c>
      <c r="B37" s="0" t="s">
        <v>106</v>
      </c>
      <c r="C37" s="0" t="s">
        <v>107</v>
      </c>
      <c r="D37" s="0" t="s">
        <v>1374</v>
      </c>
      <c r="E37" s="0" t="s">
        <v>1375</v>
      </c>
      <c r="F37" s="0" t="s">
        <v>3862</v>
      </c>
      <c r="G37" s="0" t="s">
        <v>2019</v>
      </c>
    </row>
    <row customHeight="1" ht="11.25">
      <c r="A38" s="0" t="s">
        <v>16</v>
      </c>
      <c r="B38" s="0" t="s">
        <v>106</v>
      </c>
      <c r="C38" s="0" t="s">
        <v>107</v>
      </c>
      <c r="D38" s="0" t="s">
        <v>3919</v>
      </c>
      <c r="E38" s="0" t="s">
        <v>3920</v>
      </c>
      <c r="F38" s="0" t="s">
        <v>3862</v>
      </c>
      <c r="G38" s="0" t="s">
        <v>2025</v>
      </c>
    </row>
    <row customHeight="1" ht="11.25">
      <c r="A39" s="0" t="s">
        <v>16</v>
      </c>
      <c r="B39" s="0" t="s">
        <v>106</v>
      </c>
      <c r="C39" s="0" t="s">
        <v>107</v>
      </c>
      <c r="D39" s="0" t="s">
        <v>3921</v>
      </c>
      <c r="E39" s="0" t="s">
        <v>3922</v>
      </c>
      <c r="F39" s="0" t="s">
        <v>3862</v>
      </c>
      <c r="G39" s="0" t="s">
        <v>2030</v>
      </c>
    </row>
    <row customHeight="1" ht="11.25">
      <c r="A40" s="0" t="s">
        <v>16</v>
      </c>
      <c r="B40" s="0" t="s">
        <v>106</v>
      </c>
      <c r="C40" s="0" t="s">
        <v>107</v>
      </c>
      <c r="D40" s="0" t="s">
        <v>3923</v>
      </c>
      <c r="E40" s="0" t="s">
        <v>3924</v>
      </c>
      <c r="F40" s="0" t="s">
        <v>3862</v>
      </c>
      <c r="G40" s="0" t="s">
        <v>2034</v>
      </c>
    </row>
    <row customHeight="1" ht="11.25">
      <c r="A41" s="0" t="s">
        <v>16</v>
      </c>
      <c r="B41" s="0" t="s">
        <v>106</v>
      </c>
      <c r="C41" s="0" t="s">
        <v>107</v>
      </c>
      <c r="D41" s="0" t="s">
        <v>3925</v>
      </c>
      <c r="E41" s="0" t="s">
        <v>3926</v>
      </c>
      <c r="F41" s="0" t="s">
        <v>3862</v>
      </c>
      <c r="G41" s="0" t="s">
        <v>2037</v>
      </c>
    </row>
    <row customHeight="1" ht="11.25">
      <c r="A42" s="0" t="s">
        <v>16</v>
      </c>
      <c r="B42" s="0" t="s">
        <v>106</v>
      </c>
      <c r="C42" s="0" t="s">
        <v>107</v>
      </c>
      <c r="D42" s="0" t="s">
        <v>3927</v>
      </c>
      <c r="E42" s="0" t="s">
        <v>3928</v>
      </c>
      <c r="F42" s="0" t="s">
        <v>3862</v>
      </c>
      <c r="G42" s="0" t="s">
        <v>2044</v>
      </c>
    </row>
    <row customHeight="1" ht="11.25">
      <c r="A43" s="0" t="s">
        <v>16</v>
      </c>
      <c r="B43" s="0" t="s">
        <v>106</v>
      </c>
      <c r="C43" s="0" t="s">
        <v>107</v>
      </c>
      <c r="D43" s="0" t="s">
        <v>3929</v>
      </c>
      <c r="E43" s="0" t="s">
        <v>3930</v>
      </c>
      <c r="F43" s="0" t="s">
        <v>3862</v>
      </c>
      <c r="G43" s="0" t="s">
        <v>2053</v>
      </c>
    </row>
    <row customHeight="1" ht="11.25">
      <c r="A44" s="0" t="s">
        <v>16</v>
      </c>
      <c r="B44" s="0" t="s">
        <v>106</v>
      </c>
      <c r="C44" s="0" t="s">
        <v>107</v>
      </c>
      <c r="D44" s="0" t="s">
        <v>3931</v>
      </c>
      <c r="E44" s="0" t="s">
        <v>3932</v>
      </c>
      <c r="F44" s="0" t="s">
        <v>3862</v>
      </c>
      <c r="G44" s="0" t="s">
        <v>2058</v>
      </c>
    </row>
    <row customHeight="1" ht="11.25">
      <c r="A45" s="0" t="s">
        <v>16</v>
      </c>
      <c r="B45" s="0" t="s">
        <v>3933</v>
      </c>
      <c r="C45" s="0" t="s">
        <v>3934</v>
      </c>
      <c r="D45" s="0" t="s">
        <v>3933</v>
      </c>
      <c r="E45" s="0" t="s">
        <v>3934</v>
      </c>
      <c r="F45" s="0" t="s">
        <v>3859</v>
      </c>
      <c r="G45" s="0" t="s">
        <v>2062</v>
      </c>
    </row>
    <row customHeight="1" ht="11.25">
      <c r="A46" s="0" t="s">
        <v>16</v>
      </c>
      <c r="B46" s="0" t="s">
        <v>3933</v>
      </c>
      <c r="C46" s="0" t="s">
        <v>3934</v>
      </c>
      <c r="D46" s="0" t="s">
        <v>3935</v>
      </c>
      <c r="E46" s="0" t="s">
        <v>3936</v>
      </c>
      <c r="F46" s="0" t="s">
        <v>3862</v>
      </c>
      <c r="G46" s="0" t="s">
        <v>2067</v>
      </c>
    </row>
    <row customHeight="1" ht="11.25">
      <c r="A47" s="0" t="s">
        <v>16</v>
      </c>
      <c r="B47" s="0" t="s">
        <v>3933</v>
      </c>
      <c r="C47" s="0" t="s">
        <v>3934</v>
      </c>
      <c r="D47" s="0" t="s">
        <v>3937</v>
      </c>
      <c r="E47" s="0" t="s">
        <v>3938</v>
      </c>
      <c r="F47" s="0" t="s">
        <v>3862</v>
      </c>
      <c r="G47" s="0" t="s">
        <v>2072</v>
      </c>
    </row>
    <row customHeight="1" ht="11.25">
      <c r="A48" s="0" t="s">
        <v>16</v>
      </c>
      <c r="B48" s="0" t="s">
        <v>3933</v>
      </c>
      <c r="C48" s="0" t="s">
        <v>3934</v>
      </c>
      <c r="D48" s="0" t="s">
        <v>3939</v>
      </c>
      <c r="E48" s="0" t="s">
        <v>3940</v>
      </c>
      <c r="F48" s="0" t="s">
        <v>3862</v>
      </c>
      <c r="G48" s="0" t="s">
        <v>2075</v>
      </c>
    </row>
    <row customHeight="1" ht="11.25">
      <c r="A49" s="0" t="s">
        <v>16</v>
      </c>
      <c r="B49" s="0" t="s">
        <v>3933</v>
      </c>
      <c r="C49" s="0" t="s">
        <v>3934</v>
      </c>
      <c r="D49" s="0" t="s">
        <v>3941</v>
      </c>
      <c r="E49" s="0" t="s">
        <v>3942</v>
      </c>
      <c r="F49" s="0" t="s">
        <v>3862</v>
      </c>
      <c r="G49" s="0" t="s">
        <v>2079</v>
      </c>
    </row>
    <row customHeight="1" ht="11.25">
      <c r="A50" s="0" t="s">
        <v>16</v>
      </c>
      <c r="B50" s="0" t="s">
        <v>3933</v>
      </c>
      <c r="C50" s="0" t="s">
        <v>3934</v>
      </c>
      <c r="D50" s="0" t="s">
        <v>3943</v>
      </c>
      <c r="E50" s="0" t="s">
        <v>3944</v>
      </c>
      <c r="F50" s="0" t="s">
        <v>3862</v>
      </c>
      <c r="G50" s="0" t="s">
        <v>2084</v>
      </c>
    </row>
    <row customHeight="1" ht="11.25">
      <c r="A51" s="0" t="s">
        <v>16</v>
      </c>
      <c r="B51" s="0" t="s">
        <v>3933</v>
      </c>
      <c r="C51" s="0" t="s">
        <v>3934</v>
      </c>
      <c r="D51" s="0" t="s">
        <v>3945</v>
      </c>
      <c r="E51" s="0" t="s">
        <v>3946</v>
      </c>
      <c r="F51" s="0" t="s">
        <v>3862</v>
      </c>
      <c r="G51" s="0" t="s">
        <v>2088</v>
      </c>
    </row>
    <row customHeight="1" ht="11.25">
      <c r="A52" s="0" t="s">
        <v>16</v>
      </c>
      <c r="B52" s="0" t="s">
        <v>3933</v>
      </c>
      <c r="C52" s="0" t="s">
        <v>3934</v>
      </c>
      <c r="D52" s="0" t="s">
        <v>3947</v>
      </c>
      <c r="E52" s="0" t="s">
        <v>3948</v>
      </c>
      <c r="F52" s="0" t="s">
        <v>3862</v>
      </c>
      <c r="G52" s="0" t="s">
        <v>2090</v>
      </c>
    </row>
    <row customHeight="1" ht="11.25">
      <c r="A53" s="0" t="s">
        <v>16</v>
      </c>
      <c r="B53" s="0" t="s">
        <v>3933</v>
      </c>
      <c r="C53" s="0" t="s">
        <v>3934</v>
      </c>
      <c r="D53" s="0" t="s">
        <v>3949</v>
      </c>
      <c r="E53" s="0" t="s">
        <v>3950</v>
      </c>
      <c r="F53" s="0" t="s">
        <v>3862</v>
      </c>
      <c r="G53" s="0" t="s">
        <v>2093</v>
      </c>
    </row>
    <row customHeight="1" ht="11.25">
      <c r="A54" s="0" t="s">
        <v>16</v>
      </c>
      <c r="B54" s="0" t="s">
        <v>3933</v>
      </c>
      <c r="C54" s="0" t="s">
        <v>3934</v>
      </c>
      <c r="D54" s="0" t="s">
        <v>3951</v>
      </c>
      <c r="E54" s="0" t="s">
        <v>3952</v>
      </c>
      <c r="F54" s="0" t="s">
        <v>3862</v>
      </c>
      <c r="G54" s="0" t="s">
        <v>2098</v>
      </c>
    </row>
    <row customHeight="1" ht="11.25">
      <c r="A55" s="0" t="s">
        <v>16</v>
      </c>
      <c r="B55" s="0" t="s">
        <v>3933</v>
      </c>
      <c r="C55" s="0" t="s">
        <v>3934</v>
      </c>
      <c r="D55" s="0" t="s">
        <v>3953</v>
      </c>
      <c r="E55" s="0" t="s">
        <v>3954</v>
      </c>
      <c r="F55" s="0" t="s">
        <v>3862</v>
      </c>
      <c r="G55" s="0" t="s">
        <v>2102</v>
      </c>
    </row>
    <row customHeight="1" ht="11.25">
      <c r="A56" s="0" t="s">
        <v>16</v>
      </c>
      <c r="B56" s="0" t="s">
        <v>3933</v>
      </c>
      <c r="C56" s="0" t="s">
        <v>3934</v>
      </c>
      <c r="D56" s="0" t="s">
        <v>3955</v>
      </c>
      <c r="E56" s="0" t="s">
        <v>3956</v>
      </c>
      <c r="F56" s="0" t="s">
        <v>3862</v>
      </c>
      <c r="G56" s="0" t="s">
        <v>2106</v>
      </c>
    </row>
    <row customHeight="1" ht="11.25">
      <c r="A57" s="0" t="s">
        <v>16</v>
      </c>
      <c r="B57" s="0" t="s">
        <v>3933</v>
      </c>
      <c r="C57" s="0" t="s">
        <v>3934</v>
      </c>
      <c r="D57" s="0" t="s">
        <v>3957</v>
      </c>
      <c r="E57" s="0" t="s">
        <v>3958</v>
      </c>
      <c r="F57" s="0" t="s">
        <v>3862</v>
      </c>
      <c r="G57" s="0" t="s">
        <v>2109</v>
      </c>
    </row>
    <row customHeight="1" ht="11.25">
      <c r="A58" s="0" t="s">
        <v>16</v>
      </c>
      <c r="B58" s="0" t="s">
        <v>3933</v>
      </c>
      <c r="C58" s="0" t="s">
        <v>3934</v>
      </c>
      <c r="D58" s="0" t="s">
        <v>3959</v>
      </c>
      <c r="E58" s="0" t="s">
        <v>3960</v>
      </c>
      <c r="F58" s="0" t="s">
        <v>3862</v>
      </c>
      <c r="G58" s="0" t="s">
        <v>2113</v>
      </c>
    </row>
    <row customHeight="1" ht="11.25">
      <c r="A59" s="0" t="s">
        <v>16</v>
      </c>
      <c r="B59" s="0" t="s">
        <v>110</v>
      </c>
      <c r="C59" s="0" t="s">
        <v>111</v>
      </c>
      <c r="D59" s="0" t="s">
        <v>110</v>
      </c>
      <c r="E59" s="0" t="s">
        <v>111</v>
      </c>
      <c r="F59" s="0" t="s">
        <v>3859</v>
      </c>
      <c r="G59" s="0" t="s">
        <v>109</v>
      </c>
    </row>
    <row customHeight="1" ht="11.25">
      <c r="A60" s="0" t="s">
        <v>16</v>
      </c>
      <c r="B60" s="0" t="s">
        <v>110</v>
      </c>
      <c r="C60" s="0" t="s">
        <v>111</v>
      </c>
      <c r="D60" s="0" t="s">
        <v>3961</v>
      </c>
      <c r="E60" s="0" t="s">
        <v>3962</v>
      </c>
      <c r="F60" s="0" t="s">
        <v>3871</v>
      </c>
      <c r="G60" s="0" t="s">
        <v>3963</v>
      </c>
    </row>
    <row customHeight="1" ht="11.25">
      <c r="A61" s="0" t="s">
        <v>16</v>
      </c>
      <c r="B61" s="0" t="s">
        <v>110</v>
      </c>
      <c r="C61" s="0" t="s">
        <v>111</v>
      </c>
      <c r="D61" s="0" t="s">
        <v>3964</v>
      </c>
      <c r="E61" s="0" t="s">
        <v>3965</v>
      </c>
      <c r="F61" s="0" t="s">
        <v>3871</v>
      </c>
      <c r="G61" s="0" t="s">
        <v>3966</v>
      </c>
    </row>
    <row customHeight="1" ht="11.25">
      <c r="A62" s="0" t="s">
        <v>16</v>
      </c>
      <c r="B62" s="0" t="s">
        <v>110</v>
      </c>
      <c r="C62" s="0" t="s">
        <v>111</v>
      </c>
      <c r="D62" s="0" t="s">
        <v>3967</v>
      </c>
      <c r="E62" s="0" t="s">
        <v>3968</v>
      </c>
      <c r="F62" s="0" t="s">
        <v>3871</v>
      </c>
      <c r="G62" s="0" t="s">
        <v>3969</v>
      </c>
    </row>
    <row customHeight="1" ht="11.25">
      <c r="A63" s="0" t="s">
        <v>16</v>
      </c>
      <c r="B63" s="0" t="s">
        <v>110</v>
      </c>
      <c r="C63" s="0" t="s">
        <v>111</v>
      </c>
      <c r="D63" s="0" t="s">
        <v>3970</v>
      </c>
      <c r="E63" s="0" t="s">
        <v>3971</v>
      </c>
      <c r="F63" s="0" t="s">
        <v>3862</v>
      </c>
      <c r="G63" s="0" t="s">
        <v>3972</v>
      </c>
    </row>
    <row customHeight="1" ht="11.25">
      <c r="A64" s="0" t="s">
        <v>16</v>
      </c>
      <c r="B64" s="0" t="s">
        <v>110</v>
      </c>
      <c r="C64" s="0" t="s">
        <v>111</v>
      </c>
      <c r="D64" s="0" t="s">
        <v>3973</v>
      </c>
      <c r="E64" s="0" t="s">
        <v>3974</v>
      </c>
      <c r="F64" s="0" t="s">
        <v>3862</v>
      </c>
      <c r="G64" s="0" t="s">
        <v>3975</v>
      </c>
    </row>
    <row customHeight="1" ht="11.25">
      <c r="A65" s="0" t="s">
        <v>16</v>
      </c>
      <c r="B65" s="0" t="s">
        <v>110</v>
      </c>
      <c r="C65" s="0" t="s">
        <v>111</v>
      </c>
      <c r="D65" s="0" t="s">
        <v>3976</v>
      </c>
      <c r="E65" s="0" t="s">
        <v>3977</v>
      </c>
      <c r="F65" s="0" t="s">
        <v>3862</v>
      </c>
      <c r="G65" s="0" t="s">
        <v>3978</v>
      </c>
    </row>
    <row customHeight="1" ht="11.25">
      <c r="A66" s="0" t="s">
        <v>16</v>
      </c>
      <c r="B66" s="0" t="s">
        <v>110</v>
      </c>
      <c r="C66" s="0" t="s">
        <v>111</v>
      </c>
      <c r="D66" s="0" t="s">
        <v>3979</v>
      </c>
      <c r="E66" s="0" t="s">
        <v>3980</v>
      </c>
      <c r="F66" s="0" t="s">
        <v>3862</v>
      </c>
      <c r="G66" s="0" t="s">
        <v>2426</v>
      </c>
    </row>
    <row customHeight="1" ht="11.25">
      <c r="A67" s="0" t="s">
        <v>16</v>
      </c>
      <c r="B67" s="0" t="s">
        <v>110</v>
      </c>
      <c r="C67" s="0" t="s">
        <v>111</v>
      </c>
      <c r="D67" s="0" t="s">
        <v>1368</v>
      </c>
      <c r="E67" s="0" t="s">
        <v>1369</v>
      </c>
      <c r="F67" s="0" t="s">
        <v>3862</v>
      </c>
      <c r="G67" s="0" t="s">
        <v>3981</v>
      </c>
    </row>
    <row customHeight="1" ht="11.25">
      <c r="A68" s="0" t="s">
        <v>16</v>
      </c>
      <c r="B68" s="0" t="s">
        <v>110</v>
      </c>
      <c r="C68" s="0" t="s">
        <v>111</v>
      </c>
      <c r="D68" s="0" t="s">
        <v>3982</v>
      </c>
      <c r="E68" s="0" t="s">
        <v>3983</v>
      </c>
      <c r="F68" s="0" t="s">
        <v>3862</v>
      </c>
      <c r="G68" s="0" t="s">
        <v>2626</v>
      </c>
    </row>
    <row customHeight="1" ht="11.25">
      <c r="A69" s="0" t="s">
        <v>16</v>
      </c>
      <c r="B69" s="0" t="s">
        <v>110</v>
      </c>
      <c r="C69" s="0" t="s">
        <v>111</v>
      </c>
      <c r="D69" s="0" t="s">
        <v>3984</v>
      </c>
      <c r="E69" s="0" t="s">
        <v>3985</v>
      </c>
      <c r="F69" s="0" t="s">
        <v>3862</v>
      </c>
      <c r="G69" s="0" t="s">
        <v>3986</v>
      </c>
    </row>
    <row customHeight="1" ht="11.25">
      <c r="A70" s="0" t="s">
        <v>16</v>
      </c>
      <c r="B70" s="0" t="s">
        <v>110</v>
      </c>
      <c r="C70" s="0" t="s">
        <v>111</v>
      </c>
      <c r="D70" s="0" t="s">
        <v>3987</v>
      </c>
      <c r="E70" s="0" t="s">
        <v>3988</v>
      </c>
      <c r="F70" s="0" t="s">
        <v>3862</v>
      </c>
      <c r="G70" s="0" t="s">
        <v>3989</v>
      </c>
    </row>
    <row customHeight="1" ht="11.25">
      <c r="A71" s="0" t="s">
        <v>16</v>
      </c>
      <c r="B71" s="0" t="s">
        <v>110</v>
      </c>
      <c r="C71" s="0" t="s">
        <v>111</v>
      </c>
      <c r="D71" s="0" t="s">
        <v>3990</v>
      </c>
      <c r="E71" s="0" t="s">
        <v>3991</v>
      </c>
      <c r="F71" s="0" t="s">
        <v>3862</v>
      </c>
      <c r="G71" s="0" t="s">
        <v>3992</v>
      </c>
    </row>
    <row customHeight="1" ht="11.25">
      <c r="A72" s="0" t="s">
        <v>16</v>
      </c>
      <c r="B72" s="0" t="s">
        <v>110</v>
      </c>
      <c r="C72" s="0" t="s">
        <v>111</v>
      </c>
      <c r="D72" s="0" t="s">
        <v>3993</v>
      </c>
      <c r="E72" s="0" t="s">
        <v>3994</v>
      </c>
      <c r="F72" s="0" t="s">
        <v>3862</v>
      </c>
      <c r="G72" s="0" t="s">
        <v>3995</v>
      </c>
    </row>
    <row customHeight="1" ht="11.25">
      <c r="A73" s="0" t="s">
        <v>16</v>
      </c>
      <c r="B73" s="0" t="s">
        <v>110</v>
      </c>
      <c r="C73" s="0" t="s">
        <v>111</v>
      </c>
      <c r="D73" s="0" t="s">
        <v>3996</v>
      </c>
      <c r="E73" s="0" t="s">
        <v>3997</v>
      </c>
      <c r="F73" s="0" t="s">
        <v>3862</v>
      </c>
      <c r="G73" s="0" t="s">
        <v>3998</v>
      </c>
    </row>
    <row customHeight="1" ht="11.25">
      <c r="A74" s="0" t="s">
        <v>16</v>
      </c>
      <c r="B74" s="0" t="s">
        <v>110</v>
      </c>
      <c r="C74" s="0" t="s">
        <v>111</v>
      </c>
      <c r="D74" s="0" t="s">
        <v>3999</v>
      </c>
      <c r="E74" s="0" t="s">
        <v>4000</v>
      </c>
      <c r="F74" s="0" t="s">
        <v>3862</v>
      </c>
      <c r="G74" s="0" t="s">
        <v>4001</v>
      </c>
    </row>
    <row customHeight="1" ht="11.25">
      <c r="A75" s="0" t="s">
        <v>16</v>
      </c>
      <c r="B75" s="0" t="s">
        <v>114</v>
      </c>
      <c r="C75" s="0" t="s">
        <v>115</v>
      </c>
      <c r="D75" s="0" t="s">
        <v>114</v>
      </c>
      <c r="E75" s="0" t="s">
        <v>115</v>
      </c>
      <c r="F75" s="0" t="s">
        <v>3859</v>
      </c>
      <c r="G75" s="0" t="s">
        <v>113</v>
      </c>
    </row>
    <row customHeight="1" ht="11.25">
      <c r="A76" s="0" t="s">
        <v>16</v>
      </c>
      <c r="B76" s="0" t="s">
        <v>114</v>
      </c>
      <c r="C76" s="0" t="s">
        <v>115</v>
      </c>
      <c r="D76" s="0" t="s">
        <v>4002</v>
      </c>
      <c r="E76" s="0" t="s">
        <v>4003</v>
      </c>
      <c r="F76" s="0" t="s">
        <v>3862</v>
      </c>
      <c r="G76" s="0" t="s">
        <v>4004</v>
      </c>
    </row>
    <row customHeight="1" ht="11.25">
      <c r="A77" s="0" t="s">
        <v>16</v>
      </c>
      <c r="B77" s="0" t="s">
        <v>114</v>
      </c>
      <c r="C77" s="0" t="s">
        <v>115</v>
      </c>
      <c r="D77" s="0" t="s">
        <v>4005</v>
      </c>
      <c r="E77" s="0" t="s">
        <v>4006</v>
      </c>
      <c r="F77" s="0" t="s">
        <v>3862</v>
      </c>
      <c r="G77" s="0" t="s">
        <v>4007</v>
      </c>
    </row>
    <row customHeight="1" ht="11.25">
      <c r="A78" s="0" t="s">
        <v>16</v>
      </c>
      <c r="B78" s="0" t="s">
        <v>114</v>
      </c>
      <c r="C78" s="0" t="s">
        <v>115</v>
      </c>
      <c r="D78" s="0" t="s">
        <v>4008</v>
      </c>
      <c r="E78" s="0" t="s">
        <v>4009</v>
      </c>
      <c r="F78" s="0" t="s">
        <v>3862</v>
      </c>
      <c r="G78" s="0" t="s">
        <v>4010</v>
      </c>
    </row>
    <row customHeight="1" ht="11.25">
      <c r="A79" s="0" t="s">
        <v>16</v>
      </c>
      <c r="B79" s="0" t="s">
        <v>114</v>
      </c>
      <c r="C79" s="0" t="s">
        <v>115</v>
      </c>
      <c r="D79" s="0" t="s">
        <v>4011</v>
      </c>
      <c r="E79" s="0" t="s">
        <v>4012</v>
      </c>
      <c r="F79" s="0" t="s">
        <v>3862</v>
      </c>
      <c r="G79" s="0" t="s">
        <v>4013</v>
      </c>
    </row>
    <row customHeight="1" ht="11.25">
      <c r="A80" s="0" t="s">
        <v>16</v>
      </c>
      <c r="B80" s="0" t="s">
        <v>114</v>
      </c>
      <c r="C80" s="0" t="s">
        <v>115</v>
      </c>
      <c r="D80" s="0" t="s">
        <v>1422</v>
      </c>
      <c r="E80" s="0" t="s">
        <v>1423</v>
      </c>
      <c r="F80" s="0" t="s">
        <v>3862</v>
      </c>
      <c r="G80" s="0" t="s">
        <v>4014</v>
      </c>
    </row>
    <row customHeight="1" ht="11.25">
      <c r="A81" s="0" t="s">
        <v>16</v>
      </c>
      <c r="B81" s="0" t="s">
        <v>114</v>
      </c>
      <c r="C81" s="0" t="s">
        <v>115</v>
      </c>
      <c r="D81" s="0" t="s">
        <v>4015</v>
      </c>
      <c r="E81" s="0" t="s">
        <v>4016</v>
      </c>
      <c r="F81" s="0" t="s">
        <v>3862</v>
      </c>
      <c r="G81" s="0" t="s">
        <v>4017</v>
      </c>
    </row>
    <row customHeight="1" ht="11.25">
      <c r="A82" s="0" t="s">
        <v>16</v>
      </c>
      <c r="B82" s="0" t="s">
        <v>114</v>
      </c>
      <c r="C82" s="0" t="s">
        <v>115</v>
      </c>
      <c r="D82" s="0" t="s">
        <v>4018</v>
      </c>
      <c r="E82" s="0" t="s">
        <v>4019</v>
      </c>
      <c r="F82" s="0" t="s">
        <v>3862</v>
      </c>
      <c r="G82" s="0" t="s">
        <v>4020</v>
      </c>
    </row>
    <row customHeight="1" ht="11.25">
      <c r="A83" s="0" t="s">
        <v>16</v>
      </c>
      <c r="B83" s="0" t="s">
        <v>119</v>
      </c>
      <c r="C83" s="0" t="s">
        <v>120</v>
      </c>
      <c r="D83" s="0" t="s">
        <v>119</v>
      </c>
      <c r="E83" s="0" t="s">
        <v>120</v>
      </c>
      <c r="F83" s="0" t="s">
        <v>3859</v>
      </c>
      <c r="G83" s="0" t="s">
        <v>118</v>
      </c>
    </row>
    <row customHeight="1" ht="11.25">
      <c r="A84" s="0" t="s">
        <v>16</v>
      </c>
      <c r="B84" s="0" t="s">
        <v>119</v>
      </c>
      <c r="C84" s="0" t="s">
        <v>120</v>
      </c>
      <c r="D84" s="0" t="s">
        <v>4021</v>
      </c>
      <c r="E84" s="0" t="s">
        <v>4022</v>
      </c>
      <c r="F84" s="0" t="s">
        <v>3862</v>
      </c>
      <c r="G84" s="0" t="s">
        <v>4023</v>
      </c>
    </row>
    <row customHeight="1" ht="11.25">
      <c r="A85" s="0" t="s">
        <v>16</v>
      </c>
      <c r="B85" s="0" t="s">
        <v>119</v>
      </c>
      <c r="C85" s="0" t="s">
        <v>120</v>
      </c>
      <c r="D85" s="0" t="s">
        <v>4024</v>
      </c>
      <c r="E85" s="0" t="s">
        <v>4025</v>
      </c>
      <c r="F85" s="0" t="s">
        <v>3862</v>
      </c>
      <c r="G85" s="0" t="s">
        <v>4026</v>
      </c>
    </row>
    <row customHeight="1" ht="11.25">
      <c r="A86" s="0" t="s">
        <v>16</v>
      </c>
      <c r="B86" s="0" t="s">
        <v>119</v>
      </c>
      <c r="C86" s="0" t="s">
        <v>120</v>
      </c>
      <c r="D86" s="0" t="s">
        <v>1396</v>
      </c>
      <c r="E86" s="0" t="s">
        <v>1397</v>
      </c>
      <c r="F86" s="0" t="s">
        <v>3862</v>
      </c>
      <c r="G86" s="0" t="s">
        <v>4027</v>
      </c>
    </row>
    <row customHeight="1" ht="11.25">
      <c r="A87" s="0" t="s">
        <v>16</v>
      </c>
      <c r="B87" s="0" t="s">
        <v>119</v>
      </c>
      <c r="C87" s="0" t="s">
        <v>120</v>
      </c>
      <c r="D87" s="0" t="s">
        <v>4028</v>
      </c>
      <c r="E87" s="0" t="s">
        <v>4029</v>
      </c>
      <c r="F87" s="0" t="s">
        <v>3862</v>
      </c>
      <c r="G87" s="0" t="s">
        <v>4030</v>
      </c>
    </row>
    <row customHeight="1" ht="11.25">
      <c r="A88" s="0" t="s">
        <v>16</v>
      </c>
      <c r="B88" s="0" t="s">
        <v>119</v>
      </c>
      <c r="C88" s="0" t="s">
        <v>120</v>
      </c>
      <c r="D88" s="0" t="s">
        <v>4031</v>
      </c>
      <c r="E88" s="0" t="s">
        <v>4032</v>
      </c>
      <c r="F88" s="0" t="s">
        <v>3862</v>
      </c>
      <c r="G88" s="0" t="s">
        <v>4033</v>
      </c>
    </row>
    <row customHeight="1" ht="11.25">
      <c r="A89" s="0" t="s">
        <v>16</v>
      </c>
      <c r="B89" s="0" t="s">
        <v>119</v>
      </c>
      <c r="C89" s="0" t="s">
        <v>120</v>
      </c>
      <c r="D89" s="0" t="s">
        <v>4034</v>
      </c>
      <c r="E89" s="0" t="s">
        <v>4035</v>
      </c>
      <c r="F89" s="0" t="s">
        <v>3862</v>
      </c>
      <c r="G89" s="0" t="s">
        <v>4036</v>
      </c>
    </row>
    <row customHeight="1" ht="11.25">
      <c r="A90" s="0" t="s">
        <v>16</v>
      </c>
      <c r="B90" s="0" t="s">
        <v>119</v>
      </c>
      <c r="C90" s="0" t="s">
        <v>120</v>
      </c>
      <c r="D90" s="0" t="s">
        <v>4037</v>
      </c>
      <c r="E90" s="0" t="s">
        <v>4038</v>
      </c>
      <c r="F90" s="0" t="s">
        <v>3862</v>
      </c>
      <c r="G90" s="0" t="s">
        <v>4039</v>
      </c>
    </row>
    <row customHeight="1" ht="11.25">
      <c r="A91" s="0" t="s">
        <v>16</v>
      </c>
      <c r="B91" s="0" t="s">
        <v>119</v>
      </c>
      <c r="C91" s="0" t="s">
        <v>120</v>
      </c>
      <c r="D91" s="0" t="s">
        <v>4040</v>
      </c>
      <c r="E91" s="0" t="s">
        <v>4041</v>
      </c>
      <c r="F91" s="0" t="s">
        <v>3862</v>
      </c>
      <c r="G91" s="0" t="s">
        <v>4042</v>
      </c>
    </row>
    <row customHeight="1" ht="11.25">
      <c r="A92" s="0" t="s">
        <v>16</v>
      </c>
      <c r="B92" s="0" t="s">
        <v>4043</v>
      </c>
      <c r="C92" s="0" t="s">
        <v>4044</v>
      </c>
      <c r="D92" s="0" t="s">
        <v>4043</v>
      </c>
      <c r="E92" s="0" t="s">
        <v>4044</v>
      </c>
      <c r="F92" s="0" t="s">
        <v>3859</v>
      </c>
      <c r="G92" s="0" t="s">
        <v>4045</v>
      </c>
    </row>
    <row customHeight="1" ht="11.25">
      <c r="A93" s="0" t="s">
        <v>16</v>
      </c>
      <c r="B93" s="0" t="s">
        <v>4043</v>
      </c>
      <c r="C93" s="0" t="s">
        <v>4044</v>
      </c>
      <c r="D93" s="0" t="s">
        <v>4046</v>
      </c>
      <c r="E93" s="0" t="s">
        <v>4047</v>
      </c>
      <c r="F93" s="0" t="s">
        <v>3862</v>
      </c>
      <c r="G93" s="0" t="s">
        <v>4048</v>
      </c>
    </row>
    <row customHeight="1" ht="11.25">
      <c r="A94" s="0" t="s">
        <v>16</v>
      </c>
      <c r="B94" s="0" t="s">
        <v>4043</v>
      </c>
      <c r="C94" s="0" t="s">
        <v>4044</v>
      </c>
      <c r="D94" s="0" t="s">
        <v>4049</v>
      </c>
      <c r="E94" s="0" t="s">
        <v>4050</v>
      </c>
      <c r="F94" s="0" t="s">
        <v>3862</v>
      </c>
      <c r="G94" s="0" t="s">
        <v>4051</v>
      </c>
    </row>
    <row customHeight="1" ht="11.25">
      <c r="A95" s="0" t="s">
        <v>16</v>
      </c>
      <c r="B95" s="0" t="s">
        <v>4043</v>
      </c>
      <c r="C95" s="0" t="s">
        <v>4044</v>
      </c>
      <c r="D95" s="0" t="s">
        <v>4052</v>
      </c>
      <c r="E95" s="0" t="s">
        <v>4053</v>
      </c>
      <c r="F95" s="0" t="s">
        <v>3862</v>
      </c>
      <c r="G95" s="0" t="s">
        <v>4054</v>
      </c>
    </row>
    <row customHeight="1" ht="11.25">
      <c r="A96" s="0" t="s">
        <v>16</v>
      </c>
      <c r="B96" s="0" t="s">
        <v>4043</v>
      </c>
      <c r="C96" s="0" t="s">
        <v>4044</v>
      </c>
      <c r="D96" s="0" t="s">
        <v>4055</v>
      </c>
      <c r="E96" s="0" t="s">
        <v>4056</v>
      </c>
      <c r="F96" s="0" t="s">
        <v>3862</v>
      </c>
      <c r="G96" s="0" t="s">
        <v>4057</v>
      </c>
    </row>
    <row customHeight="1" ht="11.25">
      <c r="A97" s="0" t="s">
        <v>16</v>
      </c>
      <c r="B97" s="0" t="s">
        <v>4043</v>
      </c>
      <c r="C97" s="0" t="s">
        <v>4044</v>
      </c>
      <c r="D97" s="0" t="s">
        <v>4058</v>
      </c>
      <c r="E97" s="0" t="s">
        <v>4059</v>
      </c>
      <c r="F97" s="0" t="s">
        <v>3862</v>
      </c>
      <c r="G97" s="0" t="s">
        <v>4060</v>
      </c>
    </row>
    <row customHeight="1" ht="11.25">
      <c r="A98" s="0" t="s">
        <v>16</v>
      </c>
      <c r="B98" s="0" t="s">
        <v>4043</v>
      </c>
      <c r="C98" s="0" t="s">
        <v>4044</v>
      </c>
      <c r="D98" s="0" t="s">
        <v>4061</v>
      </c>
      <c r="E98" s="0" t="s">
        <v>4062</v>
      </c>
      <c r="F98" s="0" t="s">
        <v>3862</v>
      </c>
      <c r="G98" s="0" t="s">
        <v>4063</v>
      </c>
    </row>
    <row customHeight="1" ht="11.25">
      <c r="A99" s="0" t="s">
        <v>16</v>
      </c>
      <c r="B99" s="0" t="s">
        <v>127</v>
      </c>
      <c r="C99" s="0" t="s">
        <v>128</v>
      </c>
      <c r="D99" s="0" t="s">
        <v>127</v>
      </c>
      <c r="E99" s="0" t="s">
        <v>128</v>
      </c>
      <c r="F99" s="0" t="s">
        <v>3859</v>
      </c>
      <c r="G99" s="0" t="s">
        <v>126</v>
      </c>
    </row>
    <row customHeight="1" ht="11.25">
      <c r="A100" s="0" t="s">
        <v>16</v>
      </c>
      <c r="B100" s="0" t="s">
        <v>127</v>
      </c>
      <c r="C100" s="0" t="s">
        <v>128</v>
      </c>
      <c r="D100" s="0" t="s">
        <v>4064</v>
      </c>
      <c r="E100" s="0" t="s">
        <v>4065</v>
      </c>
      <c r="F100" s="0" t="s">
        <v>4066</v>
      </c>
      <c r="G100" s="0" t="s">
        <v>4067</v>
      </c>
    </row>
    <row customHeight="1" ht="11.25">
      <c r="A101" s="0" t="s">
        <v>16</v>
      </c>
      <c r="B101" s="0" t="s">
        <v>127</v>
      </c>
      <c r="C101" s="0" t="s">
        <v>128</v>
      </c>
      <c r="D101" s="0" t="s">
        <v>3903</v>
      </c>
      <c r="E101" s="0" t="s">
        <v>4068</v>
      </c>
      <c r="F101" s="0" t="s">
        <v>3862</v>
      </c>
      <c r="G101" s="0" t="s">
        <v>4069</v>
      </c>
    </row>
    <row customHeight="1" ht="11.25">
      <c r="A102" s="0" t="s">
        <v>16</v>
      </c>
      <c r="B102" s="0" t="s">
        <v>127</v>
      </c>
      <c r="C102" s="0" t="s">
        <v>128</v>
      </c>
      <c r="D102" s="0" t="s">
        <v>4070</v>
      </c>
      <c r="E102" s="0" t="s">
        <v>4071</v>
      </c>
      <c r="F102" s="0" t="s">
        <v>3862</v>
      </c>
      <c r="G102" s="0" t="s">
        <v>4072</v>
      </c>
    </row>
    <row customHeight="1" ht="11.25">
      <c r="A103" s="0" t="s">
        <v>16</v>
      </c>
      <c r="B103" s="0" t="s">
        <v>127</v>
      </c>
      <c r="C103" s="0" t="s">
        <v>128</v>
      </c>
      <c r="D103" s="0" t="s">
        <v>4073</v>
      </c>
      <c r="E103" s="0" t="s">
        <v>4074</v>
      </c>
      <c r="F103" s="0" t="s">
        <v>3862</v>
      </c>
      <c r="G103" s="0" t="s">
        <v>4075</v>
      </c>
    </row>
    <row customHeight="1" ht="11.25">
      <c r="A104" s="0" t="s">
        <v>16</v>
      </c>
      <c r="B104" s="0" t="s">
        <v>127</v>
      </c>
      <c r="C104" s="0" t="s">
        <v>128</v>
      </c>
      <c r="D104" s="0" t="s">
        <v>4076</v>
      </c>
      <c r="E104" s="0" t="s">
        <v>4077</v>
      </c>
      <c r="F104" s="0" t="s">
        <v>3862</v>
      </c>
      <c r="G104" s="0" t="s">
        <v>4078</v>
      </c>
    </row>
    <row customHeight="1" ht="11.25">
      <c r="A105" s="0" t="s">
        <v>16</v>
      </c>
      <c r="B105" s="0" t="s">
        <v>127</v>
      </c>
      <c r="C105" s="0" t="s">
        <v>128</v>
      </c>
      <c r="D105" s="0" t="s">
        <v>4079</v>
      </c>
      <c r="E105" s="0" t="s">
        <v>4080</v>
      </c>
      <c r="F105" s="0" t="s">
        <v>3862</v>
      </c>
      <c r="G105" s="0" t="s">
        <v>4081</v>
      </c>
    </row>
    <row customHeight="1" ht="11.25">
      <c r="A106" s="0" t="s">
        <v>16</v>
      </c>
      <c r="B106" s="0" t="s">
        <v>127</v>
      </c>
      <c r="C106" s="0" t="s">
        <v>128</v>
      </c>
      <c r="D106" s="0" t="s">
        <v>4082</v>
      </c>
      <c r="E106" s="0" t="s">
        <v>4083</v>
      </c>
      <c r="F106" s="0" t="s">
        <v>3862</v>
      </c>
      <c r="G106" s="0" t="s">
        <v>4084</v>
      </c>
    </row>
    <row customHeight="1" ht="11.25">
      <c r="A107" s="0" t="s">
        <v>16</v>
      </c>
      <c r="B107" s="0" t="s">
        <v>127</v>
      </c>
      <c r="C107" s="0" t="s">
        <v>128</v>
      </c>
      <c r="D107" s="0" t="s">
        <v>4085</v>
      </c>
      <c r="E107" s="0" t="s">
        <v>4086</v>
      </c>
      <c r="F107" s="0" t="s">
        <v>3862</v>
      </c>
      <c r="G107" s="0" t="s">
        <v>4087</v>
      </c>
    </row>
    <row customHeight="1" ht="11.25">
      <c r="A108" s="0" t="s">
        <v>16</v>
      </c>
      <c r="B108" s="0" t="s">
        <v>127</v>
      </c>
      <c r="C108" s="0" t="s">
        <v>128</v>
      </c>
      <c r="D108" s="0" t="s">
        <v>4088</v>
      </c>
      <c r="E108" s="0" t="s">
        <v>4089</v>
      </c>
      <c r="F108" s="0" t="s">
        <v>3862</v>
      </c>
      <c r="G108" s="0" t="s">
        <v>4090</v>
      </c>
    </row>
    <row customHeight="1" ht="11.25">
      <c r="A109" s="0" t="s">
        <v>16</v>
      </c>
      <c r="B109" s="0" t="s">
        <v>127</v>
      </c>
      <c r="C109" s="0" t="s">
        <v>128</v>
      </c>
      <c r="D109" s="0" t="s">
        <v>4091</v>
      </c>
      <c r="E109" s="0" t="s">
        <v>4092</v>
      </c>
      <c r="F109" s="0" t="s">
        <v>3862</v>
      </c>
      <c r="G109" s="0" t="s">
        <v>4093</v>
      </c>
    </row>
    <row customHeight="1" ht="11.25">
      <c r="A110" s="0" t="s">
        <v>16</v>
      </c>
      <c r="B110" s="0" t="s">
        <v>127</v>
      </c>
      <c r="C110" s="0" t="s">
        <v>128</v>
      </c>
      <c r="D110" s="0" t="s">
        <v>3953</v>
      </c>
      <c r="E110" s="0" t="s">
        <v>4094</v>
      </c>
      <c r="F110" s="0" t="s">
        <v>3862</v>
      </c>
      <c r="G110" s="0" t="s">
        <v>4095</v>
      </c>
    </row>
    <row customHeight="1" ht="11.25">
      <c r="A111" s="0" t="s">
        <v>16</v>
      </c>
      <c r="B111" s="0" t="s">
        <v>127</v>
      </c>
      <c r="C111" s="0" t="s">
        <v>128</v>
      </c>
      <c r="D111" s="0" t="s">
        <v>4096</v>
      </c>
      <c r="E111" s="0" t="s">
        <v>4097</v>
      </c>
      <c r="F111" s="0" t="s">
        <v>3862</v>
      </c>
      <c r="G111" s="0" t="s">
        <v>752</v>
      </c>
    </row>
    <row customHeight="1" ht="11.25">
      <c r="A112" s="0" t="s">
        <v>16</v>
      </c>
      <c r="B112" s="0" t="s">
        <v>127</v>
      </c>
      <c r="C112" s="0" t="s">
        <v>128</v>
      </c>
      <c r="D112" s="0" t="s">
        <v>4098</v>
      </c>
      <c r="E112" s="0" t="s">
        <v>4099</v>
      </c>
      <c r="F112" s="0" t="s">
        <v>3862</v>
      </c>
      <c r="G112" s="0" t="s">
        <v>4100</v>
      </c>
    </row>
    <row customHeight="1" ht="11.25">
      <c r="A113" s="0" t="s">
        <v>16</v>
      </c>
      <c r="B113" s="0" t="s">
        <v>127</v>
      </c>
      <c r="C113" s="0" t="s">
        <v>128</v>
      </c>
      <c r="D113" s="0" t="s">
        <v>4101</v>
      </c>
      <c r="E113" s="0" t="s">
        <v>4102</v>
      </c>
      <c r="F113" s="0" t="s">
        <v>3862</v>
      </c>
      <c r="G113" s="0" t="s">
        <v>4103</v>
      </c>
    </row>
    <row customHeight="1" ht="11.25">
      <c r="A114" s="0" t="s">
        <v>16</v>
      </c>
      <c r="B114" s="0" t="s">
        <v>132</v>
      </c>
      <c r="C114" s="0" t="s">
        <v>133</v>
      </c>
      <c r="D114" s="0" t="s">
        <v>132</v>
      </c>
      <c r="E114" s="0" t="s">
        <v>133</v>
      </c>
      <c r="F114" s="0" t="s">
        <v>3859</v>
      </c>
      <c r="G114" s="0" t="s">
        <v>131</v>
      </c>
    </row>
    <row customHeight="1" ht="11.25">
      <c r="A115" s="0" t="s">
        <v>16</v>
      </c>
      <c r="B115" s="0" t="s">
        <v>132</v>
      </c>
      <c r="C115" s="0" t="s">
        <v>133</v>
      </c>
      <c r="D115" s="0" t="s">
        <v>4104</v>
      </c>
      <c r="E115" s="0" t="s">
        <v>4105</v>
      </c>
      <c r="F115" s="0" t="s">
        <v>3862</v>
      </c>
      <c r="G115" s="0" t="s">
        <v>4106</v>
      </c>
    </row>
    <row customHeight="1" ht="11.25">
      <c r="A116" s="0" t="s">
        <v>16</v>
      </c>
      <c r="B116" s="0" t="s">
        <v>132</v>
      </c>
      <c r="C116" s="0" t="s">
        <v>133</v>
      </c>
      <c r="D116" s="0" t="s">
        <v>4107</v>
      </c>
      <c r="E116" s="0" t="s">
        <v>4108</v>
      </c>
      <c r="F116" s="0" t="s">
        <v>3862</v>
      </c>
      <c r="G116" s="0" t="s">
        <v>4109</v>
      </c>
    </row>
    <row customHeight="1" ht="11.25">
      <c r="A117" s="0" t="s">
        <v>16</v>
      </c>
      <c r="B117" s="0" t="s">
        <v>132</v>
      </c>
      <c r="C117" s="0" t="s">
        <v>133</v>
      </c>
      <c r="D117" s="0" t="s">
        <v>4110</v>
      </c>
      <c r="E117" s="0" t="s">
        <v>4111</v>
      </c>
      <c r="F117" s="0" t="s">
        <v>3862</v>
      </c>
      <c r="G117" s="0" t="s">
        <v>4112</v>
      </c>
    </row>
    <row customHeight="1" ht="11.25">
      <c r="A118" s="0" t="s">
        <v>16</v>
      </c>
      <c r="B118" s="0" t="s">
        <v>132</v>
      </c>
      <c r="C118" s="0" t="s">
        <v>133</v>
      </c>
      <c r="D118" s="0" t="s">
        <v>4113</v>
      </c>
      <c r="E118" s="0" t="s">
        <v>4114</v>
      </c>
      <c r="F118" s="0" t="s">
        <v>3862</v>
      </c>
      <c r="G118" s="0" t="s">
        <v>4115</v>
      </c>
    </row>
    <row customHeight="1" ht="11.25">
      <c r="A119" s="0" t="s">
        <v>16</v>
      </c>
      <c r="B119" s="0" t="s">
        <v>132</v>
      </c>
      <c r="C119" s="0" t="s">
        <v>133</v>
      </c>
      <c r="D119" s="0" t="s">
        <v>4116</v>
      </c>
      <c r="E119" s="0" t="s">
        <v>4117</v>
      </c>
      <c r="F119" s="0" t="s">
        <v>3862</v>
      </c>
      <c r="G119" s="0" t="s">
        <v>4118</v>
      </c>
    </row>
    <row customHeight="1" ht="11.25">
      <c r="A120" s="0" t="s">
        <v>16</v>
      </c>
      <c r="B120" s="0" t="s">
        <v>132</v>
      </c>
      <c r="C120" s="0" t="s">
        <v>133</v>
      </c>
      <c r="D120" s="0" t="s">
        <v>4119</v>
      </c>
      <c r="E120" s="0" t="s">
        <v>4120</v>
      </c>
      <c r="F120" s="0" t="s">
        <v>3862</v>
      </c>
      <c r="G120" s="0" t="s">
        <v>4121</v>
      </c>
    </row>
    <row customHeight="1" ht="11.25">
      <c r="A121" s="0" t="s">
        <v>16</v>
      </c>
      <c r="B121" s="0" t="s">
        <v>132</v>
      </c>
      <c r="C121" s="0" t="s">
        <v>133</v>
      </c>
      <c r="D121" s="0" t="s">
        <v>4122</v>
      </c>
      <c r="E121" s="0" t="s">
        <v>4123</v>
      </c>
      <c r="F121" s="0" t="s">
        <v>3862</v>
      </c>
      <c r="G121" s="0" t="s">
        <v>4124</v>
      </c>
    </row>
    <row customHeight="1" ht="11.25">
      <c r="A122" s="0" t="s">
        <v>16</v>
      </c>
      <c r="B122" s="0" t="s">
        <v>132</v>
      </c>
      <c r="C122" s="0" t="s">
        <v>133</v>
      </c>
      <c r="D122" s="0" t="s">
        <v>4125</v>
      </c>
      <c r="E122" s="0" t="s">
        <v>4126</v>
      </c>
      <c r="F122" s="0" t="s">
        <v>3862</v>
      </c>
      <c r="G122" s="0" t="s">
        <v>4127</v>
      </c>
    </row>
    <row customHeight="1" ht="11.25">
      <c r="A123" s="0" t="s">
        <v>16</v>
      </c>
      <c r="B123" s="0" t="s">
        <v>132</v>
      </c>
      <c r="C123" s="0" t="s">
        <v>133</v>
      </c>
      <c r="D123" s="0" t="s">
        <v>1359</v>
      </c>
      <c r="E123" s="0" t="s">
        <v>1360</v>
      </c>
      <c r="F123" s="0" t="s">
        <v>3862</v>
      </c>
      <c r="G123" s="0" t="s">
        <v>4128</v>
      </c>
    </row>
    <row customHeight="1" ht="11.25">
      <c r="A124" s="0" t="s">
        <v>16</v>
      </c>
      <c r="B124" s="0" t="s">
        <v>132</v>
      </c>
      <c r="C124" s="0" t="s">
        <v>133</v>
      </c>
      <c r="D124" s="0" t="s">
        <v>4129</v>
      </c>
      <c r="E124" s="0" t="s">
        <v>4130</v>
      </c>
      <c r="F124" s="0" t="s">
        <v>3862</v>
      </c>
      <c r="G124" s="0" t="s">
        <v>4131</v>
      </c>
    </row>
    <row customHeight="1" ht="11.25">
      <c r="A125" s="0" t="s">
        <v>16</v>
      </c>
      <c r="B125" s="0" t="s">
        <v>132</v>
      </c>
      <c r="C125" s="0" t="s">
        <v>133</v>
      </c>
      <c r="D125" s="0" t="s">
        <v>4132</v>
      </c>
      <c r="E125" s="0" t="s">
        <v>4133</v>
      </c>
      <c r="F125" s="0" t="s">
        <v>3862</v>
      </c>
      <c r="G125" s="0" t="s">
        <v>4134</v>
      </c>
    </row>
    <row customHeight="1" ht="11.25">
      <c r="A126" s="0" t="s">
        <v>16</v>
      </c>
      <c r="B126" s="0" t="s">
        <v>132</v>
      </c>
      <c r="C126" s="0" t="s">
        <v>133</v>
      </c>
      <c r="D126" s="0" t="s">
        <v>4135</v>
      </c>
      <c r="E126" s="0" t="s">
        <v>4136</v>
      </c>
      <c r="F126" s="0" t="s">
        <v>3862</v>
      </c>
      <c r="G126" s="0" t="s">
        <v>4137</v>
      </c>
    </row>
    <row customHeight="1" ht="11.25">
      <c r="A127" s="0" t="s">
        <v>16</v>
      </c>
      <c r="B127" s="0" t="s">
        <v>4138</v>
      </c>
      <c r="C127" s="0" t="s">
        <v>4139</v>
      </c>
      <c r="D127" s="0" t="s">
        <v>4138</v>
      </c>
      <c r="E127" s="0" t="s">
        <v>4139</v>
      </c>
      <c r="F127" s="0" t="s">
        <v>3859</v>
      </c>
      <c r="G127" s="0" t="s">
        <v>4140</v>
      </c>
    </row>
    <row customHeight="1" ht="11.25">
      <c r="A128" s="0" t="s">
        <v>16</v>
      </c>
      <c r="B128" s="0" t="s">
        <v>4138</v>
      </c>
      <c r="C128" s="0" t="s">
        <v>4139</v>
      </c>
      <c r="D128" s="0" t="s">
        <v>4141</v>
      </c>
      <c r="E128" s="0" t="s">
        <v>4142</v>
      </c>
      <c r="F128" s="0" t="s">
        <v>3862</v>
      </c>
      <c r="G128" s="0" t="s">
        <v>4143</v>
      </c>
    </row>
    <row customHeight="1" ht="11.25">
      <c r="A129" s="0" t="s">
        <v>16</v>
      </c>
      <c r="B129" s="0" t="s">
        <v>4138</v>
      </c>
      <c r="C129" s="0" t="s">
        <v>4139</v>
      </c>
      <c r="D129" s="0" t="s">
        <v>4144</v>
      </c>
      <c r="E129" s="0" t="s">
        <v>4145</v>
      </c>
      <c r="F129" s="0" t="s">
        <v>3862</v>
      </c>
      <c r="G129" s="0" t="s">
        <v>4146</v>
      </c>
    </row>
    <row customHeight="1" ht="11.25">
      <c r="A130" s="0" t="s">
        <v>16</v>
      </c>
      <c r="B130" s="0" t="s">
        <v>4138</v>
      </c>
      <c r="C130" s="0" t="s">
        <v>4139</v>
      </c>
      <c r="D130" s="0" t="s">
        <v>4147</v>
      </c>
      <c r="E130" s="0" t="s">
        <v>4148</v>
      </c>
      <c r="F130" s="0" t="s">
        <v>3862</v>
      </c>
      <c r="G130" s="0" t="s">
        <v>4149</v>
      </c>
    </row>
    <row customHeight="1" ht="11.25">
      <c r="A131" s="0" t="s">
        <v>16</v>
      </c>
      <c r="B131" s="0" t="s">
        <v>4138</v>
      </c>
      <c r="C131" s="0" t="s">
        <v>4139</v>
      </c>
      <c r="D131" s="0" t="s">
        <v>4150</v>
      </c>
      <c r="E131" s="0" t="s">
        <v>4151</v>
      </c>
      <c r="F131" s="0" t="s">
        <v>3862</v>
      </c>
      <c r="G131" s="0" t="s">
        <v>4152</v>
      </c>
    </row>
    <row customHeight="1" ht="11.25">
      <c r="A132" s="0" t="s">
        <v>16</v>
      </c>
      <c r="B132" s="0" t="s">
        <v>4138</v>
      </c>
      <c r="C132" s="0" t="s">
        <v>4139</v>
      </c>
      <c r="D132" s="0" t="s">
        <v>4153</v>
      </c>
      <c r="E132" s="0" t="s">
        <v>4154</v>
      </c>
      <c r="F132" s="0" t="s">
        <v>3862</v>
      </c>
      <c r="G132" s="0" t="s">
        <v>4155</v>
      </c>
    </row>
    <row customHeight="1" ht="11.25">
      <c r="A133" s="0" t="s">
        <v>16</v>
      </c>
      <c r="B133" s="0" t="s">
        <v>4138</v>
      </c>
      <c r="C133" s="0" t="s">
        <v>4139</v>
      </c>
      <c r="D133" s="0" t="s">
        <v>4156</v>
      </c>
      <c r="E133" s="0" t="s">
        <v>4157</v>
      </c>
      <c r="F133" s="0" t="s">
        <v>3862</v>
      </c>
      <c r="G133" s="0" t="s">
        <v>4158</v>
      </c>
    </row>
    <row customHeight="1" ht="11.25">
      <c r="A134" s="0" t="s">
        <v>16</v>
      </c>
      <c r="B134" s="0" t="s">
        <v>123</v>
      </c>
      <c r="C134" s="0" t="s">
        <v>124</v>
      </c>
      <c r="D134" s="0" t="s">
        <v>123</v>
      </c>
      <c r="E134" s="0" t="s">
        <v>124</v>
      </c>
      <c r="F134" s="0" t="s">
        <v>3859</v>
      </c>
      <c r="G134" s="0" t="s">
        <v>122</v>
      </c>
    </row>
    <row customHeight="1" ht="11.25">
      <c r="A135" s="0" t="s">
        <v>16</v>
      </c>
      <c r="B135" s="0" t="s">
        <v>123</v>
      </c>
      <c r="C135" s="0" t="s">
        <v>124</v>
      </c>
      <c r="D135" s="0" t="s">
        <v>4159</v>
      </c>
      <c r="E135" s="0" t="s">
        <v>4160</v>
      </c>
      <c r="F135" s="0" t="s">
        <v>3862</v>
      </c>
      <c r="G135" s="0" t="s">
        <v>4161</v>
      </c>
    </row>
    <row customHeight="1" ht="11.25">
      <c r="A136" s="0" t="s">
        <v>16</v>
      </c>
      <c r="B136" s="0" t="s">
        <v>123</v>
      </c>
      <c r="C136" s="0" t="s">
        <v>124</v>
      </c>
      <c r="D136" s="0" t="s">
        <v>4162</v>
      </c>
      <c r="E136" s="0" t="s">
        <v>4163</v>
      </c>
      <c r="F136" s="0" t="s">
        <v>3862</v>
      </c>
      <c r="G136" s="0" t="s">
        <v>4164</v>
      </c>
    </row>
    <row customHeight="1" ht="11.25">
      <c r="A137" s="0" t="s">
        <v>16</v>
      </c>
      <c r="B137" s="0" t="s">
        <v>123</v>
      </c>
      <c r="C137" s="0" t="s">
        <v>124</v>
      </c>
      <c r="D137" s="0" t="s">
        <v>4165</v>
      </c>
      <c r="E137" s="0" t="s">
        <v>4166</v>
      </c>
      <c r="F137" s="0" t="s">
        <v>3862</v>
      </c>
      <c r="G137" s="0" t="s">
        <v>4167</v>
      </c>
    </row>
    <row customHeight="1" ht="11.25">
      <c r="A138" s="0" t="s">
        <v>16</v>
      </c>
      <c r="B138" s="0" t="s">
        <v>123</v>
      </c>
      <c r="C138" s="0" t="s">
        <v>124</v>
      </c>
      <c r="D138" s="0" t="s">
        <v>4168</v>
      </c>
      <c r="E138" s="0" t="s">
        <v>4169</v>
      </c>
      <c r="F138" s="0" t="s">
        <v>3862</v>
      </c>
      <c r="G138" s="0" t="s">
        <v>4170</v>
      </c>
    </row>
    <row customHeight="1" ht="11.25">
      <c r="A139" s="0" t="s">
        <v>16</v>
      </c>
      <c r="B139" s="0" t="s">
        <v>123</v>
      </c>
      <c r="C139" s="0" t="s">
        <v>124</v>
      </c>
      <c r="D139" s="0" t="s">
        <v>4171</v>
      </c>
      <c r="E139" s="0" t="s">
        <v>4172</v>
      </c>
      <c r="F139" s="0" t="s">
        <v>3862</v>
      </c>
      <c r="G139" s="0" t="s">
        <v>4173</v>
      </c>
    </row>
    <row customHeight="1" ht="11.25">
      <c r="A140" s="0" t="s">
        <v>16</v>
      </c>
      <c r="B140" s="0" t="s">
        <v>123</v>
      </c>
      <c r="C140" s="0" t="s">
        <v>124</v>
      </c>
      <c r="D140" s="0" t="s">
        <v>4174</v>
      </c>
      <c r="E140" s="0" t="s">
        <v>4175</v>
      </c>
      <c r="F140" s="0" t="s">
        <v>3862</v>
      </c>
      <c r="G140" s="0" t="s">
        <v>4176</v>
      </c>
    </row>
    <row customHeight="1" ht="11.25">
      <c r="A141" s="0" t="s">
        <v>16</v>
      </c>
      <c r="B141" s="0" t="s">
        <v>123</v>
      </c>
      <c r="C141" s="0" t="s">
        <v>124</v>
      </c>
      <c r="D141" s="0" t="s">
        <v>4177</v>
      </c>
      <c r="E141" s="0" t="s">
        <v>4178</v>
      </c>
      <c r="F141" s="0" t="s">
        <v>3862</v>
      </c>
      <c r="G141" s="0" t="s">
        <v>4179</v>
      </c>
    </row>
    <row customHeight="1" ht="11.25">
      <c r="A142" s="0" t="s">
        <v>16</v>
      </c>
      <c r="B142" s="0" t="s">
        <v>123</v>
      </c>
      <c r="C142" s="0" t="s">
        <v>124</v>
      </c>
      <c r="D142" s="0" t="s">
        <v>4180</v>
      </c>
      <c r="E142" s="0" t="s">
        <v>4181</v>
      </c>
      <c r="F142" s="0" t="s">
        <v>3862</v>
      </c>
      <c r="G142" s="0" t="s">
        <v>4182</v>
      </c>
    </row>
    <row customHeight="1" ht="11.25">
      <c r="A143" s="0" t="s">
        <v>16</v>
      </c>
      <c r="B143" s="0" t="s">
        <v>123</v>
      </c>
      <c r="C143" s="0" t="s">
        <v>124</v>
      </c>
      <c r="D143" s="0" t="s">
        <v>4183</v>
      </c>
      <c r="E143" s="0" t="s">
        <v>4184</v>
      </c>
      <c r="F143" s="0" t="s">
        <v>3862</v>
      </c>
      <c r="G143" s="0" t="s">
        <v>4185</v>
      </c>
    </row>
    <row customHeight="1" ht="11.25">
      <c r="A144" s="0" t="s">
        <v>16</v>
      </c>
      <c r="B144" s="0" t="s">
        <v>123</v>
      </c>
      <c r="C144" s="0" t="s">
        <v>124</v>
      </c>
      <c r="D144" s="0" t="s">
        <v>4186</v>
      </c>
      <c r="E144" s="0" t="s">
        <v>4187</v>
      </c>
      <c r="F144" s="0" t="s">
        <v>3862</v>
      </c>
      <c r="G144" s="0" t="s">
        <v>4188</v>
      </c>
    </row>
    <row customHeight="1" ht="11.25">
      <c r="A145" s="0" t="s">
        <v>16</v>
      </c>
      <c r="B145" s="0" t="s">
        <v>123</v>
      </c>
      <c r="C145" s="0" t="s">
        <v>124</v>
      </c>
      <c r="D145" s="0" t="s">
        <v>4189</v>
      </c>
      <c r="E145" s="0" t="s">
        <v>4190</v>
      </c>
      <c r="F145" s="0" t="s">
        <v>3862</v>
      </c>
      <c r="G145" s="0" t="s">
        <v>4191</v>
      </c>
    </row>
    <row customHeight="1" ht="11.25">
      <c r="A146" s="0" t="s">
        <v>16</v>
      </c>
      <c r="B146" s="0" t="s">
        <v>123</v>
      </c>
      <c r="C146" s="0" t="s">
        <v>124</v>
      </c>
      <c r="D146" s="0" t="s">
        <v>4192</v>
      </c>
      <c r="E146" s="0" t="s">
        <v>4193</v>
      </c>
      <c r="F146" s="0" t="s">
        <v>3862</v>
      </c>
      <c r="G146" s="0" t="s">
        <v>4194</v>
      </c>
    </row>
    <row customHeight="1" ht="11.25">
      <c r="A147" s="0" t="s">
        <v>16</v>
      </c>
      <c r="B147" s="0" t="s">
        <v>123</v>
      </c>
      <c r="C147" s="0" t="s">
        <v>124</v>
      </c>
      <c r="D147" s="0" t="s">
        <v>4195</v>
      </c>
      <c r="E147" s="0" t="s">
        <v>4196</v>
      </c>
      <c r="F147" s="0" t="s">
        <v>3862</v>
      </c>
      <c r="G147" s="0" t="s">
        <v>4197</v>
      </c>
    </row>
    <row customHeight="1" ht="11.25">
      <c r="A148" s="0" t="s">
        <v>16</v>
      </c>
      <c r="B148" s="0" t="s">
        <v>4198</v>
      </c>
      <c r="C148" s="0" t="s">
        <v>4199</v>
      </c>
      <c r="D148" s="0" t="s">
        <v>4198</v>
      </c>
      <c r="E148" s="0" t="s">
        <v>4199</v>
      </c>
      <c r="F148" s="0" t="s">
        <v>3859</v>
      </c>
      <c r="G148" s="0" t="s">
        <v>4200</v>
      </c>
    </row>
    <row customHeight="1" ht="11.25">
      <c r="A149" s="0" t="s">
        <v>16</v>
      </c>
      <c r="B149" s="0" t="s">
        <v>4198</v>
      </c>
      <c r="C149" s="0" t="s">
        <v>4199</v>
      </c>
      <c r="D149" s="0" t="s">
        <v>4201</v>
      </c>
      <c r="E149" s="0" t="s">
        <v>4202</v>
      </c>
      <c r="F149" s="0" t="s">
        <v>3862</v>
      </c>
      <c r="G149" s="0" t="s">
        <v>4203</v>
      </c>
    </row>
    <row customHeight="1" ht="11.25">
      <c r="A150" s="0" t="s">
        <v>16</v>
      </c>
      <c r="B150" s="0" t="s">
        <v>4198</v>
      </c>
      <c r="C150" s="0" t="s">
        <v>4199</v>
      </c>
      <c r="D150" s="0" t="s">
        <v>4204</v>
      </c>
      <c r="E150" s="0" t="s">
        <v>4205</v>
      </c>
      <c r="F150" s="0" t="s">
        <v>3862</v>
      </c>
      <c r="G150" s="0" t="s">
        <v>4206</v>
      </c>
    </row>
    <row customHeight="1" ht="11.25">
      <c r="A151" s="0" t="s">
        <v>16</v>
      </c>
      <c r="B151" s="0" t="s">
        <v>4198</v>
      </c>
      <c r="C151" s="0" t="s">
        <v>4199</v>
      </c>
      <c r="D151" s="0" t="s">
        <v>4207</v>
      </c>
      <c r="E151" s="0" t="s">
        <v>4208</v>
      </c>
      <c r="F151" s="0" t="s">
        <v>3862</v>
      </c>
      <c r="G151" s="0" t="s">
        <v>4209</v>
      </c>
    </row>
    <row customHeight="1" ht="11.25">
      <c r="A152" s="0" t="s">
        <v>16</v>
      </c>
      <c r="B152" s="0" t="s">
        <v>4198</v>
      </c>
      <c r="C152" s="0" t="s">
        <v>4199</v>
      </c>
      <c r="D152" s="0" t="s">
        <v>4210</v>
      </c>
      <c r="E152" s="0" t="s">
        <v>4211</v>
      </c>
      <c r="F152" s="0" t="s">
        <v>3862</v>
      </c>
      <c r="G152" s="0" t="s">
        <v>4212</v>
      </c>
    </row>
    <row customHeight="1" ht="11.25">
      <c r="A153" s="0" t="s">
        <v>16</v>
      </c>
      <c r="B153" s="0" t="s">
        <v>4198</v>
      </c>
      <c r="C153" s="0" t="s">
        <v>4199</v>
      </c>
      <c r="D153" s="0" t="s">
        <v>4213</v>
      </c>
      <c r="E153" s="0" t="s">
        <v>4214</v>
      </c>
      <c r="F153" s="0" t="s">
        <v>3862</v>
      </c>
      <c r="G153" s="0" t="s">
        <v>4215</v>
      </c>
    </row>
    <row customHeight="1" ht="11.25">
      <c r="A154" s="0" t="s">
        <v>16</v>
      </c>
      <c r="B154" s="0" t="s">
        <v>4198</v>
      </c>
      <c r="C154" s="0" t="s">
        <v>4199</v>
      </c>
      <c r="D154" s="0" t="s">
        <v>4216</v>
      </c>
      <c r="E154" s="0" t="s">
        <v>4217</v>
      </c>
      <c r="F154" s="0" t="s">
        <v>3862</v>
      </c>
      <c r="G154" s="0" t="s">
        <v>4218</v>
      </c>
    </row>
    <row customHeight="1" ht="11.25">
      <c r="A155" s="0" t="s">
        <v>16</v>
      </c>
      <c r="B155" s="0" t="s">
        <v>4198</v>
      </c>
      <c r="C155" s="0" t="s">
        <v>4199</v>
      </c>
      <c r="D155" s="0" t="s">
        <v>4219</v>
      </c>
      <c r="E155" s="0" t="s">
        <v>4220</v>
      </c>
      <c r="F155" s="0" t="s">
        <v>3862</v>
      </c>
      <c r="G155" s="0" t="s">
        <v>4221</v>
      </c>
    </row>
    <row customHeight="1" ht="11.25">
      <c r="A156" s="0" t="s">
        <v>16</v>
      </c>
      <c r="B156" s="0" t="s">
        <v>4198</v>
      </c>
      <c r="C156" s="0" t="s">
        <v>4199</v>
      </c>
      <c r="D156" s="0" t="s">
        <v>4222</v>
      </c>
      <c r="E156" s="0" t="s">
        <v>4223</v>
      </c>
      <c r="F156" s="0" t="s">
        <v>3862</v>
      </c>
      <c r="G156" s="0" t="s">
        <v>4224</v>
      </c>
    </row>
    <row customHeight="1" ht="11.25">
      <c r="A157" s="0" t="s">
        <v>16</v>
      </c>
      <c r="B157" s="0" t="s">
        <v>4198</v>
      </c>
      <c r="C157" s="0" t="s">
        <v>4199</v>
      </c>
      <c r="D157" s="0" t="s">
        <v>4225</v>
      </c>
      <c r="E157" s="0" t="s">
        <v>4226</v>
      </c>
      <c r="F157" s="0" t="s">
        <v>3862</v>
      </c>
      <c r="G157" s="0" t="s">
        <v>4227</v>
      </c>
    </row>
    <row customHeight="1" ht="11.25">
      <c r="A158" s="0" t="s">
        <v>16</v>
      </c>
      <c r="B158" s="0" t="s">
        <v>4198</v>
      </c>
      <c r="C158" s="0" t="s">
        <v>4199</v>
      </c>
      <c r="D158" s="0" t="s">
        <v>4228</v>
      </c>
      <c r="E158" s="0" t="s">
        <v>4229</v>
      </c>
      <c r="F158" s="0" t="s">
        <v>3862</v>
      </c>
      <c r="G158" s="0" t="s">
        <v>4230</v>
      </c>
    </row>
    <row customHeight="1" ht="11.25">
      <c r="A159" s="0" t="s">
        <v>16</v>
      </c>
      <c r="B159" s="0" t="s">
        <v>4198</v>
      </c>
      <c r="C159" s="0" t="s">
        <v>4199</v>
      </c>
      <c r="D159" s="0" t="s">
        <v>4231</v>
      </c>
      <c r="E159" s="0" t="s">
        <v>4232</v>
      </c>
      <c r="F159" s="0" t="s">
        <v>3862</v>
      </c>
      <c r="G159" s="0" t="s">
        <v>4233</v>
      </c>
    </row>
    <row customHeight="1" ht="11.25">
      <c r="A160" s="0" t="s">
        <v>16</v>
      </c>
      <c r="B160" s="0" t="s">
        <v>4198</v>
      </c>
      <c r="C160" s="0" t="s">
        <v>4199</v>
      </c>
      <c r="D160" s="0" t="s">
        <v>4234</v>
      </c>
      <c r="E160" s="0" t="s">
        <v>4235</v>
      </c>
      <c r="F160" s="0" t="s">
        <v>3862</v>
      </c>
      <c r="G160" s="0" t="s">
        <v>4236</v>
      </c>
    </row>
    <row customHeight="1" ht="11.25">
      <c r="A161" s="0" t="s">
        <v>16</v>
      </c>
      <c r="B161" s="0" t="s">
        <v>4237</v>
      </c>
      <c r="C161" s="0" t="s">
        <v>4238</v>
      </c>
      <c r="D161" s="0" t="s">
        <v>4237</v>
      </c>
      <c r="E161" s="0" t="s">
        <v>4238</v>
      </c>
      <c r="F161" s="0" t="s">
        <v>3859</v>
      </c>
      <c r="G161" s="0" t="s">
        <v>4239</v>
      </c>
    </row>
    <row customHeight="1" ht="11.25">
      <c r="A162" s="0" t="s">
        <v>16</v>
      </c>
      <c r="B162" s="0" t="s">
        <v>4237</v>
      </c>
      <c r="C162" s="0" t="s">
        <v>4238</v>
      </c>
      <c r="D162" s="0" t="s">
        <v>4240</v>
      </c>
      <c r="E162" s="0" t="s">
        <v>4241</v>
      </c>
      <c r="F162" s="0" t="s">
        <v>3871</v>
      </c>
      <c r="G162" s="0" t="s">
        <v>4242</v>
      </c>
    </row>
    <row customHeight="1" ht="11.25">
      <c r="A163" s="0" t="s">
        <v>16</v>
      </c>
      <c r="B163" s="0" t="s">
        <v>4237</v>
      </c>
      <c r="C163" s="0" t="s">
        <v>4238</v>
      </c>
      <c r="D163" s="0" t="s">
        <v>4243</v>
      </c>
      <c r="E163" s="0" t="s">
        <v>4244</v>
      </c>
      <c r="F163" s="0" t="s">
        <v>3871</v>
      </c>
      <c r="G163" s="0" t="s">
        <v>4245</v>
      </c>
    </row>
    <row customHeight="1" ht="11.25">
      <c r="A164" s="0" t="s">
        <v>16</v>
      </c>
      <c r="B164" s="0" t="s">
        <v>4237</v>
      </c>
      <c r="C164" s="0" t="s">
        <v>4238</v>
      </c>
      <c r="D164" s="0" t="s">
        <v>4246</v>
      </c>
      <c r="E164" s="0" t="s">
        <v>4247</v>
      </c>
      <c r="F164" s="0" t="s">
        <v>3871</v>
      </c>
      <c r="G164" s="0" t="s">
        <v>4248</v>
      </c>
    </row>
    <row customHeight="1" ht="11.25">
      <c r="A165" s="0" t="s">
        <v>16</v>
      </c>
      <c r="B165" s="0" t="s">
        <v>4237</v>
      </c>
      <c r="C165" s="0" t="s">
        <v>4238</v>
      </c>
      <c r="D165" s="0" t="s">
        <v>4249</v>
      </c>
      <c r="E165" s="0" t="s">
        <v>4250</v>
      </c>
      <c r="F165" s="0" t="s">
        <v>3862</v>
      </c>
      <c r="G165" s="0" t="s">
        <v>4251</v>
      </c>
    </row>
    <row customHeight="1" ht="11.25">
      <c r="A166" s="0" t="s">
        <v>16</v>
      </c>
      <c r="B166" s="0" t="s">
        <v>4237</v>
      </c>
      <c r="C166" s="0" t="s">
        <v>4238</v>
      </c>
      <c r="D166" s="0" t="s">
        <v>4252</v>
      </c>
      <c r="E166" s="0" t="s">
        <v>4253</v>
      </c>
      <c r="F166" s="0" t="s">
        <v>3862</v>
      </c>
      <c r="G166" s="0" t="s">
        <v>4254</v>
      </c>
    </row>
    <row customHeight="1" ht="11.25">
      <c r="A167" s="0" t="s">
        <v>16</v>
      </c>
      <c r="B167" s="0" t="s">
        <v>4237</v>
      </c>
      <c r="C167" s="0" t="s">
        <v>4238</v>
      </c>
      <c r="D167" s="0" t="s">
        <v>4255</v>
      </c>
      <c r="E167" s="0" t="s">
        <v>4256</v>
      </c>
      <c r="F167" s="0" t="s">
        <v>3862</v>
      </c>
      <c r="G167" s="0" t="s">
        <v>4257</v>
      </c>
    </row>
    <row customHeight="1" ht="11.25">
      <c r="A168" s="0" t="s">
        <v>16</v>
      </c>
      <c r="B168" s="0" t="s">
        <v>4237</v>
      </c>
      <c r="C168" s="0" t="s">
        <v>4238</v>
      </c>
      <c r="D168" s="0" t="s">
        <v>4258</v>
      </c>
      <c r="E168" s="0" t="s">
        <v>4259</v>
      </c>
      <c r="F168" s="0" t="s">
        <v>3862</v>
      </c>
      <c r="G168" s="0" t="s">
        <v>4260</v>
      </c>
    </row>
    <row customHeight="1" ht="11.25">
      <c r="A169" s="0" t="s">
        <v>16</v>
      </c>
      <c r="B169" s="0" t="s">
        <v>4237</v>
      </c>
      <c r="C169" s="0" t="s">
        <v>4238</v>
      </c>
      <c r="D169" s="0" t="s">
        <v>4261</v>
      </c>
      <c r="E169" s="0" t="s">
        <v>4262</v>
      </c>
      <c r="F169" s="0" t="s">
        <v>3862</v>
      </c>
      <c r="G169" s="0" t="s">
        <v>4263</v>
      </c>
    </row>
    <row customHeight="1" ht="11.25">
      <c r="A170" s="0" t="s">
        <v>16</v>
      </c>
      <c r="B170" s="0" t="s">
        <v>4237</v>
      </c>
      <c r="C170" s="0" t="s">
        <v>4238</v>
      </c>
      <c r="D170" s="0" t="s">
        <v>4264</v>
      </c>
      <c r="E170" s="0" t="s">
        <v>4265</v>
      </c>
      <c r="F170" s="0" t="s">
        <v>3862</v>
      </c>
      <c r="G170" s="0" t="s">
        <v>4266</v>
      </c>
    </row>
    <row customHeight="1" ht="11.25">
      <c r="A171" s="0" t="s">
        <v>16</v>
      </c>
      <c r="B171" s="0" t="s">
        <v>4237</v>
      </c>
      <c r="C171" s="0" t="s">
        <v>4238</v>
      </c>
      <c r="D171" s="0" t="s">
        <v>4267</v>
      </c>
      <c r="E171" s="0" t="s">
        <v>4268</v>
      </c>
      <c r="F171" s="0" t="s">
        <v>3862</v>
      </c>
      <c r="G171" s="0" t="s">
        <v>4269</v>
      </c>
    </row>
    <row customHeight="1" ht="11.25">
      <c r="A172" s="0" t="s">
        <v>16</v>
      </c>
      <c r="B172" s="0" t="s">
        <v>4237</v>
      </c>
      <c r="C172" s="0" t="s">
        <v>4238</v>
      </c>
      <c r="D172" s="0" t="s">
        <v>4270</v>
      </c>
      <c r="E172" s="0" t="s">
        <v>4271</v>
      </c>
      <c r="F172" s="0" t="s">
        <v>3862</v>
      </c>
      <c r="G172" s="0" t="s">
        <v>4272</v>
      </c>
    </row>
    <row customHeight="1" ht="11.25">
      <c r="A173" s="0" t="s">
        <v>16</v>
      </c>
      <c r="B173" s="0" t="s">
        <v>4237</v>
      </c>
      <c r="C173" s="0" t="s">
        <v>4238</v>
      </c>
      <c r="D173" s="0" t="s">
        <v>4273</v>
      </c>
      <c r="E173" s="0" t="s">
        <v>4274</v>
      </c>
      <c r="F173" s="0" t="s">
        <v>3862</v>
      </c>
      <c r="G173" s="0" t="s">
        <v>4275</v>
      </c>
    </row>
    <row customHeight="1" ht="11.25">
      <c r="A174" s="0" t="s">
        <v>16</v>
      </c>
      <c r="B174" s="0" t="s">
        <v>4237</v>
      </c>
      <c r="C174" s="0" t="s">
        <v>4238</v>
      </c>
      <c r="D174" s="0" t="s">
        <v>4276</v>
      </c>
      <c r="E174" s="0" t="s">
        <v>4277</v>
      </c>
      <c r="F174" s="0" t="s">
        <v>3862</v>
      </c>
      <c r="G174" s="0" t="s">
        <v>4278</v>
      </c>
    </row>
    <row customHeight="1" ht="11.25">
      <c r="A175" s="0" t="s">
        <v>16</v>
      </c>
      <c r="B175" s="0" t="s">
        <v>137</v>
      </c>
      <c r="C175" s="0" t="s">
        <v>138</v>
      </c>
      <c r="D175" s="0" t="s">
        <v>137</v>
      </c>
      <c r="E175" s="0" t="s">
        <v>138</v>
      </c>
      <c r="F175" s="0" t="s">
        <v>3859</v>
      </c>
      <c r="G175" s="0" t="s">
        <v>136</v>
      </c>
    </row>
    <row customHeight="1" ht="11.25">
      <c r="A176" s="0" t="s">
        <v>16</v>
      </c>
      <c r="B176" s="0" t="s">
        <v>137</v>
      </c>
      <c r="C176" s="0" t="s">
        <v>138</v>
      </c>
      <c r="D176" s="0" t="s">
        <v>4279</v>
      </c>
      <c r="E176" s="0" t="s">
        <v>4280</v>
      </c>
      <c r="F176" s="0" t="s">
        <v>4281</v>
      </c>
      <c r="G176" s="0" t="s">
        <v>4282</v>
      </c>
    </row>
    <row customHeight="1" ht="11.25">
      <c r="A177" s="0" t="s">
        <v>16</v>
      </c>
      <c r="B177" s="0" t="s">
        <v>137</v>
      </c>
      <c r="C177" s="0" t="s">
        <v>138</v>
      </c>
      <c r="D177" s="0" t="s">
        <v>4283</v>
      </c>
      <c r="E177" s="0" t="s">
        <v>4284</v>
      </c>
      <c r="F177" s="0" t="s">
        <v>3862</v>
      </c>
      <c r="G177" s="0" t="s">
        <v>4285</v>
      </c>
    </row>
    <row customHeight="1" ht="11.25">
      <c r="A178" s="0" t="s">
        <v>16</v>
      </c>
      <c r="B178" s="0" t="s">
        <v>137</v>
      </c>
      <c r="C178" s="0" t="s">
        <v>138</v>
      </c>
      <c r="D178" s="0" t="s">
        <v>4110</v>
      </c>
      <c r="E178" s="0" t="s">
        <v>4286</v>
      </c>
      <c r="F178" s="0" t="s">
        <v>3862</v>
      </c>
      <c r="G178" s="0" t="s">
        <v>4287</v>
      </c>
    </row>
    <row customHeight="1" ht="11.25">
      <c r="A179" s="0" t="s">
        <v>16</v>
      </c>
      <c r="B179" s="0" t="s">
        <v>137</v>
      </c>
      <c r="C179" s="0" t="s">
        <v>138</v>
      </c>
      <c r="D179" s="0" t="s">
        <v>1350</v>
      </c>
      <c r="E179" s="0" t="s">
        <v>1351</v>
      </c>
      <c r="F179" s="0" t="s">
        <v>3862</v>
      </c>
      <c r="G179" s="0" t="s">
        <v>4288</v>
      </c>
    </row>
    <row customHeight="1" ht="11.25">
      <c r="A180" s="0" t="s">
        <v>16</v>
      </c>
      <c r="B180" s="0" t="s">
        <v>137</v>
      </c>
      <c r="C180" s="0" t="s">
        <v>138</v>
      </c>
      <c r="D180" s="0" t="s">
        <v>4289</v>
      </c>
      <c r="E180" s="0" t="s">
        <v>4290</v>
      </c>
      <c r="F180" s="0" t="s">
        <v>3862</v>
      </c>
      <c r="G180" s="0" t="s">
        <v>4291</v>
      </c>
    </row>
    <row customHeight="1" ht="11.25">
      <c r="A181" s="0" t="s">
        <v>16</v>
      </c>
      <c r="B181" s="0" t="s">
        <v>137</v>
      </c>
      <c r="C181" s="0" t="s">
        <v>138</v>
      </c>
      <c r="D181" s="0" t="s">
        <v>4292</v>
      </c>
      <c r="E181" s="0" t="s">
        <v>4293</v>
      </c>
      <c r="F181" s="0" t="s">
        <v>3862</v>
      </c>
      <c r="G181" s="0" t="s">
        <v>4294</v>
      </c>
    </row>
    <row customHeight="1" ht="11.25">
      <c r="A182" s="0" t="s">
        <v>16</v>
      </c>
      <c r="B182" s="0" t="s">
        <v>137</v>
      </c>
      <c r="C182" s="0" t="s">
        <v>138</v>
      </c>
      <c r="D182" s="0" t="s">
        <v>4295</v>
      </c>
      <c r="E182" s="0" t="s">
        <v>4296</v>
      </c>
      <c r="F182" s="0" t="s">
        <v>3862</v>
      </c>
      <c r="G182" s="0" t="s">
        <v>4297</v>
      </c>
    </row>
    <row customHeight="1" ht="11.25">
      <c r="A183" s="0" t="s">
        <v>16</v>
      </c>
      <c r="B183" s="0" t="s">
        <v>137</v>
      </c>
      <c r="C183" s="0" t="s">
        <v>138</v>
      </c>
      <c r="D183" s="0" t="s">
        <v>4298</v>
      </c>
      <c r="E183" s="0" t="s">
        <v>4299</v>
      </c>
      <c r="F183" s="0" t="s">
        <v>3862</v>
      </c>
      <c r="G183" s="0" t="s">
        <v>4300</v>
      </c>
    </row>
    <row customHeight="1" ht="11.25">
      <c r="A184" s="0" t="s">
        <v>16</v>
      </c>
      <c r="B184" s="0" t="s">
        <v>137</v>
      </c>
      <c r="C184" s="0" t="s">
        <v>138</v>
      </c>
      <c r="D184" s="0" t="s">
        <v>4301</v>
      </c>
      <c r="E184" s="0" t="s">
        <v>4302</v>
      </c>
      <c r="F184" s="0" t="s">
        <v>3862</v>
      </c>
      <c r="G184" s="0" t="s">
        <v>4303</v>
      </c>
    </row>
    <row customHeight="1" ht="11.25">
      <c r="A185" s="0" t="s">
        <v>16</v>
      </c>
      <c r="B185" s="0" t="s">
        <v>142</v>
      </c>
      <c r="C185" s="0" t="s">
        <v>143</v>
      </c>
      <c r="D185" s="0" t="s">
        <v>142</v>
      </c>
      <c r="E185" s="0" t="s">
        <v>143</v>
      </c>
      <c r="F185" s="0" t="s">
        <v>3859</v>
      </c>
      <c r="G185" s="0" t="s">
        <v>141</v>
      </c>
    </row>
    <row customHeight="1" ht="11.25">
      <c r="A186" s="0" t="s">
        <v>16</v>
      </c>
      <c r="B186" s="0" t="s">
        <v>142</v>
      </c>
      <c r="C186" s="0" t="s">
        <v>143</v>
      </c>
      <c r="D186" s="0" t="s">
        <v>4304</v>
      </c>
      <c r="E186" s="0" t="s">
        <v>4305</v>
      </c>
      <c r="F186" s="0" t="s">
        <v>3862</v>
      </c>
      <c r="G186" s="0" t="s">
        <v>4306</v>
      </c>
    </row>
    <row customHeight="1" ht="11.25">
      <c r="A187" s="0" t="s">
        <v>16</v>
      </c>
      <c r="B187" s="0" t="s">
        <v>142</v>
      </c>
      <c r="C187" s="0" t="s">
        <v>143</v>
      </c>
      <c r="D187" s="0" t="s">
        <v>4307</v>
      </c>
      <c r="E187" s="0" t="s">
        <v>4308</v>
      </c>
      <c r="F187" s="0" t="s">
        <v>3862</v>
      </c>
      <c r="G187" s="0" t="s">
        <v>4309</v>
      </c>
    </row>
    <row customHeight="1" ht="11.25">
      <c r="A188" s="0" t="s">
        <v>16</v>
      </c>
      <c r="B188" s="0" t="s">
        <v>142</v>
      </c>
      <c r="C188" s="0" t="s">
        <v>143</v>
      </c>
      <c r="D188" s="0" t="s">
        <v>1342</v>
      </c>
      <c r="E188" s="0" t="s">
        <v>1343</v>
      </c>
      <c r="F188" s="0" t="s">
        <v>3862</v>
      </c>
      <c r="G188" s="0" t="s">
        <v>4310</v>
      </c>
    </row>
    <row customHeight="1" ht="11.25">
      <c r="A189" s="0" t="s">
        <v>16</v>
      </c>
      <c r="B189" s="0" t="s">
        <v>142</v>
      </c>
      <c r="C189" s="0" t="s">
        <v>143</v>
      </c>
      <c r="D189" s="0" t="s">
        <v>4311</v>
      </c>
      <c r="E189" s="0" t="s">
        <v>4312</v>
      </c>
      <c r="F189" s="0" t="s">
        <v>3862</v>
      </c>
      <c r="G189" s="0" t="s">
        <v>4313</v>
      </c>
    </row>
    <row customHeight="1" ht="11.25">
      <c r="A190" s="0" t="s">
        <v>16</v>
      </c>
      <c r="B190" s="0" t="s">
        <v>142</v>
      </c>
      <c r="C190" s="0" t="s">
        <v>143</v>
      </c>
      <c r="D190" s="0" t="s">
        <v>4314</v>
      </c>
      <c r="E190" s="0" t="s">
        <v>4315</v>
      </c>
      <c r="F190" s="0" t="s">
        <v>3862</v>
      </c>
      <c r="G190" s="0" t="s">
        <v>4316</v>
      </c>
    </row>
    <row customHeight="1" ht="11.25">
      <c r="A191" s="0" t="s">
        <v>16</v>
      </c>
      <c r="B191" s="0" t="s">
        <v>142</v>
      </c>
      <c r="C191" s="0" t="s">
        <v>143</v>
      </c>
      <c r="D191" s="0" t="s">
        <v>4317</v>
      </c>
      <c r="E191" s="0" t="s">
        <v>4318</v>
      </c>
      <c r="F191" s="0" t="s">
        <v>3862</v>
      </c>
      <c r="G191" s="0" t="s">
        <v>4319</v>
      </c>
    </row>
    <row customHeight="1" ht="11.25">
      <c r="A192" s="0" t="s">
        <v>16</v>
      </c>
      <c r="B192" s="0" t="s">
        <v>142</v>
      </c>
      <c r="C192" s="0" t="s">
        <v>143</v>
      </c>
      <c r="D192" s="0" t="s">
        <v>4320</v>
      </c>
      <c r="E192" s="0" t="s">
        <v>4321</v>
      </c>
      <c r="F192" s="0" t="s">
        <v>3862</v>
      </c>
      <c r="G192" s="0" t="s">
        <v>4322</v>
      </c>
    </row>
    <row customHeight="1" ht="11.25">
      <c r="A193" s="0" t="s">
        <v>16</v>
      </c>
      <c r="B193" s="0" t="s">
        <v>142</v>
      </c>
      <c r="C193" s="0" t="s">
        <v>143</v>
      </c>
      <c r="D193" s="0" t="s">
        <v>4323</v>
      </c>
      <c r="E193" s="0" t="s">
        <v>4324</v>
      </c>
      <c r="F193" s="0" t="s">
        <v>3862</v>
      </c>
      <c r="G193" s="0" t="s">
        <v>4325</v>
      </c>
    </row>
    <row customHeight="1" ht="11.25">
      <c r="A194" s="0" t="s">
        <v>16</v>
      </c>
      <c r="B194" s="0" t="s">
        <v>147</v>
      </c>
      <c r="C194" s="0" t="s">
        <v>148</v>
      </c>
      <c r="D194" s="0" t="s">
        <v>147</v>
      </c>
      <c r="E194" s="0" t="s">
        <v>148</v>
      </c>
      <c r="F194" s="0" t="s">
        <v>3859</v>
      </c>
      <c r="G194" s="0" t="s">
        <v>146</v>
      </c>
    </row>
    <row customHeight="1" ht="11.25">
      <c r="A195" s="0" t="s">
        <v>16</v>
      </c>
      <c r="B195" s="0" t="s">
        <v>147</v>
      </c>
      <c r="C195" s="0" t="s">
        <v>148</v>
      </c>
      <c r="D195" s="0" t="s">
        <v>4326</v>
      </c>
      <c r="E195" s="0" t="s">
        <v>4327</v>
      </c>
      <c r="F195" s="0" t="s">
        <v>3862</v>
      </c>
      <c r="G195" s="0" t="s">
        <v>4328</v>
      </c>
    </row>
    <row customHeight="1" ht="11.25">
      <c r="A196" s="0" t="s">
        <v>16</v>
      </c>
      <c r="B196" s="0" t="s">
        <v>147</v>
      </c>
      <c r="C196" s="0" t="s">
        <v>148</v>
      </c>
      <c r="D196" s="0" t="s">
        <v>4329</v>
      </c>
      <c r="E196" s="0" t="s">
        <v>4330</v>
      </c>
      <c r="F196" s="0" t="s">
        <v>3862</v>
      </c>
      <c r="G196" s="0" t="s">
        <v>4331</v>
      </c>
    </row>
    <row customHeight="1" ht="11.25">
      <c r="A197" s="0" t="s">
        <v>16</v>
      </c>
      <c r="B197" s="0" t="s">
        <v>147</v>
      </c>
      <c r="C197" s="0" t="s">
        <v>148</v>
      </c>
      <c r="D197" s="0" t="s">
        <v>4332</v>
      </c>
      <c r="E197" s="0" t="s">
        <v>4333</v>
      </c>
      <c r="F197" s="0" t="s">
        <v>3862</v>
      </c>
      <c r="G197" s="0" t="s">
        <v>4334</v>
      </c>
    </row>
    <row customHeight="1" ht="11.25">
      <c r="A198" s="0" t="s">
        <v>16</v>
      </c>
      <c r="B198" s="0" t="s">
        <v>147</v>
      </c>
      <c r="C198" s="0" t="s">
        <v>148</v>
      </c>
      <c r="D198" s="0" t="s">
        <v>4335</v>
      </c>
      <c r="E198" s="0" t="s">
        <v>4336</v>
      </c>
      <c r="F198" s="0" t="s">
        <v>3862</v>
      </c>
      <c r="G198" s="0" t="s">
        <v>4337</v>
      </c>
    </row>
    <row customHeight="1" ht="11.25">
      <c r="A199" s="0" t="s">
        <v>16</v>
      </c>
      <c r="B199" s="0" t="s">
        <v>147</v>
      </c>
      <c r="C199" s="0" t="s">
        <v>148</v>
      </c>
      <c r="D199" s="0" t="s">
        <v>4338</v>
      </c>
      <c r="E199" s="0" t="s">
        <v>4339</v>
      </c>
      <c r="F199" s="0" t="s">
        <v>3862</v>
      </c>
      <c r="G199" s="0" t="s">
        <v>4340</v>
      </c>
    </row>
    <row customHeight="1" ht="11.25">
      <c r="A200" s="0" t="s">
        <v>16</v>
      </c>
      <c r="B200" s="0" t="s">
        <v>147</v>
      </c>
      <c r="C200" s="0" t="s">
        <v>148</v>
      </c>
      <c r="D200" s="0" t="s">
        <v>4341</v>
      </c>
      <c r="E200" s="0" t="s">
        <v>4342</v>
      </c>
      <c r="F200" s="0" t="s">
        <v>3862</v>
      </c>
      <c r="G200" s="0" t="s">
        <v>4343</v>
      </c>
    </row>
    <row customHeight="1" ht="11.25">
      <c r="A201" s="0" t="s">
        <v>16</v>
      </c>
      <c r="B201" s="0" t="s">
        <v>147</v>
      </c>
      <c r="C201" s="0" t="s">
        <v>148</v>
      </c>
      <c r="D201" s="0" t="s">
        <v>4344</v>
      </c>
      <c r="E201" s="0" t="s">
        <v>4345</v>
      </c>
      <c r="F201" s="0" t="s">
        <v>3862</v>
      </c>
      <c r="G201" s="0" t="s">
        <v>4346</v>
      </c>
    </row>
    <row customHeight="1" ht="11.25">
      <c r="A202" s="0" t="s">
        <v>16</v>
      </c>
      <c r="B202" s="0" t="s">
        <v>147</v>
      </c>
      <c r="C202" s="0" t="s">
        <v>148</v>
      </c>
      <c r="D202" s="0" t="s">
        <v>4347</v>
      </c>
      <c r="E202" s="0" t="s">
        <v>4348</v>
      </c>
      <c r="F202" s="0" t="s">
        <v>3862</v>
      </c>
      <c r="G202" s="0" t="s">
        <v>4349</v>
      </c>
    </row>
    <row customHeight="1" ht="11.25">
      <c r="A203" s="0" t="s">
        <v>16</v>
      </c>
      <c r="B203" s="0" t="s">
        <v>147</v>
      </c>
      <c r="C203" s="0" t="s">
        <v>148</v>
      </c>
      <c r="D203" s="0" t="s">
        <v>4350</v>
      </c>
      <c r="E203" s="0" t="s">
        <v>4351</v>
      </c>
      <c r="F203" s="0" t="s">
        <v>3862</v>
      </c>
      <c r="G203" s="0" t="s">
        <v>4352</v>
      </c>
    </row>
    <row customHeight="1" ht="11.25">
      <c r="A204" s="0" t="s">
        <v>16</v>
      </c>
      <c r="B204" s="0" t="s">
        <v>147</v>
      </c>
      <c r="C204" s="0" t="s">
        <v>148</v>
      </c>
      <c r="D204" s="0" t="s">
        <v>4353</v>
      </c>
      <c r="E204" s="0" t="s">
        <v>4354</v>
      </c>
      <c r="F204" s="0" t="s">
        <v>3862</v>
      </c>
      <c r="G204" s="0" t="s">
        <v>4355</v>
      </c>
    </row>
    <row customHeight="1" ht="11.25">
      <c r="A205" s="0" t="s">
        <v>16</v>
      </c>
      <c r="B205" s="0" t="s">
        <v>147</v>
      </c>
      <c r="C205" s="0" t="s">
        <v>148</v>
      </c>
      <c r="D205" s="0" t="s">
        <v>4356</v>
      </c>
      <c r="E205" s="0" t="s">
        <v>4357</v>
      </c>
      <c r="F205" s="0" t="s">
        <v>3862</v>
      </c>
      <c r="G205" s="0" t="s">
        <v>4358</v>
      </c>
    </row>
    <row customHeight="1" ht="11.25">
      <c r="A206" s="0" t="s">
        <v>16</v>
      </c>
      <c r="B206" s="0" t="s">
        <v>147</v>
      </c>
      <c r="C206" s="0" t="s">
        <v>148</v>
      </c>
      <c r="D206" s="0" t="s">
        <v>1334</v>
      </c>
      <c r="E206" s="0" t="s">
        <v>1335</v>
      </c>
      <c r="F206" s="0" t="s">
        <v>3862</v>
      </c>
      <c r="G206" s="0" t="s">
        <v>4359</v>
      </c>
    </row>
    <row customHeight="1" ht="11.25">
      <c r="A207" s="0" t="s">
        <v>16</v>
      </c>
      <c r="B207" s="0" t="s">
        <v>147</v>
      </c>
      <c r="C207" s="0" t="s">
        <v>148</v>
      </c>
      <c r="D207" s="0" t="s">
        <v>4360</v>
      </c>
      <c r="E207" s="0" t="s">
        <v>4361</v>
      </c>
      <c r="F207" s="0" t="s">
        <v>3862</v>
      </c>
      <c r="G207" s="0" t="s">
        <v>1204</v>
      </c>
    </row>
    <row customHeight="1" ht="11.25">
      <c r="A208" s="0" t="s">
        <v>16</v>
      </c>
      <c r="B208" s="0" t="s">
        <v>147</v>
      </c>
      <c r="C208" s="0" t="s">
        <v>148</v>
      </c>
      <c r="D208" s="0" t="s">
        <v>4362</v>
      </c>
      <c r="E208" s="0" t="s">
        <v>4363</v>
      </c>
      <c r="F208" s="0" t="s">
        <v>3862</v>
      </c>
      <c r="G208" s="0" t="s">
        <v>1190</v>
      </c>
    </row>
    <row customHeight="1" ht="11.25">
      <c r="A209" s="0" t="s">
        <v>16</v>
      </c>
      <c r="B209" s="0" t="s">
        <v>147</v>
      </c>
      <c r="C209" s="0" t="s">
        <v>148</v>
      </c>
      <c r="D209" s="0" t="s">
        <v>4364</v>
      </c>
      <c r="E209" s="0" t="s">
        <v>4365</v>
      </c>
      <c r="F209" s="0" t="s">
        <v>3862</v>
      </c>
      <c r="G209" s="0" t="s">
        <v>1227</v>
      </c>
    </row>
    <row customHeight="1" ht="11.25">
      <c r="A210" s="0" t="s">
        <v>16</v>
      </c>
      <c r="B210" s="0" t="s">
        <v>152</v>
      </c>
      <c r="C210" s="0" t="s">
        <v>153</v>
      </c>
      <c r="D210" s="0" t="s">
        <v>152</v>
      </c>
      <c r="E210" s="0" t="s">
        <v>153</v>
      </c>
      <c r="F210" s="0" t="s">
        <v>3859</v>
      </c>
      <c r="G210" s="0" t="s">
        <v>151</v>
      </c>
    </row>
    <row customHeight="1" ht="11.25">
      <c r="A211" s="0" t="s">
        <v>16</v>
      </c>
      <c r="B211" s="0" t="s">
        <v>152</v>
      </c>
      <c r="C211" s="0" t="s">
        <v>153</v>
      </c>
      <c r="D211" s="0" t="s">
        <v>4366</v>
      </c>
      <c r="E211" s="0" t="s">
        <v>4367</v>
      </c>
      <c r="F211" s="0" t="s">
        <v>3862</v>
      </c>
      <c r="G211" s="0" t="s">
        <v>1233</v>
      </c>
    </row>
    <row customHeight="1" ht="11.25">
      <c r="A212" s="0" t="s">
        <v>16</v>
      </c>
      <c r="B212" s="0" t="s">
        <v>152</v>
      </c>
      <c r="C212" s="0" t="s">
        <v>153</v>
      </c>
      <c r="D212" s="0" t="s">
        <v>4368</v>
      </c>
      <c r="E212" s="0" t="s">
        <v>4369</v>
      </c>
      <c r="F212" s="0" t="s">
        <v>3862</v>
      </c>
      <c r="G212" s="0" t="s">
        <v>1183</v>
      </c>
    </row>
    <row customHeight="1" ht="11.25">
      <c r="A213" s="0" t="s">
        <v>16</v>
      </c>
      <c r="B213" s="0" t="s">
        <v>152</v>
      </c>
      <c r="C213" s="0" t="s">
        <v>153</v>
      </c>
      <c r="D213" s="0" t="s">
        <v>4370</v>
      </c>
      <c r="E213" s="0" t="s">
        <v>4371</v>
      </c>
      <c r="F213" s="0" t="s">
        <v>3862</v>
      </c>
      <c r="G213" s="0" t="s">
        <v>4372</v>
      </c>
    </row>
    <row customHeight="1" ht="11.25">
      <c r="A214" s="0" t="s">
        <v>16</v>
      </c>
      <c r="B214" s="0" t="s">
        <v>152</v>
      </c>
      <c r="C214" s="0" t="s">
        <v>153</v>
      </c>
      <c r="D214" s="0" t="s">
        <v>4373</v>
      </c>
      <c r="E214" s="0" t="s">
        <v>4374</v>
      </c>
      <c r="F214" s="0" t="s">
        <v>3862</v>
      </c>
      <c r="G214" s="0" t="s">
        <v>1239</v>
      </c>
    </row>
    <row customHeight="1" ht="11.25">
      <c r="A215" s="0" t="s">
        <v>16</v>
      </c>
      <c r="B215" s="0" t="s">
        <v>152</v>
      </c>
      <c r="C215" s="0" t="s">
        <v>153</v>
      </c>
      <c r="D215" s="0" t="s">
        <v>4375</v>
      </c>
      <c r="E215" s="0" t="s">
        <v>4376</v>
      </c>
      <c r="F215" s="0" t="s">
        <v>3862</v>
      </c>
      <c r="G215" s="0" t="s">
        <v>1210</v>
      </c>
    </row>
    <row customHeight="1" ht="11.25">
      <c r="A216" s="0" t="s">
        <v>16</v>
      </c>
      <c r="B216" s="0" t="s">
        <v>152</v>
      </c>
      <c r="C216" s="0" t="s">
        <v>153</v>
      </c>
      <c r="D216" s="0" t="s">
        <v>4377</v>
      </c>
      <c r="E216" s="0" t="s">
        <v>4378</v>
      </c>
      <c r="F216" s="0" t="s">
        <v>3862</v>
      </c>
      <c r="G216" s="0" t="s">
        <v>1245</v>
      </c>
    </row>
    <row customHeight="1" ht="11.25">
      <c r="A217" s="0" t="s">
        <v>16</v>
      </c>
      <c r="B217" s="0" t="s">
        <v>152</v>
      </c>
      <c r="C217" s="0" t="s">
        <v>153</v>
      </c>
      <c r="D217" s="0" t="s">
        <v>4379</v>
      </c>
      <c r="E217" s="0" t="s">
        <v>4380</v>
      </c>
      <c r="F217" s="0" t="s">
        <v>3862</v>
      </c>
      <c r="G217" s="0" t="s">
        <v>1251</v>
      </c>
    </row>
    <row customHeight="1" ht="11.25">
      <c r="A218" s="0" t="s">
        <v>16</v>
      </c>
      <c r="B218" s="0" t="s">
        <v>4381</v>
      </c>
      <c r="C218" s="0" t="s">
        <v>4382</v>
      </c>
      <c r="D218" s="0" t="s">
        <v>4381</v>
      </c>
      <c r="E218" s="0" t="s">
        <v>4382</v>
      </c>
      <c r="F218" s="0" t="s">
        <v>3859</v>
      </c>
      <c r="G218" s="0" t="s">
        <v>4383</v>
      </c>
    </row>
    <row customHeight="1" ht="11.25">
      <c r="A219" s="0" t="s">
        <v>16</v>
      </c>
      <c r="B219" s="0" t="s">
        <v>4381</v>
      </c>
      <c r="C219" s="0" t="s">
        <v>4382</v>
      </c>
      <c r="D219" s="0" t="s">
        <v>4384</v>
      </c>
      <c r="E219" s="0" t="s">
        <v>4385</v>
      </c>
      <c r="F219" s="0" t="s">
        <v>3871</v>
      </c>
      <c r="G219" s="0" t="s">
        <v>4386</v>
      </c>
    </row>
    <row customHeight="1" ht="11.25">
      <c r="A220" s="0" t="s">
        <v>16</v>
      </c>
      <c r="B220" s="0" t="s">
        <v>4381</v>
      </c>
      <c r="C220" s="0" t="s">
        <v>4382</v>
      </c>
      <c r="D220" s="0" t="s">
        <v>4387</v>
      </c>
      <c r="E220" s="0" t="s">
        <v>4388</v>
      </c>
      <c r="F220" s="0" t="s">
        <v>3862</v>
      </c>
      <c r="G220" s="0" t="s">
        <v>4389</v>
      </c>
    </row>
    <row customHeight="1" ht="11.25">
      <c r="A221" s="0" t="s">
        <v>16</v>
      </c>
      <c r="B221" s="0" t="s">
        <v>4381</v>
      </c>
      <c r="C221" s="0" t="s">
        <v>4382</v>
      </c>
      <c r="D221" s="0" t="s">
        <v>4390</v>
      </c>
      <c r="E221" s="0" t="s">
        <v>4391</v>
      </c>
      <c r="F221" s="0" t="s">
        <v>3862</v>
      </c>
      <c r="G221" s="0" t="s">
        <v>4392</v>
      </c>
    </row>
    <row customHeight="1" ht="11.25">
      <c r="A222" s="0" t="s">
        <v>16</v>
      </c>
      <c r="B222" s="0" t="s">
        <v>4381</v>
      </c>
      <c r="C222" s="0" t="s">
        <v>4382</v>
      </c>
      <c r="D222" s="0" t="s">
        <v>4393</v>
      </c>
      <c r="E222" s="0" t="s">
        <v>4394</v>
      </c>
      <c r="F222" s="0" t="s">
        <v>3862</v>
      </c>
      <c r="G222" s="0" t="s">
        <v>4395</v>
      </c>
    </row>
    <row customHeight="1" ht="11.25">
      <c r="A223" s="0" t="s">
        <v>16</v>
      </c>
      <c r="B223" s="0" t="s">
        <v>4381</v>
      </c>
      <c r="C223" s="0" t="s">
        <v>4382</v>
      </c>
      <c r="D223" s="0" t="s">
        <v>4396</v>
      </c>
      <c r="E223" s="0" t="s">
        <v>4397</v>
      </c>
      <c r="F223" s="0" t="s">
        <v>3862</v>
      </c>
      <c r="G223" s="0" t="s">
        <v>4398</v>
      </c>
    </row>
    <row customHeight="1" ht="11.25">
      <c r="A224" s="0" t="s">
        <v>16</v>
      </c>
      <c r="B224" s="0" t="s">
        <v>4381</v>
      </c>
      <c r="C224" s="0" t="s">
        <v>4382</v>
      </c>
      <c r="D224" s="0" t="s">
        <v>4399</v>
      </c>
      <c r="E224" s="0" t="s">
        <v>4400</v>
      </c>
      <c r="F224" s="0" t="s">
        <v>3862</v>
      </c>
      <c r="G224" s="0" t="s">
        <v>4401</v>
      </c>
    </row>
    <row customHeight="1" ht="11.25">
      <c r="A225" s="0" t="s">
        <v>16</v>
      </c>
      <c r="B225" s="0" t="s">
        <v>4381</v>
      </c>
      <c r="C225" s="0" t="s">
        <v>4382</v>
      </c>
      <c r="D225" s="0" t="s">
        <v>4402</v>
      </c>
      <c r="E225" s="0" t="s">
        <v>4403</v>
      </c>
      <c r="F225" s="0" t="s">
        <v>3862</v>
      </c>
      <c r="G225" s="0" t="s">
        <v>4404</v>
      </c>
    </row>
    <row customHeight="1" ht="11.25">
      <c r="A226" s="0" t="s">
        <v>16</v>
      </c>
      <c r="B226" s="0" t="s">
        <v>4381</v>
      </c>
      <c r="C226" s="0" t="s">
        <v>4382</v>
      </c>
      <c r="D226" s="0" t="s">
        <v>4405</v>
      </c>
      <c r="E226" s="0" t="s">
        <v>4406</v>
      </c>
      <c r="F226" s="0" t="s">
        <v>3862</v>
      </c>
      <c r="G226" s="0" t="s">
        <v>4407</v>
      </c>
    </row>
    <row customHeight="1" ht="11.25">
      <c r="A227" s="0" t="s">
        <v>16</v>
      </c>
      <c r="B227" s="0" t="s">
        <v>4381</v>
      </c>
      <c r="C227" s="0" t="s">
        <v>4382</v>
      </c>
      <c r="D227" s="0" t="s">
        <v>4408</v>
      </c>
      <c r="E227" s="0" t="s">
        <v>4409</v>
      </c>
      <c r="F227" s="0" t="s">
        <v>3862</v>
      </c>
      <c r="G227" s="0" t="s">
        <v>1216</v>
      </c>
    </row>
    <row customHeight="1" ht="11.25">
      <c r="A228" s="0" t="s">
        <v>16</v>
      </c>
      <c r="B228" s="0" t="s">
        <v>4381</v>
      </c>
      <c r="C228" s="0" t="s">
        <v>4382</v>
      </c>
      <c r="D228" s="0" t="s">
        <v>4410</v>
      </c>
      <c r="E228" s="0" t="s">
        <v>4411</v>
      </c>
      <c r="F228" s="0" t="s">
        <v>3862</v>
      </c>
      <c r="G228" s="0" t="s">
        <v>1222</v>
      </c>
    </row>
    <row customHeight="1" ht="11.25">
      <c r="A229" s="0" t="s">
        <v>16</v>
      </c>
      <c r="B229" s="0" t="s">
        <v>4381</v>
      </c>
      <c r="C229" s="0" t="s">
        <v>4382</v>
      </c>
      <c r="D229" s="0" t="s">
        <v>4412</v>
      </c>
      <c r="E229" s="0" t="s">
        <v>4413</v>
      </c>
      <c r="F229" s="0" t="s">
        <v>3862</v>
      </c>
      <c r="G229" s="0" t="s">
        <v>1197</v>
      </c>
    </row>
    <row customHeight="1" ht="11.25">
      <c r="A230" s="0" t="s">
        <v>16</v>
      </c>
      <c r="B230" s="0" t="s">
        <v>4381</v>
      </c>
      <c r="C230" s="0" t="s">
        <v>4382</v>
      </c>
      <c r="D230" s="0" t="s">
        <v>4414</v>
      </c>
      <c r="E230" s="0" t="s">
        <v>4415</v>
      </c>
      <c r="F230" s="0" t="s">
        <v>3862</v>
      </c>
      <c r="G230" s="0" t="s">
        <v>4416</v>
      </c>
    </row>
    <row customHeight="1" ht="11.25">
      <c r="A231" s="0" t="s">
        <v>16</v>
      </c>
      <c r="B231" s="0" t="s">
        <v>4381</v>
      </c>
      <c r="C231" s="0" t="s">
        <v>4382</v>
      </c>
      <c r="D231" s="0" t="s">
        <v>4417</v>
      </c>
      <c r="E231" s="0" t="s">
        <v>4418</v>
      </c>
      <c r="F231" s="0" t="s">
        <v>3862</v>
      </c>
      <c r="G231" s="0" t="s">
        <v>4419</v>
      </c>
    </row>
    <row customHeight="1" ht="11.25">
      <c r="A232" s="0" t="s">
        <v>16</v>
      </c>
      <c r="B232" s="0" t="s">
        <v>4381</v>
      </c>
      <c r="C232" s="0" t="s">
        <v>4382</v>
      </c>
      <c r="D232" s="0" t="s">
        <v>4420</v>
      </c>
      <c r="E232" s="0" t="s">
        <v>4421</v>
      </c>
      <c r="F232" s="0" t="s">
        <v>3862</v>
      </c>
      <c r="G232" s="0" t="s">
        <v>4422</v>
      </c>
    </row>
    <row customHeight="1" ht="11.25">
      <c r="A233" s="0" t="s">
        <v>16</v>
      </c>
      <c r="B233" s="0" t="s">
        <v>4381</v>
      </c>
      <c r="C233" s="0" t="s">
        <v>4382</v>
      </c>
      <c r="D233" s="0" t="s">
        <v>4423</v>
      </c>
      <c r="E233" s="0" t="s">
        <v>4424</v>
      </c>
      <c r="F233" s="0" t="s">
        <v>3862</v>
      </c>
      <c r="G233" s="0" t="s">
        <v>4425</v>
      </c>
    </row>
    <row customHeight="1" ht="11.25">
      <c r="A234" s="0" t="s">
        <v>16</v>
      </c>
      <c r="B234" s="0" t="s">
        <v>4381</v>
      </c>
      <c r="C234" s="0" t="s">
        <v>4382</v>
      </c>
      <c r="D234" s="0" t="s">
        <v>4426</v>
      </c>
      <c r="E234" s="0" t="s">
        <v>4427</v>
      </c>
      <c r="F234" s="0" t="s">
        <v>3862</v>
      </c>
      <c r="G234" s="0" t="s">
        <v>4428</v>
      </c>
    </row>
    <row customHeight="1" ht="11.25">
      <c r="A235" s="0" t="s">
        <v>16</v>
      </c>
      <c r="B235" s="0" t="s">
        <v>4381</v>
      </c>
      <c r="C235" s="0" t="s">
        <v>4382</v>
      </c>
      <c r="D235" s="0" t="s">
        <v>4101</v>
      </c>
      <c r="E235" s="0" t="s">
        <v>4429</v>
      </c>
      <c r="F235" s="0" t="s">
        <v>3862</v>
      </c>
      <c r="G235" s="0" t="s">
        <v>4430</v>
      </c>
    </row>
    <row customHeight="1" ht="11.25">
      <c r="A236" s="0" t="s">
        <v>16</v>
      </c>
      <c r="B236" s="0" t="s">
        <v>157</v>
      </c>
      <c r="C236" s="0" t="s">
        <v>158</v>
      </c>
      <c r="D236" s="0" t="s">
        <v>157</v>
      </c>
      <c r="E236" s="0" t="s">
        <v>158</v>
      </c>
      <c r="F236" s="0" t="s">
        <v>3859</v>
      </c>
      <c r="G236" s="0" t="s">
        <v>156</v>
      </c>
    </row>
    <row customHeight="1" ht="11.25">
      <c r="A237" s="0" t="s">
        <v>16</v>
      </c>
      <c r="B237" s="0" t="s">
        <v>157</v>
      </c>
      <c r="C237" s="0" t="s">
        <v>158</v>
      </c>
      <c r="D237" s="0" t="s">
        <v>3903</v>
      </c>
      <c r="E237" s="0" t="s">
        <v>4431</v>
      </c>
      <c r="F237" s="0" t="s">
        <v>3862</v>
      </c>
      <c r="G237" s="0" t="s">
        <v>4432</v>
      </c>
    </row>
    <row customHeight="1" ht="11.25">
      <c r="A238" s="0" t="s">
        <v>16</v>
      </c>
      <c r="B238" s="0" t="s">
        <v>157</v>
      </c>
      <c r="C238" s="0" t="s">
        <v>158</v>
      </c>
      <c r="D238" s="0" t="s">
        <v>4433</v>
      </c>
      <c r="E238" s="0" t="s">
        <v>4434</v>
      </c>
      <c r="F238" s="0" t="s">
        <v>3862</v>
      </c>
      <c r="G238" s="0" t="s">
        <v>4435</v>
      </c>
    </row>
    <row customHeight="1" ht="11.25">
      <c r="A239" s="0" t="s">
        <v>16</v>
      </c>
      <c r="B239" s="0" t="s">
        <v>157</v>
      </c>
      <c r="C239" s="0" t="s">
        <v>158</v>
      </c>
      <c r="D239" s="0" t="s">
        <v>4436</v>
      </c>
      <c r="E239" s="0" t="s">
        <v>4437</v>
      </c>
      <c r="F239" s="0" t="s">
        <v>3862</v>
      </c>
      <c r="G239" s="0" t="s">
        <v>4438</v>
      </c>
    </row>
    <row customHeight="1" ht="11.25">
      <c r="A240" s="0" t="s">
        <v>16</v>
      </c>
      <c r="B240" s="0" t="s">
        <v>157</v>
      </c>
      <c r="C240" s="0" t="s">
        <v>158</v>
      </c>
      <c r="D240" s="0" t="s">
        <v>3872</v>
      </c>
      <c r="E240" s="0" t="s">
        <v>4439</v>
      </c>
      <c r="F240" s="0" t="s">
        <v>3862</v>
      </c>
      <c r="G240" s="0" t="s">
        <v>4440</v>
      </c>
    </row>
    <row customHeight="1" ht="11.25">
      <c r="A241" s="0" t="s">
        <v>16</v>
      </c>
      <c r="B241" s="0" t="s">
        <v>157</v>
      </c>
      <c r="C241" s="0" t="s">
        <v>158</v>
      </c>
      <c r="D241" s="0" t="s">
        <v>4441</v>
      </c>
      <c r="E241" s="0" t="s">
        <v>4442</v>
      </c>
      <c r="F241" s="0" t="s">
        <v>3862</v>
      </c>
      <c r="G241" s="0" t="s">
        <v>4443</v>
      </c>
    </row>
    <row customHeight="1" ht="11.25">
      <c r="A242" s="0" t="s">
        <v>16</v>
      </c>
      <c r="B242" s="0" t="s">
        <v>157</v>
      </c>
      <c r="C242" s="0" t="s">
        <v>158</v>
      </c>
      <c r="D242" s="0" t="s">
        <v>1429</v>
      </c>
      <c r="E242" s="0" t="s">
        <v>1430</v>
      </c>
      <c r="F242" s="0" t="s">
        <v>3862</v>
      </c>
      <c r="G242" s="0" t="s">
        <v>4444</v>
      </c>
    </row>
    <row customHeight="1" ht="11.25">
      <c r="A243" s="0" t="s">
        <v>16</v>
      </c>
      <c r="B243" s="0" t="s">
        <v>157</v>
      </c>
      <c r="C243" s="0" t="s">
        <v>158</v>
      </c>
      <c r="D243" s="0" t="s">
        <v>4445</v>
      </c>
      <c r="E243" s="0" t="s">
        <v>4446</v>
      </c>
      <c r="F243" s="0" t="s">
        <v>3862</v>
      </c>
      <c r="G243" s="0" t="s">
        <v>4447</v>
      </c>
    </row>
    <row customHeight="1" ht="11.25">
      <c r="A244" s="0" t="s">
        <v>16</v>
      </c>
      <c r="B244" s="0" t="s">
        <v>157</v>
      </c>
      <c r="C244" s="0" t="s">
        <v>158</v>
      </c>
      <c r="D244" s="0" t="s">
        <v>4448</v>
      </c>
      <c r="E244" s="0" t="s">
        <v>4449</v>
      </c>
      <c r="F244" s="0" t="s">
        <v>3862</v>
      </c>
      <c r="G244" s="0" t="s">
        <v>4450</v>
      </c>
    </row>
    <row customHeight="1" ht="11.25">
      <c r="A245" s="0" t="s">
        <v>16</v>
      </c>
      <c r="B245" s="0" t="s">
        <v>157</v>
      </c>
      <c r="C245" s="0" t="s">
        <v>158</v>
      </c>
      <c r="D245" s="0" t="s">
        <v>4451</v>
      </c>
      <c r="E245" s="0" t="s">
        <v>4452</v>
      </c>
      <c r="F245" s="0" t="s">
        <v>3862</v>
      </c>
      <c r="G245" s="0" t="s">
        <v>4453</v>
      </c>
    </row>
    <row customHeight="1" ht="11.25">
      <c r="A246" s="0" t="s">
        <v>16</v>
      </c>
      <c r="B246" s="0" t="s">
        <v>157</v>
      </c>
      <c r="C246" s="0" t="s">
        <v>158</v>
      </c>
      <c r="D246" s="0" t="s">
        <v>4454</v>
      </c>
      <c r="E246" s="0" t="s">
        <v>4455</v>
      </c>
      <c r="F246" s="0" t="s">
        <v>3862</v>
      </c>
      <c r="G246" s="0" t="s">
        <v>4456</v>
      </c>
    </row>
    <row customHeight="1" ht="11.25">
      <c r="A247" s="0" t="s">
        <v>16</v>
      </c>
      <c r="B247" s="0" t="s">
        <v>157</v>
      </c>
      <c r="C247" s="0" t="s">
        <v>158</v>
      </c>
      <c r="D247" s="0" t="s">
        <v>4457</v>
      </c>
      <c r="E247" s="0" t="s">
        <v>4458</v>
      </c>
      <c r="F247" s="0" t="s">
        <v>3862</v>
      </c>
      <c r="G247" s="0" t="s">
        <v>4459</v>
      </c>
    </row>
    <row customHeight="1" ht="11.25">
      <c r="A248" s="0" t="s">
        <v>16</v>
      </c>
      <c r="B248" s="0" t="s">
        <v>157</v>
      </c>
      <c r="C248" s="0" t="s">
        <v>158</v>
      </c>
      <c r="D248" s="0" t="s">
        <v>4460</v>
      </c>
      <c r="E248" s="0" t="s">
        <v>4461</v>
      </c>
      <c r="F248" s="0" t="s">
        <v>3862</v>
      </c>
      <c r="G248" s="0" t="s">
        <v>4462</v>
      </c>
    </row>
    <row customHeight="1" ht="11.25">
      <c r="A249" s="0" t="s">
        <v>16</v>
      </c>
      <c r="B249" s="0" t="s">
        <v>157</v>
      </c>
      <c r="C249" s="0" t="s">
        <v>158</v>
      </c>
      <c r="D249" s="0" t="s">
        <v>4463</v>
      </c>
      <c r="E249" s="0" t="s">
        <v>4464</v>
      </c>
      <c r="F249" s="0" t="s">
        <v>3862</v>
      </c>
      <c r="G249" s="0" t="s">
        <v>4465</v>
      </c>
    </row>
    <row customHeight="1" ht="11.25">
      <c r="A250" s="0" t="s">
        <v>16</v>
      </c>
      <c r="B250" s="0" t="s">
        <v>157</v>
      </c>
      <c r="C250" s="0" t="s">
        <v>158</v>
      </c>
      <c r="D250" s="0" t="s">
        <v>4466</v>
      </c>
      <c r="E250" s="0" t="s">
        <v>4467</v>
      </c>
      <c r="F250" s="0" t="s">
        <v>3862</v>
      </c>
      <c r="G250" s="0" t="s">
        <v>4468</v>
      </c>
    </row>
    <row customHeight="1" ht="11.25">
      <c r="A251" s="0" t="s">
        <v>16</v>
      </c>
      <c r="B251" s="0" t="s">
        <v>157</v>
      </c>
      <c r="C251" s="0" t="s">
        <v>158</v>
      </c>
      <c r="D251" s="0" t="s">
        <v>4469</v>
      </c>
      <c r="E251" s="0" t="s">
        <v>4470</v>
      </c>
      <c r="F251" s="0" t="s">
        <v>3862</v>
      </c>
      <c r="G251" s="0" t="s">
        <v>4471</v>
      </c>
    </row>
    <row customHeight="1" ht="11.25">
      <c r="A252" s="0" t="s">
        <v>16</v>
      </c>
      <c r="B252" s="0" t="s">
        <v>157</v>
      </c>
      <c r="C252" s="0" t="s">
        <v>158</v>
      </c>
      <c r="D252" s="0" t="s">
        <v>4472</v>
      </c>
      <c r="E252" s="0" t="s">
        <v>4473</v>
      </c>
      <c r="F252" s="0" t="s">
        <v>3862</v>
      </c>
      <c r="G252" s="0" t="s">
        <v>4474</v>
      </c>
    </row>
    <row customHeight="1" ht="11.25">
      <c r="A253" s="0" t="s">
        <v>16</v>
      </c>
      <c r="B253" s="0" t="s">
        <v>157</v>
      </c>
      <c r="C253" s="0" t="s">
        <v>158</v>
      </c>
      <c r="D253" s="0" t="s">
        <v>4475</v>
      </c>
      <c r="E253" s="0" t="s">
        <v>4476</v>
      </c>
      <c r="F253" s="0" t="s">
        <v>3862</v>
      </c>
      <c r="G253" s="0" t="s">
        <v>1167</v>
      </c>
    </row>
    <row customHeight="1" ht="11.25">
      <c r="A254" s="0" t="s">
        <v>16</v>
      </c>
      <c r="B254" s="0" t="s">
        <v>157</v>
      </c>
      <c r="C254" s="0" t="s">
        <v>158</v>
      </c>
      <c r="D254" s="0" t="s">
        <v>4477</v>
      </c>
      <c r="E254" s="0" t="s">
        <v>4478</v>
      </c>
      <c r="F254" s="0" t="s">
        <v>3862</v>
      </c>
      <c r="G254" s="0" t="s">
        <v>4479</v>
      </c>
    </row>
    <row customHeight="1" ht="11.25">
      <c r="A255" s="0" t="s">
        <v>16</v>
      </c>
      <c r="B255" s="0" t="s">
        <v>157</v>
      </c>
      <c r="C255" s="0" t="s">
        <v>158</v>
      </c>
      <c r="D255" s="0" t="s">
        <v>4480</v>
      </c>
      <c r="E255" s="0" t="s">
        <v>4481</v>
      </c>
      <c r="F255" s="0" t="s">
        <v>3862</v>
      </c>
      <c r="G255" s="0" t="s">
        <v>4482</v>
      </c>
    </row>
    <row customHeight="1" ht="11.25">
      <c r="A256" s="0" t="s">
        <v>16</v>
      </c>
      <c r="B256" s="0" t="s">
        <v>157</v>
      </c>
      <c r="C256" s="0" t="s">
        <v>158</v>
      </c>
      <c r="D256" s="0" t="s">
        <v>4483</v>
      </c>
      <c r="E256" s="0" t="s">
        <v>4484</v>
      </c>
      <c r="F256" s="0" t="s">
        <v>3862</v>
      </c>
      <c r="G256" s="0" t="s">
        <v>4485</v>
      </c>
    </row>
    <row customHeight="1" ht="11.25">
      <c r="A257" s="0" t="s">
        <v>16</v>
      </c>
      <c r="B257" s="0" t="s">
        <v>157</v>
      </c>
      <c r="C257" s="0" t="s">
        <v>158</v>
      </c>
      <c r="D257" s="0" t="s">
        <v>4486</v>
      </c>
      <c r="E257" s="0" t="s">
        <v>4487</v>
      </c>
      <c r="F257" s="0" t="s">
        <v>3862</v>
      </c>
      <c r="G257" s="0" t="s">
        <v>4488</v>
      </c>
    </row>
    <row customHeight="1" ht="11.25">
      <c r="A258" s="0" t="s">
        <v>16</v>
      </c>
      <c r="B258" s="0" t="s">
        <v>157</v>
      </c>
      <c r="C258" s="0" t="s">
        <v>158</v>
      </c>
      <c r="D258" s="0" t="s">
        <v>4489</v>
      </c>
      <c r="E258" s="0" t="s">
        <v>4490</v>
      </c>
      <c r="F258" s="0" t="s">
        <v>3862</v>
      </c>
      <c r="G258" s="0" t="s">
        <v>4491</v>
      </c>
    </row>
    <row customHeight="1" ht="11.25">
      <c r="A259" s="0" t="s">
        <v>16</v>
      </c>
      <c r="B259" s="0" t="s">
        <v>157</v>
      </c>
      <c r="C259" s="0" t="s">
        <v>158</v>
      </c>
      <c r="D259" s="0" t="s">
        <v>4492</v>
      </c>
      <c r="E259" s="0" t="s">
        <v>4493</v>
      </c>
      <c r="F259" s="0" t="s">
        <v>3862</v>
      </c>
      <c r="G259" s="0" t="s">
        <v>4494</v>
      </c>
    </row>
    <row customHeight="1" ht="11.25">
      <c r="A260" s="0" t="s">
        <v>16</v>
      </c>
      <c r="B260" s="0" t="s">
        <v>157</v>
      </c>
      <c r="C260" s="0" t="s">
        <v>158</v>
      </c>
      <c r="D260" s="0" t="s">
        <v>4495</v>
      </c>
      <c r="E260" s="0" t="s">
        <v>4496</v>
      </c>
      <c r="F260" s="0" t="s">
        <v>3862</v>
      </c>
      <c r="G260" s="0" t="s">
        <v>4497</v>
      </c>
    </row>
    <row customHeight="1" ht="11.25">
      <c r="A261" s="0" t="s">
        <v>16</v>
      </c>
      <c r="B261" s="0" t="s">
        <v>4498</v>
      </c>
      <c r="C261" s="0" t="s">
        <v>4499</v>
      </c>
      <c r="D261" s="0" t="s">
        <v>4498</v>
      </c>
      <c r="E261" s="0" t="s">
        <v>4499</v>
      </c>
      <c r="F261" s="0" t="s">
        <v>3859</v>
      </c>
      <c r="G261" s="0" t="s">
        <v>4500</v>
      </c>
    </row>
    <row customHeight="1" ht="11.25">
      <c r="A262" s="0" t="s">
        <v>16</v>
      </c>
      <c r="B262" s="0" t="s">
        <v>4498</v>
      </c>
      <c r="C262" s="0" t="s">
        <v>4499</v>
      </c>
      <c r="D262" s="0" t="s">
        <v>4501</v>
      </c>
      <c r="E262" s="0" t="s">
        <v>4502</v>
      </c>
      <c r="F262" s="0" t="s">
        <v>3871</v>
      </c>
      <c r="G262" s="0" t="s">
        <v>4503</v>
      </c>
    </row>
    <row customHeight="1" ht="11.25">
      <c r="A263" s="0" t="s">
        <v>16</v>
      </c>
      <c r="B263" s="0" t="s">
        <v>4498</v>
      </c>
      <c r="C263" s="0" t="s">
        <v>4499</v>
      </c>
      <c r="D263" s="0" t="s">
        <v>4504</v>
      </c>
      <c r="E263" s="0" t="s">
        <v>4505</v>
      </c>
      <c r="F263" s="0" t="s">
        <v>3871</v>
      </c>
      <c r="G263" s="0" t="s">
        <v>4506</v>
      </c>
    </row>
    <row customHeight="1" ht="11.25">
      <c r="A264" s="0" t="s">
        <v>16</v>
      </c>
      <c r="B264" s="0" t="s">
        <v>4498</v>
      </c>
      <c r="C264" s="0" t="s">
        <v>4499</v>
      </c>
      <c r="D264" s="0" t="s">
        <v>4507</v>
      </c>
      <c r="E264" s="0" t="s">
        <v>4508</v>
      </c>
      <c r="F264" s="0" t="s">
        <v>3862</v>
      </c>
      <c r="G264" s="0" t="s">
        <v>4509</v>
      </c>
    </row>
    <row customHeight="1" ht="11.25">
      <c r="A265" s="0" t="s">
        <v>16</v>
      </c>
      <c r="B265" s="0" t="s">
        <v>4498</v>
      </c>
      <c r="C265" s="0" t="s">
        <v>4499</v>
      </c>
      <c r="D265" s="0" t="s">
        <v>4510</v>
      </c>
      <c r="E265" s="0" t="s">
        <v>4511</v>
      </c>
      <c r="F265" s="0" t="s">
        <v>3862</v>
      </c>
      <c r="G265" s="0" t="s">
        <v>4512</v>
      </c>
    </row>
    <row customHeight="1" ht="11.25">
      <c r="A266" s="0" t="s">
        <v>16</v>
      </c>
      <c r="B266" s="0" t="s">
        <v>4498</v>
      </c>
      <c r="C266" s="0" t="s">
        <v>4499</v>
      </c>
      <c r="D266" s="0" t="s">
        <v>4513</v>
      </c>
      <c r="E266" s="0" t="s">
        <v>4514</v>
      </c>
      <c r="F266" s="0" t="s">
        <v>3862</v>
      </c>
      <c r="G266" s="0" t="s">
        <v>4515</v>
      </c>
    </row>
    <row customHeight="1" ht="11.25">
      <c r="A267" s="0" t="s">
        <v>16</v>
      </c>
      <c r="B267" s="0" t="s">
        <v>4498</v>
      </c>
      <c r="C267" s="0" t="s">
        <v>4499</v>
      </c>
      <c r="D267" s="0" t="s">
        <v>4516</v>
      </c>
      <c r="E267" s="0" t="s">
        <v>4517</v>
      </c>
      <c r="F267" s="0" t="s">
        <v>3862</v>
      </c>
      <c r="G267" s="0" t="s">
        <v>4518</v>
      </c>
    </row>
    <row customHeight="1" ht="11.25">
      <c r="A268" s="0" t="s">
        <v>16</v>
      </c>
      <c r="B268" s="0" t="s">
        <v>4498</v>
      </c>
      <c r="C268" s="0" t="s">
        <v>4499</v>
      </c>
      <c r="D268" s="0" t="s">
        <v>4519</v>
      </c>
      <c r="E268" s="0" t="s">
        <v>4520</v>
      </c>
      <c r="F268" s="0" t="s">
        <v>3862</v>
      </c>
      <c r="G268" s="0" t="s">
        <v>4521</v>
      </c>
    </row>
    <row customHeight="1" ht="11.25">
      <c r="A269" s="0" t="s">
        <v>16</v>
      </c>
      <c r="B269" s="0" t="s">
        <v>4498</v>
      </c>
      <c r="C269" s="0" t="s">
        <v>4499</v>
      </c>
      <c r="D269" s="0" t="s">
        <v>4522</v>
      </c>
      <c r="E269" s="0" t="s">
        <v>4523</v>
      </c>
      <c r="F269" s="0" t="s">
        <v>3862</v>
      </c>
      <c r="G269" s="0" t="s">
        <v>4524</v>
      </c>
    </row>
    <row customHeight="1" ht="11.25">
      <c r="A270" s="0" t="s">
        <v>16</v>
      </c>
      <c r="B270" s="0" t="s">
        <v>4498</v>
      </c>
      <c r="C270" s="0" t="s">
        <v>4499</v>
      </c>
      <c r="D270" s="0" t="s">
        <v>4525</v>
      </c>
      <c r="E270" s="0" t="s">
        <v>4526</v>
      </c>
      <c r="F270" s="0" t="s">
        <v>3862</v>
      </c>
      <c r="G270" s="0" t="s">
        <v>4527</v>
      </c>
    </row>
    <row customHeight="1" ht="11.25">
      <c r="A271" s="0" t="s">
        <v>16</v>
      </c>
      <c r="B271" s="0" t="s">
        <v>4498</v>
      </c>
      <c r="C271" s="0" t="s">
        <v>4499</v>
      </c>
      <c r="D271" s="0" t="s">
        <v>4528</v>
      </c>
      <c r="E271" s="0" t="s">
        <v>4529</v>
      </c>
      <c r="F271" s="0" t="s">
        <v>3862</v>
      </c>
      <c r="G271" s="0" t="s">
        <v>4530</v>
      </c>
    </row>
    <row customHeight="1" ht="11.25">
      <c r="A272" s="0" t="s">
        <v>16</v>
      </c>
      <c r="B272" s="0" t="s">
        <v>4498</v>
      </c>
      <c r="C272" s="0" t="s">
        <v>4499</v>
      </c>
      <c r="D272" s="0" t="s">
        <v>4531</v>
      </c>
      <c r="E272" s="0" t="s">
        <v>4532</v>
      </c>
      <c r="F272" s="0" t="s">
        <v>3862</v>
      </c>
      <c r="G272" s="0" t="s">
        <v>4533</v>
      </c>
    </row>
    <row customHeight="1" ht="11.25">
      <c r="A273" s="0" t="s">
        <v>16</v>
      </c>
      <c r="B273" s="0" t="s">
        <v>4498</v>
      </c>
      <c r="C273" s="0" t="s">
        <v>4499</v>
      </c>
      <c r="D273" s="0" t="s">
        <v>4534</v>
      </c>
      <c r="E273" s="0" t="s">
        <v>4535</v>
      </c>
      <c r="F273" s="0" t="s">
        <v>3862</v>
      </c>
      <c r="G273" s="0" t="s">
        <v>4536</v>
      </c>
    </row>
    <row customHeight="1" ht="11.25">
      <c r="A274" s="0" t="s">
        <v>16</v>
      </c>
      <c r="B274" s="0" t="s">
        <v>4498</v>
      </c>
      <c r="C274" s="0" t="s">
        <v>4499</v>
      </c>
      <c r="D274" s="0" t="s">
        <v>4537</v>
      </c>
      <c r="E274" s="0" t="s">
        <v>4538</v>
      </c>
      <c r="F274" s="0" t="s">
        <v>3862</v>
      </c>
      <c r="G274" s="0" t="s">
        <v>4539</v>
      </c>
    </row>
    <row customHeight="1" ht="11.25">
      <c r="A275" s="0" t="s">
        <v>16</v>
      </c>
      <c r="B275" s="0" t="s">
        <v>4498</v>
      </c>
      <c r="C275" s="0" t="s">
        <v>4499</v>
      </c>
      <c r="D275" s="0" t="s">
        <v>4540</v>
      </c>
      <c r="E275" s="0" t="s">
        <v>4541</v>
      </c>
      <c r="F275" s="0" t="s">
        <v>3862</v>
      </c>
      <c r="G275" s="0" t="s">
        <v>4542</v>
      </c>
    </row>
    <row customHeight="1" ht="11.25">
      <c r="A276" s="0" t="s">
        <v>16</v>
      </c>
      <c r="B276" s="0" t="s">
        <v>4498</v>
      </c>
      <c r="C276" s="0" t="s">
        <v>4499</v>
      </c>
      <c r="D276" s="0" t="s">
        <v>4543</v>
      </c>
      <c r="E276" s="0" t="s">
        <v>4544</v>
      </c>
      <c r="F276" s="0" t="s">
        <v>3862</v>
      </c>
      <c r="G276" s="0" t="s">
        <v>4545</v>
      </c>
    </row>
    <row customHeight="1" ht="11.25">
      <c r="A277" s="0" t="s">
        <v>16</v>
      </c>
      <c r="B277" s="0" t="s">
        <v>162</v>
      </c>
      <c r="C277" s="0" t="s">
        <v>163</v>
      </c>
      <c r="D277" s="0" t="s">
        <v>162</v>
      </c>
      <c r="E277" s="0" t="s">
        <v>163</v>
      </c>
      <c r="F277" s="0" t="s">
        <v>3859</v>
      </c>
      <c r="G277" s="0" t="s">
        <v>161</v>
      </c>
    </row>
    <row customHeight="1" ht="11.25">
      <c r="A278" s="0" t="s">
        <v>16</v>
      </c>
      <c r="B278" s="0" t="s">
        <v>162</v>
      </c>
      <c r="C278" s="0" t="s">
        <v>163</v>
      </c>
      <c r="D278" s="0" t="s">
        <v>4546</v>
      </c>
      <c r="E278" s="0" t="s">
        <v>4547</v>
      </c>
      <c r="F278" s="0" t="s">
        <v>3862</v>
      </c>
      <c r="G278" s="0" t="s">
        <v>4548</v>
      </c>
    </row>
    <row customHeight="1" ht="11.25">
      <c r="A279" s="0" t="s">
        <v>16</v>
      </c>
      <c r="B279" s="0" t="s">
        <v>162</v>
      </c>
      <c r="C279" s="0" t="s">
        <v>163</v>
      </c>
      <c r="D279" s="0" t="s">
        <v>1403</v>
      </c>
      <c r="E279" s="0" t="s">
        <v>1404</v>
      </c>
      <c r="F279" s="0" t="s">
        <v>3862</v>
      </c>
      <c r="G279" s="0" t="s">
        <v>4549</v>
      </c>
    </row>
    <row customHeight="1" ht="11.25">
      <c r="A280" s="0" t="s">
        <v>16</v>
      </c>
      <c r="B280" s="0" t="s">
        <v>162</v>
      </c>
      <c r="C280" s="0" t="s">
        <v>163</v>
      </c>
      <c r="D280" s="0" t="s">
        <v>4414</v>
      </c>
      <c r="E280" s="0" t="s">
        <v>4550</v>
      </c>
      <c r="F280" s="0" t="s">
        <v>3862</v>
      </c>
      <c r="G280" s="0" t="s">
        <v>4551</v>
      </c>
    </row>
    <row customHeight="1" ht="11.25">
      <c r="A281" s="0" t="s">
        <v>16</v>
      </c>
      <c r="B281" s="0" t="s">
        <v>162</v>
      </c>
      <c r="C281" s="0" t="s">
        <v>163</v>
      </c>
      <c r="D281" s="0" t="s">
        <v>4552</v>
      </c>
      <c r="E281" s="0" t="s">
        <v>4553</v>
      </c>
      <c r="F281" s="0" t="s">
        <v>3862</v>
      </c>
      <c r="G281" s="0" t="s">
        <v>4554</v>
      </c>
    </row>
    <row customHeight="1" ht="11.25">
      <c r="A282" s="0" t="s">
        <v>16</v>
      </c>
      <c r="B282" s="0" t="s">
        <v>162</v>
      </c>
      <c r="C282" s="0" t="s">
        <v>163</v>
      </c>
      <c r="D282" s="0" t="s">
        <v>4555</v>
      </c>
      <c r="E282" s="0" t="s">
        <v>4556</v>
      </c>
      <c r="F282" s="0" t="s">
        <v>3862</v>
      </c>
      <c r="G282" s="0" t="s">
        <v>4557</v>
      </c>
    </row>
    <row customHeight="1" ht="11.25">
      <c r="A283" s="0" t="s">
        <v>16</v>
      </c>
      <c r="B283" s="0" t="s">
        <v>162</v>
      </c>
      <c r="C283" s="0" t="s">
        <v>163</v>
      </c>
      <c r="D283" s="0" t="s">
        <v>4558</v>
      </c>
      <c r="E283" s="0" t="s">
        <v>4559</v>
      </c>
      <c r="F283" s="0" t="s">
        <v>3862</v>
      </c>
      <c r="G283" s="0" t="s">
        <v>4560</v>
      </c>
    </row>
    <row customHeight="1" ht="11.25">
      <c r="A284" s="0" t="s">
        <v>16</v>
      </c>
      <c r="B284" s="0" t="s">
        <v>162</v>
      </c>
      <c r="C284" s="0" t="s">
        <v>163</v>
      </c>
      <c r="D284" s="0" t="s">
        <v>4561</v>
      </c>
      <c r="E284" s="0" t="s">
        <v>4562</v>
      </c>
      <c r="F284" s="0" t="s">
        <v>3862</v>
      </c>
      <c r="G284" s="0" t="s">
        <v>4563</v>
      </c>
    </row>
    <row customHeight="1" ht="11.25">
      <c r="A285" s="0" t="s">
        <v>16</v>
      </c>
      <c r="B285" s="0" t="s">
        <v>162</v>
      </c>
      <c r="C285" s="0" t="s">
        <v>163</v>
      </c>
      <c r="D285" s="0" t="s">
        <v>4564</v>
      </c>
      <c r="E285" s="0" t="s">
        <v>4565</v>
      </c>
      <c r="F285" s="0" t="s">
        <v>3862</v>
      </c>
      <c r="G285" s="0" t="s">
        <v>4566</v>
      </c>
    </row>
    <row customHeight="1" ht="11.25">
      <c r="A286" s="0" t="s">
        <v>16</v>
      </c>
      <c r="B286" s="0" t="s">
        <v>162</v>
      </c>
      <c r="C286" s="0" t="s">
        <v>163</v>
      </c>
      <c r="D286" s="0" t="s">
        <v>4567</v>
      </c>
      <c r="E286" s="0" t="s">
        <v>4568</v>
      </c>
      <c r="F286" s="0" t="s">
        <v>3862</v>
      </c>
      <c r="G286" s="0" t="s">
        <v>4569</v>
      </c>
    </row>
    <row customHeight="1" ht="11.25">
      <c r="A287" s="0" t="s">
        <v>16</v>
      </c>
      <c r="B287" s="0" t="s">
        <v>162</v>
      </c>
      <c r="C287" s="0" t="s">
        <v>163</v>
      </c>
      <c r="D287" s="0" t="s">
        <v>4570</v>
      </c>
      <c r="E287" s="0" t="s">
        <v>4571</v>
      </c>
      <c r="F287" s="0" t="s">
        <v>3862</v>
      </c>
      <c r="G287" s="0" t="s">
        <v>4572</v>
      </c>
    </row>
    <row customHeight="1" ht="11.25">
      <c r="A288" s="0" t="s">
        <v>16</v>
      </c>
      <c r="B288" s="0" t="s">
        <v>162</v>
      </c>
      <c r="C288" s="0" t="s">
        <v>163</v>
      </c>
      <c r="D288" s="0" t="s">
        <v>4573</v>
      </c>
      <c r="E288" s="0" t="s">
        <v>4574</v>
      </c>
      <c r="F288" s="0" t="s">
        <v>3862</v>
      </c>
      <c r="G288" s="0" t="s">
        <v>4575</v>
      </c>
    </row>
    <row customHeight="1" ht="11.25">
      <c r="A289" s="0" t="s">
        <v>16</v>
      </c>
      <c r="B289" s="0" t="s">
        <v>4576</v>
      </c>
      <c r="C289" s="0" t="s">
        <v>4577</v>
      </c>
      <c r="D289" s="0" t="s">
        <v>4576</v>
      </c>
      <c r="E289" s="0" t="s">
        <v>4577</v>
      </c>
      <c r="F289" s="0" t="s">
        <v>3859</v>
      </c>
      <c r="G289" s="0" t="s">
        <v>4578</v>
      </c>
    </row>
    <row customHeight="1" ht="11.25">
      <c r="A290" s="0" t="s">
        <v>16</v>
      </c>
      <c r="B290" s="0" t="s">
        <v>4576</v>
      </c>
      <c r="C290" s="0" t="s">
        <v>4577</v>
      </c>
      <c r="D290" s="0" t="s">
        <v>4579</v>
      </c>
      <c r="E290" s="0" t="s">
        <v>4580</v>
      </c>
      <c r="F290" s="0" t="s">
        <v>3862</v>
      </c>
      <c r="G290" s="0" t="s">
        <v>4581</v>
      </c>
    </row>
    <row customHeight="1" ht="11.25">
      <c r="A291" s="0" t="s">
        <v>16</v>
      </c>
      <c r="B291" s="0" t="s">
        <v>4576</v>
      </c>
      <c r="C291" s="0" t="s">
        <v>4577</v>
      </c>
      <c r="D291" s="0" t="s">
        <v>4582</v>
      </c>
      <c r="E291" s="0" t="s">
        <v>4583</v>
      </c>
      <c r="F291" s="0" t="s">
        <v>3862</v>
      </c>
      <c r="G291" s="0" t="s">
        <v>4584</v>
      </c>
    </row>
    <row customHeight="1" ht="11.25">
      <c r="A292" s="0" t="s">
        <v>16</v>
      </c>
      <c r="B292" s="0" t="s">
        <v>4576</v>
      </c>
      <c r="C292" s="0" t="s">
        <v>4577</v>
      </c>
      <c r="D292" s="0" t="s">
        <v>4585</v>
      </c>
      <c r="E292" s="0" t="s">
        <v>4586</v>
      </c>
      <c r="F292" s="0" t="s">
        <v>3862</v>
      </c>
      <c r="G292" s="0" t="s">
        <v>4587</v>
      </c>
    </row>
    <row customHeight="1" ht="11.25">
      <c r="A293" s="0" t="s">
        <v>16</v>
      </c>
      <c r="B293" s="0" t="s">
        <v>4576</v>
      </c>
      <c r="C293" s="0" t="s">
        <v>4577</v>
      </c>
      <c r="D293" s="0" t="s">
        <v>4588</v>
      </c>
      <c r="E293" s="0" t="s">
        <v>4589</v>
      </c>
      <c r="F293" s="0" t="s">
        <v>3862</v>
      </c>
      <c r="G293" s="0" t="s">
        <v>4590</v>
      </c>
    </row>
    <row customHeight="1" ht="11.25">
      <c r="A294" s="0" t="s">
        <v>16</v>
      </c>
      <c r="B294" s="0" t="s">
        <v>4576</v>
      </c>
      <c r="C294" s="0" t="s">
        <v>4577</v>
      </c>
      <c r="D294" s="0" t="s">
        <v>4591</v>
      </c>
      <c r="E294" s="0" t="s">
        <v>4592</v>
      </c>
      <c r="F294" s="0" t="s">
        <v>3862</v>
      </c>
      <c r="G294" s="0" t="s">
        <v>4593</v>
      </c>
    </row>
    <row customHeight="1" ht="11.25">
      <c r="A295" s="0" t="s">
        <v>16</v>
      </c>
      <c r="B295" s="0" t="s">
        <v>4576</v>
      </c>
      <c r="C295" s="0" t="s">
        <v>4577</v>
      </c>
      <c r="D295" s="0" t="s">
        <v>4594</v>
      </c>
      <c r="E295" s="0" t="s">
        <v>4595</v>
      </c>
      <c r="F295" s="0" t="s">
        <v>3862</v>
      </c>
      <c r="G295" s="0" t="s">
        <v>4596</v>
      </c>
    </row>
    <row customHeight="1" ht="11.25">
      <c r="A296" s="0" t="s">
        <v>16</v>
      </c>
      <c r="B296" s="0" t="s">
        <v>4576</v>
      </c>
      <c r="C296" s="0" t="s">
        <v>4577</v>
      </c>
      <c r="D296" s="0" t="s">
        <v>4597</v>
      </c>
      <c r="E296" s="0" t="s">
        <v>4598</v>
      </c>
      <c r="F296" s="0" t="s">
        <v>3862</v>
      </c>
      <c r="G296" s="0" t="s">
        <v>4599</v>
      </c>
    </row>
    <row customHeight="1" ht="11.25">
      <c r="A297" s="0" t="s">
        <v>16</v>
      </c>
      <c r="B297" s="0" t="s">
        <v>4576</v>
      </c>
      <c r="C297" s="0" t="s">
        <v>4577</v>
      </c>
      <c r="D297" s="0" t="s">
        <v>4600</v>
      </c>
      <c r="E297" s="0" t="s">
        <v>4601</v>
      </c>
      <c r="F297" s="0" t="s">
        <v>3862</v>
      </c>
      <c r="G297" s="0" t="s">
        <v>4602</v>
      </c>
    </row>
    <row customHeight="1" ht="11.25">
      <c r="A298" s="0" t="s">
        <v>16</v>
      </c>
      <c r="B298" s="0" t="s">
        <v>4576</v>
      </c>
      <c r="C298" s="0" t="s">
        <v>4577</v>
      </c>
      <c r="D298" s="0" t="s">
        <v>4603</v>
      </c>
      <c r="E298" s="0" t="s">
        <v>4604</v>
      </c>
      <c r="F298" s="0" t="s">
        <v>3862</v>
      </c>
      <c r="G298" s="0" t="s">
        <v>4605</v>
      </c>
    </row>
    <row customHeight="1" ht="11.25">
      <c r="A299" s="0" t="s">
        <v>16</v>
      </c>
      <c r="B299" s="0" t="s">
        <v>4576</v>
      </c>
      <c r="C299" s="0" t="s">
        <v>4577</v>
      </c>
      <c r="D299" s="0" t="s">
        <v>4606</v>
      </c>
      <c r="E299" s="0" t="s">
        <v>4607</v>
      </c>
      <c r="F299" s="0" t="s">
        <v>3862</v>
      </c>
      <c r="G299" s="0" t="s">
        <v>4608</v>
      </c>
    </row>
    <row customHeight="1" ht="11.25">
      <c r="A300" s="0" t="s">
        <v>16</v>
      </c>
      <c r="B300" s="0" t="s">
        <v>4576</v>
      </c>
      <c r="C300" s="0" t="s">
        <v>4577</v>
      </c>
      <c r="D300" s="0" t="s">
        <v>4609</v>
      </c>
      <c r="E300" s="0" t="s">
        <v>4610</v>
      </c>
      <c r="F300" s="0" t="s">
        <v>3862</v>
      </c>
      <c r="G300" s="0" t="s">
        <v>4611</v>
      </c>
    </row>
    <row customHeight="1" ht="11.25">
      <c r="A301" s="0" t="s">
        <v>16</v>
      </c>
      <c r="B301" s="0" t="s">
        <v>4612</v>
      </c>
      <c r="C301" s="0" t="s">
        <v>4613</v>
      </c>
      <c r="D301" s="0" t="s">
        <v>4612</v>
      </c>
      <c r="E301" s="0" t="s">
        <v>4613</v>
      </c>
      <c r="F301" s="0" t="s">
        <v>3859</v>
      </c>
      <c r="G301" s="0" t="s">
        <v>4614</v>
      </c>
    </row>
    <row customHeight="1" ht="11.25">
      <c r="A302" s="0" t="s">
        <v>16</v>
      </c>
      <c r="B302" s="0" t="s">
        <v>4612</v>
      </c>
      <c r="C302" s="0" t="s">
        <v>4613</v>
      </c>
      <c r="D302" s="0" t="s">
        <v>4615</v>
      </c>
      <c r="E302" s="0" t="s">
        <v>4616</v>
      </c>
      <c r="F302" s="0" t="s">
        <v>3862</v>
      </c>
      <c r="G302" s="0" t="s">
        <v>4617</v>
      </c>
    </row>
    <row customHeight="1" ht="11.25">
      <c r="A303" s="0" t="s">
        <v>16</v>
      </c>
      <c r="B303" s="0" t="s">
        <v>4612</v>
      </c>
      <c r="C303" s="0" t="s">
        <v>4613</v>
      </c>
      <c r="D303" s="0" t="s">
        <v>3872</v>
      </c>
      <c r="E303" s="0" t="s">
        <v>4618</v>
      </c>
      <c r="F303" s="0" t="s">
        <v>3862</v>
      </c>
      <c r="G303" s="0" t="s">
        <v>4619</v>
      </c>
    </row>
    <row customHeight="1" ht="11.25">
      <c r="A304" s="0" t="s">
        <v>16</v>
      </c>
      <c r="B304" s="0" t="s">
        <v>4612</v>
      </c>
      <c r="C304" s="0" t="s">
        <v>4613</v>
      </c>
      <c r="D304" s="0" t="s">
        <v>4620</v>
      </c>
      <c r="E304" s="0" t="s">
        <v>4621</v>
      </c>
      <c r="F304" s="0" t="s">
        <v>3862</v>
      </c>
      <c r="G304" s="0" t="s">
        <v>4622</v>
      </c>
    </row>
    <row customHeight="1" ht="11.25">
      <c r="A305" s="0" t="s">
        <v>16</v>
      </c>
      <c r="B305" s="0" t="s">
        <v>4612</v>
      </c>
      <c r="C305" s="0" t="s">
        <v>4613</v>
      </c>
      <c r="D305" s="0" t="s">
        <v>4623</v>
      </c>
      <c r="E305" s="0" t="s">
        <v>4624</v>
      </c>
      <c r="F305" s="0" t="s">
        <v>3862</v>
      </c>
      <c r="G305" s="0" t="s">
        <v>4625</v>
      </c>
    </row>
    <row customHeight="1" ht="11.25">
      <c r="A306" s="0" t="s">
        <v>16</v>
      </c>
      <c r="B306" s="0" t="s">
        <v>4612</v>
      </c>
      <c r="C306" s="0" t="s">
        <v>4613</v>
      </c>
      <c r="D306" s="0" t="s">
        <v>4626</v>
      </c>
      <c r="E306" s="0" t="s">
        <v>4627</v>
      </c>
      <c r="F306" s="0" t="s">
        <v>3862</v>
      </c>
      <c r="G306" s="0" t="s">
        <v>4628</v>
      </c>
    </row>
    <row customHeight="1" ht="11.25">
      <c r="A307" s="0" t="s">
        <v>16</v>
      </c>
      <c r="B307" s="0" t="s">
        <v>4612</v>
      </c>
      <c r="C307" s="0" t="s">
        <v>4613</v>
      </c>
      <c r="D307" s="0" t="s">
        <v>4629</v>
      </c>
      <c r="E307" s="0" t="s">
        <v>4630</v>
      </c>
      <c r="F307" s="0" t="s">
        <v>3862</v>
      </c>
      <c r="G307" s="0" t="s">
        <v>4631</v>
      </c>
    </row>
    <row customHeight="1" ht="11.25">
      <c r="A308" s="0" t="s">
        <v>16</v>
      </c>
      <c r="B308" s="0" t="s">
        <v>4612</v>
      </c>
      <c r="C308" s="0" t="s">
        <v>4613</v>
      </c>
      <c r="D308" s="0" t="s">
        <v>4632</v>
      </c>
      <c r="E308" s="0" t="s">
        <v>4633</v>
      </c>
      <c r="F308" s="0" t="s">
        <v>3862</v>
      </c>
      <c r="G308" s="0" t="s">
        <v>4634</v>
      </c>
    </row>
    <row customHeight="1" ht="11.25">
      <c r="A309" s="0" t="s">
        <v>16</v>
      </c>
      <c r="B309" s="0" t="s">
        <v>4612</v>
      </c>
      <c r="C309" s="0" t="s">
        <v>4613</v>
      </c>
      <c r="D309" s="0" t="s">
        <v>4635</v>
      </c>
      <c r="E309" s="0" t="s">
        <v>4636</v>
      </c>
      <c r="F309" s="0" t="s">
        <v>3862</v>
      </c>
      <c r="G309" s="0" t="s">
        <v>4637</v>
      </c>
    </row>
    <row customHeight="1" ht="11.25">
      <c r="A310" s="0" t="s">
        <v>16</v>
      </c>
      <c r="B310" s="0" t="s">
        <v>4612</v>
      </c>
      <c r="C310" s="0" t="s">
        <v>4613</v>
      </c>
      <c r="D310" s="0" t="s">
        <v>4638</v>
      </c>
      <c r="E310" s="0" t="s">
        <v>4639</v>
      </c>
      <c r="F310" s="0" t="s">
        <v>3862</v>
      </c>
      <c r="G310" s="0" t="s">
        <v>4640</v>
      </c>
    </row>
    <row customHeight="1" ht="11.25">
      <c r="A311" s="0" t="s">
        <v>16</v>
      </c>
      <c r="B311" s="0" t="s">
        <v>4612</v>
      </c>
      <c r="C311" s="0" t="s">
        <v>4613</v>
      </c>
      <c r="D311" s="0" t="s">
        <v>4641</v>
      </c>
      <c r="E311" s="0" t="s">
        <v>4642</v>
      </c>
      <c r="F311" s="0" t="s">
        <v>3862</v>
      </c>
      <c r="G311" s="0" t="s">
        <v>4643</v>
      </c>
    </row>
    <row customHeight="1" ht="11.25">
      <c r="A312" s="0" t="s">
        <v>16</v>
      </c>
      <c r="B312" s="0" t="s">
        <v>167</v>
      </c>
      <c r="C312" s="0" t="s">
        <v>168</v>
      </c>
      <c r="D312" s="0" t="s">
        <v>167</v>
      </c>
      <c r="E312" s="0" t="s">
        <v>168</v>
      </c>
      <c r="F312" s="0" t="s">
        <v>3859</v>
      </c>
      <c r="G312" s="0" t="s">
        <v>166</v>
      </c>
    </row>
    <row customHeight="1" ht="11.25">
      <c r="A313" s="0" t="s">
        <v>16</v>
      </c>
      <c r="B313" s="0" t="s">
        <v>167</v>
      </c>
      <c r="C313" s="0" t="s">
        <v>168</v>
      </c>
      <c r="D313" s="0" t="s">
        <v>4644</v>
      </c>
      <c r="E313" s="0" t="s">
        <v>4645</v>
      </c>
      <c r="F313" s="0" t="s">
        <v>3862</v>
      </c>
      <c r="G313" s="0" t="s">
        <v>4646</v>
      </c>
    </row>
    <row customHeight="1" ht="11.25">
      <c r="A314" s="0" t="s">
        <v>16</v>
      </c>
      <c r="B314" s="0" t="s">
        <v>167</v>
      </c>
      <c r="C314" s="0" t="s">
        <v>168</v>
      </c>
      <c r="D314" s="0" t="s">
        <v>4647</v>
      </c>
      <c r="E314" s="0" t="s">
        <v>4648</v>
      </c>
      <c r="F314" s="0" t="s">
        <v>3862</v>
      </c>
      <c r="G314" s="0" t="s">
        <v>4649</v>
      </c>
    </row>
    <row customHeight="1" ht="11.25">
      <c r="A315" s="0" t="s">
        <v>16</v>
      </c>
      <c r="B315" s="0" t="s">
        <v>167</v>
      </c>
      <c r="C315" s="0" t="s">
        <v>168</v>
      </c>
      <c r="D315" s="0" t="s">
        <v>4650</v>
      </c>
      <c r="E315" s="0" t="s">
        <v>4651</v>
      </c>
      <c r="F315" s="0" t="s">
        <v>3862</v>
      </c>
      <c r="G315" s="0" t="s">
        <v>4652</v>
      </c>
    </row>
    <row customHeight="1" ht="11.25">
      <c r="A316" s="0" t="s">
        <v>16</v>
      </c>
      <c r="B316" s="0" t="s">
        <v>167</v>
      </c>
      <c r="C316" s="0" t="s">
        <v>168</v>
      </c>
      <c r="D316" s="0" t="s">
        <v>4653</v>
      </c>
      <c r="E316" s="0" t="s">
        <v>4654</v>
      </c>
      <c r="F316" s="0" t="s">
        <v>3862</v>
      </c>
      <c r="G316" s="0" t="s">
        <v>4655</v>
      </c>
    </row>
    <row customHeight="1" ht="11.25">
      <c r="A317" s="0" t="s">
        <v>16</v>
      </c>
      <c r="B317" s="0" t="s">
        <v>167</v>
      </c>
      <c r="C317" s="0" t="s">
        <v>168</v>
      </c>
      <c r="D317" s="0" t="s">
        <v>4656</v>
      </c>
      <c r="E317" s="0" t="s">
        <v>4657</v>
      </c>
      <c r="F317" s="0" t="s">
        <v>3862</v>
      </c>
      <c r="G317" s="0" t="s">
        <v>4658</v>
      </c>
    </row>
    <row customHeight="1" ht="11.25">
      <c r="A318" s="0" t="s">
        <v>16</v>
      </c>
      <c r="B318" s="0" t="s">
        <v>167</v>
      </c>
      <c r="C318" s="0" t="s">
        <v>168</v>
      </c>
      <c r="D318" s="0" t="s">
        <v>1415</v>
      </c>
      <c r="E318" s="0" t="s">
        <v>1416</v>
      </c>
      <c r="F318" s="0" t="s">
        <v>3862</v>
      </c>
      <c r="G318" s="0" t="s">
        <v>4659</v>
      </c>
    </row>
    <row customHeight="1" ht="11.25">
      <c r="A319" s="0" t="s">
        <v>16</v>
      </c>
      <c r="B319" s="0" t="s">
        <v>167</v>
      </c>
      <c r="C319" s="0" t="s">
        <v>168</v>
      </c>
      <c r="D319" s="0" t="s">
        <v>4660</v>
      </c>
      <c r="E319" s="0" t="s">
        <v>4661</v>
      </c>
      <c r="F319" s="0" t="s">
        <v>3862</v>
      </c>
      <c r="G319" s="0" t="s">
        <v>4662</v>
      </c>
    </row>
    <row customHeight="1" ht="11.25">
      <c r="A320" s="0" t="s">
        <v>16</v>
      </c>
      <c r="B320" s="0" t="s">
        <v>167</v>
      </c>
      <c r="C320" s="0" t="s">
        <v>168</v>
      </c>
      <c r="D320" s="0" t="s">
        <v>4663</v>
      </c>
      <c r="E320" s="0" t="s">
        <v>4664</v>
      </c>
      <c r="F320" s="0" t="s">
        <v>3862</v>
      </c>
      <c r="G320" s="0" t="s">
        <v>4665</v>
      </c>
    </row>
    <row customHeight="1" ht="11.25">
      <c r="A321" s="0" t="s">
        <v>16</v>
      </c>
      <c r="B321" s="0" t="s">
        <v>167</v>
      </c>
      <c r="C321" s="0" t="s">
        <v>168</v>
      </c>
      <c r="D321" s="0" t="s">
        <v>4666</v>
      </c>
      <c r="E321" s="0" t="s">
        <v>4667</v>
      </c>
      <c r="F321" s="0" t="s">
        <v>3862</v>
      </c>
      <c r="G321" s="0" t="s">
        <v>4668</v>
      </c>
    </row>
    <row customHeight="1" ht="11.25">
      <c r="A322" s="0" t="s">
        <v>16</v>
      </c>
      <c r="B322" s="0" t="s">
        <v>167</v>
      </c>
      <c r="C322" s="0" t="s">
        <v>168</v>
      </c>
      <c r="D322" s="0" t="s">
        <v>4669</v>
      </c>
      <c r="E322" s="0" t="s">
        <v>4670</v>
      </c>
      <c r="F322" s="0" t="s">
        <v>3862</v>
      </c>
      <c r="G322" s="0" t="s">
        <v>4671</v>
      </c>
    </row>
    <row customHeight="1" ht="11.25">
      <c r="A323" s="0" t="s">
        <v>16</v>
      </c>
      <c r="B323" s="0" t="s">
        <v>167</v>
      </c>
      <c r="C323" s="0" t="s">
        <v>168</v>
      </c>
      <c r="D323" s="0" t="s">
        <v>4672</v>
      </c>
      <c r="E323" s="0" t="s">
        <v>4673</v>
      </c>
      <c r="F323" s="0" t="s">
        <v>3862</v>
      </c>
      <c r="G323" s="0" t="s">
        <v>4674</v>
      </c>
    </row>
    <row customHeight="1" ht="11.25">
      <c r="A324" s="0" t="s">
        <v>16</v>
      </c>
      <c r="B324" s="0" t="s">
        <v>167</v>
      </c>
      <c r="C324" s="0" t="s">
        <v>168</v>
      </c>
      <c r="D324" s="0" t="s">
        <v>4675</v>
      </c>
      <c r="E324" s="0" t="s">
        <v>4676</v>
      </c>
      <c r="F324" s="0" t="s">
        <v>3862</v>
      </c>
      <c r="G324" s="0" t="s">
        <v>4677</v>
      </c>
    </row>
    <row customHeight="1" ht="11.25">
      <c r="A325" s="0" t="s">
        <v>16</v>
      </c>
      <c r="B325" s="0" t="s">
        <v>4678</v>
      </c>
      <c r="C325" s="0" t="s">
        <v>4679</v>
      </c>
      <c r="D325" s="0" t="s">
        <v>4678</v>
      </c>
      <c r="E325" s="0" t="s">
        <v>4679</v>
      </c>
      <c r="F325" s="0" t="s">
        <v>4680</v>
      </c>
      <c r="G325" s="0" t="s">
        <v>4681</v>
      </c>
    </row>
    <row customHeight="1" ht="11.25">
      <c r="A326" s="0" t="s">
        <v>16</v>
      </c>
      <c r="B326" s="0" t="s">
        <v>4682</v>
      </c>
      <c r="C326" s="0" t="s">
        <v>4683</v>
      </c>
      <c r="D326" s="0" t="s">
        <v>4682</v>
      </c>
      <c r="E326" s="0" t="s">
        <v>4683</v>
      </c>
      <c r="F326" s="0" t="s">
        <v>4680</v>
      </c>
      <c r="G326" s="0" t="s">
        <v>4684</v>
      </c>
    </row>
    <row customHeight="1" ht="11.25">
      <c r="A327" s="0" t="s">
        <v>16</v>
      </c>
      <c r="B327" s="0" t="s">
        <v>172</v>
      </c>
      <c r="C327" s="0" t="s">
        <v>173</v>
      </c>
      <c r="D327" s="0" t="s">
        <v>172</v>
      </c>
      <c r="E327" s="0" t="s">
        <v>173</v>
      </c>
      <c r="F327" s="0" t="s">
        <v>4680</v>
      </c>
      <c r="G327" s="0" t="s">
        <v>171</v>
      </c>
    </row>
    <row customHeight="1" ht="11.25">
      <c r="A328" s="0" t="s">
        <v>16</v>
      </c>
      <c r="B328" s="0" t="s">
        <v>177</v>
      </c>
      <c r="C328" s="0" t="s">
        <v>178</v>
      </c>
      <c r="D328" s="0" t="s">
        <v>177</v>
      </c>
      <c r="E328" s="0" t="s">
        <v>178</v>
      </c>
      <c r="F328" s="0" t="s">
        <v>4680</v>
      </c>
      <c r="G328" s="0" t="s">
        <v>176</v>
      </c>
    </row>
    <row customHeight="1" ht="11.25">
      <c r="A329" s="0" t="s">
        <v>16</v>
      </c>
      <c r="B329" s="0" t="s">
        <v>182</v>
      </c>
      <c r="C329" s="0" t="s">
        <v>183</v>
      </c>
      <c r="D329" s="0" t="s">
        <v>182</v>
      </c>
      <c r="E329" s="0" t="s">
        <v>183</v>
      </c>
      <c r="F329" s="0" t="s">
        <v>4680</v>
      </c>
      <c r="G329" s="0" t="s">
        <v>181</v>
      </c>
    </row>
    <row customHeight="1" ht="11.25">
      <c r="A330" s="0" t="s">
        <v>16</v>
      </c>
      <c r="B330" s="0" t="s">
        <v>187</v>
      </c>
      <c r="C330" s="0" t="s">
        <v>188</v>
      </c>
      <c r="D330" s="0" t="s">
        <v>187</v>
      </c>
      <c r="E330" s="0" t="s">
        <v>188</v>
      </c>
      <c r="F330" s="0" t="s">
        <v>4680</v>
      </c>
      <c r="G330" s="0" t="s">
        <v>186</v>
      </c>
    </row>
    <row customHeight="1" ht="11.25">
      <c r="A331" s="0" t="s">
        <v>16</v>
      </c>
      <c r="B331" s="0" t="s">
        <v>192</v>
      </c>
      <c r="C331" s="0" t="s">
        <v>198</v>
      </c>
      <c r="D331" s="0" t="s">
        <v>4685</v>
      </c>
      <c r="E331" s="0" t="s">
        <v>4686</v>
      </c>
      <c r="F331" s="0" t="s">
        <v>4687</v>
      </c>
      <c r="G331" s="0" t="s">
        <v>4688</v>
      </c>
    </row>
    <row customHeight="1" ht="11.25">
      <c r="A332" s="0" t="s">
        <v>16</v>
      </c>
      <c r="B332" s="0" t="s">
        <v>192</v>
      </c>
      <c r="C332" s="0" t="s">
        <v>198</v>
      </c>
      <c r="D332" s="0" t="s">
        <v>193</v>
      </c>
      <c r="E332" s="0" t="s">
        <v>194</v>
      </c>
      <c r="F332" s="0" t="s">
        <v>4687</v>
      </c>
      <c r="G332" s="0" t="s">
        <v>191</v>
      </c>
    </row>
    <row customHeight="1" ht="11.25">
      <c r="A333" s="0" t="s">
        <v>16</v>
      </c>
      <c r="B333" s="0" t="s">
        <v>192</v>
      </c>
      <c r="C333" s="0" t="s">
        <v>198</v>
      </c>
      <c r="D333" s="0" t="s">
        <v>4689</v>
      </c>
      <c r="E333" s="0" t="s">
        <v>4690</v>
      </c>
      <c r="F333" s="0" t="s">
        <v>4687</v>
      </c>
      <c r="G333" s="0" t="s">
        <v>4691</v>
      </c>
    </row>
    <row customHeight="1" ht="11.25">
      <c r="A334" s="0" t="s">
        <v>16</v>
      </c>
      <c r="B334" s="0" t="s">
        <v>192</v>
      </c>
      <c r="C334" s="0" t="s">
        <v>198</v>
      </c>
      <c r="D334" s="0" t="s">
        <v>4692</v>
      </c>
      <c r="E334" s="0" t="s">
        <v>4693</v>
      </c>
      <c r="F334" s="0" t="s">
        <v>4687</v>
      </c>
      <c r="G334" s="0" t="s">
        <v>4694</v>
      </c>
    </row>
    <row customHeight="1" ht="11.25">
      <c r="A335" s="0" t="s">
        <v>16</v>
      </c>
      <c r="B335" s="0" t="s">
        <v>192</v>
      </c>
      <c r="C335" s="0" t="s">
        <v>198</v>
      </c>
      <c r="D335" s="0" t="s">
        <v>4695</v>
      </c>
      <c r="E335" s="0" t="s">
        <v>4696</v>
      </c>
      <c r="F335" s="0" t="s">
        <v>4687</v>
      </c>
      <c r="G335" s="0" t="s">
        <v>4697</v>
      </c>
    </row>
    <row customHeight="1" ht="11.25">
      <c r="A336" s="0" t="s">
        <v>16</v>
      </c>
      <c r="B336" s="0" t="s">
        <v>192</v>
      </c>
      <c r="C336" s="0" t="s">
        <v>198</v>
      </c>
      <c r="D336" s="0" t="s">
        <v>4698</v>
      </c>
      <c r="E336" s="0" t="s">
        <v>4699</v>
      </c>
      <c r="F336" s="0" t="s">
        <v>4687</v>
      </c>
      <c r="G336" s="0" t="s">
        <v>4700</v>
      </c>
    </row>
    <row customHeight="1" ht="11.25">
      <c r="A337" s="0" t="s">
        <v>16</v>
      </c>
      <c r="B337" s="0" t="s">
        <v>192</v>
      </c>
      <c r="C337" s="0" t="s">
        <v>198</v>
      </c>
      <c r="D337" s="0" t="s">
        <v>4701</v>
      </c>
      <c r="E337" s="0" t="s">
        <v>4702</v>
      </c>
      <c r="F337" s="0" t="s">
        <v>4687</v>
      </c>
      <c r="G337" s="0" t="s">
        <v>4703</v>
      </c>
    </row>
    <row customHeight="1" ht="11.25">
      <c r="A338" s="0" t="s">
        <v>16</v>
      </c>
      <c r="B338" s="0" t="s">
        <v>192</v>
      </c>
      <c r="C338" s="0" t="s">
        <v>198</v>
      </c>
      <c r="D338" s="0" t="s">
        <v>4704</v>
      </c>
      <c r="E338" s="0" t="s">
        <v>4705</v>
      </c>
      <c r="F338" s="0" t="s">
        <v>4687</v>
      </c>
      <c r="G338" s="0" t="s">
        <v>4706</v>
      </c>
    </row>
    <row customHeight="1" ht="11.25">
      <c r="A339" s="0" t="s">
        <v>16</v>
      </c>
      <c r="B339" s="0" t="s">
        <v>192</v>
      </c>
      <c r="C339" s="0" t="s">
        <v>198</v>
      </c>
      <c r="D339" s="0" t="s">
        <v>4707</v>
      </c>
      <c r="E339" s="0" t="s">
        <v>4708</v>
      </c>
      <c r="F339" s="0" t="s">
        <v>4687</v>
      </c>
      <c r="G339" s="0" t="s">
        <v>4709</v>
      </c>
    </row>
    <row customHeight="1" ht="11.25">
      <c r="A340" s="0" t="s">
        <v>16</v>
      </c>
      <c r="B340" s="0" t="s">
        <v>192</v>
      </c>
      <c r="C340" s="0" t="s">
        <v>198</v>
      </c>
      <c r="D340" s="0" t="s">
        <v>192</v>
      </c>
      <c r="E340" s="0" t="s">
        <v>198</v>
      </c>
      <c r="F340" s="0" t="s">
        <v>4710</v>
      </c>
      <c r="G340" s="0" t="s">
        <v>197</v>
      </c>
    </row>
    <row customHeight="1" ht="11.25">
      <c r="A341" s="0" t="s">
        <v>16</v>
      </c>
      <c r="B341" s="0" t="s">
        <v>4711</v>
      </c>
      <c r="C341" s="0" t="s">
        <v>4712</v>
      </c>
      <c r="D341" s="0" t="s">
        <v>4711</v>
      </c>
      <c r="E341" s="0" t="s">
        <v>4712</v>
      </c>
      <c r="F341" s="0" t="s">
        <v>4680</v>
      </c>
      <c r="G341" s="0" t="s">
        <v>4713</v>
      </c>
    </row>
    <row customHeight="1" ht="11.25">
      <c r="A342" s="0" t="s">
        <v>16</v>
      </c>
      <c r="B342" s="0" t="s">
        <v>4714</v>
      </c>
      <c r="C342" s="0" t="s">
        <v>4715</v>
      </c>
      <c r="D342" s="0" t="s">
        <v>4714</v>
      </c>
      <c r="E342" s="0" t="s">
        <v>4715</v>
      </c>
      <c r="F342" s="0" t="s">
        <v>4680</v>
      </c>
      <c r="G342" s="0" t="s">
        <v>4716</v>
      </c>
    </row>
    <row customHeight="1" ht="11.25">
      <c r="A343" s="0" t="s">
        <v>16</v>
      </c>
      <c r="B343" s="0" t="s">
        <v>202</v>
      </c>
      <c r="C343" s="0" t="s">
        <v>203</v>
      </c>
      <c r="D343" s="0" t="s">
        <v>202</v>
      </c>
      <c r="E343" s="0" t="s">
        <v>203</v>
      </c>
      <c r="F343" s="0" t="s">
        <v>4680</v>
      </c>
      <c r="G343" s="0" t="s">
        <v>201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31C93D-BA41-DC88-DC78-5BD9C8CE2CE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7950" width="9.140625"/>
    <col min="2" max="2" style="7950" width="84.28125" customWidth="1"/>
    <col min="3" max="3" style="7950" width="9.140625"/>
  </cols>
  <sheetData>
    <row customHeight="1" ht="11.25">
      <c r="A1" s="959" t="s">
        <v>5612</v>
      </c>
      <c r="B1" s="959" t="s">
        <v>5613</v>
      </c>
      <c r="C1" s="959" t="s">
        <v>1594</v>
      </c>
    </row>
    <row customHeight="1" ht="11.25">
      <c r="A2" s="959">
        <v>4189678</v>
      </c>
      <c r="B2" s="959" t="s">
        <v>5614</v>
      </c>
      <c r="C2" s="959" t="s">
        <v>5615</v>
      </c>
    </row>
    <row customHeight="1" ht="11.25">
      <c r="A3" s="959">
        <v>4190415</v>
      </c>
      <c r="B3" s="959" t="s">
        <v>5616</v>
      </c>
      <c r="C3" s="959" t="s">
        <v>5615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00CF28-5F4E-5DB3-84C8-F31B1596104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7944" width="38.421875" customWidth="1"/>
    <col min="2" max="5" style="7944" width="9.140625"/>
  </cols>
  <sheetData>
    <row customHeight="1" ht="15">
      <c r="A1" s="287" t="s">
        <v>5617</v>
      </c>
      <c r="B1" s="287" t="s">
        <v>5618</v>
      </c>
      <c r="C1" s="287"/>
      <c r="D1" s="287"/>
      <c r="E1" s="287"/>
    </row>
    <row customHeight="1" ht="15">
      <c r="A2" s="287"/>
      <c r="B2" s="287"/>
      <c r="C2" s="287"/>
      <c r="D2" s="287"/>
      <c r="E2" s="287"/>
    </row>
    <row customHeight="1" ht="15">
      <c r="A3" s="287"/>
      <c r="B3" s="287"/>
      <c r="C3" s="287"/>
      <c r="D3" s="287"/>
      <c r="E3" s="287"/>
    </row>
    <row customHeight="1" ht="15">
      <c r="A4" s="287"/>
      <c r="B4" s="287"/>
      <c r="C4" s="287"/>
      <c r="D4" s="287"/>
      <c r="E4" s="287"/>
    </row>
    <row customHeight="1" ht="15">
      <c r="A5" s="287"/>
      <c r="B5" s="287"/>
      <c r="C5" s="287"/>
      <c r="D5" s="287"/>
      <c r="E5" s="287"/>
    </row>
    <row customHeight="1" ht="15">
      <c r="A6" s="287"/>
      <c r="B6" s="287"/>
      <c r="C6" s="287"/>
      <c r="D6" s="287"/>
      <c r="E6" s="287"/>
    </row>
    <row customHeight="1" ht="15">
      <c r="A7" s="287"/>
      <c r="B7" s="287"/>
      <c r="C7" s="287"/>
      <c r="D7" s="287"/>
      <c r="E7" s="287"/>
    </row>
    <row customHeight="1" ht="15">
      <c r="A8" s="287"/>
      <c r="B8" s="287"/>
      <c r="C8" s="287"/>
      <c r="D8" s="287"/>
      <c r="E8" s="28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4A6FC8-9AC8-5957-A25C-339DD1B5E46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5619</v>
      </c>
      <c r="B1" s="0" t="b">
        <v>1</v>
      </c>
    </row>
    <row customHeight="1" ht="11.25">
      <c r="A2" s="0" t="s">
        <v>5620</v>
      </c>
      <c r="B2" s="0" t="b">
        <v>0</v>
      </c>
    </row>
    <row customHeight="1" ht="11.25">
      <c r="A3" s="0" t="s">
        <v>5621</v>
      </c>
      <c r="B3" s="0" t="b">
        <v>1</v>
      </c>
    </row>
    <row customHeight="1" ht="11.25">
      <c r="A4" s="0" t="s">
        <v>5622</v>
      </c>
      <c r="B4" s="0" t="b">
        <v>0</v>
      </c>
    </row>
    <row customHeight="1" ht="11.25">
      <c r="A5" s="0" t="s">
        <v>5623</v>
      </c>
      <c r="B5" s="0" t="b">
        <v>0</v>
      </c>
    </row>
    <row customHeight="1" ht="11.25">
      <c r="A6" s="0" t="s">
        <v>5624</v>
      </c>
      <c r="B6" s="0" t="b">
        <v>0</v>
      </c>
    </row>
    <row customHeight="1" ht="11.25">
      <c r="A7" s="0" t="s">
        <v>5625</v>
      </c>
      <c r="B7" s="0" t="b">
        <v>0</v>
      </c>
    </row>
    <row customHeight="1" ht="11.25">
      <c r="A8" s="0" t="s">
        <v>5626</v>
      </c>
      <c r="B8" s="0" t="b">
        <v>0</v>
      </c>
    </row>
    <row customHeight="1" ht="11.25">
      <c r="A9" s="0" t="s">
        <v>5627</v>
      </c>
      <c r="B9" s="0" t="b">
        <v>0</v>
      </c>
    </row>
    <row customHeight="1" ht="11.25">
      <c r="A10" s="0" t="s">
        <v>5628</v>
      </c>
      <c r="B10" s="0" t="b">
        <v>1</v>
      </c>
    </row>
    <row customHeight="1" ht="11.25">
      <c r="A11" s="0" t="s">
        <v>5629</v>
      </c>
      <c r="B11" s="0" t="b">
        <v>0</v>
      </c>
    </row>
    <row customHeight="1" ht="11.25">
      <c r="A12" s="0" t="s">
        <v>5630</v>
      </c>
      <c r="B12" s="0" t="b">
        <v>0</v>
      </c>
    </row>
    <row customHeight="1" ht="11.25">
      <c r="A13" s="0" t="s">
        <v>5631</v>
      </c>
      <c r="B13" s="0" t="b">
        <v>0</v>
      </c>
    </row>
    <row customHeight="1" ht="11.25">
      <c r="A14" s="0" t="s">
        <v>5632</v>
      </c>
      <c r="B14" s="0" t="b">
        <v>0</v>
      </c>
    </row>
    <row customHeight="1" ht="11.25">
      <c r="A15" s="0" t="s">
        <v>5633</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526A98-A71B-4908-D599-73FF9E1AC79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7945" width="9.140625"/>
  </cols>
  <sheetData>
    <row customHeight="1" ht="12.75">
      <c r="A1" s="187"/>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35288-2418-4EBF-3BD8-EC534A0480F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7954" width="36.28125" customWidth="1"/>
    <col min="2" max="2" style="7954" width="21.140625" customWidth="1"/>
  </cols>
  <sheetData>
    <row customHeight="1" ht="11.25">
      <c r="A1" s="191" t="s">
        <v>5634</v>
      </c>
      <c r="B1" s="191" t="s">
        <v>5635</v>
      </c>
    </row>
    <row customHeight="1" ht="11.25">
      <c r="A2" s="186" t="s">
        <v>5636</v>
      </c>
      <c r="B2" s="186" t="s">
        <v>5637</v>
      </c>
    </row>
    <row customHeight="1" ht="11.25">
      <c r="A3" s="186" t="s">
        <v>5638</v>
      </c>
      <c r="B3" s="186" t="s">
        <v>5639</v>
      </c>
    </row>
    <row customHeight="1" ht="11.25">
      <c r="A4" s="186" t="s">
        <v>5640</v>
      </c>
      <c r="B4" s="186" t="s">
        <v>5641</v>
      </c>
    </row>
    <row customHeight="1" ht="11.25">
      <c r="A5" s="186" t="s">
        <v>5642</v>
      </c>
      <c r="B5" s="186" t="s">
        <v>5643</v>
      </c>
    </row>
    <row customHeight="1" ht="11.25">
      <c r="A6" s="186" t="s">
        <v>5644</v>
      </c>
      <c r="B6" s="186" t="s">
        <v>5645</v>
      </c>
    </row>
    <row customHeight="1" ht="11.25">
      <c r="A7" s="186" t="s">
        <v>5646</v>
      </c>
      <c r="B7" s="186" t="s">
        <v>5647</v>
      </c>
    </row>
    <row customHeight="1" ht="11.25">
      <c r="A8" s="186" t="s">
        <v>5648</v>
      </c>
      <c r="B8" s="186" t="s">
        <v>5649</v>
      </c>
    </row>
    <row customHeight="1" ht="11.25">
      <c r="A9" s="186" t="s">
        <v>5650</v>
      </c>
      <c r="B9" s="186" t="s">
        <v>5651</v>
      </c>
    </row>
    <row customHeight="1" ht="11.25">
      <c r="A10" s="186" t="s">
        <v>5652</v>
      </c>
      <c r="B10" s="186" t="s">
        <v>5653</v>
      </c>
    </row>
    <row customHeight="1" ht="11.25">
      <c r="A11" s="186" t="s">
        <v>5654</v>
      </c>
      <c r="B11" s="186" t="s">
        <v>5655</v>
      </c>
    </row>
    <row customHeight="1" ht="11.25">
      <c r="A12" s="186" t="s">
        <v>5656</v>
      </c>
      <c r="B12" s="186" t="s">
        <v>5657</v>
      </c>
    </row>
    <row customHeight="1" ht="11.25">
      <c r="A13" s="186" t="s">
        <v>5658</v>
      </c>
      <c r="B13" s="186" t="s">
        <v>5659</v>
      </c>
    </row>
    <row customHeight="1" ht="11.25">
      <c r="A14" s="186" t="s">
        <v>5660</v>
      </c>
      <c r="B14" s="186" t="s">
        <v>5661</v>
      </c>
    </row>
    <row customHeight="1" ht="11.25">
      <c r="A15" s="186" t="s">
        <v>5662</v>
      </c>
      <c r="B15" s="186" t="s">
        <v>5663</v>
      </c>
    </row>
    <row customHeight="1" ht="11.25">
      <c r="A16" s="186" t="s">
        <v>5664</v>
      </c>
      <c r="B16" s="186" t="s">
        <v>5665</v>
      </c>
    </row>
    <row customHeight="1" ht="11.25">
      <c r="A17" s="186" t="s">
        <v>5666</v>
      </c>
      <c r="B17" s="186" t="s">
        <v>5667</v>
      </c>
    </row>
    <row customHeight="1" ht="11.25">
      <c r="A18" s="186" t="s">
        <v>5668</v>
      </c>
      <c r="B18" s="186" t="s">
        <v>5669</v>
      </c>
    </row>
    <row customHeight="1" ht="11.25">
      <c r="A19" s="186" t="s">
        <v>5670</v>
      </c>
      <c r="B19" s="186" t="s">
        <v>5671</v>
      </c>
    </row>
    <row customHeight="1" ht="11.25">
      <c r="A20" s="186" t="s">
        <v>5672</v>
      </c>
      <c r="B20" s="186" t="s">
        <v>5673</v>
      </c>
    </row>
    <row customHeight="1" ht="11.25">
      <c r="A21" s="186" t="s">
        <v>5674</v>
      </c>
      <c r="B21" s="186" t="s">
        <v>5675</v>
      </c>
    </row>
    <row customHeight="1" ht="11.25">
      <c r="A22" s="186" t="s">
        <v>5676</v>
      </c>
      <c r="B22" s="186" t="s">
        <v>5677</v>
      </c>
    </row>
    <row customHeight="1" ht="11.25">
      <c r="A23" s="186" t="s">
        <v>5678</v>
      </c>
      <c r="B23" s="186" t="s">
        <v>5679</v>
      </c>
    </row>
    <row customHeight="1" ht="11.25">
      <c r="A24" s="186" t="s">
        <v>5680</v>
      </c>
      <c r="B24" s="186" t="s">
        <v>5681</v>
      </c>
    </row>
    <row customHeight="1" ht="11.25">
      <c r="A25" s="186" t="s">
        <v>5682</v>
      </c>
      <c r="B25" s="186" t="s">
        <v>5683</v>
      </c>
    </row>
    <row customHeight="1" ht="11.25">
      <c r="A26" s="186" t="s">
        <v>5684</v>
      </c>
      <c r="B26" s="186" t="s">
        <v>5685</v>
      </c>
    </row>
    <row customHeight="1" ht="11.25">
      <c r="A27" s="186" t="s">
        <v>5686</v>
      </c>
      <c r="B27" s="186" t="s">
        <v>5687</v>
      </c>
    </row>
    <row customHeight="1" ht="11.25">
      <c r="A28" s="186" t="s">
        <v>5688</v>
      </c>
      <c r="B28" s="186" t="s">
        <v>5689</v>
      </c>
    </row>
    <row customHeight="1" ht="11.25">
      <c r="A29" s="186" t="s">
        <v>5690</v>
      </c>
      <c r="B29" s="186" t="s">
        <v>5691</v>
      </c>
    </row>
    <row customHeight="1" ht="11.25">
      <c r="A30" s="186" t="s">
        <v>5692</v>
      </c>
      <c r="B30" s="186" t="s">
        <v>5693</v>
      </c>
    </row>
    <row customHeight="1" ht="11.25">
      <c r="A31" s="186" t="s">
        <v>5694</v>
      </c>
      <c r="B31" s="186" t="s">
        <v>5695</v>
      </c>
    </row>
    <row customHeight="1" ht="11.25">
      <c r="A32" s="186" t="s">
        <v>5696</v>
      </c>
      <c r="B32" s="186" t="s">
        <v>5697</v>
      </c>
    </row>
    <row customHeight="1" ht="11.25">
      <c r="A33" s="186" t="s">
        <v>5698</v>
      </c>
      <c r="B33" s="186" t="s">
        <v>5699</v>
      </c>
    </row>
    <row customHeight="1" ht="11.25">
      <c r="A34" s="186" t="s">
        <v>5700</v>
      </c>
      <c r="B34" s="186" t="s">
        <v>5701</v>
      </c>
    </row>
    <row customHeight="1" ht="11.25">
      <c r="A35" s="186" t="s">
        <v>5702</v>
      </c>
      <c r="B35" s="186" t="s">
        <v>5703</v>
      </c>
    </row>
    <row customHeight="1" ht="11.25">
      <c r="A36" s="186" t="s">
        <v>5704</v>
      </c>
      <c r="B36" s="186" t="s">
        <v>5705</v>
      </c>
    </row>
    <row customHeight="1" ht="11.25">
      <c r="A37" s="186" t="s">
        <v>5706</v>
      </c>
      <c r="B37" s="186" t="s">
        <v>5707</v>
      </c>
    </row>
    <row customHeight="1" ht="11.25">
      <c r="A38" s="186" t="s">
        <v>5708</v>
      </c>
      <c r="B38" s="186" t="s">
        <v>5709</v>
      </c>
    </row>
    <row customHeight="1" ht="11.25">
      <c r="A39" s="186" t="s">
        <v>5710</v>
      </c>
      <c r="B39" s="186" t="s">
        <v>5711</v>
      </c>
    </row>
    <row customHeight="1" ht="11.25">
      <c r="A40" s="186" t="s">
        <v>5712</v>
      </c>
      <c r="B40" s="186" t="s">
        <v>5713</v>
      </c>
    </row>
    <row customHeight="1" ht="11.25">
      <c r="A41" s="186" t="s">
        <v>5714</v>
      </c>
      <c r="B41" s="186" t="s">
        <v>5715</v>
      </c>
    </row>
    <row customHeight="1" ht="11.25">
      <c r="A42" s="186" t="s">
        <v>5716</v>
      </c>
      <c r="B42" s="186" t="s">
        <v>5717</v>
      </c>
    </row>
    <row customHeight="1" ht="11.25">
      <c r="A43" s="186" t="s">
        <v>5718</v>
      </c>
      <c r="B43" s="186" t="s">
        <v>5719</v>
      </c>
    </row>
    <row customHeight="1" ht="11.25">
      <c r="A44" s="186" t="s">
        <v>5720</v>
      </c>
      <c r="B44" s="186" t="s">
        <v>5721</v>
      </c>
    </row>
    <row customHeight="1" ht="11.25">
      <c r="A45" s="186" t="s">
        <v>5722</v>
      </c>
      <c r="B45" s="186" t="s">
        <v>5723</v>
      </c>
    </row>
    <row customHeight="1" ht="11.25">
      <c r="A46" s="186" t="s">
        <v>5724</v>
      </c>
      <c r="B46" s="186" t="s">
        <v>5725</v>
      </c>
    </row>
    <row customHeight="1" ht="11.25">
      <c r="A47" s="186" t="s">
        <v>5726</v>
      </c>
      <c r="B47" s="186" t="s">
        <v>5727</v>
      </c>
    </row>
    <row customHeight="1" ht="11.25">
      <c r="A48" s="186" t="s">
        <v>5728</v>
      </c>
      <c r="B48" s="186" t="s">
        <v>5729</v>
      </c>
    </row>
    <row customHeight="1" ht="11.25">
      <c r="A49" s="186" t="s">
        <v>5730</v>
      </c>
      <c r="B49" s="186" t="s">
        <v>5731</v>
      </c>
    </row>
    <row customHeight="1" ht="11.25">
      <c r="A50" s="186" t="s">
        <v>5732</v>
      </c>
      <c r="B50" s="186" t="s">
        <v>5733</v>
      </c>
    </row>
    <row customHeight="1" ht="11.25">
      <c r="A51" s="186" t="s">
        <v>5734</v>
      </c>
      <c r="B51" s="186" t="s">
        <v>5735</v>
      </c>
    </row>
    <row customHeight="1" ht="11.25">
      <c r="A52" s="186" t="s">
        <v>5736</v>
      </c>
      <c r="B52" s="186" t="s">
        <v>5737</v>
      </c>
    </row>
    <row customHeight="1" ht="11.25">
      <c r="A53" s="186" t="s">
        <v>5738</v>
      </c>
      <c r="B53" s="186" t="s">
        <v>5739</v>
      </c>
    </row>
    <row customHeight="1" ht="11.25">
      <c r="A54" s="186" t="s">
        <v>5740</v>
      </c>
      <c r="B54" s="186" t="s">
        <v>5741</v>
      </c>
    </row>
    <row customHeight="1" ht="11.25">
      <c r="A55" s="186" t="s">
        <v>5742</v>
      </c>
      <c r="B55" s="186" t="s">
        <v>5743</v>
      </c>
    </row>
    <row customHeight="1" ht="11.25">
      <c r="A56" s="186" t="s">
        <v>5744</v>
      </c>
      <c r="B56" s="186" t="s">
        <v>5745</v>
      </c>
    </row>
    <row customHeight="1" ht="11.25">
      <c r="A57" s="186" t="s">
        <v>5746</v>
      </c>
      <c r="B57" s="186" t="s">
        <v>5747</v>
      </c>
    </row>
    <row customHeight="1" ht="11.25">
      <c r="A58" s="186" t="s">
        <v>5748</v>
      </c>
      <c r="B58" s="186" t="s">
        <v>5749</v>
      </c>
    </row>
    <row customHeight="1" ht="11.25">
      <c r="A59" s="186" t="s">
        <v>5750</v>
      </c>
      <c r="B59" s="186" t="s">
        <v>5751</v>
      </c>
    </row>
    <row customHeight="1" ht="11.25">
      <c r="A60" s="186" t="s">
        <v>5752</v>
      </c>
      <c r="B60" s="186" t="s">
        <v>5753</v>
      </c>
    </row>
    <row customHeight="1" ht="11.25">
      <c r="A61" s="186"/>
      <c r="B61" s="186" t="s">
        <v>5754</v>
      </c>
    </row>
    <row customHeight="1" ht="11.25">
      <c r="A62" s="186"/>
      <c r="B62" s="186" t="s">
        <v>5755</v>
      </c>
    </row>
    <row customHeight="1" ht="11.25">
      <c r="A63" s="186"/>
      <c r="B63" s="186" t="s">
        <v>5756</v>
      </c>
    </row>
    <row customHeight="1" ht="11.25">
      <c r="A64" s="186"/>
      <c r="B64" s="186" t="s">
        <v>5757</v>
      </c>
    </row>
    <row customHeight="1" ht="11.25">
      <c r="A65" s="186"/>
      <c r="B65" s="186" t="s">
        <v>5758</v>
      </c>
    </row>
    <row customHeight="1" ht="11.25">
      <c r="A66" s="186"/>
      <c r="B66" s="186" t="s">
        <v>5759</v>
      </c>
    </row>
    <row customHeight="1" ht="11.25">
      <c r="A67" s="186"/>
      <c r="B67" s="186" t="s">
        <v>5760</v>
      </c>
    </row>
    <row customHeight="1" ht="11.25">
      <c r="A68" s="186"/>
      <c r="B68" s="186" t="s">
        <v>5761</v>
      </c>
    </row>
    <row customHeight="1" ht="11.25">
      <c r="A69" s="186"/>
      <c r="B69" s="186" t="s">
        <v>5762</v>
      </c>
    </row>
    <row customHeight="1" ht="11.25">
      <c r="A70" s="186"/>
      <c r="B70" s="186" t="s">
        <v>5763</v>
      </c>
    </row>
    <row customHeight="1" ht="11.25">
      <c r="A71" s="186"/>
      <c r="B71" s="186"/>
    </row>
    <row customHeight="1" ht="11.25">
      <c r="A72" s="186"/>
      <c r="B72" s="186"/>
    </row>
    <row customHeight="1" ht="11.25">
      <c r="A73" s="186"/>
      <c r="B73" s="186"/>
    </row>
    <row customHeight="1" ht="11.25">
      <c r="A74" s="186"/>
      <c r="B74" s="186"/>
    </row>
    <row customHeight="1" ht="11.25">
      <c r="A75" s="186"/>
      <c r="B75" s="186"/>
    </row>
    <row customHeight="1" ht="11.25">
      <c r="A76" s="186"/>
      <c r="B76" s="186"/>
    </row>
    <row customHeight="1" ht="11.25">
      <c r="A77" s="186"/>
      <c r="B77" s="186"/>
    </row>
    <row customHeight="1" ht="11.25">
      <c r="A78" s="186"/>
      <c r="B78" s="186"/>
    </row>
    <row customHeight="1" ht="11.25">
      <c r="A79" s="186"/>
      <c r="B79" s="186"/>
    </row>
    <row customHeight="1" ht="11.25">
      <c r="A80" s="186"/>
      <c r="B80" s="186"/>
    </row>
    <row customHeight="1" ht="11.25">
      <c r="A81" s="186"/>
      <c r="B81" s="186"/>
    </row>
    <row customHeight="1" ht="11.25">
      <c r="A82" s="186"/>
      <c r="B82" s="186"/>
    </row>
    <row customHeight="1" ht="11.25">
      <c r="A83" s="186"/>
      <c r="B83" s="186"/>
    </row>
    <row customHeight="1" ht="11.25">
      <c r="A84" s="186"/>
      <c r="B84" s="186"/>
    </row>
    <row customHeight="1" ht="11.25">
      <c r="A85" s="186"/>
      <c r="B85" s="186"/>
    </row>
    <row customHeight="1" ht="11.25">
      <c r="A86" s="186"/>
      <c r="B86" s="186"/>
    </row>
    <row customHeight="1" ht="11.25">
      <c r="A87" s="186"/>
      <c r="B87" s="186"/>
    </row>
    <row customHeight="1" ht="11.25">
      <c r="A88" s="186"/>
      <c r="B88" s="186"/>
    </row>
    <row customHeight="1" ht="11.25">
      <c r="A89" s="186"/>
      <c r="B89" s="186"/>
    </row>
    <row customHeight="1" ht="11.25">
      <c r="A90" s="186"/>
      <c r="B90" s="186"/>
    </row>
    <row customHeight="1" ht="11.25">
      <c r="A91" s="186"/>
      <c r="B91" s="186"/>
    </row>
    <row customHeight="1" ht="11.25">
      <c r="A92" s="186"/>
      <c r="B92" s="186"/>
    </row>
    <row customHeight="1" ht="11.25">
      <c r="A93" s="186"/>
      <c r="B93" s="186"/>
    </row>
    <row customHeight="1" ht="11.25">
      <c r="A94" s="186"/>
      <c r="B94" s="186"/>
    </row>
    <row customHeight="1" ht="11.25">
      <c r="A95" s="186"/>
      <c r="B95" s="186"/>
    </row>
    <row customHeight="1" ht="11.25">
      <c r="A96" s="186"/>
      <c r="B96" s="186"/>
    </row>
    <row customHeight="1" ht="11.25">
      <c r="A97" s="186"/>
      <c r="B97" s="186"/>
    </row>
    <row customHeight="1" ht="11.25">
      <c r="A98" s="186"/>
      <c r="B98" s="186"/>
    </row>
    <row customHeight="1" ht="11.25">
      <c r="A99" s="186"/>
      <c r="B99" s="186"/>
    </row>
    <row customHeight="1" ht="11.25">
      <c r="A100" s="186"/>
      <c r="B100" s="186"/>
    </row>
    <row customHeight="1" ht="11.25">
      <c r="A101" s="186"/>
      <c r="B101" s="186"/>
    </row>
    <row customHeight="1" ht="11.25">
      <c r="A102" s="186"/>
      <c r="B102" s="186"/>
    </row>
    <row customHeight="1" ht="11.25">
      <c r="A103" s="186"/>
      <c r="B103" s="186"/>
    </row>
    <row customHeight="1" ht="11.25">
      <c r="A104" s="186"/>
      <c r="B104" s="186"/>
    </row>
    <row customHeight="1" ht="11.25">
      <c r="A105" s="186"/>
      <c r="B105" s="186"/>
    </row>
    <row customHeight="1" ht="11.25">
      <c r="A106" s="186"/>
      <c r="B106" s="186"/>
    </row>
    <row customHeight="1" ht="11.25">
      <c r="A107" s="186"/>
      <c r="B107" s="186"/>
    </row>
    <row customHeight="1" ht="11.25">
      <c r="A108" s="186"/>
      <c r="B108" s="186"/>
    </row>
    <row customHeight="1" ht="11.25">
      <c r="A109" s="186"/>
      <c r="B109" s="186"/>
    </row>
    <row customHeight="1" ht="11.25">
      <c r="A110" s="186"/>
      <c r="B110" s="186"/>
    </row>
    <row customHeight="1" ht="11.25">
      <c r="A111" s="186"/>
      <c r="B111" s="186"/>
    </row>
    <row customHeight="1" ht="11.25">
      <c r="A112" s="186"/>
      <c r="B112" s="186"/>
    </row>
    <row customHeight="1" ht="11.25">
      <c r="A113" s="186"/>
      <c r="B113" s="186"/>
    </row>
    <row customHeight="1" ht="11.25">
      <c r="A114" s="186"/>
      <c r="B114" s="186"/>
    </row>
    <row customHeight="1" ht="11.25">
      <c r="A115" s="186"/>
      <c r="B115" s="186"/>
    </row>
    <row customHeight="1" ht="11.25">
      <c r="A116" s="186"/>
      <c r="B116" s="186"/>
    </row>
    <row customHeight="1" ht="11.25">
      <c r="A117" s="186"/>
      <c r="B117" s="186"/>
    </row>
    <row customHeight="1" ht="11.25">
      <c r="A118" s="186"/>
      <c r="B118" s="186"/>
    </row>
    <row customHeight="1" ht="11.25">
      <c r="A119" s="186"/>
      <c r="B119" s="186"/>
    </row>
    <row customHeight="1" ht="11.25">
      <c r="A120" s="186"/>
      <c r="B120" s="186"/>
    </row>
    <row customHeight="1" ht="11.25">
      <c r="A121" s="186"/>
      <c r="B121" s="186"/>
    </row>
    <row customHeight="1" ht="11.25">
      <c r="A122" s="186"/>
      <c r="B122" s="186"/>
    </row>
    <row customHeight="1" ht="11.25">
      <c r="A123" s="186"/>
      <c r="B123" s="186"/>
    </row>
    <row customHeight="1" ht="11.25">
      <c r="A124" s="186"/>
      <c r="B124" s="186"/>
    </row>
    <row customHeight="1" ht="11.25">
      <c r="A125" s="186"/>
      <c r="B125" s="186"/>
    </row>
    <row customHeight="1" ht="11.25">
      <c r="A126" s="186"/>
      <c r="B126" s="186"/>
    </row>
    <row customHeight="1" ht="11.25">
      <c r="A127" s="186"/>
      <c r="B127" s="186"/>
    </row>
    <row customHeight="1" ht="11.25">
      <c r="A128" s="186"/>
      <c r="B128" s="186"/>
    </row>
    <row customHeight="1" ht="11.25">
      <c r="A129" s="186"/>
      <c r="B129" s="186"/>
    </row>
    <row customHeight="1" ht="11.25">
      <c r="A130" s="186"/>
      <c r="B130" s="186"/>
    </row>
    <row customHeight="1" ht="11.25">
      <c r="A131" s="186"/>
      <c r="B131" s="186"/>
    </row>
    <row customHeight="1" ht="11.25">
      <c r="A132" s="186"/>
      <c r="B132" s="186"/>
    </row>
    <row customHeight="1" ht="11.25">
      <c r="A133" s="186"/>
      <c r="B133" s="186"/>
    </row>
    <row customHeight="1" ht="11.25">
      <c r="A134" s="186"/>
      <c r="B134" s="186"/>
    </row>
    <row customHeight="1" ht="11.25">
      <c r="A135" s="186"/>
      <c r="B135" s="186"/>
    </row>
    <row customHeight="1" ht="11.25">
      <c r="A136" s="186"/>
      <c r="B136" s="186"/>
    </row>
    <row customHeight="1" ht="11.25">
      <c r="A137" s="186"/>
      <c r="B137" s="186"/>
    </row>
    <row customHeight="1" ht="11.25">
      <c r="A138" s="186"/>
      <c r="B138" s="186"/>
    </row>
    <row customHeight="1" ht="11.25">
      <c r="A139" s="186"/>
      <c r="B139" s="186"/>
    </row>
    <row customHeight="1" ht="11.25">
      <c r="A140" s="186"/>
      <c r="B140" s="186"/>
    </row>
    <row customHeight="1" ht="11.25">
      <c r="A141" s="186"/>
      <c r="B141" s="186"/>
    </row>
    <row customHeight="1" ht="11.25">
      <c r="A142" s="186"/>
      <c r="B142" s="186"/>
    </row>
    <row customHeight="1" ht="11.25">
      <c r="A143" s="186"/>
      <c r="B143" s="186"/>
    </row>
    <row customHeight="1" ht="11.25">
      <c r="A144" s="186"/>
      <c r="B144" s="186"/>
    </row>
    <row customHeight="1" ht="11.25">
      <c r="A145" s="186"/>
      <c r="B145" s="186"/>
    </row>
    <row customHeight="1" ht="11.25">
      <c r="A146" s="186"/>
      <c r="B146" s="186"/>
    </row>
    <row customHeight="1" ht="11.25">
      <c r="A147" s="186"/>
      <c r="B147" s="186"/>
    </row>
    <row customHeight="1" ht="11.25">
      <c r="A148" s="186"/>
      <c r="B148" s="186"/>
    </row>
    <row customHeight="1" ht="11.25">
      <c r="A149" s="186"/>
      <c r="B149" s="186"/>
    </row>
    <row customHeight="1" ht="11.25">
      <c r="A150" s="186"/>
      <c r="B150" s="186"/>
    </row>
    <row customHeight="1" ht="11.25">
      <c r="A151" s="186"/>
      <c r="B151" s="186"/>
    </row>
    <row customHeight="1" ht="11.25">
      <c r="A152" s="186"/>
      <c r="B152" s="186"/>
    </row>
    <row customHeight="1" ht="11.25">
      <c r="A153" s="186"/>
      <c r="B153" s="186"/>
    </row>
    <row customHeight="1" ht="11.25">
      <c r="A154" s="186"/>
      <c r="B154" s="186"/>
    </row>
    <row customHeight="1" ht="11.25">
      <c r="A155" s="186"/>
      <c r="B155" s="186"/>
    </row>
    <row customHeight="1" ht="11.25">
      <c r="A156" s="186"/>
      <c r="B156" s="186"/>
    </row>
    <row customHeight="1" ht="11.25">
      <c r="A157" s="186"/>
      <c r="B157" s="186"/>
    </row>
    <row customHeight="1" ht="11.25">
      <c r="A158" s="186"/>
      <c r="B158" s="186"/>
    </row>
    <row customHeight="1" ht="11.25">
      <c r="A159" s="186"/>
      <c r="B159" s="186"/>
    </row>
    <row customHeight="1" ht="11.25">
      <c r="A160" s="186"/>
      <c r="B160" s="186"/>
    </row>
    <row customHeight="1" ht="11.25">
      <c r="A161" s="186"/>
      <c r="B161" s="186"/>
    </row>
    <row customHeight="1" ht="11.25">
      <c r="A162" s="186"/>
      <c r="B162" s="186"/>
    </row>
    <row customHeight="1" ht="11.25">
      <c r="A163" s="186"/>
      <c r="B163" s="186"/>
    </row>
    <row customHeight="1" ht="11.25">
      <c r="A164" s="186"/>
      <c r="B164" s="186"/>
    </row>
    <row customHeight="1" ht="11.25">
      <c r="A165" s="186"/>
      <c r="B165" s="186"/>
    </row>
    <row customHeight="1" ht="11.25">
      <c r="A166" s="186"/>
      <c r="B166" s="186"/>
    </row>
    <row customHeight="1" ht="11.25">
      <c r="A167" s="186"/>
      <c r="B167" s="186"/>
    </row>
    <row customHeight="1" ht="11.25">
      <c r="A168" s="186"/>
      <c r="B168" s="186"/>
    </row>
    <row customHeight="1" ht="11.25">
      <c r="A169" s="186"/>
      <c r="B169" s="186"/>
    </row>
    <row customHeight="1" ht="11.25">
      <c r="A170" s="186"/>
      <c r="B170" s="186"/>
    </row>
    <row customHeight="1" ht="11.25">
      <c r="A171" s="186"/>
      <c r="B171" s="186"/>
    </row>
    <row customHeight="1" ht="11.25">
      <c r="A172" s="186"/>
      <c r="B172" s="186"/>
    </row>
    <row customHeight="1" ht="11.25">
      <c r="A173" s="186"/>
      <c r="B173" s="186"/>
    </row>
    <row customHeight="1" ht="11.25">
      <c r="A174" s="186"/>
      <c r="B174" s="186"/>
    </row>
    <row customHeight="1" ht="11.25">
      <c r="A175" s="186"/>
      <c r="B175" s="186"/>
    </row>
    <row customHeight="1" ht="11.25">
      <c r="A176" s="186"/>
      <c r="B176" s="186"/>
    </row>
    <row customHeight="1" ht="11.25">
      <c r="A177" s="186"/>
      <c r="B177" s="186"/>
    </row>
    <row customHeight="1" ht="11.25">
      <c r="A178" s="186"/>
      <c r="B178" s="186"/>
    </row>
    <row customHeight="1" ht="11.25">
      <c r="A179" s="186"/>
      <c r="B179" s="186"/>
    </row>
    <row customHeight="1" ht="11.25">
      <c r="A180" s="186"/>
      <c r="B180" s="186"/>
    </row>
    <row customHeight="1" ht="11.25">
      <c r="A181" s="186"/>
      <c r="B181" s="186"/>
    </row>
    <row customHeight="1" ht="11.25">
      <c r="A182" s="186"/>
      <c r="B182" s="186"/>
    </row>
    <row customHeight="1" ht="11.25">
      <c r="A183" s="186"/>
      <c r="B183" s="186"/>
    </row>
    <row customHeight="1" ht="11.25">
      <c r="A184" s="186"/>
      <c r="B184" s="186"/>
    </row>
    <row customHeight="1" ht="11.25">
      <c r="A185" s="186"/>
      <c r="B185" s="186"/>
    </row>
    <row customHeight="1" ht="11.25">
      <c r="A186" s="186"/>
      <c r="B186" s="186"/>
    </row>
    <row customHeight="1" ht="11.25">
      <c r="A187" s="186"/>
      <c r="B187" s="186"/>
    </row>
    <row customHeight="1" ht="11.25">
      <c r="A188" s="186"/>
      <c r="B188" s="186"/>
    </row>
    <row customHeight="1" ht="11.25">
      <c r="A189" s="186"/>
      <c r="B189" s="186"/>
    </row>
    <row customHeight="1" ht="11.25">
      <c r="A190" s="186"/>
      <c r="B190" s="186"/>
    </row>
    <row customHeight="1" ht="11.25">
      <c r="A191" s="186"/>
      <c r="B191" s="186"/>
    </row>
    <row customHeight="1" ht="11.25">
      <c r="A192" s="186"/>
      <c r="B192" s="186"/>
    </row>
    <row customHeight="1" ht="11.25">
      <c r="A193" s="186"/>
      <c r="B193" s="186"/>
    </row>
    <row customHeight="1" ht="11.25">
      <c r="A194" s="186"/>
      <c r="B194" s="186"/>
    </row>
    <row customHeight="1" ht="11.25">
      <c r="A195" s="186"/>
      <c r="B195" s="186"/>
    </row>
    <row customHeight="1" ht="11.25">
      <c r="A196" s="186"/>
      <c r="B196" s="186"/>
    </row>
    <row customHeight="1" ht="11.25">
      <c r="A197" s="186"/>
      <c r="B197" s="186"/>
    </row>
    <row customHeight="1" ht="11.25">
      <c r="A198" s="186"/>
      <c r="B198" s="186"/>
    </row>
    <row customHeight="1" ht="11.25">
      <c r="A199" s="186"/>
      <c r="B199" s="186"/>
    </row>
    <row customHeight="1" ht="11.25">
      <c r="A200" s="186"/>
      <c r="B200" s="186"/>
    </row>
    <row customHeight="1" ht="11.25">
      <c r="A201" s="186"/>
      <c r="B201" s="186"/>
    </row>
    <row customHeight="1" ht="11.25">
      <c r="A202" s="186"/>
      <c r="B202" s="186"/>
    </row>
    <row customHeight="1" ht="11.25">
      <c r="A203" s="186"/>
      <c r="B203" s="186"/>
    </row>
    <row customHeight="1" ht="11.25">
      <c r="A204" s="186"/>
      <c r="B204" s="186"/>
    </row>
    <row customHeight="1" ht="11.25">
      <c r="A205" s="186"/>
      <c r="B205" s="186"/>
    </row>
    <row customHeight="1" ht="11.25">
      <c r="A206" s="186"/>
      <c r="B206" s="186"/>
    </row>
    <row customHeight="1" ht="11.25">
      <c r="A207" s="186"/>
      <c r="B207" s="186"/>
    </row>
    <row customHeight="1" ht="11.25">
      <c r="A208" s="186"/>
      <c r="B208" s="186"/>
    </row>
    <row customHeight="1" ht="11.25">
      <c r="A209" s="186"/>
      <c r="B209" s="186"/>
    </row>
    <row customHeight="1" ht="11.25">
      <c r="A210" s="186"/>
      <c r="B210" s="186"/>
    </row>
    <row customHeight="1" ht="11.25">
      <c r="A211" s="186"/>
      <c r="B211" s="186"/>
    </row>
    <row customHeight="1" ht="11.25">
      <c r="A212" s="186"/>
      <c r="B212" s="186"/>
    </row>
    <row customHeight="1" ht="11.25">
      <c r="A213" s="186"/>
      <c r="B213" s="186"/>
    </row>
    <row customHeight="1" ht="11.25">
      <c r="A214" s="186"/>
      <c r="B214" s="186"/>
    </row>
    <row customHeight="1" ht="11.25">
      <c r="A215" s="186"/>
      <c r="B215" s="186"/>
    </row>
    <row customHeight="1" ht="11.25">
      <c r="A216" s="186"/>
      <c r="B216" s="186"/>
    </row>
    <row customHeight="1" ht="11.25">
      <c r="A217" s="186"/>
      <c r="B217" s="186"/>
    </row>
    <row customHeight="1" ht="11.25">
      <c r="A218" s="186"/>
      <c r="B218" s="186"/>
    </row>
    <row customHeight="1" ht="11.25">
      <c r="A219" s="186"/>
      <c r="B219" s="186"/>
    </row>
    <row customHeight="1" ht="11.25">
      <c r="A220" s="186"/>
      <c r="B220" s="186"/>
    </row>
    <row customHeight="1" ht="11.25">
      <c r="A221" s="186"/>
      <c r="B221" s="186"/>
    </row>
    <row customHeight="1" ht="11.25">
      <c r="A222" s="186"/>
      <c r="B222" s="186"/>
    </row>
    <row customHeight="1" ht="11.25">
      <c r="A223" s="186"/>
      <c r="B223" s="186"/>
    </row>
    <row customHeight="1" ht="11.25">
      <c r="A224" s="186"/>
      <c r="B224" s="186"/>
    </row>
    <row customHeight="1" ht="11.25">
      <c r="A225" s="186"/>
      <c r="B225" s="186"/>
    </row>
    <row customHeight="1" ht="11.25">
      <c r="A226" s="186"/>
      <c r="B226" s="186"/>
    </row>
    <row customHeight="1" ht="11.25">
      <c r="A227" s="186"/>
      <c r="B227" s="186"/>
    </row>
    <row customHeight="1" ht="11.25">
      <c r="A228" s="186"/>
      <c r="B228" s="186"/>
    </row>
    <row customHeight="1" ht="11.25">
      <c r="A229" s="186"/>
      <c r="B229" s="186"/>
    </row>
    <row customHeight="1" ht="11.25">
      <c r="A230" s="186"/>
      <c r="B230" s="186"/>
    </row>
    <row customHeight="1" ht="11.25">
      <c r="A231" s="186"/>
      <c r="B231" s="186"/>
    </row>
    <row customHeight="1" ht="11.25">
      <c r="A232" s="186"/>
      <c r="B232" s="186"/>
    </row>
    <row customHeight="1" ht="11.25">
      <c r="A233" s="186"/>
      <c r="B233" s="186"/>
    </row>
    <row customHeight="1" ht="11.25">
      <c r="A234" s="186"/>
      <c r="B234" s="186"/>
    </row>
    <row customHeight="1" ht="11.25">
      <c r="A235" s="186"/>
      <c r="B235" s="186"/>
    </row>
    <row customHeight="1" ht="11.25">
      <c r="A236" s="186"/>
      <c r="B236" s="186"/>
    </row>
    <row customHeight="1" ht="11.25">
      <c r="A237" s="186"/>
      <c r="B237" s="186"/>
    </row>
    <row customHeight="1" ht="11.25">
      <c r="A238" s="186"/>
      <c r="B238" s="186"/>
    </row>
    <row customHeight="1" ht="11.25">
      <c r="A239" s="186"/>
      <c r="B239" s="186"/>
    </row>
    <row customHeight="1" ht="11.25">
      <c r="A240" s="186"/>
      <c r="B240" s="186"/>
    </row>
    <row customHeight="1" ht="11.25">
      <c r="A241" s="186"/>
      <c r="B241" s="186"/>
    </row>
    <row customHeight="1" ht="11.25">
      <c r="A242" s="186"/>
      <c r="B242" s="186"/>
    </row>
    <row customHeight="1" ht="11.25">
      <c r="A243" s="186"/>
      <c r="B243" s="186"/>
    </row>
    <row customHeight="1" ht="11.25">
      <c r="A244" s="186"/>
      <c r="B244" s="186"/>
    </row>
    <row customHeight="1" ht="11.25">
      <c r="A245" s="186"/>
      <c r="B245" s="186"/>
    </row>
    <row customHeight="1" ht="11.25">
      <c r="A246" s="186"/>
      <c r="B246" s="186"/>
    </row>
    <row customHeight="1" ht="11.25">
      <c r="A247" s="186"/>
      <c r="B247" s="186"/>
    </row>
    <row customHeight="1" ht="11.25">
      <c r="A248" s="186"/>
      <c r="B248" s="186"/>
    </row>
    <row customHeight="1" ht="11.25">
      <c r="A249" s="186"/>
      <c r="B249" s="186"/>
    </row>
    <row customHeight="1" ht="11.25">
      <c r="A250" s="186"/>
      <c r="B250" s="186"/>
    </row>
    <row customHeight="1" ht="11.25">
      <c r="A251" s="186"/>
      <c r="B251" s="186"/>
    </row>
    <row customHeight="1" ht="11.25">
      <c r="A252" s="186"/>
      <c r="B252" s="186"/>
    </row>
    <row customHeight="1" ht="11.25">
      <c r="A253" s="186"/>
      <c r="B253" s="186"/>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6C483B-1D58-3A58-921B-34F822ABF73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7954" width="3.7109375" customWidth="1"/>
    <col min="2" max="2" style="7954" width="90.7109375" customWidth="1"/>
    <col min="3" max="4" style="7954" width="9.140625"/>
  </cols>
  <sheetData>
    <row customHeight="1" ht="11.25">
      <c r="B1" s="217" t="s">
        <v>5764</v>
      </c>
    </row>
    <row customHeight="1" ht="90">
      <c r="B2" s="218" t="s">
        <v>5765</v>
      </c>
    </row>
    <row customHeight="1" ht="67.5">
      <c r="B3" s="218" t="s">
        <v>5766</v>
      </c>
    </row>
    <row customHeight="1" ht="33.75">
      <c r="B4" s="218" t="s">
        <v>5767</v>
      </c>
    </row>
    <row customHeight="1" ht="11.25">
      <c r="B5" s="218" t="s">
        <v>5768</v>
      </c>
    </row>
    <row customHeight="1" ht="22.5">
      <c r="B6" s="218" t="s">
        <v>5769</v>
      </c>
    </row>
    <row customHeight="1" ht="22.5">
      <c r="B7" s="218" t="s">
        <v>5770</v>
      </c>
    </row>
    <row customHeight="1" ht="22.5">
      <c r="B8" s="218" t="s">
        <v>5771</v>
      </c>
    </row>
    <row customHeight="1" ht="22.5">
      <c r="B9" s="218" t="s">
        <v>5772</v>
      </c>
    </row>
    <row customHeight="1" ht="56.25">
      <c r="B10" s="218" t="s">
        <v>5773</v>
      </c>
    </row>
    <row customHeight="1" ht="12.75">
      <c r="B11" s="283" t="s">
        <v>5774</v>
      </c>
    </row>
    <row customHeight="1" ht="11.25">
      <c r="B12" s="217" t="s">
        <v>5775</v>
      </c>
    </row>
    <row customHeight="1" ht="22.5">
      <c r="B13" s="218" t="s">
        <v>5776</v>
      </c>
    </row>
    <row customHeight="1" ht="67.5">
      <c r="B14" s="218" t="s">
        <v>5777</v>
      </c>
    </row>
    <row customHeight="1" ht="22.5">
      <c r="B15" s="218" t="s">
        <v>5778</v>
      </c>
    </row>
    <row customHeight="1" ht="11.25">
      <c r="B16" s="217" t="s">
        <v>5779</v>
      </c>
      <c r="D16" s="224"/>
    </row>
    <row customHeight="1" ht="33.75">
      <c r="B17" s="218" t="s">
        <v>5780</v>
      </c>
    </row>
    <row customHeight="1" ht="33.75">
      <c r="B18" s="218" t="s">
        <v>5781</v>
      </c>
    </row>
    <row customHeight="1" ht="11.25">
      <c r="B19" s="218" t="s">
        <v>5782</v>
      </c>
    </row>
    <row customHeight="1" ht="33.75">
      <c r="B20" s="218" t="s">
        <v>5783</v>
      </c>
    </row>
    <row customHeight="1" ht="11.25">
      <c r="B21" s="217" t="s">
        <v>5784</v>
      </c>
    </row>
    <row customHeight="1" ht="11.25">
      <c r="B22" s="218" t="s">
        <v>5785</v>
      </c>
    </row>
    <row r="24" customHeight="1" ht="22.5">
      <c r="B24" s="285" t="s">
        <v>5786</v>
      </c>
    </row>
    <row r="26" customHeight="1" ht="11.25">
      <c r="B26" s="217" t="s">
        <v>5787</v>
      </c>
    </row>
    <row customHeight="1" ht="22.5">
      <c r="B27" s="284" t="s">
        <v>508</v>
      </c>
    </row>
    <row customHeight="1" ht="56.25">
      <c r="B28" s="284" t="s">
        <v>5788</v>
      </c>
    </row>
    <row customHeight="1" ht="11.25">
      <c r="B29" s="334" t="s">
        <v>5789</v>
      </c>
    </row>
    <row customHeight="1" ht="22.5">
      <c r="B30" s="284" t="s">
        <v>5790</v>
      </c>
    </row>
    <row r="32" customHeight="1" ht="11.25">
      <c r="A32" s="312"/>
      <c r="B32" s="313" t="s">
        <v>5791</v>
      </c>
    </row>
    <row customHeight="1" ht="14.25">
      <c r="A33" s="314">
        <v>1</v>
      </c>
      <c r="B33" s="315" t="s">
        <v>5792</v>
      </c>
    </row>
    <row customHeight="1" ht="14.25">
      <c r="A34" s="314">
        <v>2</v>
      </c>
      <c r="B34" s="315" t="s">
        <v>5793</v>
      </c>
    </row>
    <row customHeight="1" ht="11.25">
      <c r="B35" s="313" t="s">
        <v>5794</v>
      </c>
    </row>
    <row customHeight="1" ht="11.25">
      <c r="B36" s="315" t="s">
        <v>5795</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93FE28-37C8-FCF9-56C2-8E57D00D0ED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7464" width="9.140625" hidden="1" customWidth="1"/>
    <col min="2" max="2" style="7213" width="9.140625" hidden="1" customWidth="1"/>
    <col min="3" max="3" style="7736" width="3.00390625" customWidth="1"/>
    <col min="4" max="4" style="7213" width="5.00390625" customWidth="1"/>
    <col min="5" max="5" style="7213" width="38.00390625" customWidth="1"/>
    <col min="6" max="7" style="7213" width="3.00390625" customWidth="1"/>
    <col min="8" max="8" style="7213" width="38.00390625" customWidth="1"/>
    <col min="9" max="9" style="7213" width="35.00390625" customWidth="1"/>
    <col min="10" max="10" style="7213" width="103.00390625" customWidth="1"/>
    <col min="11" max="11" style="6033" width="3.00390625" customWidth="1"/>
    <col min="12" max="14" style="6698" width="10.00390625" customWidth="1"/>
    <col min="15" max="15" style="6698" width="13.00390625" customWidth="1"/>
    <col min="16" max="16" style="6698" width="15.00390625" customWidth="1"/>
    <col min="17" max="17" style="6698" width="16.00390625" customWidth="1"/>
    <col min="18" max="21" style="6698" width="10.00390625" customWidth="1"/>
    <col min="22" max="22" style="7213" width="10.57421875" hidden="1"/>
  </cols>
  <sheetData>
    <row customHeight="1" ht="22.5" hidden="1">
      <c r="E1" s="536"/>
      <c r="F1" s="536"/>
      <c r="G1" s="536"/>
      <c r="H1" s="2354" t="s">
        <v>464</v>
      </c>
      <c r="I1" s="2354"/>
      <c r="V1" s="1731" t="s">
        <v>14</v>
      </c>
    </row>
    <row s="7213" customFormat="1" customHeight="1" ht="14.25" hidden="1">
      <c r="C2" s="1743"/>
      <c r="D2" s="2370" t="s">
        <v>210</v>
      </c>
      <c r="E2" s="2372"/>
      <c r="F2" s="1749"/>
      <c r="G2" s="1744" t="s">
        <v>210</v>
      </c>
      <c r="H2" s="1747"/>
      <c r="I2" s="1745"/>
      <c r="L2" s="1746"/>
      <c r="M2" s="1746"/>
      <c r="N2" s="1746"/>
      <c r="O2" s="1746" t="s">
        <v>494</v>
      </c>
      <c r="P2" s="1746"/>
      <c r="Q2" s="1746"/>
      <c r="R2" s="1748" t="s">
        <v>493</v>
      </c>
      <c r="S2" s="1748" t="s">
        <v>493</v>
      </c>
      <c r="T2" s="1746"/>
      <c r="U2" s="1746"/>
      <c r="V2" s="1742">
        <v>0</v>
      </c>
    </row>
    <row s="7213" customFormat="1" customHeight="1" ht="14.25" hidden="1">
      <c r="C3" s="1743"/>
      <c r="D3" s="2371"/>
      <c r="E3" s="2373"/>
      <c r="F3" s="529"/>
      <c r="G3" s="993"/>
      <c r="H3" s="993" t="s">
        <v>495</v>
      </c>
      <c r="I3" s="437"/>
      <c r="L3" s="1746"/>
      <c r="M3" s="1746"/>
      <c r="N3" s="1746"/>
      <c r="O3" s="1746"/>
      <c r="P3" s="1746"/>
      <c r="Q3" s="1746"/>
      <c r="R3" s="1748"/>
      <c r="S3" s="1748"/>
      <c r="T3" s="1746"/>
      <c r="U3" s="1746"/>
      <c r="V3" s="1742">
        <v>0</v>
      </c>
    </row>
    <row customHeight="1" ht="14.25" hidden="1">
      <c r="V4" s="1731">
        <v>0</v>
      </c>
    </row>
    <row s="6048" customFormat="1" customHeight="1" ht="5.25">
      <c r="C5" s="825"/>
      <c r="D5" s="826"/>
      <c r="E5" s="826"/>
      <c r="F5" s="826"/>
      <c r="G5" s="826"/>
      <c r="H5" s="826" t="s">
        <v>468</v>
      </c>
      <c r="I5" s="826"/>
      <c r="J5" s="826"/>
      <c r="L5" s="1738"/>
      <c r="M5" s="1738"/>
      <c r="N5" s="1738"/>
      <c r="O5" s="1738"/>
      <c r="P5" s="1738"/>
      <c r="Q5" s="1738"/>
      <c r="R5" s="1738"/>
      <c r="S5" s="1738"/>
      <c r="T5" s="1738"/>
      <c r="U5" s="1738"/>
      <c r="V5" s="1737">
        <v>5</v>
      </c>
    </row>
    <row customHeight="1" ht="29.25">
      <c r="C6" s="1640"/>
      <c r="D6" s="2374" t="s">
        <v>496</v>
      </c>
      <c r="E6" s="2374"/>
      <c r="F6" s="2374"/>
      <c r="G6" s="2374"/>
      <c r="H6" s="2374"/>
      <c r="I6" s="2374"/>
      <c r="J6" s="615"/>
      <c r="K6" s="1739"/>
      <c r="V6" s="1731">
        <v>28</v>
      </c>
    </row>
    <row customHeight="1" ht="18">
      <c r="C7" s="1640"/>
      <c r="D7" s="2313" t="str">
        <f>IF(org=0,"Не определено",org)</f>
        <v>ООО "СамРЭК-Эксплуатация"</v>
      </c>
      <c r="E7" s="2313"/>
      <c r="F7" s="2313"/>
      <c r="G7" s="2313"/>
      <c r="H7" s="2313"/>
      <c r="I7" s="2313"/>
      <c r="J7" s="615"/>
      <c r="K7" s="1739"/>
      <c r="V7" s="1731">
        <v>17</v>
      </c>
    </row>
    <row s="6053" customFormat="1" customHeight="1" ht="5.25">
      <c r="A8" s="1735"/>
      <c r="C8" s="610"/>
      <c r="D8" s="609"/>
      <c r="E8" s="609"/>
      <c r="F8" s="609"/>
      <c r="G8" s="609"/>
      <c r="H8" s="609"/>
      <c r="I8" s="609"/>
      <c r="J8" s="609"/>
      <c r="L8" s="1738"/>
      <c r="M8" s="1738"/>
      <c r="N8" s="1738"/>
      <c r="O8" s="1738"/>
      <c r="P8" s="1738"/>
      <c r="Q8" s="1738"/>
      <c r="R8" s="1738"/>
      <c r="S8" s="1738"/>
      <c r="T8" s="1738"/>
      <c r="U8" s="1738"/>
      <c r="V8" s="1736">
        <v>5</v>
      </c>
    </row>
    <row s="6053" customFormat="1" customHeight="1" ht="5.25">
      <c r="A9" s="1735"/>
      <c r="C9" s="610"/>
      <c r="D9" s="609"/>
      <c r="E9" s="609"/>
      <c r="F9" s="609"/>
      <c r="G9" s="609"/>
      <c r="H9" s="609"/>
      <c r="I9" s="609"/>
      <c r="J9" s="609"/>
      <c r="L9" s="1746"/>
      <c r="M9" s="1746"/>
      <c r="N9" s="1746"/>
      <c r="O9" s="1746"/>
      <c r="P9" s="1746"/>
      <c r="Q9" s="1746"/>
      <c r="R9" s="1746"/>
      <c r="S9" s="1746"/>
      <c r="T9" s="1746"/>
      <c r="U9" s="1746"/>
      <c r="V9" s="1736">
        <v>5</v>
      </c>
    </row>
    <row customHeight="1" ht="14.699999999999998">
      <c r="C10" s="1640"/>
      <c r="D10" s="2355" t="s">
        <v>412</v>
      </c>
      <c r="E10" s="2356"/>
      <c r="F10" s="2356"/>
      <c r="G10" s="2356"/>
      <c r="H10" s="2356"/>
      <c r="I10" s="2356"/>
      <c r="J10" s="2360" t="s">
        <v>413</v>
      </c>
      <c r="V10" s="1731">
        <v>14</v>
      </c>
    </row>
    <row customHeight="1" ht="27.299999999999997">
      <c r="C11" s="1640"/>
      <c r="D11" s="2264" t="s">
        <v>88</v>
      </c>
      <c r="E11" s="2360" t="s">
        <v>206</v>
      </c>
      <c r="F11" s="2329" t="s">
        <v>88</v>
      </c>
      <c r="G11" s="2330"/>
      <c r="H11" s="2312" t="s">
        <v>497</v>
      </c>
      <c r="I11" s="2312" t="s">
        <v>498</v>
      </c>
      <c r="J11" s="2360"/>
      <c r="V11" s="1731">
        <v>26</v>
      </c>
    </row>
    <row customHeight="1" ht="14.699999999999998">
      <c r="C12" s="1640"/>
      <c r="D12" s="2264"/>
      <c r="E12" s="2360"/>
      <c r="F12" s="2337"/>
      <c r="G12" s="2338"/>
      <c r="H12" s="2369"/>
      <c r="I12" s="2369"/>
      <c r="J12" s="2360"/>
      <c r="V12" s="1731">
        <v>14</v>
      </c>
    </row>
    <row s="6292" customFormat="1" customHeight="1" ht="11.25" hidden="1">
      <c r="C13" s="622"/>
      <c r="D13" s="623" t="s">
        <v>488</v>
      </c>
      <c r="E13" s="623"/>
      <c r="F13" s="623"/>
      <c r="G13" s="623"/>
      <c r="H13" s="621"/>
      <c r="I13" s="621"/>
      <c r="J13" s="559"/>
      <c r="L13" s="1738"/>
      <c r="M13" s="1738"/>
      <c r="N13" s="1738"/>
      <c r="O13" s="1738"/>
      <c r="P13" s="1738"/>
      <c r="Q13" s="1738"/>
      <c r="R13" s="1738"/>
      <c r="S13" s="1738"/>
      <c r="T13" s="1738"/>
      <c r="U13" s="1738"/>
      <c r="V13" s="620">
        <v>0</v>
      </c>
    </row>
    <row customHeight="1" ht="14.699999999999998">
      <c r="A14" s="1731"/>
      <c r="C14" s="1640"/>
      <c r="D14" s="2370" t="s">
        <v>210</v>
      </c>
      <c r="E14" s="2372"/>
      <c r="F14" s="1741"/>
      <c r="G14" s="1740" t="s">
        <v>210</v>
      </c>
      <c r="H14" s="1747"/>
      <c r="I14" s="1745"/>
      <c r="J14" s="2306" t="s">
        <v>499</v>
      </c>
      <c r="K14" s="1731"/>
      <c r="R14" s="624" t="s">
        <v>493</v>
      </c>
      <c r="S14" s="624" t="s">
        <v>493</v>
      </c>
      <c r="V14" s="1731">
        <v>14</v>
      </c>
    </row>
    <row customHeight="1" ht="14.699999999999998">
      <c r="A15" s="1731"/>
      <c r="C15" s="1640"/>
      <c r="D15" s="2371"/>
      <c r="E15" s="2373"/>
      <c r="F15" s="529"/>
      <c r="G15" s="993"/>
      <c r="H15" s="993" t="s">
        <v>495</v>
      </c>
      <c r="I15" s="437"/>
      <c r="J15" s="2307"/>
      <c r="K15" s="1731"/>
      <c r="R15" s="624"/>
      <c r="S15" s="624"/>
      <c r="V15" s="1731">
        <v>14</v>
      </c>
    </row>
    <row customHeight="1" ht="14.699999999999998">
      <c r="A16" s="1731"/>
      <c r="C16" s="1640"/>
      <c r="D16" s="529"/>
      <c r="E16" s="993" t="s">
        <v>241</v>
      </c>
      <c r="F16" s="437"/>
      <c r="G16" s="437"/>
      <c r="H16" s="530"/>
      <c r="I16" s="530"/>
      <c r="J16" s="2308"/>
      <c r="K16" s="1731"/>
      <c r="V16" s="1731">
        <v>14</v>
      </c>
    </row>
    <row customHeight="1" ht="14.699999999999998">
      <c r="K17" s="1731"/>
      <c r="V17" s="1731">
        <v>14</v>
      </c>
    </row>
    <row customHeight="1" ht="22.5" hidden="1">
      <c r="A18" s="1732" t="s">
        <v>82</v>
      </c>
      <c r="B18" s="1731">
        <v>0</v>
      </c>
      <c r="C18" s="575">
        <v>3</v>
      </c>
      <c r="D18" s="1731">
        <v>5</v>
      </c>
      <c r="E18" s="1731">
        <v>38</v>
      </c>
      <c r="F18" s="1731">
        <v>3</v>
      </c>
      <c r="G18" s="1731">
        <v>3</v>
      </c>
      <c r="H18" s="1731">
        <v>38</v>
      </c>
      <c r="I18" s="1731">
        <v>35</v>
      </c>
      <c r="J18" s="1731">
        <v>103</v>
      </c>
      <c r="K18" s="1733">
        <v>3</v>
      </c>
      <c r="L18" s="1738">
        <v>10</v>
      </c>
      <c r="M18" s="1738">
        <v>10</v>
      </c>
      <c r="N18" s="1738">
        <v>10</v>
      </c>
      <c r="O18" s="1738">
        <v>13</v>
      </c>
      <c r="P18" s="1738">
        <v>15</v>
      </c>
      <c r="Q18" s="1738">
        <v>16</v>
      </c>
      <c r="R18" s="1738">
        <v>10</v>
      </c>
      <c r="S18" s="1738">
        <v>10</v>
      </c>
      <c r="T18" s="1738">
        <v>10</v>
      </c>
      <c r="U18" s="1738">
        <v>10</v>
      </c>
      <c r="V18" s="173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